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50" yWindow="320" windowWidth="9480" windowHeight="11020" firstSheet="1" activeTab="1"/>
  </bookViews>
  <sheets>
    <sheet name="CDM Worksheet--simple ex." sheetId="26" state="hidden" r:id="rId1"/>
    <sheet name="Summary" sheetId="11" r:id="rId2"/>
    <sheet name="Rate Class Energy Model" sheetId="9" r:id="rId3"/>
    <sheet name="Rate Class Customer Model" sheetId="17" r:id="rId4"/>
    <sheet name="Embedded Distributor Forecast" sheetId="30" r:id="rId5"/>
    <sheet name="Rate Class Load Model" sheetId="18" r:id="rId6"/>
    <sheet name="Purch. Power Model " sheetId="47" r:id="rId7"/>
    <sheet name="HDD&amp;CDD" sheetId="24" r:id="rId8"/>
    <sheet name="WMP Forecast" sheetId="31" r:id="rId9"/>
  </sheets>
  <externalReferences>
    <externalReference r:id="rId10"/>
    <externalReference r:id="rId11"/>
    <externalReference r:id="rId12"/>
  </externalReferences>
  <definedNames>
    <definedName name="_xlnm._FilterDatabase" localSheetId="6" hidden="1">'Purch. Power Model '!$B$34:$P$190</definedName>
    <definedName name="_Order1" hidden="1">255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GDP_Used">#REF!</definedName>
    <definedName name="NewRevReq">[3]Refs!$B$8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Area" localSheetId="4">'Embedded Distributor Forecast'!$A$1:$K$29</definedName>
    <definedName name="_xlnm.Print_Titles" localSheetId="6">'Purch. Power Model '!$34:$34</definedName>
    <definedName name="RevReqLookupKey">[3]Refs!$B$5</definedName>
    <definedName name="RevReqRange">[3]Refs!$B$7</definedName>
    <definedName name="solver_eng" localSheetId="6" hidden="1">1</definedName>
    <definedName name="solver_neg" localSheetId="6" hidden="1">1</definedName>
    <definedName name="solver_num" localSheetId="6" hidden="1">0</definedName>
    <definedName name="solver_opt" localSheetId="6" hidden="1">'Purch. Power Model '!$E$34</definedName>
    <definedName name="solver_typ" localSheetId="6" hidden="1">1</definedName>
    <definedName name="solver_val" localSheetId="6" hidden="1">0</definedName>
    <definedName name="solver_ver" localSheetId="6" hidden="1">3</definedName>
    <definedName name="Total_for_half_Yr">#REF!</definedName>
  </definedNames>
  <calcPr calcId="145621"/>
  <pivotCaches>
    <pivotCache cacheId="2" r:id="rId13"/>
  </pivotCaches>
</workbook>
</file>

<file path=xl/calcChain.xml><?xml version="1.0" encoding="utf-8"?>
<calcChain xmlns="http://schemas.openxmlformats.org/spreadsheetml/2006/main">
  <c r="K72" i="11" l="1"/>
  <c r="J72" i="11"/>
  <c r="I72" i="11"/>
  <c r="H72" i="11"/>
  <c r="G72" i="11"/>
  <c r="F72" i="11"/>
  <c r="E72" i="11"/>
  <c r="D72" i="11"/>
  <c r="C72" i="11"/>
  <c r="B72" i="11"/>
  <c r="C36" i="47" l="1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65" i="47"/>
  <c r="C66" i="47"/>
  <c r="C67" i="47"/>
  <c r="C68" i="47"/>
  <c r="C69" i="47"/>
  <c r="C70" i="47"/>
  <c r="C71" i="47"/>
  <c r="C72" i="47"/>
  <c r="C73" i="47"/>
  <c r="C74" i="47"/>
  <c r="C75" i="47"/>
  <c r="C76" i="47"/>
  <c r="C77" i="47"/>
  <c r="C78" i="47"/>
  <c r="C79" i="47"/>
  <c r="C80" i="47"/>
  <c r="C81" i="47"/>
  <c r="C82" i="47"/>
  <c r="C83" i="47"/>
  <c r="C84" i="47"/>
  <c r="C85" i="47"/>
  <c r="C86" i="47"/>
  <c r="C87" i="47"/>
  <c r="C88" i="47"/>
  <c r="C89" i="47"/>
  <c r="C90" i="47"/>
  <c r="C91" i="47"/>
  <c r="C92" i="47"/>
  <c r="C93" i="47"/>
  <c r="C94" i="47"/>
  <c r="C95" i="47"/>
  <c r="C96" i="47"/>
  <c r="C97" i="47"/>
  <c r="C98" i="47"/>
  <c r="C99" i="47"/>
  <c r="C100" i="47"/>
  <c r="C101" i="47"/>
  <c r="C102" i="47"/>
  <c r="C103" i="47"/>
  <c r="C104" i="47"/>
  <c r="C105" i="47"/>
  <c r="C106" i="47"/>
  <c r="C107" i="47"/>
  <c r="C108" i="47"/>
  <c r="C109" i="47"/>
  <c r="C110" i="47"/>
  <c r="C111" i="47"/>
  <c r="C112" i="47"/>
  <c r="C113" i="47"/>
  <c r="C114" i="47"/>
  <c r="C115" i="47"/>
  <c r="C116" i="47"/>
  <c r="C117" i="47"/>
  <c r="C118" i="47"/>
  <c r="C119" i="47"/>
  <c r="C120" i="47"/>
  <c r="C121" i="47"/>
  <c r="C122" i="47"/>
  <c r="C123" i="47"/>
  <c r="C124" i="47"/>
  <c r="C125" i="47"/>
  <c r="C126" i="47"/>
  <c r="C127" i="47"/>
  <c r="C128" i="47"/>
  <c r="C129" i="47"/>
  <c r="C130" i="47"/>
  <c r="C131" i="47"/>
  <c r="C132" i="47"/>
  <c r="C133" i="47"/>
  <c r="C134" i="47"/>
  <c r="C135" i="47"/>
  <c r="C136" i="47"/>
  <c r="C137" i="47"/>
  <c r="C138" i="47"/>
  <c r="C139" i="47"/>
  <c r="C140" i="47"/>
  <c r="C141" i="47"/>
  <c r="C142" i="47"/>
  <c r="C143" i="47"/>
  <c r="C144" i="47"/>
  <c r="C145" i="47"/>
  <c r="C146" i="47"/>
  <c r="C147" i="47"/>
  <c r="C148" i="47"/>
  <c r="C149" i="47"/>
  <c r="C150" i="47"/>
  <c r="C151" i="47"/>
  <c r="C152" i="47"/>
  <c r="C153" i="47"/>
  <c r="C154" i="47"/>
  <c r="C155" i="47"/>
  <c r="C156" i="47"/>
  <c r="C157" i="47"/>
  <c r="C158" i="47"/>
  <c r="C159" i="47"/>
  <c r="C160" i="47"/>
  <c r="C161" i="47"/>
  <c r="C162" i="47"/>
  <c r="C163" i="47"/>
  <c r="C164" i="47"/>
  <c r="C165" i="47"/>
  <c r="C166" i="47"/>
  <c r="C167" i="47"/>
  <c r="C168" i="47"/>
  <c r="C169" i="47"/>
  <c r="C170" i="47"/>
  <c r="C171" i="47"/>
  <c r="C172" i="47"/>
  <c r="C173" i="47"/>
  <c r="C174" i="47"/>
  <c r="C175" i="47"/>
  <c r="C176" i="47"/>
  <c r="C177" i="47"/>
  <c r="C178" i="47"/>
  <c r="C179" i="47"/>
  <c r="C180" i="47"/>
  <c r="C181" i="47"/>
  <c r="C182" i="47"/>
  <c r="C183" i="47"/>
  <c r="C184" i="47"/>
  <c r="C185" i="47"/>
  <c r="C186" i="47"/>
  <c r="C187" i="47"/>
  <c r="C188" i="47"/>
  <c r="C189" i="47"/>
  <c r="C190" i="47"/>
  <c r="C35" i="47"/>
  <c r="AF35" i="24" l="1"/>
  <c r="K8" i="47" l="1"/>
  <c r="K9" i="47"/>
  <c r="K10" i="47"/>
  <c r="K11" i="47"/>
  <c r="K12" i="47"/>
  <c r="K13" i="47"/>
  <c r="K14" i="47"/>
  <c r="K15" i="47"/>
  <c r="K16" i="47"/>
  <c r="K17" i="47"/>
  <c r="K7" i="47"/>
  <c r="AG29" i="24"/>
  <c r="AG30" i="24"/>
  <c r="AG31" i="24"/>
  <c r="AG32" i="24"/>
  <c r="AG33" i="24"/>
  <c r="AG34" i="24"/>
  <c r="AG35" i="24"/>
  <c r="AG36" i="24"/>
  <c r="AG37" i="24"/>
  <c r="AG38" i="24"/>
  <c r="AG39" i="24"/>
  <c r="AG28" i="24"/>
  <c r="AF28" i="24"/>
  <c r="AF29" i="24"/>
  <c r="AF30" i="24"/>
  <c r="AF31" i="24"/>
  <c r="AF32" i="24"/>
  <c r="AF34" i="24"/>
  <c r="AF36" i="24"/>
  <c r="AF37" i="24"/>
  <c r="AF38" i="24"/>
  <c r="AF39" i="24"/>
  <c r="AF33" i="24"/>
  <c r="J36" i="47" l="1"/>
  <c r="J37" i="47"/>
  <c r="J38" i="47"/>
  <c r="J39" i="47"/>
  <c r="J40" i="47"/>
  <c r="J41" i="47"/>
  <c r="J42" i="47"/>
  <c r="J43" i="47"/>
  <c r="J44" i="47"/>
  <c r="J45" i="47"/>
  <c r="J46" i="47"/>
  <c r="J47" i="47"/>
  <c r="J48" i="47"/>
  <c r="J49" i="47"/>
  <c r="J50" i="47"/>
  <c r="J51" i="47"/>
  <c r="J52" i="47"/>
  <c r="J53" i="47"/>
  <c r="J54" i="47"/>
  <c r="J55" i="47"/>
  <c r="J56" i="47"/>
  <c r="J57" i="47"/>
  <c r="J58" i="47"/>
  <c r="J59" i="47"/>
  <c r="J60" i="47"/>
  <c r="J61" i="47"/>
  <c r="J62" i="47"/>
  <c r="J63" i="47"/>
  <c r="J64" i="47"/>
  <c r="J65" i="47"/>
  <c r="J66" i="47"/>
  <c r="J67" i="47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J95" i="47"/>
  <c r="J96" i="47"/>
  <c r="J97" i="47"/>
  <c r="J98" i="47"/>
  <c r="J99" i="47"/>
  <c r="J100" i="47"/>
  <c r="J101" i="47"/>
  <c r="J102" i="47"/>
  <c r="J103" i="47"/>
  <c r="J104" i="47"/>
  <c r="J105" i="47"/>
  <c r="J106" i="47"/>
  <c r="J107" i="47"/>
  <c r="J108" i="47"/>
  <c r="J109" i="47"/>
  <c r="J110" i="47"/>
  <c r="J111" i="47"/>
  <c r="J112" i="47"/>
  <c r="J113" i="47"/>
  <c r="J114" i="47"/>
  <c r="J115" i="47"/>
  <c r="J116" i="47"/>
  <c r="J117" i="47"/>
  <c r="J118" i="47"/>
  <c r="J119" i="47"/>
  <c r="J120" i="47"/>
  <c r="J121" i="47"/>
  <c r="J122" i="47"/>
  <c r="J123" i="47"/>
  <c r="J124" i="47"/>
  <c r="J125" i="47"/>
  <c r="J126" i="47"/>
  <c r="J127" i="47"/>
  <c r="J128" i="47"/>
  <c r="J129" i="47"/>
  <c r="J130" i="47"/>
  <c r="J131" i="47"/>
  <c r="J132" i="47"/>
  <c r="J133" i="47"/>
  <c r="J134" i="47"/>
  <c r="J135" i="47"/>
  <c r="J136" i="47"/>
  <c r="J137" i="47"/>
  <c r="J138" i="47"/>
  <c r="J139" i="47"/>
  <c r="J140" i="47"/>
  <c r="J141" i="47"/>
  <c r="J142" i="47"/>
  <c r="J143" i="47"/>
  <c r="J144" i="47"/>
  <c r="J145" i="47"/>
  <c r="J146" i="47"/>
  <c r="J147" i="47"/>
  <c r="J148" i="47"/>
  <c r="J149" i="47"/>
  <c r="J150" i="47"/>
  <c r="J151" i="47"/>
  <c r="J152" i="47"/>
  <c r="J153" i="47"/>
  <c r="J154" i="47"/>
  <c r="J155" i="47"/>
  <c r="J156" i="47"/>
  <c r="J157" i="47"/>
  <c r="J158" i="47"/>
  <c r="J159" i="47"/>
  <c r="J160" i="47"/>
  <c r="J161" i="47"/>
  <c r="J162" i="47"/>
  <c r="J163" i="47"/>
  <c r="J164" i="47"/>
  <c r="J165" i="47"/>
  <c r="J166" i="47"/>
  <c r="J167" i="47"/>
  <c r="J168" i="47"/>
  <c r="J169" i="47"/>
  <c r="J170" i="47"/>
  <c r="J171" i="47"/>
  <c r="J172" i="47"/>
  <c r="J173" i="47"/>
  <c r="J174" i="47"/>
  <c r="J175" i="47"/>
  <c r="J176" i="47"/>
  <c r="J177" i="47"/>
  <c r="J178" i="47"/>
  <c r="J179" i="47"/>
  <c r="J180" i="47"/>
  <c r="J181" i="47"/>
  <c r="J182" i="47"/>
  <c r="J183" i="47"/>
  <c r="J184" i="47"/>
  <c r="J185" i="47"/>
  <c r="J186" i="47"/>
  <c r="J187" i="47"/>
  <c r="J188" i="47"/>
  <c r="J189" i="47"/>
  <c r="J190" i="47"/>
  <c r="I42" i="47"/>
  <c r="I43" i="47"/>
  <c r="I44" i="47"/>
  <c r="I45" i="47"/>
  <c r="I46" i="47"/>
  <c r="I47" i="47"/>
  <c r="I48" i="47"/>
  <c r="I49" i="47"/>
  <c r="I50" i="47"/>
  <c r="I51" i="47"/>
  <c r="I52" i="47"/>
  <c r="I53" i="47"/>
  <c r="I54" i="47"/>
  <c r="I55" i="47"/>
  <c r="I56" i="47"/>
  <c r="I57" i="47"/>
  <c r="I58" i="47"/>
  <c r="I59" i="47"/>
  <c r="I60" i="47"/>
  <c r="I61" i="47"/>
  <c r="I62" i="47"/>
  <c r="I63" i="47"/>
  <c r="I64" i="47"/>
  <c r="I65" i="47"/>
  <c r="I66" i="47"/>
  <c r="I67" i="47"/>
  <c r="I68" i="47"/>
  <c r="I69" i="47"/>
  <c r="I70" i="47"/>
  <c r="I71" i="47"/>
  <c r="I72" i="47"/>
  <c r="I73" i="47"/>
  <c r="I74" i="47"/>
  <c r="I75" i="47"/>
  <c r="I76" i="47"/>
  <c r="I77" i="47"/>
  <c r="I78" i="47"/>
  <c r="I79" i="47"/>
  <c r="I80" i="47"/>
  <c r="I81" i="47"/>
  <c r="I82" i="47"/>
  <c r="I83" i="47"/>
  <c r="I84" i="47"/>
  <c r="I85" i="47"/>
  <c r="I86" i="47"/>
  <c r="I87" i="47"/>
  <c r="I88" i="47"/>
  <c r="I89" i="47"/>
  <c r="I90" i="47"/>
  <c r="I91" i="47"/>
  <c r="I92" i="47"/>
  <c r="I93" i="47"/>
  <c r="I94" i="47"/>
  <c r="I95" i="47"/>
  <c r="I96" i="47"/>
  <c r="I97" i="47"/>
  <c r="I98" i="47"/>
  <c r="I99" i="47"/>
  <c r="I100" i="47"/>
  <c r="I101" i="47"/>
  <c r="I102" i="47"/>
  <c r="I103" i="47"/>
  <c r="I104" i="47"/>
  <c r="I105" i="47"/>
  <c r="I106" i="47"/>
  <c r="I107" i="47"/>
  <c r="I108" i="47"/>
  <c r="I109" i="47"/>
  <c r="I110" i="47"/>
  <c r="I111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I139" i="47"/>
  <c r="I140" i="47"/>
  <c r="I141" i="47"/>
  <c r="I142" i="47"/>
  <c r="I143" i="47"/>
  <c r="I144" i="47"/>
  <c r="I145" i="47"/>
  <c r="I146" i="47"/>
  <c r="I147" i="47"/>
  <c r="I148" i="47"/>
  <c r="I149" i="47"/>
  <c r="I150" i="47"/>
  <c r="I151" i="47"/>
  <c r="I152" i="47"/>
  <c r="I153" i="47"/>
  <c r="I154" i="47"/>
  <c r="I155" i="47"/>
  <c r="I156" i="47"/>
  <c r="I157" i="47"/>
  <c r="I158" i="47"/>
  <c r="I159" i="47"/>
  <c r="I160" i="47"/>
  <c r="I161" i="47"/>
  <c r="I162" i="47"/>
  <c r="I163" i="47"/>
  <c r="I164" i="47"/>
  <c r="I165" i="47"/>
  <c r="I166" i="47"/>
  <c r="I167" i="47"/>
  <c r="I168" i="47"/>
  <c r="I169" i="47"/>
  <c r="I170" i="47"/>
  <c r="I171" i="47"/>
  <c r="I172" i="47"/>
  <c r="I173" i="47"/>
  <c r="I174" i="47"/>
  <c r="I175" i="47"/>
  <c r="I176" i="47"/>
  <c r="I177" i="47"/>
  <c r="I178" i="47"/>
  <c r="I179" i="47"/>
  <c r="I180" i="47"/>
  <c r="I181" i="47"/>
  <c r="I182" i="47"/>
  <c r="I183" i="47"/>
  <c r="I184" i="47"/>
  <c r="I185" i="47"/>
  <c r="I186" i="47"/>
  <c r="I187" i="47"/>
  <c r="I188" i="47"/>
  <c r="I189" i="47"/>
  <c r="I190" i="47"/>
  <c r="I41" i="47"/>
  <c r="M36" i="47"/>
  <c r="M37" i="47"/>
  <c r="M38" i="47"/>
  <c r="M39" i="47"/>
  <c r="M40" i="47"/>
  <c r="M41" i="47"/>
  <c r="M42" i="47"/>
  <c r="M43" i="47"/>
  <c r="M44" i="47"/>
  <c r="M45" i="47"/>
  <c r="M46" i="47"/>
  <c r="M47" i="47"/>
  <c r="M48" i="47"/>
  <c r="M49" i="47"/>
  <c r="M50" i="47"/>
  <c r="M51" i="47"/>
  <c r="M52" i="47"/>
  <c r="M53" i="47"/>
  <c r="M54" i="47"/>
  <c r="M55" i="47"/>
  <c r="M56" i="47"/>
  <c r="M57" i="47"/>
  <c r="M58" i="47"/>
  <c r="M59" i="47"/>
  <c r="M60" i="47"/>
  <c r="M61" i="47"/>
  <c r="M62" i="47"/>
  <c r="M63" i="47"/>
  <c r="M64" i="47"/>
  <c r="M65" i="47"/>
  <c r="M66" i="47"/>
  <c r="M67" i="47"/>
  <c r="M68" i="47"/>
  <c r="M69" i="47"/>
  <c r="M70" i="47"/>
  <c r="M71" i="47"/>
  <c r="M72" i="47"/>
  <c r="M73" i="47"/>
  <c r="M74" i="47"/>
  <c r="M75" i="47"/>
  <c r="M76" i="47"/>
  <c r="M77" i="47"/>
  <c r="M78" i="47"/>
  <c r="M79" i="47"/>
  <c r="M80" i="47"/>
  <c r="M81" i="47"/>
  <c r="M82" i="47"/>
  <c r="M83" i="47"/>
  <c r="M84" i="47"/>
  <c r="M85" i="47"/>
  <c r="M86" i="47"/>
  <c r="M87" i="47"/>
  <c r="M88" i="47"/>
  <c r="M89" i="47"/>
  <c r="M90" i="47"/>
  <c r="M91" i="47"/>
  <c r="M92" i="47"/>
  <c r="M93" i="47"/>
  <c r="M94" i="47"/>
  <c r="M95" i="47"/>
  <c r="M96" i="47"/>
  <c r="M97" i="47"/>
  <c r="M98" i="47"/>
  <c r="M99" i="47"/>
  <c r="M100" i="47"/>
  <c r="M101" i="47"/>
  <c r="M102" i="47"/>
  <c r="M103" i="47"/>
  <c r="M104" i="47"/>
  <c r="M105" i="47"/>
  <c r="M106" i="47"/>
  <c r="M107" i="47"/>
  <c r="M108" i="47"/>
  <c r="M109" i="47"/>
  <c r="M110" i="47"/>
  <c r="M111" i="47"/>
  <c r="M112" i="47"/>
  <c r="M113" i="47"/>
  <c r="M114" i="47"/>
  <c r="M115" i="47"/>
  <c r="M116" i="47"/>
  <c r="M117" i="47"/>
  <c r="M118" i="47"/>
  <c r="M119" i="47"/>
  <c r="M120" i="47"/>
  <c r="M121" i="47"/>
  <c r="M122" i="47"/>
  <c r="M123" i="47"/>
  <c r="M124" i="47"/>
  <c r="M125" i="47"/>
  <c r="M126" i="47"/>
  <c r="M127" i="47"/>
  <c r="M128" i="47"/>
  <c r="M129" i="47"/>
  <c r="M130" i="47"/>
  <c r="M131" i="47"/>
  <c r="M132" i="47"/>
  <c r="M133" i="47"/>
  <c r="M134" i="47"/>
  <c r="M135" i="47"/>
  <c r="M136" i="47"/>
  <c r="M137" i="47"/>
  <c r="M138" i="47"/>
  <c r="M139" i="47"/>
  <c r="M140" i="47"/>
  <c r="M141" i="47"/>
  <c r="M142" i="47"/>
  <c r="M143" i="47"/>
  <c r="M144" i="47"/>
  <c r="M145" i="47"/>
  <c r="M146" i="47"/>
  <c r="M147" i="47"/>
  <c r="M148" i="47"/>
  <c r="M149" i="47"/>
  <c r="M150" i="47"/>
  <c r="M151" i="47"/>
  <c r="M152" i="47"/>
  <c r="M153" i="47"/>
  <c r="M154" i="47"/>
  <c r="M155" i="47"/>
  <c r="M156" i="47"/>
  <c r="M157" i="47"/>
  <c r="M158" i="47"/>
  <c r="M159" i="47"/>
  <c r="M160" i="47"/>
  <c r="M161" i="47"/>
  <c r="M162" i="47"/>
  <c r="M163" i="47"/>
  <c r="M164" i="47"/>
  <c r="M165" i="47"/>
  <c r="M166" i="47"/>
  <c r="M167" i="47"/>
  <c r="M168" i="47"/>
  <c r="M169" i="47"/>
  <c r="M170" i="47"/>
  <c r="M171" i="47"/>
  <c r="M172" i="47"/>
  <c r="M173" i="47"/>
  <c r="M174" i="47"/>
  <c r="M175" i="47"/>
  <c r="M176" i="47"/>
  <c r="M177" i="47"/>
  <c r="M178" i="47"/>
  <c r="M179" i="47"/>
  <c r="M180" i="47"/>
  <c r="M181" i="47"/>
  <c r="M182" i="47"/>
  <c r="M183" i="47"/>
  <c r="M184" i="47"/>
  <c r="M185" i="47"/>
  <c r="M186" i="47"/>
  <c r="M187" i="47"/>
  <c r="M188" i="47"/>
  <c r="M189" i="47"/>
  <c r="M190" i="47"/>
  <c r="M35" i="47"/>
  <c r="L36" i="47"/>
  <c r="L37" i="47"/>
  <c r="L38" i="47"/>
  <c r="L39" i="47"/>
  <c r="L40" i="47"/>
  <c r="L41" i="47"/>
  <c r="L42" i="47"/>
  <c r="L43" i="47"/>
  <c r="L44" i="47"/>
  <c r="L45" i="47"/>
  <c r="L46" i="47"/>
  <c r="L47" i="47"/>
  <c r="L48" i="47"/>
  <c r="L49" i="47"/>
  <c r="L50" i="47"/>
  <c r="L51" i="47"/>
  <c r="L52" i="47"/>
  <c r="L53" i="47"/>
  <c r="L54" i="47"/>
  <c r="L55" i="47"/>
  <c r="L56" i="47"/>
  <c r="L57" i="47"/>
  <c r="L58" i="47"/>
  <c r="L59" i="47"/>
  <c r="L60" i="47"/>
  <c r="L61" i="47"/>
  <c r="L62" i="47"/>
  <c r="L63" i="47"/>
  <c r="L64" i="47"/>
  <c r="L65" i="47"/>
  <c r="L66" i="47"/>
  <c r="L67" i="47"/>
  <c r="L68" i="47"/>
  <c r="L69" i="47"/>
  <c r="L70" i="47"/>
  <c r="L71" i="47"/>
  <c r="L72" i="47"/>
  <c r="L73" i="47"/>
  <c r="L74" i="47"/>
  <c r="L75" i="47"/>
  <c r="L76" i="47"/>
  <c r="L77" i="47"/>
  <c r="L78" i="47"/>
  <c r="L79" i="47"/>
  <c r="L80" i="47"/>
  <c r="L81" i="47"/>
  <c r="L82" i="47"/>
  <c r="L83" i="47"/>
  <c r="L84" i="47"/>
  <c r="L85" i="47"/>
  <c r="L86" i="47"/>
  <c r="L87" i="47"/>
  <c r="L88" i="47"/>
  <c r="L89" i="47"/>
  <c r="L90" i="47"/>
  <c r="L91" i="47"/>
  <c r="L92" i="47"/>
  <c r="L93" i="47"/>
  <c r="L94" i="47"/>
  <c r="L95" i="47"/>
  <c r="L96" i="47"/>
  <c r="L97" i="47"/>
  <c r="L98" i="47"/>
  <c r="L99" i="47"/>
  <c r="L100" i="47"/>
  <c r="L101" i="47"/>
  <c r="L102" i="47"/>
  <c r="L103" i="47"/>
  <c r="L104" i="47"/>
  <c r="L105" i="47"/>
  <c r="L106" i="47"/>
  <c r="L107" i="47"/>
  <c r="L108" i="47"/>
  <c r="L109" i="47"/>
  <c r="L110" i="47"/>
  <c r="L111" i="47"/>
  <c r="L112" i="47"/>
  <c r="L113" i="47"/>
  <c r="L114" i="47"/>
  <c r="L115" i="47"/>
  <c r="L116" i="47"/>
  <c r="L117" i="47"/>
  <c r="L118" i="47"/>
  <c r="L119" i="47"/>
  <c r="L120" i="47"/>
  <c r="L121" i="47"/>
  <c r="L122" i="47"/>
  <c r="L123" i="47"/>
  <c r="L124" i="47"/>
  <c r="L125" i="47"/>
  <c r="L126" i="47"/>
  <c r="L127" i="47"/>
  <c r="L128" i="47"/>
  <c r="L129" i="47"/>
  <c r="L130" i="47"/>
  <c r="L131" i="47"/>
  <c r="L132" i="47"/>
  <c r="L133" i="47"/>
  <c r="L134" i="47"/>
  <c r="L135" i="47"/>
  <c r="L136" i="47"/>
  <c r="L137" i="47"/>
  <c r="L138" i="47"/>
  <c r="L139" i="47"/>
  <c r="L140" i="47"/>
  <c r="L141" i="47"/>
  <c r="L142" i="47"/>
  <c r="L143" i="47"/>
  <c r="L144" i="47"/>
  <c r="L145" i="47"/>
  <c r="L146" i="47"/>
  <c r="L147" i="47"/>
  <c r="L148" i="47"/>
  <c r="L149" i="47"/>
  <c r="L150" i="47"/>
  <c r="L151" i="47"/>
  <c r="L152" i="47"/>
  <c r="L153" i="47"/>
  <c r="L154" i="47"/>
  <c r="L155" i="47"/>
  <c r="L156" i="47"/>
  <c r="L157" i="47"/>
  <c r="L158" i="47"/>
  <c r="L159" i="47"/>
  <c r="L160" i="47"/>
  <c r="L161" i="47"/>
  <c r="L162" i="47"/>
  <c r="L163" i="47"/>
  <c r="L164" i="47"/>
  <c r="L165" i="47"/>
  <c r="L166" i="47"/>
  <c r="L167" i="47"/>
  <c r="L168" i="47"/>
  <c r="L169" i="47"/>
  <c r="L170" i="47"/>
  <c r="L171" i="47"/>
  <c r="L172" i="47"/>
  <c r="L173" i="47"/>
  <c r="L174" i="47"/>
  <c r="L175" i="47"/>
  <c r="L176" i="47"/>
  <c r="L177" i="47"/>
  <c r="L178" i="47"/>
  <c r="L179" i="47"/>
  <c r="L180" i="47"/>
  <c r="L181" i="47"/>
  <c r="L182" i="47"/>
  <c r="L183" i="47"/>
  <c r="L184" i="47"/>
  <c r="L185" i="47"/>
  <c r="L186" i="47"/>
  <c r="L187" i="47"/>
  <c r="L188" i="47"/>
  <c r="L189" i="47"/>
  <c r="L190" i="47"/>
  <c r="K36" i="47"/>
  <c r="K37" i="47"/>
  <c r="K38" i="47"/>
  <c r="K39" i="47"/>
  <c r="K40" i="47"/>
  <c r="K41" i="47"/>
  <c r="K42" i="47"/>
  <c r="K43" i="47"/>
  <c r="K44" i="47"/>
  <c r="K45" i="47"/>
  <c r="K46" i="47"/>
  <c r="K47" i="47"/>
  <c r="K48" i="47"/>
  <c r="K49" i="47"/>
  <c r="K50" i="47"/>
  <c r="K51" i="47"/>
  <c r="K52" i="47"/>
  <c r="K53" i="47"/>
  <c r="K54" i="47"/>
  <c r="K55" i="47"/>
  <c r="K56" i="47"/>
  <c r="K57" i="47"/>
  <c r="K58" i="47"/>
  <c r="K59" i="47"/>
  <c r="K60" i="47"/>
  <c r="K61" i="47"/>
  <c r="K62" i="47"/>
  <c r="K63" i="47"/>
  <c r="K64" i="47"/>
  <c r="K65" i="47"/>
  <c r="K66" i="47"/>
  <c r="K67" i="47"/>
  <c r="K68" i="47"/>
  <c r="K69" i="47"/>
  <c r="K70" i="47"/>
  <c r="K71" i="47"/>
  <c r="K72" i="47"/>
  <c r="K73" i="47"/>
  <c r="K74" i="47"/>
  <c r="K75" i="47"/>
  <c r="K76" i="47"/>
  <c r="K77" i="47"/>
  <c r="K78" i="47"/>
  <c r="K79" i="47"/>
  <c r="K80" i="47"/>
  <c r="K81" i="47"/>
  <c r="K82" i="47"/>
  <c r="K83" i="47"/>
  <c r="K84" i="47"/>
  <c r="K85" i="47"/>
  <c r="K86" i="47"/>
  <c r="K87" i="47"/>
  <c r="K88" i="47"/>
  <c r="K89" i="47"/>
  <c r="K90" i="47"/>
  <c r="K91" i="47"/>
  <c r="K92" i="47"/>
  <c r="K93" i="47"/>
  <c r="K94" i="47"/>
  <c r="K95" i="47"/>
  <c r="K96" i="47"/>
  <c r="K97" i="47"/>
  <c r="K98" i="47"/>
  <c r="K99" i="47"/>
  <c r="K100" i="47"/>
  <c r="K101" i="47"/>
  <c r="K102" i="47"/>
  <c r="K103" i="47"/>
  <c r="K104" i="47"/>
  <c r="K105" i="47"/>
  <c r="K106" i="47"/>
  <c r="K107" i="47"/>
  <c r="K108" i="47"/>
  <c r="K109" i="47"/>
  <c r="K110" i="47"/>
  <c r="K111" i="47"/>
  <c r="K112" i="47"/>
  <c r="K113" i="47"/>
  <c r="K114" i="47"/>
  <c r="K115" i="47"/>
  <c r="K116" i="47"/>
  <c r="K117" i="47"/>
  <c r="K118" i="47"/>
  <c r="K119" i="47"/>
  <c r="K120" i="47"/>
  <c r="K121" i="47"/>
  <c r="K122" i="47"/>
  <c r="K123" i="47"/>
  <c r="K124" i="47"/>
  <c r="K125" i="47"/>
  <c r="K126" i="47"/>
  <c r="K127" i="47"/>
  <c r="K128" i="47"/>
  <c r="K129" i="47"/>
  <c r="K130" i="47"/>
  <c r="K131" i="47"/>
  <c r="K132" i="47"/>
  <c r="K133" i="47"/>
  <c r="K134" i="47"/>
  <c r="K135" i="47"/>
  <c r="K136" i="47"/>
  <c r="K137" i="47"/>
  <c r="K138" i="47"/>
  <c r="K139" i="47"/>
  <c r="K140" i="47"/>
  <c r="K141" i="47"/>
  <c r="K142" i="47"/>
  <c r="K143" i="47"/>
  <c r="K144" i="47"/>
  <c r="K145" i="47"/>
  <c r="K146" i="47"/>
  <c r="K147" i="47"/>
  <c r="K148" i="47"/>
  <c r="K149" i="47"/>
  <c r="K150" i="47"/>
  <c r="K151" i="47"/>
  <c r="K152" i="47"/>
  <c r="K153" i="47"/>
  <c r="K154" i="47"/>
  <c r="K155" i="47"/>
  <c r="K156" i="47"/>
  <c r="K157" i="47"/>
  <c r="K158" i="47"/>
  <c r="K159" i="47"/>
  <c r="K160" i="47"/>
  <c r="K161" i="47"/>
  <c r="K162" i="47"/>
  <c r="K163" i="47"/>
  <c r="K164" i="47"/>
  <c r="K165" i="47"/>
  <c r="K166" i="47"/>
  <c r="K167" i="47"/>
  <c r="K168" i="47"/>
  <c r="K169" i="47"/>
  <c r="K170" i="47"/>
  <c r="K171" i="47"/>
  <c r="K172" i="47"/>
  <c r="K173" i="47"/>
  <c r="K174" i="47"/>
  <c r="K175" i="47"/>
  <c r="K176" i="47"/>
  <c r="K177" i="47"/>
  <c r="K178" i="47"/>
  <c r="K179" i="47"/>
  <c r="K180" i="47"/>
  <c r="K181" i="47"/>
  <c r="K182" i="47"/>
  <c r="K183" i="47"/>
  <c r="K184" i="47"/>
  <c r="K185" i="47"/>
  <c r="K186" i="47"/>
  <c r="K187" i="47"/>
  <c r="K188" i="47"/>
  <c r="K189" i="47"/>
  <c r="K190" i="47"/>
  <c r="L35" i="47"/>
  <c r="K35" i="47"/>
  <c r="J35" i="47"/>
  <c r="Q9" i="9" l="1"/>
  <c r="Q10" i="9"/>
  <c r="Q11" i="9"/>
  <c r="Q12" i="9"/>
  <c r="Q13" i="9"/>
  <c r="Q14" i="9"/>
  <c r="Q15" i="9"/>
  <c r="Q8" i="9"/>
  <c r="D16" i="31"/>
  <c r="D13" i="31" s="1"/>
  <c r="L46" i="11"/>
  <c r="G18" i="18"/>
  <c r="H27" i="11"/>
  <c r="I27" i="11"/>
  <c r="J27" i="11"/>
  <c r="K27" i="11"/>
  <c r="M59" i="11"/>
  <c r="N7" i="9"/>
  <c r="O7" i="9"/>
  <c r="P7" i="9"/>
  <c r="N8" i="9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N14" i="9"/>
  <c r="O14" i="9"/>
  <c r="P14" i="9"/>
  <c r="AC41" i="24"/>
  <c r="AG8" i="24"/>
  <c r="AF8" i="24"/>
  <c r="G190" i="47"/>
  <c r="G189" i="47"/>
  <c r="G188" i="47"/>
  <c r="G187" i="47"/>
  <c r="G186" i="47"/>
  <c r="G185" i="47"/>
  <c r="G184" i="47"/>
  <c r="F184" i="47"/>
  <c r="G183" i="47"/>
  <c r="G182" i="47"/>
  <c r="G181" i="47"/>
  <c r="G180" i="47"/>
  <c r="G179" i="47"/>
  <c r="F179" i="47"/>
  <c r="G178" i="47"/>
  <c r="G177" i="47"/>
  <c r="G176" i="47"/>
  <c r="G175" i="47"/>
  <c r="G174" i="47"/>
  <c r="G173" i="47"/>
  <c r="G172" i="47"/>
  <c r="F172" i="47"/>
  <c r="G171" i="47"/>
  <c r="G170" i="47"/>
  <c r="G169" i="47"/>
  <c r="G168" i="47"/>
  <c r="G167" i="47"/>
  <c r="F167" i="47"/>
  <c r="E194" i="47"/>
  <c r="E201" i="47"/>
  <c r="E204" i="47"/>
  <c r="E203" i="47"/>
  <c r="E199" i="47"/>
  <c r="E198" i="47"/>
  <c r="E197" i="47"/>
  <c r="E192" i="47"/>
  <c r="E196" i="47"/>
  <c r="E193" i="47"/>
  <c r="E195" i="47"/>
  <c r="E202" i="47"/>
  <c r="G27" i="11"/>
  <c r="K37" i="11"/>
  <c r="J37" i="11"/>
  <c r="I37" i="11"/>
  <c r="H37" i="11"/>
  <c r="K32" i="11"/>
  <c r="J32" i="11"/>
  <c r="I32" i="11"/>
  <c r="H32" i="11"/>
  <c r="B12" i="18"/>
  <c r="H22" i="11"/>
  <c r="B15" i="18"/>
  <c r="K22" i="11"/>
  <c r="B14" i="18"/>
  <c r="E14" i="18"/>
  <c r="J56" i="11"/>
  <c r="B13" i="18"/>
  <c r="I22" i="11"/>
  <c r="C27" i="18"/>
  <c r="D27" i="18"/>
  <c r="C28" i="18"/>
  <c r="D28" i="18"/>
  <c r="C29" i="18"/>
  <c r="D29" i="18"/>
  <c r="L59" i="11"/>
  <c r="K59" i="11"/>
  <c r="J59" i="11"/>
  <c r="I59" i="11"/>
  <c r="H59" i="11"/>
  <c r="J41" i="11"/>
  <c r="I41" i="11"/>
  <c r="J36" i="11"/>
  <c r="I36" i="11"/>
  <c r="J31" i="11"/>
  <c r="I31" i="11"/>
  <c r="I21" i="11"/>
  <c r="I71" i="11" s="1"/>
  <c r="J17" i="11"/>
  <c r="I17" i="11"/>
  <c r="J13" i="11"/>
  <c r="I13" i="11"/>
  <c r="K46" i="11"/>
  <c r="J46" i="11"/>
  <c r="I46" i="11"/>
  <c r="H46" i="11"/>
  <c r="K45" i="11"/>
  <c r="J45" i="11"/>
  <c r="I45" i="11"/>
  <c r="H45" i="11"/>
  <c r="H41" i="11"/>
  <c r="H36" i="11"/>
  <c r="H31" i="11"/>
  <c r="H21" i="11"/>
  <c r="H71" i="11" s="1"/>
  <c r="H17" i="11"/>
  <c r="H13" i="11"/>
  <c r="H33" i="9"/>
  <c r="J15" i="9"/>
  <c r="P15" i="9" s="1"/>
  <c r="G13" i="9"/>
  <c r="H55" i="11" s="1"/>
  <c r="G14" i="9"/>
  <c r="I8" i="11"/>
  <c r="G12" i="9"/>
  <c r="G8" i="11"/>
  <c r="B26" i="18"/>
  <c r="C7" i="31" s="1"/>
  <c r="AF15" i="24"/>
  <c r="F186" i="47" s="1"/>
  <c r="AG15" i="24"/>
  <c r="AF16" i="24"/>
  <c r="F187" i="47" s="1"/>
  <c r="AG16" i="24"/>
  <c r="AF17" i="24"/>
  <c r="F188" i="47" s="1"/>
  <c r="AG17" i="24"/>
  <c r="AF18" i="24"/>
  <c r="F189" i="47" s="1"/>
  <c r="AG18" i="24"/>
  <c r="AF19" i="24"/>
  <c r="F190" i="47" s="1"/>
  <c r="AG19" i="24"/>
  <c r="AF13" i="24"/>
  <c r="AG13" i="24"/>
  <c r="AG14" i="24"/>
  <c r="AF14" i="24"/>
  <c r="F185" i="47" s="1"/>
  <c r="AG12" i="24"/>
  <c r="AF9" i="24"/>
  <c r="F180" i="47" s="1"/>
  <c r="AG9" i="24"/>
  <c r="AF10" i="24"/>
  <c r="F181" i="47" s="1"/>
  <c r="AG10" i="24"/>
  <c r="AF11" i="24"/>
  <c r="F182" i="47" s="1"/>
  <c r="AG11" i="24"/>
  <c r="AF12" i="24"/>
  <c r="F183" i="47" s="1"/>
  <c r="Z41" i="24"/>
  <c r="AA41" i="24"/>
  <c r="AB41" i="24"/>
  <c r="AD41" i="24"/>
  <c r="Z21" i="24"/>
  <c r="AA21" i="24"/>
  <c r="AB21" i="24"/>
  <c r="AC21" i="24"/>
  <c r="AD21" i="24"/>
  <c r="N25" i="11"/>
  <c r="N59" i="11"/>
  <c r="M25" i="11"/>
  <c r="J33" i="9"/>
  <c r="F37" i="11"/>
  <c r="F51" i="11" s="1"/>
  <c r="F66" i="11" s="1"/>
  <c r="E37" i="11"/>
  <c r="D37" i="11"/>
  <c r="D23" i="18"/>
  <c r="F32" i="11"/>
  <c r="C32" i="11"/>
  <c r="E32" i="11"/>
  <c r="C22" i="11"/>
  <c r="C26" i="11"/>
  <c r="C60" i="11"/>
  <c r="F21" i="11"/>
  <c r="F71" i="11" s="1"/>
  <c r="J31" i="9"/>
  <c r="J30" i="9"/>
  <c r="J43" i="9" s="1"/>
  <c r="C21" i="11"/>
  <c r="C71" i="11" s="1"/>
  <c r="J29" i="9"/>
  <c r="G41" i="11"/>
  <c r="E41" i="11"/>
  <c r="L33" i="9"/>
  <c r="L46" i="9" s="1"/>
  <c r="L32" i="9"/>
  <c r="E36" i="11"/>
  <c r="D36" i="11"/>
  <c r="E31" i="11"/>
  <c r="D31" i="11"/>
  <c r="I31" i="9"/>
  <c r="I44" i="9" s="1"/>
  <c r="D17" i="11"/>
  <c r="C17" i="11"/>
  <c r="G13" i="11"/>
  <c r="C13" i="11"/>
  <c r="G59" i="11"/>
  <c r="F59" i="11"/>
  <c r="E59" i="11"/>
  <c r="D59" i="11"/>
  <c r="C59" i="11"/>
  <c r="B59" i="11"/>
  <c r="D27" i="11"/>
  <c r="B16" i="11"/>
  <c r="B17" i="11"/>
  <c r="E5" i="18"/>
  <c r="F12" i="11"/>
  <c r="E27" i="11"/>
  <c r="G7" i="9"/>
  <c r="B55" i="11" s="1"/>
  <c r="B22" i="11"/>
  <c r="E35" i="11"/>
  <c r="B40" i="11"/>
  <c r="E25" i="17"/>
  <c r="G16" i="11"/>
  <c r="G49" i="11" s="1"/>
  <c r="G64" i="11" s="1"/>
  <c r="G30" i="11"/>
  <c r="B31" i="17"/>
  <c r="F27" i="11"/>
  <c r="F40" i="11"/>
  <c r="H31" i="9"/>
  <c r="G29" i="17"/>
  <c r="E16" i="11"/>
  <c r="D30" i="11"/>
  <c r="D49" i="11" s="1"/>
  <c r="D64" i="11" s="1"/>
  <c r="H8" i="17"/>
  <c r="C54" i="11"/>
  <c r="D26" i="17"/>
  <c r="B30" i="11"/>
  <c r="B37" i="11"/>
  <c r="B51" i="11"/>
  <c r="B66" i="11" s="1"/>
  <c r="B36" i="11"/>
  <c r="G25" i="17"/>
  <c r="C27" i="11"/>
  <c r="C61" i="11"/>
  <c r="C43" i="11"/>
  <c r="B32" i="11"/>
  <c r="B27" i="11"/>
  <c r="B61" i="11"/>
  <c r="D46" i="11"/>
  <c r="C30" i="11"/>
  <c r="W21" i="24"/>
  <c r="V41" i="24"/>
  <c r="Y41" i="24"/>
  <c r="V21" i="24"/>
  <c r="X21" i="24"/>
  <c r="B150" i="26"/>
  <c r="B151" i="26"/>
  <c r="B152" i="26"/>
  <c r="B153" i="26"/>
  <c r="B154" i="26"/>
  <c r="B155" i="26"/>
  <c r="B156" i="26"/>
  <c r="B157" i="26"/>
  <c r="B158" i="26"/>
  <c r="B159" i="26"/>
  <c r="B160" i="26"/>
  <c r="B149" i="26"/>
  <c r="B138" i="26"/>
  <c r="B139" i="26"/>
  <c r="B140" i="26"/>
  <c r="B141" i="26"/>
  <c r="B142" i="26"/>
  <c r="B143" i="26"/>
  <c r="B144" i="26"/>
  <c r="B145" i="26"/>
  <c r="B146" i="26"/>
  <c r="B147" i="26"/>
  <c r="B148" i="26"/>
  <c r="B137" i="26"/>
  <c r="B126" i="26"/>
  <c r="B127" i="26"/>
  <c r="B128" i="26"/>
  <c r="B129" i="26"/>
  <c r="B130" i="26"/>
  <c r="B131" i="26"/>
  <c r="B132" i="26"/>
  <c r="B133" i="26"/>
  <c r="B134" i="26"/>
  <c r="B135" i="26"/>
  <c r="B136" i="26"/>
  <c r="B125" i="26"/>
  <c r="B114" i="26"/>
  <c r="B115" i="26"/>
  <c r="B116" i="26"/>
  <c r="B117" i="26"/>
  <c r="B118" i="26"/>
  <c r="B119" i="26"/>
  <c r="B120" i="26"/>
  <c r="B121" i="26"/>
  <c r="B122" i="26"/>
  <c r="B123" i="26"/>
  <c r="B124" i="26"/>
  <c r="B113" i="26"/>
  <c r="B102" i="26"/>
  <c r="B103" i="26"/>
  <c r="B104" i="26"/>
  <c r="B105" i="26"/>
  <c r="B106" i="26"/>
  <c r="B107" i="26"/>
  <c r="B108" i="26"/>
  <c r="B109" i="26"/>
  <c r="B110" i="26"/>
  <c r="B111" i="26"/>
  <c r="B112" i="26"/>
  <c r="B101" i="26"/>
  <c r="B90" i="26"/>
  <c r="B91" i="26"/>
  <c r="B92" i="26"/>
  <c r="B93" i="26"/>
  <c r="B94" i="26"/>
  <c r="B95" i="26"/>
  <c r="B96" i="26"/>
  <c r="B97" i="26"/>
  <c r="B98" i="26"/>
  <c r="B99" i="26"/>
  <c r="B100" i="26"/>
  <c r="B89" i="26"/>
  <c r="B78" i="26"/>
  <c r="B79" i="26"/>
  <c r="B80" i="26"/>
  <c r="B81" i="26"/>
  <c r="B82" i="26"/>
  <c r="B83" i="26"/>
  <c r="B84" i="26"/>
  <c r="B85" i="26"/>
  <c r="B86" i="26"/>
  <c r="B87" i="26"/>
  <c r="B88" i="26"/>
  <c r="B77" i="26"/>
  <c r="B66" i="26"/>
  <c r="B67" i="26"/>
  <c r="B68" i="26"/>
  <c r="B69" i="26"/>
  <c r="B70" i="26"/>
  <c r="B71" i="26"/>
  <c r="B72" i="26"/>
  <c r="B73" i="26"/>
  <c r="B74" i="26"/>
  <c r="B75" i="26"/>
  <c r="B76" i="26"/>
  <c r="B65" i="26"/>
  <c r="B54" i="26"/>
  <c r="B55" i="26"/>
  <c r="B56" i="26"/>
  <c r="B57" i="26"/>
  <c r="B58" i="26"/>
  <c r="B59" i="26"/>
  <c r="B60" i="26"/>
  <c r="B61" i="26"/>
  <c r="B62" i="26"/>
  <c r="B63" i="26"/>
  <c r="B64" i="26"/>
  <c r="B53" i="26"/>
  <c r="C53" i="26"/>
  <c r="C41" i="26"/>
  <c r="B41" i="26"/>
  <c r="C40" i="26"/>
  <c r="G5" i="26"/>
  <c r="G4" i="26"/>
  <c r="G3" i="26"/>
  <c r="F3" i="26"/>
  <c r="D28" i="26"/>
  <c r="C17" i="26"/>
  <c r="B18" i="26"/>
  <c r="B19" i="26"/>
  <c r="B20" i="26"/>
  <c r="B21" i="26"/>
  <c r="B22" i="26"/>
  <c r="B23" i="26"/>
  <c r="B24" i="26"/>
  <c r="B25" i="26"/>
  <c r="B26" i="26"/>
  <c r="B27" i="26"/>
  <c r="B28" i="26"/>
  <c r="B17" i="26"/>
  <c r="H3" i="26"/>
  <c r="E5" i="26"/>
  <c r="E6" i="26"/>
  <c r="E8" i="26"/>
  <c r="E9" i="26"/>
  <c r="E13" i="26"/>
  <c r="E14" i="26"/>
  <c r="D4" i="26"/>
  <c r="E4" i="26"/>
  <c r="H4" i="26"/>
  <c r="C29" i="26"/>
  <c r="B29" i="26"/>
  <c r="D5" i="26"/>
  <c r="D6" i="26"/>
  <c r="D7" i="26"/>
  <c r="E7" i="26"/>
  <c r="D8" i="26"/>
  <c r="D9" i="26"/>
  <c r="D10" i="26"/>
  <c r="E10" i="26"/>
  <c r="D11" i="26"/>
  <c r="E11" i="26"/>
  <c r="D12" i="26"/>
  <c r="E12" i="26"/>
  <c r="D13" i="26"/>
  <c r="D14" i="26"/>
  <c r="D3" i="26"/>
  <c r="E3" i="26"/>
  <c r="A31" i="9"/>
  <c r="A28" i="9"/>
  <c r="A29" i="11"/>
  <c r="E2" i="17"/>
  <c r="C1" i="18" s="1"/>
  <c r="A15" i="11"/>
  <c r="A11" i="11"/>
  <c r="C2" i="17"/>
  <c r="D2" i="17"/>
  <c r="B1" i="18" s="1"/>
  <c r="F2" i="17"/>
  <c r="D1" i="18" s="1"/>
  <c r="G2" i="17"/>
  <c r="B2" i="17"/>
  <c r="A39" i="11"/>
  <c r="A34" i="11"/>
  <c r="A19" i="11"/>
  <c r="B42" i="26"/>
  <c r="B43" i="26"/>
  <c r="B44" i="26"/>
  <c r="B45" i="26"/>
  <c r="B46" i="26"/>
  <c r="B47" i="26"/>
  <c r="B48" i="26"/>
  <c r="B49" i="26"/>
  <c r="B50" i="26"/>
  <c r="B51" i="26"/>
  <c r="B52" i="26"/>
  <c r="B30" i="26"/>
  <c r="B31" i="26"/>
  <c r="B32" i="26"/>
  <c r="B33" i="26"/>
  <c r="B34" i="26"/>
  <c r="B35" i="26"/>
  <c r="B36" i="26"/>
  <c r="B37" i="26"/>
  <c r="B38" i="26"/>
  <c r="B39" i="26"/>
  <c r="B40" i="26"/>
  <c r="C52" i="26"/>
  <c r="D40" i="26"/>
  <c r="C28" i="26"/>
  <c r="H5" i="26"/>
  <c r="F4" i="26"/>
  <c r="D52" i="26"/>
  <c r="F5" i="26"/>
  <c r="G6" i="26"/>
  <c r="H6" i="26"/>
  <c r="C64" i="26"/>
  <c r="D64" i="26"/>
  <c r="F6" i="26"/>
  <c r="G7" i="26"/>
  <c r="H7" i="26"/>
  <c r="C65" i="26"/>
  <c r="C76" i="26"/>
  <c r="D76" i="26"/>
  <c r="F7" i="26"/>
  <c r="G8" i="26"/>
  <c r="H8" i="26"/>
  <c r="C77" i="26"/>
  <c r="D88" i="26"/>
  <c r="F8" i="26"/>
  <c r="G9" i="26"/>
  <c r="H9" i="26"/>
  <c r="C89" i="26"/>
  <c r="C88" i="26"/>
  <c r="C100" i="26"/>
  <c r="D100" i="26"/>
  <c r="F9" i="26"/>
  <c r="G10" i="26"/>
  <c r="H10" i="26"/>
  <c r="C101" i="26"/>
  <c r="D112" i="26"/>
  <c r="F10" i="26"/>
  <c r="G11" i="26"/>
  <c r="H11" i="26"/>
  <c r="C113" i="26"/>
  <c r="C112" i="26"/>
  <c r="D124" i="26"/>
  <c r="F11" i="26"/>
  <c r="G12" i="26"/>
  <c r="H12" i="26"/>
  <c r="C125" i="26"/>
  <c r="C124" i="26"/>
  <c r="C136" i="26"/>
  <c r="D136" i="26"/>
  <c r="F12" i="26"/>
  <c r="G13" i="26"/>
  <c r="H13" i="26"/>
  <c r="C137" i="26"/>
  <c r="C148" i="26"/>
  <c r="D148" i="26"/>
  <c r="F13" i="26"/>
  <c r="G14" i="26"/>
  <c r="H14" i="26"/>
  <c r="C149" i="26"/>
  <c r="D160" i="26"/>
  <c r="F14" i="26"/>
  <c r="C160" i="26"/>
  <c r="W41" i="24"/>
  <c r="Y21" i="24"/>
  <c r="X41" i="24"/>
  <c r="C12" i="11"/>
  <c r="E45" i="11"/>
  <c r="E60" i="11"/>
  <c r="D45" i="11"/>
  <c r="F45" i="11"/>
  <c r="B26" i="11"/>
  <c r="C40" i="11"/>
  <c r="D26" i="11"/>
  <c r="E26" i="11"/>
  <c r="F26" i="11"/>
  <c r="B31" i="11"/>
  <c r="C24" i="18"/>
  <c r="B21" i="11"/>
  <c r="B71" i="11" s="1"/>
  <c r="C23" i="17"/>
  <c r="H32" i="9"/>
  <c r="E20" i="11"/>
  <c r="E70" i="11" s="1"/>
  <c r="B21" i="18"/>
  <c r="D24" i="18"/>
  <c r="D35" i="11"/>
  <c r="I29" i="9"/>
  <c r="I42" i="9" s="1"/>
  <c r="C36" i="11"/>
  <c r="G32" i="11"/>
  <c r="L31" i="9"/>
  <c r="D22" i="11"/>
  <c r="G46" i="11"/>
  <c r="G61" i="11"/>
  <c r="F17" i="11"/>
  <c r="E9" i="18"/>
  <c r="E56" i="11"/>
  <c r="E46" i="11"/>
  <c r="B41" i="11"/>
  <c r="M28" i="9"/>
  <c r="B27" i="17"/>
  <c r="I30" i="9"/>
  <c r="C41" i="11"/>
  <c r="J32" i="9"/>
  <c r="J45" i="9" s="1"/>
  <c r="D20" i="11"/>
  <c r="D70" i="11" s="1"/>
  <c r="G35" i="11"/>
  <c r="F24" i="17"/>
  <c r="F23" i="17"/>
  <c r="B26" i="17"/>
  <c r="D13" i="11"/>
  <c r="E28" i="17"/>
  <c r="C29" i="17"/>
  <c r="B30" i="17"/>
  <c r="E3" i="18"/>
  <c r="K29" i="9"/>
  <c r="C31" i="11"/>
  <c r="B20" i="11"/>
  <c r="B70" i="11" s="1"/>
  <c r="E13" i="11"/>
  <c r="J28" i="9"/>
  <c r="J42" i="9" s="1"/>
  <c r="M29" i="9"/>
  <c r="E22" i="11"/>
  <c r="B35" i="11"/>
  <c r="C20" i="11"/>
  <c r="D27" i="17"/>
  <c r="C31" i="17"/>
  <c r="D16" i="11"/>
  <c r="B24" i="18"/>
  <c r="C5" i="31" s="1"/>
  <c r="C21" i="18"/>
  <c r="D32" i="11"/>
  <c r="D28" i="17"/>
  <c r="F41" i="11"/>
  <c r="G8" i="9"/>
  <c r="C55" i="11" s="1"/>
  <c r="B22" i="18"/>
  <c r="C3" i="31" s="1"/>
  <c r="G45" i="11"/>
  <c r="D12" i="11"/>
  <c r="D25" i="17"/>
  <c r="M30" i="9"/>
  <c r="M43" i="9" s="1"/>
  <c r="D41" i="11"/>
  <c r="D50" i="11" s="1"/>
  <c r="G12" i="11"/>
  <c r="D25" i="18"/>
  <c r="F36" i="11"/>
  <c r="L28" i="9"/>
  <c r="E27" i="17"/>
  <c r="E30" i="17"/>
  <c r="E8" i="18"/>
  <c r="D56" i="11"/>
  <c r="H6" i="17"/>
  <c r="G17" i="11"/>
  <c r="G36" i="11"/>
  <c r="D21" i="11"/>
  <c r="D71" i="11" s="1"/>
  <c r="B28" i="17"/>
  <c r="B29" i="17"/>
  <c r="D40" i="11"/>
  <c r="G28" i="17"/>
  <c r="E4" i="18"/>
  <c r="D29" i="17"/>
  <c r="K31" i="9"/>
  <c r="F46" i="11"/>
  <c r="E10" i="18"/>
  <c r="F56" i="11"/>
  <c r="B12" i="11"/>
  <c r="H28" i="9"/>
  <c r="H42" i="9" s="1"/>
  <c r="H7" i="17"/>
  <c r="B54" i="11"/>
  <c r="F35" i="11"/>
  <c r="F31" i="17"/>
  <c r="H4" i="17"/>
  <c r="C26" i="17"/>
  <c r="E17" i="11"/>
  <c r="G10" i="9"/>
  <c r="E8" i="11" s="1"/>
  <c r="C16" i="11"/>
  <c r="M33" i="9"/>
  <c r="H29" i="9"/>
  <c r="D26" i="18"/>
  <c r="G37" i="11"/>
  <c r="G51" i="11" s="1"/>
  <c r="G66" i="11" s="1"/>
  <c r="D24" i="17"/>
  <c r="F20" i="11"/>
  <c r="F70" i="11" s="1"/>
  <c r="D30" i="17"/>
  <c r="E2" i="18"/>
  <c r="E24" i="17"/>
  <c r="I28" i="9"/>
  <c r="B25" i="18"/>
  <c r="C6" i="31" s="1"/>
  <c r="C27" i="17"/>
  <c r="B24" i="17"/>
  <c r="B23" i="18"/>
  <c r="C4" i="31" s="1"/>
  <c r="H12" i="17"/>
  <c r="G54" i="11"/>
  <c r="K30" i="9"/>
  <c r="G27" i="17"/>
  <c r="H10" i="17"/>
  <c r="E54" i="11"/>
  <c r="G30" i="17"/>
  <c r="E40" i="11"/>
  <c r="K33" i="9"/>
  <c r="M32" i="9"/>
  <c r="C23" i="18"/>
  <c r="C37" i="11"/>
  <c r="C51" i="11" s="1"/>
  <c r="C66" i="11" s="1"/>
  <c r="D22" i="18"/>
  <c r="C24" i="17"/>
  <c r="D31" i="17"/>
  <c r="G20" i="11"/>
  <c r="G70" i="11" s="1"/>
  <c r="C28" i="17"/>
  <c r="F30" i="17"/>
  <c r="H11" i="17"/>
  <c r="F54" i="11"/>
  <c r="G26" i="17"/>
  <c r="B23" i="17"/>
  <c r="G9" i="9"/>
  <c r="D8" i="11" s="1"/>
  <c r="C22" i="18"/>
  <c r="L30" i="9"/>
  <c r="C35" i="11"/>
  <c r="F27" i="17"/>
  <c r="E26" i="17"/>
  <c r="F16" i="11"/>
  <c r="C30" i="17"/>
  <c r="B25" i="17"/>
  <c r="H5" i="17"/>
  <c r="H3" i="17"/>
  <c r="F28" i="17"/>
  <c r="H30" i="9"/>
  <c r="H44" i="9" s="1"/>
  <c r="C25" i="18"/>
  <c r="F31" i="11"/>
  <c r="E12" i="11"/>
  <c r="G22" i="11"/>
  <c r="E11" i="18"/>
  <c r="G56" i="11"/>
  <c r="D23" i="17"/>
  <c r="F22" i="11"/>
  <c r="F25" i="17"/>
  <c r="G21" i="11"/>
  <c r="G71" i="11" s="1"/>
  <c r="G23" i="17"/>
  <c r="C25" i="17"/>
  <c r="G24" i="17"/>
  <c r="E30" i="11"/>
  <c r="E29" i="17"/>
  <c r="F30" i="11"/>
  <c r="E31" i="17"/>
  <c r="G31" i="17"/>
  <c r="G40" i="11"/>
  <c r="F29" i="17"/>
  <c r="K32" i="9"/>
  <c r="H9" i="17"/>
  <c r="D54" i="11"/>
  <c r="E21" i="11"/>
  <c r="E71" i="11" s="1"/>
  <c r="M31" i="9"/>
  <c r="M44" i="9" s="1"/>
  <c r="E6" i="18"/>
  <c r="B56" i="11"/>
  <c r="E7" i="18"/>
  <c r="C56" i="11"/>
  <c r="I33" i="9"/>
  <c r="D21" i="18"/>
  <c r="D61" i="11"/>
  <c r="G31" i="11"/>
  <c r="C26" i="18"/>
  <c r="K28" i="9"/>
  <c r="F26" i="17"/>
  <c r="B13" i="11"/>
  <c r="F13" i="11"/>
  <c r="G11" i="9"/>
  <c r="F8" i="11" s="1"/>
  <c r="I32" i="9"/>
  <c r="L29" i="9"/>
  <c r="B60" i="11"/>
  <c r="F60" i="11"/>
  <c r="F61" i="11"/>
  <c r="D60" i="11"/>
  <c r="E61" i="11"/>
  <c r="E12" i="18"/>
  <c r="H56" i="11"/>
  <c r="B8" i="11"/>
  <c r="B27" i="18"/>
  <c r="C8" i="31" s="1"/>
  <c r="O15" i="9"/>
  <c r="H45" i="9"/>
  <c r="G55" i="11"/>
  <c r="A30" i="9"/>
  <c r="A29" i="9"/>
  <c r="N15" i="9"/>
  <c r="I55" i="11"/>
  <c r="H46" i="9"/>
  <c r="E15" i="18"/>
  <c r="K56" i="11"/>
  <c r="I36" i="9"/>
  <c r="J22" i="11"/>
  <c r="B28" i="18"/>
  <c r="C9" i="31" s="1"/>
  <c r="E13" i="18"/>
  <c r="I56" i="11"/>
  <c r="C8" i="11"/>
  <c r="E51" i="11"/>
  <c r="E66" i="11" s="1"/>
  <c r="H43" i="9"/>
  <c r="M42" i="9"/>
  <c r="J44" i="9"/>
  <c r="G26" i="11"/>
  <c r="H8" i="11"/>
  <c r="M46" i="9"/>
  <c r="L42" i="9"/>
  <c r="E200" i="47"/>
  <c r="D33" i="17"/>
  <c r="L5" i="11"/>
  <c r="D4" i="11"/>
  <c r="M5" i="11"/>
  <c r="K4" i="11"/>
  <c r="G5" i="11"/>
  <c r="B5" i="11"/>
  <c r="H4" i="11"/>
  <c r="G4" i="11"/>
  <c r="B4" i="11"/>
  <c r="E4" i="11"/>
  <c r="K5" i="11"/>
  <c r="F4" i="11"/>
  <c r="C5" i="11"/>
  <c r="C4" i="11"/>
  <c r="E5" i="11"/>
  <c r="D5" i="11"/>
  <c r="N5" i="11"/>
  <c r="I4" i="11"/>
  <c r="I5" i="11"/>
  <c r="F5" i="11"/>
  <c r="H5" i="11"/>
  <c r="J5" i="11"/>
  <c r="L4" i="11"/>
  <c r="J4" i="11"/>
  <c r="C9" i="9"/>
  <c r="B11" i="9"/>
  <c r="C13" i="9"/>
  <c r="C19" i="9"/>
  <c r="C14" i="9"/>
  <c r="C7" i="9"/>
  <c r="C16" i="9"/>
  <c r="C17" i="9"/>
  <c r="C12" i="9"/>
  <c r="B12" i="9"/>
  <c r="B15" i="9"/>
  <c r="B7" i="9"/>
  <c r="B14" i="9"/>
  <c r="B8" i="9"/>
  <c r="C10" i="9"/>
  <c r="B13" i="9"/>
  <c r="B9" i="9"/>
  <c r="C15" i="9"/>
  <c r="C18" i="9"/>
  <c r="B17" i="9"/>
  <c r="B10" i="9"/>
  <c r="B16" i="9"/>
  <c r="C8" i="9"/>
  <c r="C11" i="9"/>
  <c r="F169" i="47" l="1"/>
  <c r="F173" i="47"/>
  <c r="F177" i="47"/>
  <c r="F170" i="47"/>
  <c r="F174" i="47"/>
  <c r="F178" i="47"/>
  <c r="F171" i="47"/>
  <c r="F175" i="47"/>
  <c r="F168" i="47"/>
  <c r="F176" i="47"/>
  <c r="I43" i="9"/>
  <c r="E55" i="11"/>
  <c r="J21" i="11"/>
  <c r="J71" i="11" s="1"/>
  <c r="C50" i="11"/>
  <c r="F50" i="11"/>
  <c r="M45" i="9"/>
  <c r="D55" i="11"/>
  <c r="D65" i="11" s="1"/>
  <c r="B29" i="18"/>
  <c r="C10" i="31" s="1"/>
  <c r="I45" i="9"/>
  <c r="K45" i="9"/>
  <c r="J46" i="9"/>
  <c r="I46" i="9"/>
  <c r="L43" i="9"/>
  <c r="K46" i="9"/>
  <c r="F49" i="11"/>
  <c r="F64" i="11" s="1"/>
  <c r="G15" i="9"/>
  <c r="C49" i="11"/>
  <c r="C64" i="11" s="1"/>
  <c r="C70" i="11"/>
  <c r="K43" i="9"/>
  <c r="B50" i="11"/>
  <c r="L44" i="9"/>
  <c r="B49" i="11"/>
  <c r="B64" i="11" s="1"/>
  <c r="D51" i="11"/>
  <c r="D66" i="11" s="1"/>
  <c r="E49" i="11"/>
  <c r="E64" i="11" s="1"/>
  <c r="E50" i="11"/>
  <c r="E65" i="11" s="1"/>
  <c r="H26" i="11"/>
  <c r="K26" i="11"/>
  <c r="J26" i="11"/>
  <c r="I26" i="11"/>
  <c r="L32" i="11"/>
  <c r="K61" i="11"/>
  <c r="L13" i="11"/>
  <c r="J61" i="11"/>
  <c r="L17" i="11"/>
  <c r="L31" i="11"/>
  <c r="L36" i="11"/>
  <c r="L21" i="11"/>
  <c r="I61" i="11"/>
  <c r="L37" i="11"/>
  <c r="K17" i="11"/>
  <c r="K44" i="9"/>
  <c r="F55" i="11"/>
  <c r="F65" i="11" s="1"/>
  <c r="L45" i="9"/>
  <c r="C65" i="11"/>
  <c r="B65" i="11"/>
  <c r="K42" i="9"/>
  <c r="H61" i="11"/>
  <c r="H51" i="11"/>
  <c r="B24" i="30"/>
  <c r="B25" i="30" s="1"/>
  <c r="N27" i="11" s="1"/>
  <c r="L26" i="11"/>
  <c r="E24" i="30"/>
  <c r="B31" i="18"/>
  <c r="G60" i="11"/>
  <c r="G50" i="11"/>
  <c r="G65" i="11" s="1"/>
  <c r="L27" i="11"/>
  <c r="D31" i="18"/>
  <c r="L45" i="11"/>
  <c r="H35" i="9"/>
  <c r="K60" i="11"/>
  <c r="K31" i="11"/>
  <c r="J16" i="11"/>
  <c r="K35" i="11"/>
  <c r="I35" i="9"/>
  <c r="J30" i="11"/>
  <c r="D30" i="18"/>
  <c r="J35" i="9"/>
  <c r="L36" i="9"/>
  <c r="K41" i="11"/>
  <c r="H16" i="11"/>
  <c r="M36" i="9"/>
  <c r="K21" i="11"/>
  <c r="D32" i="17"/>
  <c r="L35" i="9"/>
  <c r="K12" i="11"/>
  <c r="E32" i="17"/>
  <c r="I40" i="11"/>
  <c r="F32" i="17"/>
  <c r="J12" i="11"/>
  <c r="K30" i="11"/>
  <c r="K20" i="11"/>
  <c r="K38" i="9"/>
  <c r="L35" i="11"/>
  <c r="L40" i="11"/>
  <c r="L12" i="11"/>
  <c r="G36" i="17"/>
  <c r="F18" i="17"/>
  <c r="F36" i="17"/>
  <c r="L38" i="9"/>
  <c r="I12" i="11"/>
  <c r="I37" i="9"/>
  <c r="J40" i="11"/>
  <c r="G34" i="17"/>
  <c r="D35" i="17"/>
  <c r="M35" i="9"/>
  <c r="K34" i="9"/>
  <c r="C35" i="17"/>
  <c r="K16" i="11"/>
  <c r="J34" i="9"/>
  <c r="M37" i="9"/>
  <c r="G33" i="17"/>
  <c r="H20" i="11"/>
  <c r="L22" i="11"/>
  <c r="K36" i="9"/>
  <c r="E16" i="18"/>
  <c r="L56" i="11" s="1"/>
  <c r="L30" i="11"/>
  <c r="F35" i="17"/>
  <c r="C31" i="18"/>
  <c r="J37" i="9"/>
  <c r="J35" i="11"/>
  <c r="H38" i="9"/>
  <c r="B30" i="18"/>
  <c r="I20" i="11"/>
  <c r="B36" i="17"/>
  <c r="H35" i="11"/>
  <c r="H30" i="11"/>
  <c r="L61" i="11"/>
  <c r="B35" i="17"/>
  <c r="F34" i="17"/>
  <c r="F33" i="17"/>
  <c r="B33" i="17"/>
  <c r="B34" i="17"/>
  <c r="L34" i="9"/>
  <c r="D13" i="9"/>
  <c r="E13" i="9" s="1"/>
  <c r="F10" i="9"/>
  <c r="D14" i="9"/>
  <c r="E14" i="9" s="1"/>
  <c r="F6" i="11"/>
  <c r="F8" i="9"/>
  <c r="F12" i="9"/>
  <c r="D12" i="9"/>
  <c r="E12" i="9" s="1"/>
  <c r="D10" i="9"/>
  <c r="E10" i="9" s="1"/>
  <c r="D6" i="11"/>
  <c r="D11" i="9"/>
  <c r="E11" i="9" s="1"/>
  <c r="H6" i="11"/>
  <c r="L6" i="11"/>
  <c r="C6" i="11"/>
  <c r="D8" i="9"/>
  <c r="E8" i="9" s="1"/>
  <c r="D17" i="9"/>
  <c r="E17" i="9" s="1"/>
  <c r="D15" i="9"/>
  <c r="E15" i="9" s="1"/>
  <c r="F9" i="9"/>
  <c r="D7" i="9"/>
  <c r="E7" i="9" s="1"/>
  <c r="K6" i="11"/>
  <c r="E6" i="11"/>
  <c r="B6" i="11"/>
  <c r="F11" i="9"/>
  <c r="D16" i="9"/>
  <c r="E16" i="9" s="1"/>
  <c r="F7" i="9"/>
  <c r="J6" i="11"/>
  <c r="F14" i="9"/>
  <c r="F15" i="9"/>
  <c r="F13" i="9"/>
  <c r="I6" i="11"/>
  <c r="D9" i="9"/>
  <c r="E9" i="9" s="1"/>
  <c r="G6" i="11"/>
  <c r="G35" i="17"/>
  <c r="H36" i="9"/>
  <c r="J51" i="11"/>
  <c r="J66" i="11" s="1"/>
  <c r="C34" i="17"/>
  <c r="G32" i="17"/>
  <c r="C30" i="18"/>
  <c r="C33" i="18" s="1"/>
  <c r="B16" i="31"/>
  <c r="B13" i="31" s="1"/>
  <c r="M46" i="11" s="1"/>
  <c r="I16" i="11"/>
  <c r="H40" i="11"/>
  <c r="Q17" i="9"/>
  <c r="M34" i="9"/>
  <c r="H14" i="17"/>
  <c r="G16" i="9"/>
  <c r="K40" i="11"/>
  <c r="I49" i="9"/>
  <c r="I35" i="11"/>
  <c r="H12" i="11"/>
  <c r="H16" i="17"/>
  <c r="H50" i="11"/>
  <c r="H60" i="11"/>
  <c r="I60" i="11"/>
  <c r="I50" i="11"/>
  <c r="D36" i="17"/>
  <c r="M38" i="9"/>
  <c r="L37" i="9"/>
  <c r="H66" i="11"/>
  <c r="K37" i="9"/>
  <c r="J60" i="11"/>
  <c r="J50" i="11"/>
  <c r="M45" i="11"/>
  <c r="D14" i="31"/>
  <c r="N45" i="11" s="1"/>
  <c r="M26" i="11"/>
  <c r="N17" i="9"/>
  <c r="C32" i="17"/>
  <c r="C33" i="17"/>
  <c r="H15" i="17"/>
  <c r="E36" i="17"/>
  <c r="D34" i="17"/>
  <c r="I51" i="11"/>
  <c r="I66" i="11" s="1"/>
  <c r="L16" i="11"/>
  <c r="L20" i="11"/>
  <c r="E35" i="17"/>
  <c r="C36" i="17"/>
  <c r="H37" i="9"/>
  <c r="I34" i="9"/>
  <c r="K35" i="9"/>
  <c r="J20" i="11"/>
  <c r="K36" i="11"/>
  <c r="J38" i="9"/>
  <c r="L41" i="11"/>
  <c r="Q16" i="9"/>
  <c r="H17" i="17"/>
  <c r="P17" i="9"/>
  <c r="P16" i="9"/>
  <c r="H13" i="17"/>
  <c r="I38" i="9"/>
  <c r="K51" i="11"/>
  <c r="K66" i="11" s="1"/>
  <c r="J36" i="9"/>
  <c r="H34" i="9"/>
  <c r="I30" i="11"/>
  <c r="G17" i="9"/>
  <c r="E34" i="17"/>
  <c r="O17" i="9"/>
  <c r="N16" i="9"/>
  <c r="B32" i="17"/>
  <c r="E33" i="17"/>
  <c r="K13" i="11"/>
  <c r="O16" i="9"/>
  <c r="J8" i="11" l="1"/>
  <c r="J55" i="11"/>
  <c r="E25" i="30"/>
  <c r="H70" i="11"/>
  <c r="L71" i="11"/>
  <c r="I50" i="9"/>
  <c r="K70" i="11"/>
  <c r="L47" i="9"/>
  <c r="K71" i="11"/>
  <c r="L70" i="11"/>
  <c r="J47" i="9"/>
  <c r="J70" i="11"/>
  <c r="I70" i="11"/>
  <c r="C12" i="31"/>
  <c r="K47" i="9"/>
  <c r="I47" i="9"/>
  <c r="L72" i="11"/>
  <c r="M49" i="9"/>
  <c r="J48" i="9"/>
  <c r="D33" i="18"/>
  <c r="M50" i="9"/>
  <c r="B35" i="18"/>
  <c r="L60" i="11"/>
  <c r="M27" i="11"/>
  <c r="L49" i="9"/>
  <c r="L51" i="11"/>
  <c r="L66" i="11" s="1"/>
  <c r="D35" i="18"/>
  <c r="K55" i="11"/>
  <c r="L50" i="11"/>
  <c r="I54" i="11"/>
  <c r="K54" i="11"/>
  <c r="L50" i="9"/>
  <c r="H49" i="11"/>
  <c r="H49" i="9"/>
  <c r="H54" i="11"/>
  <c r="J54" i="11"/>
  <c r="M51" i="9"/>
  <c r="F19" i="17"/>
  <c r="L54" i="11"/>
  <c r="F41" i="17"/>
  <c r="D41" i="17"/>
  <c r="K48" i="9"/>
  <c r="C11" i="31"/>
  <c r="B41" i="17"/>
  <c r="O35" i="47"/>
  <c r="O178" i="47"/>
  <c r="P178" i="47" s="1"/>
  <c r="K49" i="11"/>
  <c r="K50" i="9"/>
  <c r="I49" i="11"/>
  <c r="G41" i="17"/>
  <c r="J49" i="11"/>
  <c r="B33" i="18"/>
  <c r="I65" i="11"/>
  <c r="J65" i="11"/>
  <c r="L51" i="9"/>
  <c r="K8" i="11"/>
  <c r="L48" i="9"/>
  <c r="F16" i="9"/>
  <c r="H65" i="11"/>
  <c r="H50" i="9"/>
  <c r="C35" i="18"/>
  <c r="M48" i="9"/>
  <c r="M47" i="9"/>
  <c r="B14" i="31"/>
  <c r="N46" i="11" s="1"/>
  <c r="N61" i="11" s="1"/>
  <c r="M60" i="11"/>
  <c r="H51" i="9"/>
  <c r="K51" i="9"/>
  <c r="K49" i="9"/>
  <c r="J51" i="9"/>
  <c r="I51" i="9"/>
  <c r="K50" i="11"/>
  <c r="I48" i="9"/>
  <c r="L49" i="11"/>
  <c r="C41" i="17"/>
  <c r="L55" i="11"/>
  <c r="L8" i="11"/>
  <c r="F17" i="9"/>
  <c r="H47" i="9"/>
  <c r="H48" i="9"/>
  <c r="E41" i="17"/>
  <c r="J50" i="9"/>
  <c r="J49" i="9"/>
  <c r="H64" i="11" l="1"/>
  <c r="N26" i="11"/>
  <c r="K65" i="11"/>
  <c r="K64" i="11"/>
  <c r="M61" i="11"/>
  <c r="L65" i="11"/>
  <c r="D39" i="17"/>
  <c r="D18" i="17" s="1"/>
  <c r="D19" i="17" s="1"/>
  <c r="G39" i="17"/>
  <c r="G18" i="17" s="1"/>
  <c r="E39" i="17"/>
  <c r="E18" i="17" s="1"/>
  <c r="C39" i="17"/>
  <c r="C18" i="17" s="1"/>
  <c r="B39" i="17"/>
  <c r="B18" i="17" s="1"/>
  <c r="B19" i="17" s="1"/>
  <c r="N12" i="11" s="1"/>
  <c r="O166" i="47"/>
  <c r="P166" i="47" s="1"/>
  <c r="O142" i="47"/>
  <c r="P142" i="47" s="1"/>
  <c r="O155" i="47"/>
  <c r="P155" i="47" s="1"/>
  <c r="O167" i="47"/>
  <c r="P167" i="47" s="1"/>
  <c r="O154" i="47"/>
  <c r="P154" i="47" s="1"/>
  <c r="J64" i="11"/>
  <c r="I64" i="11"/>
  <c r="M40" i="11"/>
  <c r="M20" i="11"/>
  <c r="L64" i="11"/>
  <c r="O59" i="47"/>
  <c r="O107" i="47"/>
  <c r="O119" i="47"/>
  <c r="O71" i="47"/>
  <c r="O143" i="47"/>
  <c r="O95" i="47"/>
  <c r="O83" i="47"/>
  <c r="O131" i="47"/>
  <c r="G19" i="17"/>
  <c r="L56" i="9"/>
  <c r="K56" i="9"/>
  <c r="F23" i="9"/>
  <c r="I56" i="9"/>
  <c r="M56" i="9"/>
  <c r="J56" i="9"/>
  <c r="M16" i="11"/>
  <c r="C19" i="17"/>
  <c r="H56" i="9"/>
  <c r="N60" i="11" l="1"/>
  <c r="G19" i="9"/>
  <c r="G64" i="9" s="1"/>
  <c r="M12" i="11"/>
  <c r="M30" i="11"/>
  <c r="E19" i="17"/>
  <c r="M70" i="11"/>
  <c r="H18" i="17"/>
  <c r="I54" i="9"/>
  <c r="H54" i="9"/>
  <c r="K54" i="9"/>
  <c r="L54" i="9"/>
  <c r="J54" i="9"/>
  <c r="M54" i="9"/>
  <c r="O168" i="47"/>
  <c r="P168" i="47" s="1"/>
  <c r="O179" i="47"/>
  <c r="P179" i="47" s="1"/>
  <c r="O190" i="47"/>
  <c r="M54" i="11"/>
  <c r="N16" i="11"/>
  <c r="N20" i="11"/>
  <c r="N40" i="11"/>
  <c r="N30" i="11"/>
  <c r="O84" i="47"/>
  <c r="P84" i="47" s="1"/>
  <c r="O60" i="47"/>
  <c r="P60" i="47" s="1"/>
  <c r="O47" i="47"/>
  <c r="P71" i="47"/>
  <c r="P35" i="47"/>
  <c r="O96" i="47"/>
  <c r="P96" i="47" s="1"/>
  <c r="P95" i="47"/>
  <c r="O72" i="47"/>
  <c r="P72" i="47" s="1"/>
  <c r="P83" i="47"/>
  <c r="P119" i="47"/>
  <c r="P143" i="47"/>
  <c r="O108" i="47"/>
  <c r="P108" i="47" s="1"/>
  <c r="P59" i="47"/>
  <c r="P107" i="47"/>
  <c r="O120" i="47"/>
  <c r="P120" i="47" s="1"/>
  <c r="O132" i="47"/>
  <c r="P132" i="47" s="1"/>
  <c r="P131" i="47"/>
  <c r="O144" i="47"/>
  <c r="P144" i="47" s="1"/>
  <c r="G18" i="9"/>
  <c r="M49" i="11"/>
  <c r="H19" i="17"/>
  <c r="P190" i="47" l="1"/>
  <c r="I39" i="9"/>
  <c r="H39" i="9"/>
  <c r="M39" i="9"/>
  <c r="G85" i="9"/>
  <c r="J39" i="9"/>
  <c r="J59" i="9" s="1"/>
  <c r="J67" i="9" s="1"/>
  <c r="L39" i="9"/>
  <c r="K39" i="9"/>
  <c r="K40" i="9" s="1"/>
  <c r="I59" i="9"/>
  <c r="I67" i="9" s="1"/>
  <c r="N70" i="11"/>
  <c r="H59" i="9"/>
  <c r="H40" i="9"/>
  <c r="J40" i="9"/>
  <c r="I40" i="9"/>
  <c r="O156" i="47"/>
  <c r="P156" i="47" s="1"/>
  <c r="O170" i="47"/>
  <c r="P170" i="47" s="1"/>
  <c r="O73" i="47"/>
  <c r="P73" i="47" s="1"/>
  <c r="O180" i="47"/>
  <c r="P180" i="47" s="1"/>
  <c r="O169" i="47"/>
  <c r="P169" i="47" s="1"/>
  <c r="G63" i="9"/>
  <c r="N54" i="11"/>
  <c r="N49" i="11"/>
  <c r="M64" i="11"/>
  <c r="O121" i="47"/>
  <c r="O85" i="47"/>
  <c r="O97" i="47"/>
  <c r="O48" i="47"/>
  <c r="P48" i="47" s="1"/>
  <c r="P47" i="47"/>
  <c r="O145" i="47"/>
  <c r="P145" i="47" s="1"/>
  <c r="O61" i="47"/>
  <c r="O133" i="47"/>
  <c r="O109" i="47"/>
  <c r="N8" i="11"/>
  <c r="N9" i="11" s="1"/>
  <c r="N55" i="11"/>
  <c r="H67" i="9"/>
  <c r="K59" i="9" l="1"/>
  <c r="M40" i="9"/>
  <c r="L59" i="9"/>
  <c r="L67" i="9" s="1"/>
  <c r="L40" i="9"/>
  <c r="M59" i="9"/>
  <c r="M67" i="9" s="1"/>
  <c r="G84" i="9"/>
  <c r="M8" i="11" s="1"/>
  <c r="M9" i="11" s="1"/>
  <c r="K67" i="9"/>
  <c r="N67" i="9" s="1"/>
  <c r="H60" i="9"/>
  <c r="I60" i="9"/>
  <c r="M60" i="9"/>
  <c r="K60" i="9"/>
  <c r="J60" i="9"/>
  <c r="L60" i="9"/>
  <c r="N64" i="11"/>
  <c r="O171" i="47"/>
  <c r="O157" i="47"/>
  <c r="P157" i="47" s="1"/>
  <c r="O86" i="47"/>
  <c r="P86" i="47" s="1"/>
  <c r="O110" i="47"/>
  <c r="P110" i="47" s="1"/>
  <c r="O62" i="47"/>
  <c r="P62" i="47" s="1"/>
  <c r="O122" i="47"/>
  <c r="P122" i="47" s="1"/>
  <c r="O98" i="47"/>
  <c r="P98" i="47" s="1"/>
  <c r="O74" i="47"/>
  <c r="P74" i="47" s="1"/>
  <c r="O158" i="47"/>
  <c r="P158" i="47" s="1"/>
  <c r="P85" i="47"/>
  <c r="P109" i="47"/>
  <c r="O146" i="47"/>
  <c r="O49" i="47"/>
  <c r="P121" i="47"/>
  <c r="P97" i="47"/>
  <c r="P133" i="47"/>
  <c r="O134" i="47"/>
  <c r="P134" i="47" s="1"/>
  <c r="P61" i="47"/>
  <c r="M55" i="11" l="1"/>
  <c r="G59" i="9"/>
  <c r="H68" i="9"/>
  <c r="K68" i="9"/>
  <c r="I68" i="9"/>
  <c r="G60" i="9"/>
  <c r="L68" i="9"/>
  <c r="M68" i="9"/>
  <c r="J68" i="9"/>
  <c r="O159" i="47"/>
  <c r="P159" i="47" s="1"/>
  <c r="O99" i="47"/>
  <c r="O63" i="47"/>
  <c r="O181" i="47"/>
  <c r="P181" i="47" s="1"/>
  <c r="O111" i="47"/>
  <c r="O123" i="47"/>
  <c r="O75" i="47"/>
  <c r="O147" i="47"/>
  <c r="P147" i="47" s="1"/>
  <c r="O50" i="47"/>
  <c r="P50" i="47" s="1"/>
  <c r="P146" i="47"/>
  <c r="O172" i="47"/>
  <c r="P172" i="47" s="1"/>
  <c r="O135" i="47"/>
  <c r="P49" i="47"/>
  <c r="P171" i="47"/>
  <c r="O87" i="47"/>
  <c r="G67" i="9" l="1"/>
  <c r="N68" i="9"/>
  <c r="G68" i="9"/>
  <c r="O124" i="47"/>
  <c r="P124" i="47" s="1"/>
  <c r="O76" i="47"/>
  <c r="P76" i="47" s="1"/>
  <c r="O36" i="47"/>
  <c r="P36" i="47" s="1"/>
  <c r="O182" i="47"/>
  <c r="P182" i="47" s="1"/>
  <c r="P75" i="47"/>
  <c r="O148" i="47"/>
  <c r="O51" i="47"/>
  <c r="P63" i="47"/>
  <c r="O100" i="47"/>
  <c r="P100" i="47" s="1"/>
  <c r="P123" i="47"/>
  <c r="O173" i="47"/>
  <c r="O64" i="47"/>
  <c r="P64" i="47" s="1"/>
  <c r="O136" i="47"/>
  <c r="P136" i="47" s="1"/>
  <c r="P111" i="47"/>
  <c r="O112" i="47"/>
  <c r="P112" i="47" s="1"/>
  <c r="P87" i="47"/>
  <c r="O161" i="47"/>
  <c r="O88" i="47"/>
  <c r="P88" i="47" s="1"/>
  <c r="P135" i="47"/>
  <c r="P99" i="47"/>
  <c r="H71" i="9" l="1"/>
  <c r="K71" i="9"/>
  <c r="K63" i="9" s="1"/>
  <c r="I71" i="9"/>
  <c r="J71" i="9"/>
  <c r="L71" i="9"/>
  <c r="L63" i="9" s="1"/>
  <c r="M71" i="9"/>
  <c r="M63" i="9" s="1"/>
  <c r="H72" i="9"/>
  <c r="M72" i="9"/>
  <c r="M64" i="9" s="1"/>
  <c r="J72" i="9"/>
  <c r="I72" i="9"/>
  <c r="L72" i="9"/>
  <c r="L64" i="9" s="1"/>
  <c r="K72" i="9"/>
  <c r="K64" i="9" s="1"/>
  <c r="O160" i="47"/>
  <c r="P160" i="47" s="1"/>
  <c r="O113" i="47"/>
  <c r="O77" i="47"/>
  <c r="P77" i="47" s="1"/>
  <c r="O125" i="47"/>
  <c r="O65" i="47"/>
  <c r="O89" i="47"/>
  <c r="P89" i="47" s="1"/>
  <c r="O101" i="47"/>
  <c r="O37" i="47"/>
  <c r="P37" i="47" s="1"/>
  <c r="O183" i="47"/>
  <c r="P183" i="47" s="1"/>
  <c r="O52" i="47"/>
  <c r="P52" i="47" s="1"/>
  <c r="P148" i="47"/>
  <c r="O137" i="47"/>
  <c r="P173" i="47"/>
  <c r="P161" i="47"/>
  <c r="P51" i="47"/>
  <c r="O174" i="47"/>
  <c r="P174" i="47" s="1"/>
  <c r="O149" i="47"/>
  <c r="P149" i="47" s="1"/>
  <c r="O162" i="47"/>
  <c r="P162" i="47" s="1"/>
  <c r="M84" i="9" l="1"/>
  <c r="L84" i="9"/>
  <c r="J63" i="9"/>
  <c r="I63" i="9"/>
  <c r="K84" i="9"/>
  <c r="H63" i="9"/>
  <c r="N71" i="9"/>
  <c r="M85" i="9"/>
  <c r="K85" i="9"/>
  <c r="L85" i="9"/>
  <c r="I64" i="9"/>
  <c r="J64" i="9"/>
  <c r="H64" i="9"/>
  <c r="N72" i="9"/>
  <c r="O90" i="47"/>
  <c r="P90" i="47" s="1"/>
  <c r="O78" i="47"/>
  <c r="P78" i="47" s="1"/>
  <c r="O66" i="47"/>
  <c r="P66" i="47" s="1"/>
  <c r="O114" i="47"/>
  <c r="P114" i="47" s="1"/>
  <c r="O38" i="47"/>
  <c r="P38" i="47" s="1"/>
  <c r="O184" i="47"/>
  <c r="P184" i="47" s="1"/>
  <c r="O138" i="47"/>
  <c r="P138" i="47" s="1"/>
  <c r="P113" i="47"/>
  <c r="O102" i="47"/>
  <c r="P102" i="47" s="1"/>
  <c r="O163" i="47"/>
  <c r="P163" i="47" s="1"/>
  <c r="O150" i="47"/>
  <c r="P150" i="47" s="1"/>
  <c r="P125" i="47"/>
  <c r="P137" i="47"/>
  <c r="O126" i="47"/>
  <c r="P126" i="47" s="1"/>
  <c r="P65" i="47"/>
  <c r="O175" i="47"/>
  <c r="P175" i="47" s="1"/>
  <c r="O53" i="47"/>
  <c r="P101" i="47"/>
  <c r="H84" i="9" l="1"/>
  <c r="N63" i="9"/>
  <c r="I84" i="9"/>
  <c r="J84" i="9"/>
  <c r="M41" i="11"/>
  <c r="M36" i="11"/>
  <c r="D17" i="18"/>
  <c r="C17" i="18"/>
  <c r="M31" i="11"/>
  <c r="D18" i="18"/>
  <c r="N41" i="11"/>
  <c r="N36" i="11"/>
  <c r="N31" i="11"/>
  <c r="I85" i="9"/>
  <c r="J85" i="9"/>
  <c r="C18" i="18"/>
  <c r="N64" i="9"/>
  <c r="H85" i="9"/>
  <c r="O91" i="47"/>
  <c r="P91" i="47" s="1"/>
  <c r="O67" i="47"/>
  <c r="O39" i="47"/>
  <c r="P39" i="47" s="1"/>
  <c r="O185" i="47"/>
  <c r="P185" i="47" s="1"/>
  <c r="O79" i="47"/>
  <c r="P79" i="47" s="1"/>
  <c r="O115" i="47"/>
  <c r="P115" i="47" s="1"/>
  <c r="O151" i="47"/>
  <c r="P151" i="47" s="1"/>
  <c r="O127" i="47"/>
  <c r="P127" i="47" s="1"/>
  <c r="O103" i="47"/>
  <c r="O176" i="47"/>
  <c r="P176" i="47" s="1"/>
  <c r="O54" i="47"/>
  <c r="P54" i="47" s="1"/>
  <c r="O139" i="47"/>
  <c r="O164" i="47"/>
  <c r="P164" i="47" s="1"/>
  <c r="P53" i="47"/>
  <c r="M37" i="11" l="1"/>
  <c r="M17" i="11"/>
  <c r="M32" i="11"/>
  <c r="M13" i="11"/>
  <c r="N84" i="9"/>
  <c r="M21" i="11"/>
  <c r="B17" i="18"/>
  <c r="N17" i="11"/>
  <c r="B18" i="18"/>
  <c r="N32" i="11"/>
  <c r="N21" i="11"/>
  <c r="N37" i="11"/>
  <c r="N85" i="9"/>
  <c r="N13" i="11"/>
  <c r="O177" i="47"/>
  <c r="P177" i="47" s="1"/>
  <c r="O104" i="47"/>
  <c r="P104" i="47" s="1"/>
  <c r="O128" i="47"/>
  <c r="P128" i="47" s="1"/>
  <c r="O80" i="47"/>
  <c r="P80" i="47" s="1"/>
  <c r="O68" i="47"/>
  <c r="P68" i="47" s="1"/>
  <c r="O116" i="47"/>
  <c r="P116" i="47" s="1"/>
  <c r="O40" i="47"/>
  <c r="P40" i="47" s="1"/>
  <c r="O186" i="47"/>
  <c r="P186" i="47" s="1"/>
  <c r="O141" i="47"/>
  <c r="P141" i="47" s="1"/>
  <c r="P139" i="47"/>
  <c r="O152" i="47"/>
  <c r="P152" i="47" s="1"/>
  <c r="O153" i="47"/>
  <c r="P153" i="47" s="1"/>
  <c r="O55" i="47"/>
  <c r="O140" i="47"/>
  <c r="P140" i="47" s="1"/>
  <c r="P67" i="47"/>
  <c r="P103" i="47"/>
  <c r="O92" i="47"/>
  <c r="P92" i="47" s="1"/>
  <c r="M71" i="11" l="1"/>
  <c r="E17" i="18"/>
  <c r="M56" i="11" s="1"/>
  <c r="M22" i="11"/>
  <c r="M50" i="11"/>
  <c r="M65" i="11" s="1"/>
  <c r="N22" i="11"/>
  <c r="N50" i="11"/>
  <c r="N65" i="11" s="1"/>
  <c r="N71" i="11"/>
  <c r="E18" i="18"/>
  <c r="N56" i="11" s="1"/>
  <c r="O165" i="47"/>
  <c r="P165" i="47" s="1"/>
  <c r="O129" i="47"/>
  <c r="P129" i="47" s="1"/>
  <c r="O93" i="47"/>
  <c r="P93" i="47" s="1"/>
  <c r="O105" i="47"/>
  <c r="P105" i="47" s="1"/>
  <c r="O81" i="47"/>
  <c r="P81" i="47" s="1"/>
  <c r="O117" i="47"/>
  <c r="P117" i="47" s="1"/>
  <c r="O69" i="47"/>
  <c r="P69" i="47" s="1"/>
  <c r="O57" i="47"/>
  <c r="P57" i="47" s="1"/>
  <c r="O41" i="47"/>
  <c r="P41" i="47" s="1"/>
  <c r="P200" i="47"/>
  <c r="O187" i="47"/>
  <c r="P55" i="47"/>
  <c r="P201" i="47"/>
  <c r="P202" i="47"/>
  <c r="P203" i="47"/>
  <c r="O56" i="47"/>
  <c r="P56" i="47" s="1"/>
  <c r="N72" i="11" l="1"/>
  <c r="N51" i="11"/>
  <c r="N66" i="11" s="1"/>
  <c r="M72" i="11"/>
  <c r="M51" i="11"/>
  <c r="M66" i="11" s="1"/>
  <c r="O82" i="47"/>
  <c r="O106" i="47"/>
  <c r="O58" i="47"/>
  <c r="P58" i="47" s="1"/>
  <c r="O70" i="47"/>
  <c r="O94" i="47"/>
  <c r="O118" i="47"/>
  <c r="O130" i="47"/>
  <c r="O42" i="47"/>
  <c r="P187" i="47"/>
  <c r="O188" i="47"/>
  <c r="P188" i="47" s="1"/>
  <c r="P193" i="47" l="1"/>
  <c r="P70" i="47"/>
  <c r="P194" i="47"/>
  <c r="P42" i="47"/>
  <c r="P106" i="47"/>
  <c r="P197" i="47"/>
  <c r="P130" i="47"/>
  <c r="P199" i="47"/>
  <c r="P118" i="47"/>
  <c r="P198" i="47"/>
  <c r="P94" i="47"/>
  <c r="P196" i="47"/>
  <c r="P82" i="47"/>
  <c r="P195" i="47"/>
  <c r="O43" i="47"/>
  <c r="P43" i="47" s="1"/>
  <c r="O189" i="47"/>
  <c r="O44" i="47" l="1"/>
  <c r="P44" i="47" s="1"/>
  <c r="P189" i="47"/>
  <c r="P204" i="47"/>
  <c r="O45" i="47" l="1"/>
  <c r="P45" i="47" l="1"/>
  <c r="O46" i="47"/>
  <c r="P46" i="47" s="1"/>
  <c r="P192" i="47" l="1"/>
</calcChain>
</file>

<file path=xl/comments1.xml><?xml version="1.0" encoding="utf-8"?>
<comments xmlns="http://schemas.openxmlformats.org/spreadsheetml/2006/main">
  <authors>
    <author>Oana Stefan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Oana Stefan:</t>
        </r>
        <r>
          <rPr>
            <sz val="9"/>
            <color indexed="81"/>
            <rFont val="Tahoma"/>
            <family val="2"/>
          </rPr>
          <t xml:space="preserve">
Pleaceholder to be updated in August with 2014 CDM Report from IESO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3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revised number of connections</t>
        </r>
      </text>
    </comment>
    <comment ref="N3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revised number of connections x Geomean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7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allocations on the basis of net kWh savings per class for 2014 programs. Heavy weighting towards GS&gt;50 appears to be consistent with BPI's CDM Plan for 2015-2021</t>
        </r>
      </text>
    </comment>
  </commentList>
</comments>
</file>

<file path=xl/comments4.xml><?xml version="1.0" encoding="utf-8"?>
<comments xmlns="http://schemas.openxmlformats.org/spreadsheetml/2006/main">
  <authors>
    <author>Oana Stefan</author>
  </authors>
  <commentList>
    <comment ref="C25" authorId="0">
      <text>
        <r>
          <rPr>
            <b/>
            <sz val="9"/>
            <color indexed="81"/>
            <rFont val="Tahoma"/>
            <family val="2"/>
          </rPr>
          <t>Oana Stefan:</t>
        </r>
        <r>
          <rPr>
            <sz val="9"/>
            <color indexed="81"/>
            <rFont val="Tahoma"/>
            <family val="2"/>
          </rPr>
          <t xml:space="preserve">
confirmed E+ is being billed for 2 connection points from BL6700 as of 2021 Q1.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transition mth from Pearson A to toronto Intl stations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actual consumption 
</t>
        </r>
      </text>
    </comment>
  </commentList>
</comments>
</file>

<file path=xl/sharedStrings.xml><?xml version="1.0" encoding="utf-8"?>
<sst xmlns="http://schemas.openxmlformats.org/spreadsheetml/2006/main" count="262" uniqueCount="169">
  <si>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</si>
  <si>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</si>
  <si>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</si>
  <si>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</si>
  <si>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</si>
  <si>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</si>
  <si>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</si>
  <si>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</si>
  <si>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</si>
  <si>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</si>
  <si>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>Average</t>
  </si>
  <si>
    <t xml:space="preserve">Geomean </t>
  </si>
  <si>
    <t>Usage Per Customer</t>
  </si>
  <si>
    <t xml:space="preserve">Total </t>
  </si>
  <si>
    <t xml:space="preserve">Used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</si>
  <si>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</si>
  <si>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</si>
  <si>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</si>
  <si>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</si>
  <si>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</si>
  <si>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</si>
  <si>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</si>
  <si>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</si>
  <si>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</si>
  <si>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</si>
  <si>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</si>
  <si>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</si>
  <si>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</si>
  <si>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</si>
  <si>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</si>
  <si>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</si>
  <si>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</si>
  <si>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</si>
  <si>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</si>
  <si>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</si>
  <si>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</si>
  <si>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</si>
  <si>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</si>
  <si>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</si>
  <si>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</si>
  <si>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</si>
  <si>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</si>
  <si>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</si>
  <si>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</si>
  <si>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</si>
  <si>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</si>
  <si>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</si>
  <si>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</si>
  <si>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</si>
  <si>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</si>
  <si>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</si>
  <si>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</si>
  <si>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</si>
  <si>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</si>
  <si>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</si>
  <si>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</si>
  <si>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Residential</t>
  </si>
  <si>
    <t>GS&lt;50</t>
  </si>
  <si>
    <t>USL</t>
  </si>
  <si>
    <t>Streetlights</t>
  </si>
  <si>
    <t xml:space="preserve">  Connections</t>
  </si>
  <si>
    <t>Total of Above</t>
  </si>
  <si>
    <t>Check should all be zero</t>
  </si>
  <si>
    <t>Sentinels</t>
  </si>
  <si>
    <t xml:space="preserve">2010 Actual </t>
  </si>
  <si>
    <t>May want to be consistent with proposed loss factor</t>
  </si>
  <si>
    <t xml:space="preserve">2011 Actual </t>
  </si>
  <si>
    <t xml:space="preserve">2015 Actual </t>
  </si>
  <si>
    <t>2014 Actual</t>
  </si>
  <si>
    <t>2013 Actual</t>
  </si>
  <si>
    <t xml:space="preserve">2012 Actual </t>
  </si>
  <si>
    <t xml:space="preserve">Allocation of CDM Amount </t>
  </si>
  <si>
    <t>CDM Adjusted Weather Corrected Forecast</t>
  </si>
  <si>
    <t>(to be entered as negaitve)</t>
  </si>
  <si>
    <t>Summary of Degree Day Information</t>
  </si>
  <si>
    <t>Station Name</t>
  </si>
  <si>
    <t>TORONTO LESTER B. PEARSON INT'L A</t>
  </si>
  <si>
    <t>Summary of All Heating Degree Days</t>
  </si>
  <si>
    <t>Month</t>
  </si>
  <si>
    <t>20 Year Trend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</si>
  <si>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</si>
  <si>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</si>
  <si>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</si>
  <si>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</si>
  <si>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</si>
  <si>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</si>
  <si>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</si>
  <si>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</si>
  <si>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</si>
  <si>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</si>
  <si>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</si>
  <si>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</si>
  <si>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</si>
  <si>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Check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</si>
  <si>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</si>
  <si>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</si>
  <si>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</si>
  <si>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</si>
  <si>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</si>
  <si>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</si>
  <si>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</si>
  <si>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</si>
  <si>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</si>
  <si>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</si>
  <si>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</si>
  <si>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 xml:space="preserve">Net Persistent CDM Impact </t>
  </si>
  <si>
    <t>kWh</t>
  </si>
  <si>
    <t xml:space="preserve">Half-Year New Net Savings </t>
  </si>
  <si>
    <t>Persistence+Half Year new Savings</t>
  </si>
  <si>
    <t xml:space="preserve">Net New CDM Savings in Year </t>
  </si>
  <si>
    <t xml:space="preserve">Increase over previous year </t>
  </si>
  <si>
    <t xml:space="preserve">Monthly Increase </t>
  </si>
  <si>
    <t>December Savings * 12</t>
  </si>
  <si>
    <t>( 1993- July 12, 2013)</t>
  </si>
  <si>
    <t>TORONTO INTL A</t>
  </si>
  <si>
    <t>(June 13, 2013- present)</t>
  </si>
  <si>
    <t>Mo.</t>
  </si>
  <si>
    <t xml:space="preserve">Historic Load </t>
  </si>
  <si>
    <t>Description:</t>
  </si>
  <si>
    <t xml:space="preserve">Brantford Power Embedded Distributor is billed directly by the IESO for electricity consumption, global adjustment, and other charges. </t>
  </si>
  <si>
    <t xml:space="preserve">Brantford Power bills its Embedded Distributor for distribution and transmission charges only. </t>
  </si>
  <si>
    <t xml:space="preserve">kW </t>
  </si>
  <si>
    <t xml:space="preserve">Number of connections </t>
  </si>
  <si>
    <t xml:space="preserve">Embedded Distributor </t>
  </si>
  <si>
    <t xml:space="preserve">Predicted Purchases </t>
  </si>
  <si>
    <t xml:space="preserve">Est. kWh </t>
  </si>
  <si>
    <t>kW-kWH ratio (GS&gt;50)</t>
  </si>
  <si>
    <t>GS&gt;50 kWh to kW</t>
  </si>
  <si>
    <t xml:space="preserve">Wholesale Market Participants </t>
  </si>
  <si>
    <t>Less: Total from Model</t>
  </si>
  <si>
    <t xml:space="preserve">Less: Embedded +WMP </t>
  </si>
  <si>
    <t>GS&gt;50 (excl. WMP)</t>
  </si>
  <si>
    <t xml:space="preserve">Adjust Sentinel Light Consumption </t>
  </si>
  <si>
    <t>Forecast Years are based on the following assumptions :</t>
  </si>
  <si>
    <t>10 Year Average</t>
  </si>
  <si>
    <t>5 Year Average</t>
  </si>
  <si>
    <t>2021-Forecast</t>
  </si>
  <si>
    <t>2016 Actual</t>
  </si>
  <si>
    <t>2017 Actual</t>
  </si>
  <si>
    <t>2018 Actual</t>
  </si>
  <si>
    <t>2019 Actual</t>
  </si>
  <si>
    <t>2021 Weather Normal, CDM Adjusted</t>
  </si>
  <si>
    <t>2020 Actual</t>
  </si>
  <si>
    <t>2022 Weather Normal, CDM Adjusted</t>
  </si>
  <si>
    <t xml:space="preserve">*detail from the YoY RRR summary </t>
  </si>
  <si>
    <t>Brantford Power Weather Normal Load Forecast for 2022 Rate Application</t>
  </si>
  <si>
    <t>* from RRR data</t>
  </si>
  <si>
    <t>Change from 2019</t>
  </si>
  <si>
    <t xml:space="preserve">2022-Forecast </t>
  </si>
  <si>
    <t>Year</t>
  </si>
  <si>
    <t xml:space="preserve">Based on the above, BPI does not have - or reuire- kWh billing data for its embedded distritbutor. </t>
  </si>
  <si>
    <t>Data</t>
  </si>
  <si>
    <t>MMM-YYYY</t>
  </si>
  <si>
    <t>Count of Purchased</t>
  </si>
  <si>
    <t xml:space="preserve">Sum of Predicted Purchases </t>
  </si>
  <si>
    <t>Sum of Purchased2</t>
  </si>
  <si>
    <t>&lt;-Forecast</t>
  </si>
  <si>
    <t>Predicted Less Acturals</t>
  </si>
  <si>
    <t>Sum of Predicted Less Acturals</t>
  </si>
  <si>
    <t>Sum of Heating Degree Days</t>
  </si>
  <si>
    <t>Sum of Cooling Degree Days</t>
  </si>
  <si>
    <t>&lt;-Forecast (GDP still an est.)</t>
  </si>
  <si>
    <t>Adjustments to streetlights</t>
  </si>
  <si>
    <t>average number of customers opening and closing average change 2016-2020</t>
  </si>
  <si>
    <t>Trend</t>
  </si>
  <si>
    <t>Ontario Real GDP  (Indexed)</t>
  </si>
  <si>
    <t>Ontario Real GDP (Indexed)</t>
  </si>
  <si>
    <t>1% growth annually</t>
  </si>
  <si>
    <t>GS&gt;50 with WMP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</si>
</sst>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4" formatCode="mmm\-yy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4"/>
      <color rgb="FFC0000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4">
    <xf numFmtId="0" fontId="0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19" applyNumberFormat="0" applyAlignment="0" applyProtection="0"/>
    <xf numFmtId="0" fontId="27" fillId="31" borderId="20" applyNumberFormat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9" fillId="32" borderId="0" applyNumberFormat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32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3" borderId="19" applyNumberFormat="0" applyAlignment="0" applyProtection="0"/>
    <xf numFmtId="0" fontId="35" fillId="0" borderId="24" applyNumberFormat="0" applyFill="0" applyAlignment="0" applyProtection="0"/>
    <xf numFmtId="0" fontId="36" fillId="34" borderId="0" applyNumberFormat="0" applyBorder="0" applyAlignment="0" applyProtection="0"/>
    <xf numFmtId="0" fontId="6" fillId="0" borderId="0"/>
    <xf numFmtId="0" fontId="12" fillId="0" borderId="0"/>
    <xf numFmtId="0" fontId="5" fillId="0" borderId="0"/>
    <xf numFmtId="0" fontId="2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3" fillId="35" borderId="25" applyNumberFormat="0" applyFont="0" applyAlignment="0" applyProtection="0"/>
    <xf numFmtId="0" fontId="4" fillId="35" borderId="25" applyNumberFormat="0" applyFont="0" applyAlignment="0" applyProtection="0"/>
    <xf numFmtId="0" fontId="37" fillId="30" borderId="26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7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49" borderId="1" applyNumberFormat="0" applyProtection="0">
      <alignment horizontal="left" vertical="center"/>
    </xf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5" borderId="25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5" borderId="25" applyNumberFormat="0" applyFont="0" applyAlignment="0" applyProtection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35" borderId="25" applyNumberFormat="0" applyFont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5" fillId="0" borderId="0" xfId="28" applyNumberFormat="1" applyAlignment="1">
      <alignment horizontal="center"/>
    </xf>
    <xf numFmtId="0" fontId="6" fillId="0" borderId="0" xfId="0" applyFont="1"/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/>
    <xf numFmtId="3" fontId="0" fillId="2" borderId="0" xfId="0" applyNumberFormat="1" applyFill="1" applyAlignment="1">
      <alignment horizontal="center"/>
    </xf>
    <xf numFmtId="17" fontId="8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6" fillId="2" borderId="1" xfId="0" applyNumberFormat="1" applyFont="1" applyFill="1" applyBorder="1" applyAlignment="1">
      <alignment horizontal="center"/>
    </xf>
    <xf numFmtId="0" fontId="0" fillId="0" borderId="0" xfId="0" applyFill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 wrapText="1"/>
    </xf>
    <xf numFmtId="3" fontId="7" fillId="3" borderId="0" xfId="0" applyNumberFormat="1" applyFont="1" applyFill="1" applyAlignment="1">
      <alignment horizontal="center" wrapText="1"/>
    </xf>
    <xf numFmtId="0" fontId="5" fillId="0" borderId="0" xfId="0" applyFont="1" applyFill="1"/>
    <xf numFmtId="167" fontId="0" fillId="4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7" fontId="0" fillId="0" borderId="2" xfId="0" applyNumberFormat="1" applyBorder="1"/>
    <xf numFmtId="0" fontId="0" fillId="0" borderId="3" xfId="0" applyBorder="1"/>
    <xf numFmtId="17" fontId="0" fillId="0" borderId="4" xfId="0" applyNumberFormat="1" applyBorder="1"/>
    <xf numFmtId="37" fontId="6" fillId="0" borderId="0" xfId="0" applyNumberFormat="1" applyFont="1" applyBorder="1" applyAlignment="1">
      <alignment horizontal="center"/>
    </xf>
    <xf numFmtId="0" fontId="0" fillId="0" borderId="0" xfId="0" applyBorder="1"/>
    <xf numFmtId="17" fontId="0" fillId="0" borderId="5" xfId="0" applyNumberFormat="1" applyBorder="1"/>
    <xf numFmtId="0" fontId="0" fillId="0" borderId="6" xfId="0" applyBorder="1"/>
    <xf numFmtId="166" fontId="0" fillId="0" borderId="0" xfId="0" applyNumberFormat="1" applyFill="1" applyAlignment="1">
      <alignment horizontal="center"/>
    </xf>
    <xf numFmtId="0" fontId="0" fillId="0" borderId="0" xfId="0" applyNumberFormat="1" applyFill="1" applyBorder="1"/>
    <xf numFmtId="3" fontId="0" fillId="36" borderId="0" xfId="0" applyNumberFormat="1" applyFill="1" applyAlignment="1">
      <alignment horizontal="center"/>
    </xf>
    <xf numFmtId="9" fontId="5" fillId="37" borderId="0" xfId="92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0" fillId="37" borderId="0" xfId="0" applyFill="1"/>
    <xf numFmtId="0" fontId="0" fillId="0" borderId="0" xfId="0" applyFill="1" applyAlignment="1">
      <alignment horizontal="right"/>
    </xf>
    <xf numFmtId="43" fontId="11" fillId="0" borderId="0" xfId="48" applyFont="1"/>
    <xf numFmtId="43" fontId="15" fillId="0" borderId="0" xfId="48" applyFont="1" applyAlignment="1">
      <alignment horizontal="right"/>
    </xf>
    <xf numFmtId="4" fontId="11" fillId="2" borderId="0" xfId="76" applyNumberFormat="1" applyFont="1" applyFill="1"/>
    <xf numFmtId="0" fontId="0" fillId="38" borderId="0" xfId="0" applyFill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43" fontId="0" fillId="0" borderId="0" xfId="28" applyFont="1" applyBorder="1" applyAlignment="1">
      <alignment horizontal="center"/>
    </xf>
    <xf numFmtId="0" fontId="8" fillId="0" borderId="0" xfId="87" applyFont="1"/>
    <xf numFmtId="0" fontId="5" fillId="0" borderId="0" xfId="87"/>
    <xf numFmtId="0" fontId="5" fillId="0" borderId="0" xfId="87" applyFill="1"/>
    <xf numFmtId="0" fontId="13" fillId="0" borderId="0" xfId="87" applyFont="1"/>
    <xf numFmtId="0" fontId="14" fillId="0" borderId="0" xfId="87" applyFont="1"/>
    <xf numFmtId="0" fontId="11" fillId="0" borderId="0" xfId="87" applyFont="1"/>
    <xf numFmtId="0" fontId="15" fillId="0" borderId="6" xfId="87" applyFont="1" applyBorder="1" applyAlignment="1">
      <alignment horizontal="right"/>
    </xf>
    <xf numFmtId="0" fontId="15" fillId="0" borderId="6" xfId="87" applyFont="1" applyFill="1" applyBorder="1" applyAlignment="1">
      <alignment horizontal="right"/>
    </xf>
    <xf numFmtId="0" fontId="15" fillId="39" borderId="6" xfId="87" applyFont="1" applyFill="1" applyBorder="1" applyAlignment="1">
      <alignment horizontal="right"/>
    </xf>
    <xf numFmtId="0" fontId="15" fillId="39" borderId="0" xfId="87" applyFont="1" applyFill="1" applyBorder="1" applyAlignment="1">
      <alignment horizontal="right"/>
    </xf>
    <xf numFmtId="0" fontId="15" fillId="0" borderId="0" xfId="87" applyFont="1" applyFill="1" applyBorder="1" applyAlignment="1">
      <alignment horizontal="right"/>
    </xf>
    <xf numFmtId="0" fontId="15" fillId="2" borderId="0" xfId="87" applyFont="1" applyFill="1"/>
    <xf numFmtId="0" fontId="5" fillId="39" borderId="0" xfId="87" applyFill="1"/>
    <xf numFmtId="0" fontId="11" fillId="0" borderId="0" xfId="87" applyFont="1" applyAlignment="1">
      <alignment horizontal="right"/>
    </xf>
    <xf numFmtId="43" fontId="11" fillId="0" borderId="0" xfId="87" applyNumberFormat="1" applyFont="1" applyAlignment="1">
      <alignment horizontal="right"/>
    </xf>
    <xf numFmtId="43" fontId="11" fillId="0" borderId="0" xfId="87" applyNumberFormat="1" applyFont="1" applyFill="1" applyAlignment="1">
      <alignment horizontal="right"/>
    </xf>
    <xf numFmtId="43" fontId="11" fillId="39" borderId="0" xfId="87" applyNumberFormat="1" applyFont="1" applyFill="1" applyAlignment="1">
      <alignment horizontal="right"/>
    </xf>
    <xf numFmtId="2" fontId="11" fillId="2" borderId="0" xfId="87" applyNumberFormat="1" applyFont="1" applyFill="1"/>
    <xf numFmtId="43" fontId="11" fillId="40" borderId="0" xfId="87" applyNumberFormat="1" applyFont="1" applyFill="1" applyAlignment="1">
      <alignment horizontal="right"/>
    </xf>
    <xf numFmtId="0" fontId="11" fillId="39" borderId="0" xfId="87" applyFont="1" applyFill="1" applyAlignment="1">
      <alignment horizontal="right"/>
    </xf>
    <xf numFmtId="0" fontId="11" fillId="0" borderId="0" xfId="87" applyFont="1" applyFill="1" applyAlignment="1">
      <alignment horizontal="right"/>
    </xf>
    <xf numFmtId="0" fontId="41" fillId="2" borderId="0" xfId="87" applyFont="1" applyFill="1"/>
    <xf numFmtId="10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3" fontId="8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5" fillId="37" borderId="0" xfId="0" applyNumberFormat="1" applyFont="1" applyFill="1" applyAlignment="1">
      <alignment horizontal="center" wrapText="1"/>
    </xf>
    <xf numFmtId="43" fontId="0" fillId="0" borderId="0" xfId="0" applyNumberFormat="1"/>
    <xf numFmtId="43" fontId="0" fillId="40" borderId="0" xfId="0" applyNumberFormat="1" applyFill="1"/>
    <xf numFmtId="0" fontId="5" fillId="0" borderId="0" xfId="0" applyFont="1"/>
    <xf numFmtId="43" fontId="0" fillId="0" borderId="0" xfId="0" applyNumberFormat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87" applyFont="1"/>
    <xf numFmtId="170" fontId="0" fillId="0" borderId="0" xfId="28" applyNumberFormat="1" applyFont="1"/>
    <xf numFmtId="43" fontId="0" fillId="0" borderId="0" xfId="0" applyNumberFormat="1" applyBorder="1"/>
    <xf numFmtId="3" fontId="42" fillId="0" borderId="0" xfId="0" applyNumberFormat="1" applyFont="1" applyFill="1" applyAlignment="1">
      <alignment horizontal="center" wrapText="1"/>
    </xf>
    <xf numFmtId="0" fontId="5" fillId="0" borderId="0" xfId="0" applyFont="1" applyAlignment="1">
      <alignment wrapText="1"/>
    </xf>
    <xf numFmtId="170" fontId="5" fillId="0" borderId="0" xfId="28" applyNumberFormat="1" applyFont="1"/>
    <xf numFmtId="169" fontId="5" fillId="0" borderId="0" xfId="92" applyNumberFormat="1" applyFont="1"/>
    <xf numFmtId="170" fontId="0" fillId="42" borderId="0" xfId="0" applyNumberFormat="1" applyFill="1"/>
    <xf numFmtId="170" fontId="5" fillId="42" borderId="0" xfId="28" applyNumberFormat="1" applyFont="1" applyFill="1"/>
    <xf numFmtId="0" fontId="0" fillId="43" borderId="0" xfId="0" applyFill="1"/>
    <xf numFmtId="43" fontId="0" fillId="43" borderId="0" xfId="0" applyNumberFormat="1" applyFill="1"/>
    <xf numFmtId="0" fontId="0" fillId="40" borderId="0" xfId="0" applyFill="1"/>
    <xf numFmtId="10" fontId="0" fillId="0" borderId="0" xfId="92" applyNumberFormat="1" applyFont="1" applyAlignment="1">
      <alignment horizontal="center"/>
    </xf>
    <xf numFmtId="9" fontId="5" fillId="0" borderId="0" xfId="92" applyFont="1" applyFill="1" applyAlignment="1">
      <alignment horizont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18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Continuous"/>
    </xf>
    <xf numFmtId="3" fontId="5" fillId="0" borderId="0" xfId="0" applyNumberFormat="1" applyFont="1" applyFill="1" applyAlignment="1">
      <alignment horizontal="center" wrapText="1"/>
    </xf>
    <xf numFmtId="170" fontId="0" fillId="0" borderId="0" xfId="0" applyNumberFormat="1"/>
    <xf numFmtId="0" fontId="8" fillId="41" borderId="0" xfId="0" applyFont="1" applyFill="1" applyAlignment="1">
      <alignment horizontal="center" wrapText="1"/>
    </xf>
    <xf numFmtId="170" fontId="19" fillId="41" borderId="0" xfId="28" applyNumberFormat="1" applyFont="1" applyFill="1" applyAlignment="1">
      <alignment wrapText="1"/>
    </xf>
    <xf numFmtId="0" fontId="8" fillId="44" borderId="0" xfId="0" applyFont="1" applyFill="1" applyAlignment="1">
      <alignment horizontal="center" wrapText="1"/>
    </xf>
    <xf numFmtId="170" fontId="19" fillId="44" borderId="0" xfId="28" applyNumberFormat="1" applyFont="1" applyFill="1" applyAlignment="1">
      <alignment wrapText="1"/>
    </xf>
    <xf numFmtId="170" fontId="20" fillId="44" borderId="0" xfId="28" applyNumberFormat="1" applyFont="1" applyFill="1" applyAlignment="1">
      <alignment horizontal="center" wrapText="1"/>
    </xf>
    <xf numFmtId="170" fontId="20" fillId="41" borderId="0" xfId="28" applyNumberFormat="1" applyFont="1" applyFill="1" applyAlignment="1">
      <alignment horizontal="center" wrapText="1"/>
    </xf>
    <xf numFmtId="170" fontId="19" fillId="44" borderId="0" xfId="28" applyNumberFormat="1" applyFont="1" applyFill="1" applyAlignment="1">
      <alignment horizontal="center" wrapText="1"/>
    </xf>
    <xf numFmtId="170" fontId="10" fillId="41" borderId="0" xfId="28" applyNumberFormat="1" applyFont="1" applyFill="1" applyAlignment="1">
      <alignment horizontal="center" wrapText="1"/>
    </xf>
    <xf numFmtId="170" fontId="8" fillId="44" borderId="0" xfId="28" applyNumberFormat="1" applyFont="1" applyFill="1" applyAlignment="1">
      <alignment wrapText="1"/>
    </xf>
    <xf numFmtId="170" fontId="8" fillId="41" borderId="0" xfId="28" applyNumberFormat="1" applyFont="1" applyFill="1" applyAlignment="1">
      <alignment wrapText="1"/>
    </xf>
    <xf numFmtId="170" fontId="20" fillId="44" borderId="0" xfId="28" applyNumberFormat="1" applyFont="1" applyFill="1" applyAlignment="1">
      <alignment wrapText="1"/>
    </xf>
    <xf numFmtId="170" fontId="20" fillId="41" borderId="0" xfId="28" applyNumberFormat="1" applyFont="1" applyFill="1" applyAlignment="1">
      <alignment wrapText="1"/>
    </xf>
    <xf numFmtId="0" fontId="0" fillId="0" borderId="1" xfId="0" applyFill="1" applyBorder="1" applyAlignment="1">
      <alignment horizontal="right"/>
    </xf>
    <xf numFmtId="10" fontId="19" fillId="44" borderId="0" xfId="92" applyNumberFormat="1" applyFont="1" applyFill="1" applyAlignment="1">
      <alignment horizontal="center" wrapText="1"/>
    </xf>
    <xf numFmtId="10" fontId="19" fillId="41" borderId="0" xfId="92" applyNumberFormat="1" applyFont="1" applyFill="1" applyAlignment="1">
      <alignment horizontal="center" wrapText="1"/>
    </xf>
    <xf numFmtId="2" fontId="0" fillId="0" borderId="0" xfId="0" applyNumberFormat="1" applyAlignment="1">
      <alignment wrapText="1"/>
    </xf>
    <xf numFmtId="10" fontId="0" fillId="0" borderId="0" xfId="92" applyNumberFormat="1" applyFont="1" applyAlignment="1">
      <alignment wrapText="1"/>
    </xf>
    <xf numFmtId="10" fontId="0" fillId="0" borderId="0" xfId="92" applyNumberFormat="1" applyFont="1" applyFill="1" applyAlignment="1">
      <alignment horizontal="left" wrapText="1"/>
    </xf>
    <xf numFmtId="10" fontId="0" fillId="0" borderId="0" xfId="92" applyNumberFormat="1" applyFont="1" applyFill="1" applyAlignment="1">
      <alignment wrapText="1"/>
    </xf>
    <xf numFmtId="43" fontId="0" fillId="0" borderId="0" xfId="0" applyNumberFormat="1" applyFill="1"/>
    <xf numFmtId="43" fontId="5" fillId="40" borderId="0" xfId="0" applyNumberFormat="1" applyFont="1" applyFill="1"/>
    <xf numFmtId="3" fontId="5" fillId="0" borderId="0" xfId="0" applyNumberFormat="1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3" fontId="8" fillId="0" borderId="0" xfId="0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43" fontId="0" fillId="0" borderId="0" xfId="0" applyNumberFormat="1" applyFill="1" applyAlignment="1">
      <alignment wrapText="1"/>
    </xf>
    <xf numFmtId="170" fontId="0" fillId="0" borderId="0" xfId="28" applyNumberFormat="1" applyFont="1" applyFill="1" applyAlignment="1">
      <alignment wrapText="1"/>
    </xf>
    <xf numFmtId="43" fontId="0" fillId="0" borderId="0" xfId="0" applyNumberFormat="1" applyFill="1" applyAlignment="1">
      <alignment horizontal="center" wrapText="1"/>
    </xf>
    <xf numFmtId="10" fontId="5" fillId="0" borderId="0" xfId="92" applyNumberFormat="1" applyFont="1" applyAlignment="1">
      <alignment wrapText="1"/>
    </xf>
    <xf numFmtId="165" fontId="0" fillId="0" borderId="0" xfId="0" applyNumberForma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70" fontId="0" fillId="0" borderId="0" xfId="92" applyNumberFormat="1" applyFont="1" applyAlignment="1">
      <alignment wrapText="1"/>
    </xf>
    <xf numFmtId="2" fontId="11" fillId="42" borderId="0" xfId="87" applyNumberFormat="1" applyFont="1" applyFill="1"/>
    <xf numFmtId="4" fontId="11" fillId="42" borderId="0" xfId="76" applyNumberFormat="1" applyFont="1" applyFill="1"/>
    <xf numFmtId="170" fontId="20" fillId="46" borderId="0" xfId="28" applyNumberFormat="1" applyFont="1" applyFill="1" applyAlignment="1">
      <alignment horizontal="center" wrapText="1"/>
    </xf>
    <xf numFmtId="166" fontId="0" fillId="46" borderId="0" xfId="0" applyNumberFormat="1" applyFill="1" applyAlignment="1">
      <alignment horizontal="center"/>
    </xf>
    <xf numFmtId="170" fontId="5" fillId="0" borderId="0" xfId="28" applyNumberFormat="1" applyFont="1" applyFill="1"/>
    <xf numFmtId="170" fontId="19" fillId="0" borderId="0" xfId="28" applyNumberFormat="1" applyFont="1" applyFill="1"/>
    <xf numFmtId="0" fontId="0" fillId="0" borderId="0" xfId="0" applyBorder="1" applyAlignment="1">
      <alignment horizontal="right"/>
    </xf>
    <xf numFmtId="3" fontId="0" fillId="45" borderId="0" xfId="0" applyNumberFormat="1" applyFill="1" applyAlignment="1">
      <alignment horizontal="center"/>
    </xf>
    <xf numFmtId="43" fontId="0" fillId="0" borderId="0" xfId="28" applyFont="1" applyFill="1" applyAlignment="1">
      <alignment horizontal="center" wrapText="1"/>
    </xf>
    <xf numFmtId="10" fontId="0" fillId="0" borderId="0" xfId="92" applyNumberFormat="1" applyFont="1" applyBorder="1"/>
    <xf numFmtId="43" fontId="11" fillId="39" borderId="0" xfId="87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7" fontId="0" fillId="0" borderId="0" xfId="0" applyNumberFormat="1" applyBorder="1"/>
    <xf numFmtId="43" fontId="11" fillId="48" borderId="0" xfId="87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3" fontId="11" fillId="40" borderId="0" xfId="87" applyNumberFormat="1" applyFont="1" applyFill="1" applyBorder="1" applyAlignment="1">
      <alignment horizontal="right"/>
    </xf>
    <xf numFmtId="10" fontId="0" fillId="0" borderId="0" xfId="92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3" fontId="0" fillId="0" borderId="0" xfId="0" applyNumberFormat="1" applyFill="1" applyBorder="1"/>
    <xf numFmtId="37" fontId="21" fillId="44" borderId="0" xfId="28" applyNumberFormat="1" applyFont="1" applyFill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38" fontId="23" fillId="0" borderId="0" xfId="39" applyNumberFormat="1" applyFont="1" applyBorder="1" applyAlignment="1">
      <alignment horizontal="center"/>
    </xf>
    <xf numFmtId="0" fontId="43" fillId="37" borderId="0" xfId="0" applyFont="1" applyFill="1" applyBorder="1"/>
    <xf numFmtId="0" fontId="15" fillId="0" borderId="0" xfId="87" applyFont="1" applyBorder="1" applyAlignment="1">
      <alignment horizontal="right"/>
    </xf>
    <xf numFmtId="0" fontId="5" fillId="0" borderId="0" xfId="87" applyBorder="1"/>
    <xf numFmtId="43" fontId="11" fillId="0" borderId="0" xfId="87" applyNumberFormat="1" applyFont="1" applyBorder="1" applyAlignment="1">
      <alignment horizontal="left"/>
    </xf>
    <xf numFmtId="43" fontId="11" fillId="0" borderId="0" xfId="87" applyNumberFormat="1" applyFont="1" applyBorder="1" applyAlignment="1">
      <alignment horizontal="right"/>
    </xf>
    <xf numFmtId="0" fontId="44" fillId="47" borderId="0" xfId="0" applyFont="1" applyFill="1" applyBorder="1" applyAlignment="1">
      <alignment horizontal="center" wrapText="1"/>
    </xf>
    <xf numFmtId="4" fontId="44" fillId="47" borderId="0" xfId="0" applyNumberFormat="1" applyFont="1" applyFill="1" applyBorder="1" applyAlignment="1">
      <alignment horizontal="center" wrapText="1"/>
    </xf>
    <xf numFmtId="3" fontId="44" fillId="47" borderId="0" xfId="0" applyNumberFormat="1" applyFont="1" applyFill="1" applyBorder="1" applyAlignment="1">
      <alignment horizontal="center" wrapText="1"/>
    </xf>
    <xf numFmtId="9" fontId="0" fillId="0" borderId="0" xfId="92" applyFont="1" applyFill="1" applyAlignment="1">
      <alignment horizontal="center"/>
    </xf>
    <xf numFmtId="174" fontId="0" fillId="0" borderId="0" xfId="0" applyNumberFormat="1" applyBorder="1" applyAlignment="1">
      <alignment horizontal="center"/>
    </xf>
    <xf numFmtId="4" fontId="0" fillId="40" borderId="0" xfId="0" applyNumberFormat="1" applyFill="1"/>
    <xf numFmtId="0" fontId="42" fillId="0" borderId="0" xfId="0" applyFont="1" applyFill="1" applyAlignment="1">
      <alignment horizontal="center" wrapText="1"/>
    </xf>
    <xf numFmtId="0" fontId="0" fillId="37" borderId="0" xfId="0" applyFill="1" applyBorder="1" applyAlignment="1">
      <alignment horizontal="center"/>
    </xf>
    <xf numFmtId="3" fontId="0" fillId="37" borderId="0" xfId="0" applyNumberFormat="1" applyFill="1" applyBorder="1" applyAlignment="1">
      <alignment horizontal="center"/>
    </xf>
    <xf numFmtId="0" fontId="0" fillId="37" borderId="0" xfId="0" applyFill="1" applyBorder="1"/>
    <xf numFmtId="3" fontId="5" fillId="0" borderId="0" xfId="0" applyNumberFormat="1" applyFont="1" applyFill="1" applyAlignment="1">
      <alignment horizontal="left"/>
    </xf>
    <xf numFmtId="169" fontId="22" fillId="0" borderId="0" xfId="92" applyNumberFormat="1" applyFont="1" applyFill="1" applyBorder="1" applyAlignment="1">
      <alignment horizontal="center"/>
    </xf>
    <xf numFmtId="168" fontId="0" fillId="37" borderId="0" xfId="0" applyNumberFormat="1" applyFill="1" applyAlignment="1">
      <alignment horizontal="center"/>
    </xf>
    <xf numFmtId="16" fontId="0" fillId="0" borderId="0" xfId="0" applyNumberFormat="1" applyBorder="1" applyAlignment="1">
      <alignment horizontal="center"/>
    </xf>
    <xf numFmtId="3" fontId="0" fillId="37" borderId="0" xfId="0" applyNumberFormat="1" applyFill="1" applyAlignment="1">
      <alignment horizontal="center"/>
    </xf>
    <xf numFmtId="38" fontId="0" fillId="0" borderId="0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38" fontId="23" fillId="37" borderId="0" xfId="39" applyNumberFormat="1" applyFont="1" applyFill="1" applyBorder="1" applyAlignment="1">
      <alignment horizontal="center"/>
    </xf>
    <xf numFmtId="4" fontId="0" fillId="37" borderId="0" xfId="0" applyNumberFormat="1" applyFill="1" applyBorder="1" applyAlignment="1">
      <alignment horizontal="center"/>
    </xf>
    <xf numFmtId="37" fontId="0" fillId="0" borderId="0" xfId="0" applyNumberFormat="1" applyBorder="1"/>
    <xf numFmtId="0" fontId="45" fillId="0" borderId="9" xfId="0" applyFont="1" applyBorder="1"/>
    <xf numFmtId="0" fontId="45" fillId="0" borderId="9" xfId="0" pivotButton="1" applyFont="1" applyBorder="1"/>
    <xf numFmtId="0" fontId="45" fillId="0" borderId="16" xfId="0" applyFont="1" applyBorder="1"/>
    <xf numFmtId="0" fontId="45" fillId="0" borderId="10" xfId="0" applyFont="1" applyBorder="1"/>
    <xf numFmtId="0" fontId="45" fillId="0" borderId="17" xfId="0" applyFont="1" applyBorder="1"/>
    <xf numFmtId="0" fontId="45" fillId="0" borderId="12" xfId="0" applyFont="1" applyBorder="1"/>
    <xf numFmtId="0" fontId="45" fillId="0" borderId="9" xfId="0" applyNumberFormat="1" applyFont="1" applyBorder="1"/>
    <xf numFmtId="3" fontId="45" fillId="0" borderId="17" xfId="0" applyNumberFormat="1" applyFont="1" applyBorder="1"/>
    <xf numFmtId="0" fontId="45" fillId="0" borderId="12" xfId="0" applyNumberFormat="1" applyFont="1" applyBorder="1"/>
    <xf numFmtId="0" fontId="45" fillId="0" borderId="11" xfId="0" applyFont="1" applyBorder="1"/>
    <xf numFmtId="0" fontId="45" fillId="0" borderId="11" xfId="0" applyNumberFormat="1" applyFont="1" applyBorder="1"/>
    <xf numFmtId="3" fontId="45" fillId="0" borderId="0" xfId="0" applyNumberFormat="1" applyFont="1"/>
    <xf numFmtId="0" fontId="45" fillId="0" borderId="13" xfId="0" applyNumberFormat="1" applyFont="1" applyBorder="1"/>
    <xf numFmtId="0" fontId="45" fillId="0" borderId="14" xfId="0" applyFont="1" applyBorder="1"/>
    <xf numFmtId="0" fontId="45" fillId="0" borderId="14" xfId="0" applyNumberFormat="1" applyFont="1" applyBorder="1"/>
    <xf numFmtId="3" fontId="45" fillId="0" borderId="18" xfId="0" applyNumberFormat="1" applyFont="1" applyBorder="1"/>
    <xf numFmtId="0" fontId="45" fillId="0" borderId="15" xfId="0" applyNumberFormat="1" applyFont="1" applyBorder="1"/>
    <xf numFmtId="0" fontId="45" fillId="0" borderId="17" xfId="0" applyNumberFormat="1" applyFont="1" applyBorder="1"/>
    <xf numFmtId="0" fontId="45" fillId="0" borderId="0" xfId="0" applyNumberFormat="1" applyFont="1"/>
    <xf numFmtId="0" fontId="45" fillId="0" borderId="18" xfId="0" applyNumberFormat="1" applyFont="1" applyBorder="1"/>
    <xf numFmtId="9" fontId="0" fillId="0" borderId="0" xfId="92" applyFont="1" applyBorder="1" applyAlignment="1">
      <alignment horizontal="center"/>
    </xf>
    <xf numFmtId="4" fontId="0" fillId="0" borderId="0" xfId="0" applyNumberFormat="1" applyFill="1" applyBorder="1" applyAlignment="1"/>
    <xf numFmtId="4" fontId="5" fillId="0" borderId="7" xfId="0" applyNumberFormat="1" applyFont="1" applyFill="1" applyBorder="1" applyAlignment="1"/>
    <xf numFmtId="4" fontId="0" fillId="0" borderId="7" xfId="0" applyNumberFormat="1" applyFill="1" applyBorder="1" applyAlignment="1"/>
    <xf numFmtId="4" fontId="5" fillId="0" borderId="0" xfId="0" applyNumberFormat="1" applyFont="1" applyFill="1" applyBorder="1" applyAlignment="1"/>
    <xf numFmtId="43" fontId="5" fillId="0" borderId="0" xfId="87" applyNumberFormat="1"/>
    <xf numFmtId="9" fontId="5" fillId="0" borderId="0" xfId="92"/>
    <xf numFmtId="0" fontId="5" fillId="0" borderId="0" xfId="87" applyFill="1"/>
    <xf numFmtId="0" fontId="8" fillId="0" borderId="0" xfId="87" applyFont="1" applyAlignment="1">
      <alignment horizontal="center"/>
    </xf>
    <xf numFmtId="0" fontId="8" fillId="0" borderId="0" xfId="0" applyFont="1" applyFill="1"/>
    <xf numFmtId="2" fontId="0" fillId="0" borderId="0" xfId="0" applyNumberFormat="1" applyBorder="1" applyAlignment="1">
      <alignment horizontal="center"/>
    </xf>
    <xf numFmtId="0" fontId="5" fillId="0" borderId="0" xfId="87"/>
    <xf numFmtId="0" fontId="0" fillId="0" borderId="0" xfId="0" applyFill="1" applyBorder="1" applyAlignment="1"/>
  </cellXfs>
  <cellStyles count="174">
    <cellStyle name="20% - Accent1 2" xfId="1"/>
    <cellStyle name="20% - Accent1 2 2" xfId="113"/>
    <cellStyle name="20% - Accent1 2 2 2" xfId="159"/>
    <cellStyle name="20% - Accent1 2 3" xfId="128"/>
    <cellStyle name="20% - Accent1 2 4" xfId="143"/>
    <cellStyle name="20% - Accent2 2" xfId="2"/>
    <cellStyle name="20% - Accent2 2 2" xfId="114"/>
    <cellStyle name="20% - Accent2 2 2 2" xfId="160"/>
    <cellStyle name="20% - Accent2 2 3" xfId="129"/>
    <cellStyle name="20% - Accent2 2 4" xfId="144"/>
    <cellStyle name="20% - Accent3 2" xfId="3"/>
    <cellStyle name="20% - Accent3 2 2" xfId="115"/>
    <cellStyle name="20% - Accent3 2 2 2" xfId="161"/>
    <cellStyle name="20% - Accent3 2 3" xfId="130"/>
    <cellStyle name="20% - Accent3 2 4" xfId="145"/>
    <cellStyle name="20% - Accent4 2" xfId="4"/>
    <cellStyle name="20% - Accent4 2 2" xfId="116"/>
    <cellStyle name="20% - Accent4 2 2 2" xfId="162"/>
    <cellStyle name="20% - Accent4 2 3" xfId="131"/>
    <cellStyle name="20% - Accent4 2 4" xfId="146"/>
    <cellStyle name="20% - Accent5" xfId="5" builtinId="46" customBuiltin="1"/>
    <cellStyle name="20% - Accent5 2" xfId="117"/>
    <cellStyle name="20% - Accent5 2 2" xfId="163"/>
    <cellStyle name="20% - Accent5 3" xfId="132"/>
    <cellStyle name="20% - Accent5 4" xfId="147"/>
    <cellStyle name="20% - Accent6" xfId="6" builtinId="50" customBuiltin="1"/>
    <cellStyle name="20% - Accent6 2" xfId="118"/>
    <cellStyle name="20% - Accent6 2 2" xfId="164"/>
    <cellStyle name="20% - Accent6 3" xfId="133"/>
    <cellStyle name="20% - Accent6 4" xfId="148"/>
    <cellStyle name="40% - Accent1" xfId="7" builtinId="31" customBuiltin="1"/>
    <cellStyle name="40% - Accent1 2" xfId="119"/>
    <cellStyle name="40% - Accent1 2 2" xfId="165"/>
    <cellStyle name="40% - Accent1 3" xfId="134"/>
    <cellStyle name="40% - Accent1 4" xfId="149"/>
    <cellStyle name="40% - Accent2" xfId="8" builtinId="35" customBuiltin="1"/>
    <cellStyle name="40% - Accent2 2" xfId="120"/>
    <cellStyle name="40% - Accent2 2 2" xfId="166"/>
    <cellStyle name="40% - Accent2 3" xfId="135"/>
    <cellStyle name="40% - Accent2 4" xfId="150"/>
    <cellStyle name="40% - Accent3 2" xfId="9"/>
    <cellStyle name="40% - Accent3 2 2" xfId="121"/>
    <cellStyle name="40% - Accent3 2 2 2" xfId="167"/>
    <cellStyle name="40% - Accent3 2 3" xfId="136"/>
    <cellStyle name="40% - Accent3 2 4" xfId="151"/>
    <cellStyle name="40% - Accent4" xfId="10" builtinId="43" customBuiltin="1"/>
    <cellStyle name="40% - Accent4 2" xfId="122"/>
    <cellStyle name="40% - Accent4 2 2" xfId="168"/>
    <cellStyle name="40% - Accent4 3" xfId="137"/>
    <cellStyle name="40% - Accent4 4" xfId="152"/>
    <cellStyle name="40% - Accent5" xfId="11" builtinId="47" customBuiltin="1"/>
    <cellStyle name="40% - Accent5 2" xfId="123"/>
    <cellStyle name="40% - Accent5 2 2" xfId="169"/>
    <cellStyle name="40% - Accent5 3" xfId="138"/>
    <cellStyle name="40% - Accent5 4" xfId="153"/>
    <cellStyle name="40% - Accent6" xfId="12" builtinId="51" customBuiltin="1"/>
    <cellStyle name="40% - Accent6 2" xfId="124"/>
    <cellStyle name="40% - Accent6 2 2" xfId="170"/>
    <cellStyle name="40% - Accent6 3" xfId="139"/>
    <cellStyle name="40% - Accent6 4" xfId="154"/>
    <cellStyle name="60% - Accent1" xfId="13" builtinId="32" customBuiltin="1"/>
    <cellStyle name="60% - Accent2" xfId="14" builtinId="36" customBuiltin="1"/>
    <cellStyle name="60% - Accent3 2" xfId="15"/>
    <cellStyle name="60% - Accent4 2" xfId="16"/>
    <cellStyle name="60% - Accent5" xfId="17" builtinId="48" customBuiltin="1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10" xfId="108"/>
    <cellStyle name="Comma 2" xfId="29"/>
    <cellStyle name="Comma 2 2" xfId="30"/>
    <cellStyle name="Comma 2 2 2" xfId="31"/>
    <cellStyle name="Comma 2 3" xfId="32"/>
    <cellStyle name="Comma 3" xfId="33"/>
    <cellStyle name="Comma 3 2" xfId="34"/>
    <cellStyle name="Comma 3 2 2" xfId="35"/>
    <cellStyle name="Comma 3 3" xfId="36"/>
    <cellStyle name="Comma 4" xfId="37"/>
    <cellStyle name="Comma 4 2" xfId="38"/>
    <cellStyle name="Comma 5" xfId="39"/>
    <cellStyle name="Comma 5 2" xfId="40"/>
    <cellStyle name="Comma 5 3" xfId="125"/>
    <cellStyle name="Comma 5 3 2" xfId="171"/>
    <cellStyle name="Comma 5 4" xfId="140"/>
    <cellStyle name="Comma 5 5" xfId="155"/>
    <cellStyle name="Comma 6" xfId="41"/>
    <cellStyle name="Comma 6 2" xfId="42"/>
    <cellStyle name="Comma 7" xfId="43"/>
    <cellStyle name="Comma 7 2" xfId="44"/>
    <cellStyle name="Comma 8" xfId="45"/>
    <cellStyle name="Comma 8 2" xfId="46"/>
    <cellStyle name="Comma 9" xfId="47"/>
    <cellStyle name="Comma_Horizon 2011 Load Forecast Model  June 25, 2010" xfId="48"/>
    <cellStyle name="Comma0" xfId="49"/>
    <cellStyle name="Comma0 2" xfId="50"/>
    <cellStyle name="Comma0 2 2" xfId="51"/>
    <cellStyle name="Comma0 3" xfId="52"/>
    <cellStyle name="Currency 2" xfId="53"/>
    <cellStyle name="Currency0" xfId="54"/>
    <cellStyle name="Currency0 2" xfId="55"/>
    <cellStyle name="Currency0 2 2" xfId="56"/>
    <cellStyle name="Currency0 3" xfId="57"/>
    <cellStyle name="Date" xfId="58"/>
    <cellStyle name="Date 2" xfId="59"/>
    <cellStyle name="Date 2 2" xfId="60"/>
    <cellStyle name="Date 3" xfId="61"/>
    <cellStyle name="Explanatory Text" xfId="62" builtinId="53" customBuiltin="1"/>
    <cellStyle name="Fixed" xfId="63"/>
    <cellStyle name="Fixed 2" xfId="64"/>
    <cellStyle name="Fixed 2 2" xfId="65"/>
    <cellStyle name="Fixed 3" xfId="66"/>
    <cellStyle name="Good" xfId="67" builtinId="26" customBuiltin="1"/>
    <cellStyle name="Heading 1" xfId="68" builtinId="16" customBuiltin="1"/>
    <cellStyle name="Heading 2" xfId="69" builtinId="17" customBuiltin="1"/>
    <cellStyle name="Heading 3" xfId="70" builtinId="18" customBuiltin="1"/>
    <cellStyle name="Heading 4" xfId="71" builtinId="19" customBuiltin="1"/>
    <cellStyle name="Hyperlink 2" xfId="72"/>
    <cellStyle name="Input" xfId="73" builtinId="20" customBuiltin="1"/>
    <cellStyle name="Linked Cell" xfId="74" builtinId="24" customBuiltin="1"/>
    <cellStyle name="Neutral" xfId="75" builtinId="28" customBuiltin="1"/>
    <cellStyle name="Normal" xfId="0" builtinId="0"/>
    <cellStyle name="Normal 2" xfId="76"/>
    <cellStyle name="Normal 2 2" xfId="77"/>
    <cellStyle name="Normal 2 2 2 2 2" xfId="110"/>
    <cellStyle name="Normal 2 3" xfId="78"/>
    <cellStyle name="Normal 3" xfId="79"/>
    <cellStyle name="Normal 3 2" xfId="80"/>
    <cellStyle name="Normal 3 2 2" xfId="81"/>
    <cellStyle name="Normal 3 3" xfId="82"/>
    <cellStyle name="Normal 3 4" xfId="126"/>
    <cellStyle name="Normal 3 4 2" xfId="172"/>
    <cellStyle name="Normal 3 5" xfId="141"/>
    <cellStyle name="Normal 3 6" xfId="156"/>
    <cellStyle name="Normal 4" xfId="83"/>
    <cellStyle name="Normal 4 2" xfId="84"/>
    <cellStyle name="Normal 5" xfId="85"/>
    <cellStyle name="Normal 5 2" xfId="86"/>
    <cellStyle name="Normal 6" xfId="87"/>
    <cellStyle name="Normal 7" xfId="88"/>
    <cellStyle name="Normal 8" xfId="107"/>
    <cellStyle name="Normal 9" xfId="109"/>
    <cellStyle name="Note 2" xfId="89"/>
    <cellStyle name="Note 2 2" xfId="90"/>
    <cellStyle name="Note 2 3" xfId="127"/>
    <cellStyle name="Note 2 3 2" xfId="173"/>
    <cellStyle name="Note 2 4" xfId="142"/>
    <cellStyle name="Note 2 5" xfId="157"/>
    <cellStyle name="Output" xfId="91" builtinId="21" customBuiltin="1"/>
    <cellStyle name="Percent" xfId="92" builtinId="5"/>
    <cellStyle name="Percent 12" xfId="111"/>
    <cellStyle name="Percent 12 2" xfId="158"/>
    <cellStyle name="Percent 2" xfId="93"/>
    <cellStyle name="Percent 2 2" xfId="94"/>
    <cellStyle name="Percent 3" xfId="95"/>
    <cellStyle name="Percent 3 2" xfId="96"/>
    <cellStyle name="Percent 4" xfId="97"/>
    <cellStyle name="Percent 4 2" xfId="98"/>
    <cellStyle name="Percent 5" xfId="99"/>
    <cellStyle name="Percent 5 2" xfId="100"/>
    <cellStyle name="Percent 6" xfId="101"/>
    <cellStyle name="Percent 6 2" xfId="102"/>
    <cellStyle name="Percent 7" xfId="103"/>
    <cellStyle name="Style 23" xfId="112"/>
    <cellStyle name="Title" xfId="104" builtinId="15" customBuiltin="1"/>
    <cellStyle name="Total" xfId="105" builtinId="25" customBuiltin="1"/>
    <cellStyle name="Warning Text" xfId="106" builtinId="11" customBuiltin="1"/>
  </cellStyles>
  <dxfs count="4">
    <dxf>
      <numFmt numFmtId="3" formatCode="#,##0"/>
    </dxf>
    <dxf>
      <numFmt numFmtId="3" formatCode="#,##0"/>
    </dxf>
    <dxf>
      <font>
        <sz val="12"/>
      </font>
    </dxf>
    <dxf>
      <numFmt numFmtId="4" formatCode="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Rate%20Application%20Files%20-%20BLG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mes Crosbie" refreshedDate="44274.480138888888" createdVersion="4" refreshedVersion="4" recordCount="156">
  <cacheSource type="worksheet">
    <worksheetSource ref="B34:P190" sheet="Purch. Power Model "/>
  </cacheSource>
  <cacheFields count="15">
    <cacheField name="MMM-YYYY" numFmtId="174">
      <sharedItems containsSemiMixedTypes="0" containsNonDate="0" containsDate="1" containsString="0" minDate="2010-01-01T00:00:00" maxDate="2022-12-02T00:00:00"/>
    </cacheField>
    <cacheField name="Month" numFmtId="0">
      <sharedItems containsSemiMixedTypes="0" containsString="0" containsNumber="1" containsInteger="1" minValue="1" maxValue="12"/>
    </cacheField>
    <cacheField name="Year" numFmtId="0">
      <sharedItems containsSemiMixedTypes="0" containsString="0" containsNumber="1" containsInteger="1" minValue="2010" maxValue="2022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</sharedItems>
    </cacheField>
    <cacheField name="Purchased" numFmtId="38">
      <sharedItems containsString="0" containsBlank="1" containsNumber="1" minValue="66644954.449523814" maxValue="103947133.04603"/>
    </cacheField>
    <cacheField name="Heating Degree Days" numFmtId="43">
      <sharedItems containsSemiMixedTypes="0" containsString="0" containsNumber="1" minValue="0" maxValue="856.8"/>
    </cacheField>
    <cacheField name="Cooling Degree Days" numFmtId="43">
      <sharedItems containsSemiMixedTypes="0" containsString="0" containsNumber="1" minValue="0" maxValue="215.7"/>
    </cacheField>
    <cacheField name="Ontario Real GDP Monthly (Indexed)" numFmtId="2">
      <sharedItems containsSemiMixedTypes="0" containsString="0" containsNumber="1" minValue="128.72733605771626" maxValue="165.79248965885324"/>
    </cacheField>
    <cacheField name="Number of Days in Month" numFmtId="37">
      <sharedItems containsSemiMixedTypes="0" containsString="0" containsNumber="1" containsInteger="1" minValue="28" maxValue="31"/>
    </cacheField>
    <cacheField name="Mar" numFmtId="37">
      <sharedItems containsSemiMixedTypes="0" containsString="0" containsNumber="1" containsInteger="1" minValue="0" maxValue="1"/>
    </cacheField>
    <cacheField name="Apr" numFmtId="37">
      <sharedItems containsSemiMixedTypes="0" containsString="0" containsNumber="1" containsInteger="1" minValue="0" maxValue="1"/>
    </cacheField>
    <cacheField name="May" numFmtId="37">
      <sharedItems containsSemiMixedTypes="0" containsString="0" containsNumber="1" containsInteger="1" minValue="0" maxValue="1"/>
    </cacheField>
    <cacheField name="Oct" numFmtId="37">
      <sharedItems containsSemiMixedTypes="0" containsString="0" containsNumber="1" containsInteger="1" minValue="0" maxValue="1"/>
    </cacheField>
    <cacheField name="Total Persistent" numFmtId="37">
      <sharedItems containsSemiMixedTypes="0" containsString="0" containsNumber="1" containsInteger="1" minValue="1" maxValue="156"/>
    </cacheField>
    <cacheField name="Predicted Purchases " numFmtId="37">
      <sharedItems containsSemiMixedTypes="0" containsString="0" containsNumber="1" minValue="65327087.195326343" maxValue="97945854.838626042"/>
    </cacheField>
    <cacheField name="Predicted Less Acturals" numFmtId="37">
      <sharedItems containsSemiMixedTypes="0" containsString="0" containsNumber="1" minValue="-87985767.990403667" maxValue="8456811.75135992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6">
  <r>
    <d v="2010-01-01T00:00:00"/>
    <n v="1"/>
    <x v="0"/>
    <n v="85740317.673846155"/>
    <n v="720"/>
    <n v="0"/>
    <n v="128.72733605771626"/>
    <n v="31"/>
    <n v="0"/>
    <n v="0"/>
    <n v="0"/>
    <n v="0"/>
    <n v="1"/>
    <n v="83457069.317182913"/>
    <n v="2283248.356663242"/>
  </r>
  <r>
    <d v="2010-02-01T00:00:00"/>
    <n v="2"/>
    <x v="0"/>
    <n v="76200452.517692298"/>
    <n v="598.29999999999995"/>
    <n v="0"/>
    <n v="129.07908855613877"/>
    <n v="28"/>
    <n v="0"/>
    <n v="0"/>
    <n v="0"/>
    <n v="0"/>
    <n v="2"/>
    <n v="75427607.282936379"/>
    <n v="772845.23475591838"/>
  </r>
  <r>
    <d v="2010-03-01T00:00:00"/>
    <n v="3"/>
    <x v="0"/>
    <n v="78025070.524615392"/>
    <n v="422.8"/>
    <n v="0"/>
    <n v="129.43180223206977"/>
    <n v="31"/>
    <n v="1"/>
    <n v="0"/>
    <n v="0"/>
    <n v="0"/>
    <n v="3"/>
    <n v="77571784.404356405"/>
    <n v="453286.12025898695"/>
  </r>
  <r>
    <d v="2010-04-01T00:00:00"/>
    <n v="4"/>
    <x v="0"/>
    <n v="69790833.687692314"/>
    <n v="225.1"/>
    <n v="0"/>
    <n v="129.78547971196454"/>
    <n v="30"/>
    <n v="0"/>
    <n v="1"/>
    <n v="0"/>
    <n v="0"/>
    <n v="4"/>
    <n v="70299810.701978222"/>
    <n v="-508977.01428590715"/>
  </r>
  <r>
    <d v="2010-05-01T00:00:00"/>
    <n v="5"/>
    <x v="0"/>
    <n v="76066069.509230763"/>
    <n v="107.9"/>
    <n v="45.7"/>
    <n v="130.14012362945522"/>
    <n v="31"/>
    <n v="0"/>
    <n v="0"/>
    <n v="1"/>
    <n v="0"/>
    <n v="5"/>
    <n v="77513453.868146166"/>
    <n v="-1447384.3589154035"/>
  </r>
  <r>
    <d v="2010-06-01T00:00:00"/>
    <n v="6"/>
    <x v="0"/>
    <n v="79225717.646153852"/>
    <n v="21.7"/>
    <n v="58.7"/>
    <n v="130.49573662537048"/>
    <n v="30"/>
    <n v="0"/>
    <n v="0"/>
    <n v="0"/>
    <n v="0"/>
    <n v="6"/>
    <n v="78983132.221128926"/>
    <n v="242585.42502492666"/>
  </r>
  <r>
    <d v="2010-07-01T00:00:00"/>
    <n v="7"/>
    <x v="0"/>
    <n v="89977040.172307685"/>
    <n v="1.8"/>
    <n v="164.9"/>
    <n v="130.85232134775515"/>
    <n v="31"/>
    <n v="0"/>
    <n v="0"/>
    <n v="0"/>
    <n v="0"/>
    <n v="7"/>
    <n v="94026468.061231479"/>
    <n v="-4049427.888923794"/>
  </r>
  <r>
    <d v="2010-08-01T00:00:00"/>
    <n v="8"/>
    <x v="0"/>
    <n v="88856918.292384624"/>
    <n v="2.1"/>
    <n v="138.80000000000001"/>
    <n v="131.20988045188997"/>
    <n v="31"/>
    <n v="0"/>
    <n v="0"/>
    <n v="0"/>
    <n v="0"/>
    <n v="8"/>
    <n v="90833094.326353624"/>
    <n v="-1976176.033969"/>
  </r>
  <r>
    <d v="2010-09-01T00:00:00"/>
    <n v="9"/>
    <x v="0"/>
    <n v="74349622.304615363"/>
    <n v="78.099999999999994"/>
    <n v="31.5"/>
    <n v="131.56841660031131"/>
    <n v="30"/>
    <n v="0"/>
    <n v="0"/>
    <n v="0"/>
    <n v="0"/>
    <n v="9"/>
    <n v="76518737.937287435"/>
    <n v="-2169115.6326720715"/>
  </r>
  <r>
    <d v="2010-10-01T00:00:00"/>
    <n v="10"/>
    <x v="0"/>
    <n v="73264038.258461535"/>
    <n v="241.6"/>
    <n v="0"/>
    <n v="131.92793246283102"/>
    <n v="31"/>
    <n v="0"/>
    <n v="0"/>
    <n v="0"/>
    <n v="1"/>
    <n v="10"/>
    <n v="75138539.535585403"/>
    <n v="-1874501.2771238685"/>
  </r>
  <r>
    <d v="2010-11-01T00:00:00"/>
    <n v="11"/>
    <x v="0"/>
    <n v="76397905.17076923"/>
    <n v="405.3"/>
    <n v="0"/>
    <n v="132.28843071655632"/>
    <n v="30"/>
    <n v="0"/>
    <n v="0"/>
    <n v="0"/>
    <n v="0"/>
    <n v="11"/>
    <n v="77291858.701484844"/>
    <n v="-893953.53071561456"/>
  </r>
  <r>
    <d v="2010-12-01T00:00:00"/>
    <n v="12"/>
    <x v="0"/>
    <n v="82865126.892307699"/>
    <n v="676.2"/>
    <n v="0"/>
    <n v="132.64991404590961"/>
    <n v="31"/>
    <n v="0"/>
    <n v="0"/>
    <n v="0"/>
    <n v="0"/>
    <n v="12"/>
    <n v="83258254.061488017"/>
    <n v="-393127.16918031871"/>
  </r>
  <r>
    <d v="2011-01-01T00:00:00"/>
    <n v="1"/>
    <x v="1"/>
    <n v="86054286.131538451"/>
    <n v="775.3"/>
    <n v="0"/>
    <n v="132.81780450021679"/>
    <n v="31"/>
    <n v="0"/>
    <n v="0"/>
    <n v="0"/>
    <n v="0"/>
    <n v="13"/>
    <n v="84591173.198384956"/>
    <n v="1463112.9331534952"/>
  </r>
  <r>
    <d v="2011-02-01T00:00:00"/>
    <n v="2"/>
    <x v="1"/>
    <n v="76331649.843846157"/>
    <n v="654.20000000000005"/>
    <n v="0"/>
    <n v="132.98590744772346"/>
    <n v="28"/>
    <n v="0"/>
    <n v="0"/>
    <n v="0"/>
    <n v="0"/>
    <n v="14"/>
    <n v="76474794.3106433"/>
    <n v="-143144.46679714322"/>
  </r>
  <r>
    <d v="2011-03-01T00:00:00"/>
    <n v="3"/>
    <x v="1"/>
    <n v="80293454.303076923"/>
    <n v="572.79999999999995"/>
    <n v="0"/>
    <n v="133.15422315737499"/>
    <n v="31"/>
    <n v="1"/>
    <n v="0"/>
    <n v="0"/>
    <n v="0"/>
    <n v="15"/>
    <n v="79845949.239899382"/>
    <n v="447505.0631775409"/>
  </r>
  <r>
    <d v="2011-04-01T00:00:00"/>
    <n v="4"/>
    <x v="1"/>
    <n v="71266777.976153851"/>
    <n v="332.3"/>
    <n v="0"/>
    <n v="133.32275189845711"/>
    <n v="30"/>
    <n v="0"/>
    <n v="1"/>
    <n v="0"/>
    <n v="0"/>
    <n v="16"/>
    <n v="71876227.97978878"/>
    <n v="-609450.00363492966"/>
  </r>
  <r>
    <d v="2011-05-01T00:00:00"/>
    <n v="5"/>
    <x v="1"/>
    <n v="72652305.789999992"/>
    <n v="134.1"/>
    <n v="13"/>
    <n v="133.49149394059646"/>
    <n v="31"/>
    <n v="0"/>
    <n v="0"/>
    <n v="1"/>
    <n v="0"/>
    <n v="17"/>
    <n v="73800492.718086153"/>
    <n v="-1148186.9280861616"/>
  </r>
  <r>
    <d v="2011-06-01T00:00:00"/>
    <n v="6"/>
    <x v="1"/>
    <n v="76886231.902307689"/>
    <n v="19"/>
    <n v="52.2"/>
    <n v="133.66044955376086"/>
    <n v="30"/>
    <n v="0"/>
    <n v="0"/>
    <n v="0"/>
    <n v="0"/>
    <n v="18"/>
    <n v="78015410.088323191"/>
    <n v="-1129178.1860155016"/>
  </r>
  <r>
    <d v="2011-07-01T00:00:00"/>
    <n v="7"/>
    <x v="1"/>
    <n v="93432707.71615386"/>
    <n v="0"/>
    <n v="198.5"/>
    <n v="133.82961900825984"/>
    <n v="31"/>
    <n v="0"/>
    <n v="0"/>
    <n v="0"/>
    <n v="0"/>
    <n v="19"/>
    <n v="97945854.838626042"/>
    <n v="-4513147.1224721819"/>
  </r>
  <r>
    <d v="2011-08-01T00:00:00"/>
    <n v="8"/>
    <x v="1"/>
    <n v="86792642.630769238"/>
    <n v="0"/>
    <n v="122.2"/>
    <n v="133.99900257474505"/>
    <n v="31"/>
    <n v="0"/>
    <n v="0"/>
    <n v="0"/>
    <n v="0"/>
    <n v="20"/>
    <n v="88426559.731883541"/>
    <n v="-1633917.1011143029"/>
  </r>
  <r>
    <d v="2011-09-01T00:00:00"/>
    <n v="9"/>
    <x v="1"/>
    <n v="75561450.664615378"/>
    <n v="48.2"/>
    <n v="39.700000000000003"/>
    <n v="134.16860052421072"/>
    <n v="30"/>
    <n v="0"/>
    <n v="0"/>
    <n v="0"/>
    <n v="0"/>
    <n v="21"/>
    <n v="76698142.52267994"/>
    <n v="-1136691.8580645621"/>
  </r>
  <r>
    <d v="2011-10-01T00:00:00"/>
    <n v="10"/>
    <x v="1"/>
    <n v="73210551.581538469"/>
    <n v="235.5"/>
    <n v="2.4"/>
    <n v="134.33841312799402"/>
    <n v="31"/>
    <n v="0"/>
    <n v="0"/>
    <n v="0"/>
    <n v="1"/>
    <n v="22"/>
    <n v="74834887.100784674"/>
    <n v="-1624335.5192462057"/>
  </r>
  <r>
    <d v="2011-11-01T00:00:00"/>
    <n v="11"/>
    <x v="1"/>
    <n v="74362594.600769222"/>
    <n v="342.1"/>
    <n v="0"/>
    <n v="134.50844065777559"/>
    <n v="30"/>
    <n v="0"/>
    <n v="0"/>
    <n v="0"/>
    <n v="0"/>
    <n v="23"/>
    <n v="75789125.578818455"/>
    <n v="-1426530.9780492336"/>
  </r>
  <r>
    <d v="2011-12-01T00:00:00"/>
    <n v="12"/>
    <x v="1"/>
    <n v="78058078.98307693"/>
    <n v="534"/>
    <n v="0"/>
    <n v="134.67868338557994"/>
    <n v="31"/>
    <n v="0"/>
    <n v="0"/>
    <n v="0"/>
    <n v="0"/>
    <n v="24"/>
    <n v="80545764.999926671"/>
    <n v="-2487686.0168497413"/>
  </r>
  <r>
    <d v="2012-01-01T00:00:00"/>
    <n v="1"/>
    <x v="2"/>
    <n v="83475292.246923089"/>
    <n v="610.80000000000007"/>
    <n v="0"/>
    <n v="134.80289547341587"/>
    <n v="31"/>
    <n v="0"/>
    <n v="0"/>
    <n v="0"/>
    <n v="0"/>
    <n v="25"/>
    <n v="81542546.283964381"/>
    <n v="1932745.9629587084"/>
  </r>
  <r>
    <d v="2012-02-01T00:00:00"/>
    <n v="2"/>
    <x v="2"/>
    <n v="76561559.599230751"/>
    <n v="532"/>
    <n v="0"/>
    <n v="134.92722212015877"/>
    <n v="29"/>
    <n v="0"/>
    <n v="0"/>
    <n v="0"/>
    <n v="0"/>
    <n v="26"/>
    <n v="76116084.233644649"/>
    <n v="445475.36558610201"/>
  </r>
  <r>
    <d v="2012-03-01T00:00:00"/>
    <n v="3"/>
    <x v="2"/>
    <n v="76020277.875384629"/>
    <n v="349.40000000000009"/>
    <n v="0.2"/>
    <n v="135.05166343146462"/>
    <n v="31"/>
    <n v="1"/>
    <n v="0"/>
    <n v="0"/>
    <n v="0"/>
    <n v="27"/>
    <n v="75948682.795785144"/>
    <n v="71595.079599484801"/>
  </r>
  <r>
    <d v="2012-04-01T00:00:00"/>
    <n v="4"/>
    <x v="2"/>
    <n v="69885111.659999996"/>
    <n v="321.70000000000005"/>
    <n v="0"/>
    <n v="135.17621951308675"/>
    <n v="30"/>
    <n v="0"/>
    <n v="1"/>
    <n v="0"/>
    <n v="0"/>
    <n v="28"/>
    <n v="70922558.435856849"/>
    <n v="-1037446.7758568525"/>
  </r>
  <r>
    <d v="2012-05-01T00:00:00"/>
    <n v="5"/>
    <x v="2"/>
    <n v="77152267.277272731"/>
    <n v="81.300000000000011"/>
    <n v="36.700000000000003"/>
    <n v="135.30089047087608"/>
    <n v="31"/>
    <n v="0"/>
    <n v="0"/>
    <n v="1"/>
    <n v="0"/>
    <n v="29"/>
    <n v="75169181.060763493"/>
    <n v="1983086.2165092379"/>
  </r>
  <r>
    <d v="2012-06-01T00:00:00"/>
    <n v="6"/>
    <x v="2"/>
    <n v="83683996.899090916"/>
    <n v="23.2"/>
    <n v="101.60000000000001"/>
    <n v="135.42567641078114"/>
    <n v="30"/>
    <n v="0"/>
    <n v="0"/>
    <n v="0"/>
    <n v="0"/>
    <n v="30"/>
    <n v="83348778.726111874"/>
    <n v="335218.17297904193"/>
  </r>
  <r>
    <d v="2012-07-01T00:00:00"/>
    <n v="7"/>
    <x v="2"/>
    <n v="97430291.178181812"/>
    <n v="0"/>
    <n v="190.09999999999997"/>
    <n v="135.55057743884817"/>
    <n v="31"/>
    <n v="0"/>
    <n v="0"/>
    <n v="0"/>
    <n v="0"/>
    <n v="31"/>
    <n v="96030918.779882506"/>
    <n v="1399372.3982993066"/>
  </r>
  <r>
    <d v="2012-08-01T00:00:00"/>
    <n v="8"/>
    <x v="2"/>
    <n v="90717698.745454535"/>
    <n v="2"/>
    <n v="112.10000000000001"/>
    <n v="135.67559366122123"/>
    <n v="31"/>
    <n v="0"/>
    <n v="0"/>
    <n v="0"/>
    <n v="0"/>
    <n v="32"/>
    <n v="86305928.144156024"/>
    <n v="4411770.601298511"/>
  </r>
  <r>
    <d v="2012-09-01T00:00:00"/>
    <n v="9"/>
    <x v="2"/>
    <n v="77862574.99090907"/>
    <n v="85"/>
    <n v="35.6"/>
    <n v="135.80072518414227"/>
    <n v="30"/>
    <n v="0"/>
    <n v="0"/>
    <n v="0"/>
    <n v="0"/>
    <n v="33"/>
    <n v="75787495.203339711"/>
    <n v="2075079.7875693589"/>
  </r>
  <r>
    <d v="2012-10-01T00:00:00"/>
    <n v="10"/>
    <x v="2"/>
    <n v="75966062.297272757"/>
    <n v="242.50000000000003"/>
    <n v="1.1000000000000001"/>
    <n v="135.92597211395122"/>
    <n v="31"/>
    <n v="0"/>
    <n v="0"/>
    <n v="0"/>
    <n v="1"/>
    <n v="34"/>
    <n v="73829373.038768142"/>
    <n v="2136689.2585046142"/>
  </r>
  <r>
    <d v="2012-11-01T00:00:00"/>
    <n v="11"/>
    <x v="2"/>
    <n v="77579680.941818193"/>
    <n v="433.99999999999994"/>
    <n v="0"/>
    <n v="136.05133455708605"/>
    <n v="30"/>
    <n v="0"/>
    <n v="0"/>
    <n v="0"/>
    <n v="0"/>
    <n v="35"/>
    <n v="76114998.099659368"/>
    <n v="1464682.8421588242"/>
  </r>
  <r>
    <d v="2012-12-01T00:00:00"/>
    <n v="12"/>
    <x v="2"/>
    <n v="78044416.993636355"/>
    <n v="533.50000000000011"/>
    <n v="0"/>
    <n v="136.17681262008293"/>
    <n v="31"/>
    <n v="0"/>
    <n v="0"/>
    <n v="0"/>
    <n v="0"/>
    <n v="36"/>
    <n v="79549574.646311119"/>
    <n v="-1505157.6526747644"/>
  </r>
  <r>
    <d v="2013-01-01T00:00:00"/>
    <n v="1"/>
    <x v="3"/>
    <n v="84721792.143333375"/>
    <n v="624.40000000000009"/>
    <n v="0"/>
    <n v="136.33254285243484"/>
    <n v="31"/>
    <n v="0"/>
    <n v="0"/>
    <n v="0"/>
    <n v="0"/>
    <n v="37"/>
    <n v="80760916.859124705"/>
    <n v="3960875.2842086703"/>
  </r>
  <r>
    <d v="2013-02-01T00:00:00"/>
    <n v="2"/>
    <x v="3"/>
    <n v="76515852.360000014"/>
    <n v="631.49999999999989"/>
    <n v="0"/>
    <n v="136.4884511760844"/>
    <n v="28"/>
    <n v="0"/>
    <n v="0"/>
    <n v="0"/>
    <n v="0"/>
    <n v="38"/>
    <n v="74440250.498076394"/>
    <n v="2075601.8619236201"/>
  </r>
  <r>
    <d v="2013-03-01T00:00:00"/>
    <n v="3"/>
    <x v="3"/>
    <n v="80320040.103333354"/>
    <n v="554.79999999999995"/>
    <n v="0"/>
    <n v="136.64453779469474"/>
    <n v="31"/>
    <n v="1"/>
    <n v="0"/>
    <n v="0"/>
    <n v="0"/>
    <n v="39"/>
    <n v="77871121.663812295"/>
    <n v="2448918.4395210594"/>
  </r>
  <r>
    <d v="2013-04-01T00:00:00"/>
    <n v="4"/>
    <x v="3"/>
    <n v="73854214.826666668"/>
    <n v="358.6"/>
    <n v="0"/>
    <n v="136.80080291216194"/>
    <n v="30"/>
    <n v="0"/>
    <n v="1"/>
    <n v="0"/>
    <n v="0"/>
    <n v="40"/>
    <n v="70517736.317661837"/>
    <n v="3336478.5090048313"/>
  </r>
  <r>
    <d v="2013-05-01T00:00:00"/>
    <n v="5"/>
    <x v="3"/>
    <n v="75766818.393333361"/>
    <n v="109.10000000000001"/>
    <n v="23.1"/>
    <n v="136.95724673261523"/>
    <n v="31"/>
    <n v="0"/>
    <n v="0"/>
    <n v="1"/>
    <n v="0"/>
    <n v="41"/>
    <n v="72966756.910483301"/>
    <n v="2800061.4828500599"/>
  </r>
  <r>
    <d v="2013-06-01T00:00:00"/>
    <n v="6"/>
    <x v="3"/>
    <n v="79605453.473333344"/>
    <n v="33"/>
    <n v="59.599999999999994"/>
    <n v="137.11386946041728"/>
    <n v="30"/>
    <n v="0"/>
    <n v="0"/>
    <n v="0"/>
    <n v="0"/>
    <n v="42"/>
    <n v="77388717.58126767"/>
    <n v="2216735.8920656741"/>
  </r>
  <r>
    <d v="2013-07-01T00:00:00"/>
    <n v="7"/>
    <x v="3"/>
    <n v="91347063.430000022"/>
    <n v="1.2999999999999998"/>
    <n v="120.80000000000003"/>
    <n v="137.27067130016448"/>
    <n v="31"/>
    <n v="0"/>
    <n v="0"/>
    <n v="0"/>
    <n v="0"/>
    <n v="43"/>
    <n v="86583173.234003916"/>
    <n v="4763890.1959961057"/>
  </r>
  <r>
    <d v="2013-08-01T00:00:00"/>
    <n v="8"/>
    <x v="3"/>
    <n v="86194913.580000013"/>
    <n v="4.4000000000000004"/>
    <n v="93.799999999999983"/>
    <n v="137.42765245668718"/>
    <n v="31"/>
    <n v="0"/>
    <n v="0"/>
    <n v="0"/>
    <n v="0"/>
    <n v="44"/>
    <n v="83213432.016844526"/>
    <n v="2981481.5631554872"/>
  </r>
  <r>
    <d v="2013-09-01T00:00:00"/>
    <n v="9"/>
    <x v="3"/>
    <n v="77473370.183333322"/>
    <n v="82.999999999999986"/>
    <n v="28.099999999999998"/>
    <n v="137.58481313504998"/>
    <n v="30"/>
    <n v="0"/>
    <n v="0"/>
    <n v="0"/>
    <n v="0"/>
    <n v="45"/>
    <n v="73988808.675118357"/>
    <n v="3484561.5082149655"/>
  </r>
  <r>
    <d v="2013-10-01T00:00:00"/>
    <n v="10"/>
    <x v="3"/>
    <n v="76800878.560000002"/>
    <n v="208.5"/>
    <n v="0.4"/>
    <n v="137.74215354055198"/>
    <n v="31"/>
    <n v="0"/>
    <n v="0"/>
    <n v="0"/>
    <n v="1"/>
    <n v="46"/>
    <n v="72440633.404899582"/>
    <n v="4360245.1551004201"/>
  </r>
  <r>
    <d v="2013-11-01T00:00:00"/>
    <n v="11"/>
    <x v="3"/>
    <n v="77253769.396666661"/>
    <n v="478.20000000000005"/>
    <n v="0"/>
    <n v="137.89967387872707"/>
    <n v="30"/>
    <n v="0"/>
    <n v="0"/>
    <n v="0"/>
    <n v="0"/>
    <n v="47"/>
    <n v="75928962.434670761"/>
    <n v="1324806.9619958997"/>
  </r>
  <r>
    <d v="2013-12-01T00:00:00"/>
    <n v="12"/>
    <x v="3"/>
    <n v="81481312.549999997"/>
    <n v="687.9"/>
    <n v="0"/>
    <n v="138.05737435534434"/>
    <n v="31"/>
    <n v="0"/>
    <n v="0"/>
    <n v="0"/>
    <n v="0"/>
    <n v="48"/>
    <n v="80929295.718067899"/>
    <n v="552016.83193209767"/>
  </r>
  <r>
    <d v="2014-01-01T00:00:00"/>
    <n v="1"/>
    <x v="4"/>
    <n v="87110628.419999987"/>
    <n v="825.90000000000009"/>
    <n v="0"/>
    <n v="138.29854859030914"/>
    <n v="31"/>
    <n v="0"/>
    <n v="0"/>
    <n v="0"/>
    <n v="0"/>
    <n v="49"/>
    <n v="82847061.811006233"/>
    <n v="4263566.6089937538"/>
  </r>
  <r>
    <d v="2014-02-01T00:00:00"/>
    <n v="2"/>
    <x v="4"/>
    <n v="75310896.296666682"/>
    <n v="737.09999999999991"/>
    <n v="0"/>
    <n v="138.54014413570292"/>
    <n v="28"/>
    <n v="0"/>
    <n v="0"/>
    <n v="0"/>
    <n v="0"/>
    <n v="50"/>
    <n v="75222865.362646416"/>
    <n v="88030.934020265937"/>
  </r>
  <r>
    <d v="2014-03-01T00:00:00"/>
    <n v="3"/>
    <x v="4"/>
    <n v="79598361.859999985"/>
    <n v="690.6"/>
    <n v="0"/>
    <n v="138.78216172751834"/>
    <n v="31"/>
    <n v="1"/>
    <n v="0"/>
    <n v="0"/>
    <n v="0"/>
    <n v="51"/>
    <n v="79122858.305154189"/>
    <n v="475503.55484579504"/>
  </r>
  <r>
    <d v="2014-04-01T00:00:00"/>
    <n v="4"/>
    <x v="4"/>
    <n v="69107663.240000024"/>
    <n v="356.90000000000003"/>
    <n v="0"/>
    <n v="139.02460210303386"/>
    <n v="30"/>
    <n v="0"/>
    <n v="1"/>
    <n v="0"/>
    <n v="0"/>
    <n v="52"/>
    <n v="69881445.642682672"/>
    <n v="-773782.40268264711"/>
  </r>
  <r>
    <d v="2014-05-01T00:00:00"/>
    <n v="5"/>
    <x v="4"/>
    <n v="69871028.140769228"/>
    <n v="132.10000000000005"/>
    <n v="11.9"/>
    <n v="139.26746600081583"/>
    <n v="31"/>
    <n v="0"/>
    <n v="0"/>
    <n v="1"/>
    <n v="0"/>
    <n v="53"/>
    <n v="71333908.820319191"/>
    <n v="-1462880.6795499623"/>
  </r>
  <r>
    <d v="2014-06-01T00:00:00"/>
    <n v="6"/>
    <x v="4"/>
    <n v="77517701.584615394"/>
    <n v="14.1"/>
    <n v="68.099999999999994"/>
    <n v="139.51075416072086"/>
    <n v="30"/>
    <n v="0"/>
    <n v="0"/>
    <n v="0"/>
    <n v="0"/>
    <n v="54"/>
    <n v="77654386.108740941"/>
    <n v="-136684.52412554622"/>
  </r>
  <r>
    <d v="2014-07-01T00:00:00"/>
    <n v="7"/>
    <x v="4"/>
    <n v="79980081.605384618"/>
    <n v="4"/>
    <n v="71"/>
    <n v="139.75446732389804"/>
    <n v="31"/>
    <n v="0"/>
    <n v="0"/>
    <n v="0"/>
    <n v="0"/>
    <n v="55"/>
    <n v="79969311.291898116"/>
    <n v="10770.313486501575"/>
  </r>
  <r>
    <d v="2014-08-01T00:00:00"/>
    <n v="8"/>
    <x v="4"/>
    <n v="78148911.668461546"/>
    <n v="8.7999999999999989"/>
    <n v="81.799999999999983"/>
    <n v="139.9986062327911"/>
    <n v="31"/>
    <n v="0"/>
    <n v="0"/>
    <n v="0"/>
    <n v="0"/>
    <n v="56"/>
    <n v="81355318.84685801"/>
    <n v="-3206407.1783964634"/>
  </r>
  <r>
    <d v="2014-09-01T00:00:00"/>
    <n v="9"/>
    <x v="4"/>
    <n v="73189575.230769232"/>
    <n v="69.700000000000017"/>
    <n v="30.099999999999998"/>
    <n v="140.24317163114083"/>
    <n v="30"/>
    <n v="0"/>
    <n v="0"/>
    <n v="0"/>
    <n v="0"/>
    <n v="57"/>
    <n v="73663053.79521738"/>
    <n v="-473478.56444814801"/>
  </r>
  <r>
    <d v="2014-10-01T00:00:00"/>
    <n v="10"/>
    <x v="4"/>
    <n v="72005492.011538461"/>
    <n v="224.30000000000004"/>
    <n v="1.3"/>
    <n v="140.48816426398724"/>
    <n v="31"/>
    <n v="0"/>
    <n v="0"/>
    <n v="0"/>
    <n v="1"/>
    <n v="58"/>
    <n v="72433049.267522842"/>
    <n v="-427557.25598438084"/>
  </r>
  <r>
    <d v="2014-11-01T00:00:00"/>
    <n v="11"/>
    <x v="4"/>
    <n v="74401960.572307676"/>
    <n v="482.1"/>
    <n v="0"/>
    <n v="140.73358487767186"/>
    <n v="30"/>
    <n v="0"/>
    <n v="0"/>
    <n v="0"/>
    <n v="0"/>
    <n v="59"/>
    <n v="75688157.940001056"/>
    <n v="-1286197.3676933795"/>
  </r>
  <r>
    <d v="2014-12-01T00:00:00"/>
    <n v="12"/>
    <x v="4"/>
    <n v="77304484.726153851"/>
    <n v="557.29999999999995"/>
    <n v="0"/>
    <n v="140.97943421984021"/>
    <n v="31"/>
    <n v="0"/>
    <n v="0"/>
    <n v="0"/>
    <n v="0"/>
    <n v="60"/>
    <n v="78843658.118787959"/>
    <n v="-1539173.3926341087"/>
  </r>
  <r>
    <d v="2015-01-01T00:00:00"/>
    <n v="1"/>
    <x v="5"/>
    <n v="84626740.919999987"/>
    <n v="792.39999999999975"/>
    <n v="0"/>
    <n v="141.3034903565966"/>
    <n v="31"/>
    <n v="0"/>
    <n v="0"/>
    <n v="0"/>
    <n v="0"/>
    <n v="61"/>
    <n v="82169343.111443505"/>
    <n v="2457397.8085564822"/>
  </r>
  <r>
    <d v="2015-02-01T00:00:00"/>
    <n v="2"/>
    <x v="5"/>
    <n v="77436620.475384608"/>
    <n v="856.8"/>
    <n v="0"/>
    <n v="141.62829137064909"/>
    <n v="28"/>
    <n v="0"/>
    <n v="0"/>
    <n v="0"/>
    <n v="0"/>
    <n v="62"/>
    <n v="76741803.501491502"/>
    <n v="694816.97389310598"/>
  </r>
  <r>
    <d v="2015-03-01T00:00:00"/>
    <n v="3"/>
    <x v="5"/>
    <n v="78097659.106923103"/>
    <n v="615.49999999999989"/>
    <n v="0"/>
    <n v="141.95383897417693"/>
    <n v="31"/>
    <n v="1"/>
    <n v="0"/>
    <n v="0"/>
    <n v="0"/>
    <n v="63"/>
    <n v="77946957.967881843"/>
    <n v="150701.13904125988"/>
  </r>
  <r>
    <d v="2015-04-01T00:00:00"/>
    <n v="4"/>
    <x v="5"/>
    <n v="68989289.843076915"/>
    <n v="313.7"/>
    <n v="0"/>
    <n v="142.28013488329495"/>
    <n v="30"/>
    <n v="0"/>
    <n v="1"/>
    <n v="0"/>
    <n v="0"/>
    <n v="64"/>
    <n v="69197485.573836729"/>
    <n v="-208195.73075981438"/>
  </r>
  <r>
    <d v="2015-05-01T00:00:00"/>
    <n v="5"/>
    <x v="5"/>
    <n v="73375077.214615405"/>
    <n v="89.3"/>
    <n v="34.1"/>
    <n v="142.60718081806269"/>
    <n v="31"/>
    <n v="0"/>
    <n v="0"/>
    <n v="1"/>
    <n v="0"/>
    <n v="65"/>
    <n v="73451726.509749502"/>
    <n v="-76649.295134097338"/>
  </r>
  <r>
    <d v="2015-06-01T00:00:00"/>
    <n v="6"/>
    <x v="5"/>
    <n v="75340519.323076934"/>
    <n v="33.800000000000004"/>
    <n v="32.299999999999997"/>
    <n v="142.93497850249344"/>
    <n v="30"/>
    <n v="0"/>
    <n v="0"/>
    <n v="0"/>
    <n v="0"/>
    <n v="66"/>
    <n v="73503532.621019349"/>
    <n v="1836986.7020575851"/>
  </r>
  <r>
    <d v="2015-07-01T00:00:00"/>
    <n v="7"/>
    <x v="5"/>
    <n v="85365000.161538452"/>
    <n v="4"/>
    <n v="114.29999999999998"/>
    <n v="143.26352966456326"/>
    <n v="31"/>
    <n v="0"/>
    <n v="0"/>
    <n v="0"/>
    <n v="0"/>
    <n v="67"/>
    <n v="85392737.886916265"/>
    <n v="-27737.725377812982"/>
  </r>
  <r>
    <d v="2015-08-01T00:00:00"/>
    <n v="8"/>
    <x v="5"/>
    <n v="81751305.839230776"/>
    <n v="4.4000000000000004"/>
    <n v="88.6"/>
    <n v="143.59283603622018"/>
    <n v="31"/>
    <n v="0"/>
    <n v="0"/>
    <n v="0"/>
    <n v="0"/>
    <n v="68"/>
    <n v="82235694.653301939"/>
    <n v="-484388.81407116354"/>
  </r>
  <r>
    <d v="2015-09-01T00:00:00"/>
    <n v="9"/>
    <x v="5"/>
    <n v="79343691.187692299"/>
    <n v="31.099999999999994"/>
    <n v="81.900000000000006"/>
    <n v="143.92289935339329"/>
    <n v="30"/>
    <n v="0"/>
    <n v="0"/>
    <n v="0"/>
    <n v="0"/>
    <n v="69"/>
    <n v="79686373.851757482"/>
    <n v="-342682.66406518221"/>
  </r>
  <r>
    <d v="2015-10-01T00:00:00"/>
    <n v="10"/>
    <x v="5"/>
    <n v="71236445.923076928"/>
    <n v="249.8"/>
    <n v="0"/>
    <n v="144.2537213560019"/>
    <n v="31"/>
    <n v="0"/>
    <n v="0"/>
    <n v="0"/>
    <n v="1"/>
    <n v="70"/>
    <n v="72818396.098952308"/>
    <n v="-1581950.1758753806"/>
  </r>
  <r>
    <d v="2015-11-01T00:00:00"/>
    <n v="11"/>
    <x v="5"/>
    <n v="71636023.820769221"/>
    <n v="345"/>
    <n v="0"/>
    <n v="144.58530378796473"/>
    <n v="30"/>
    <n v="0"/>
    <n v="0"/>
    <n v="0"/>
    <n v="0"/>
    <n v="71"/>
    <n v="73993831.576715842"/>
    <n v="-2357807.7559466213"/>
  </r>
  <r>
    <d v="2015-12-01T00:00:00"/>
    <n v="12"/>
    <x v="5"/>
    <n v="73291493.167692319"/>
    <n v="429.70000000000005"/>
    <n v="0"/>
    <n v="144.91764839720901"/>
    <n v="31"/>
    <n v="0"/>
    <n v="0"/>
    <n v="0"/>
    <n v="0"/>
    <n v="72"/>
    <n v="77327776.855287954"/>
    <n v="-4036283.6875956357"/>
  </r>
  <r>
    <d v="2016-01-01T00:00:00"/>
    <n v="1"/>
    <x v="6"/>
    <n v="79986061.065384641"/>
    <n v="670.4"/>
    <n v="0"/>
    <n v="145.18982487994964"/>
    <n v="31"/>
    <n v="0"/>
    <n v="0"/>
    <n v="0"/>
    <n v="0"/>
    <n v="73"/>
    <n v="80705242.386302456"/>
    <n v="-719181.32091781497"/>
  </r>
  <r>
    <d v="2016-02-01T00:00:00"/>
    <n v="2"/>
    <x v="6"/>
    <n v="73679442.001538455"/>
    <n v="588.4"/>
    <n v="0"/>
    <n v="145.46251254982707"/>
    <n v="29"/>
    <n v="0"/>
    <n v="0"/>
    <n v="0"/>
    <n v="0"/>
    <n v="74"/>
    <n v="75310828.489611015"/>
    <n v="-1631386.4880725592"/>
  </r>
  <r>
    <d v="2016-03-01T00:00:00"/>
    <n v="3"/>
    <x v="6"/>
    <n v="73829400.356153846"/>
    <n v="476.0999999999998"/>
    <n v="0"/>
    <n v="145.73571236692533"/>
    <n v="31"/>
    <n v="1"/>
    <n v="0"/>
    <n v="0"/>
    <n v="0"/>
    <n v="75"/>
    <n v="76184037.884185567"/>
    <n v="-2354637.5280317217"/>
  </r>
  <r>
    <d v="2016-04-01T00:00:00"/>
    <n v="4"/>
    <x v="6"/>
    <n v="69308215.465384632"/>
    <n v="394.8"/>
    <n v="0"/>
    <n v="146.00942529313159"/>
    <n v="30"/>
    <n v="0"/>
    <n v="1"/>
    <n v="0"/>
    <n v="0"/>
    <n v="76"/>
    <n v="70506723.832605451"/>
    <n v="-1198508.367220819"/>
  </r>
  <r>
    <d v="2016-05-01T00:00:00"/>
    <n v="5"/>
    <x v="6"/>
    <n v="72726898.225384623"/>
    <n v="142.50000000000003"/>
    <n v="36.9"/>
    <n v="146.28365229213961"/>
    <n v="31"/>
    <n v="0"/>
    <n v="0"/>
    <n v="1"/>
    <n v="0"/>
    <n v="77"/>
    <n v="74688520.296297923"/>
    <n v="-1961622.0709132999"/>
  </r>
  <r>
    <d v="2016-06-01T00:00:00"/>
    <n v="6"/>
    <x v="6"/>
    <n v="79069060.420000032"/>
    <n v="24.200000000000003"/>
    <n v="83.7"/>
    <n v="146.55839432945308"/>
    <n v="30"/>
    <n v="0"/>
    <n v="0"/>
    <n v="0"/>
    <n v="0"/>
    <n v="78"/>
    <n v="79855660.565043703"/>
    <n v="-786600.14504367113"/>
  </r>
  <r>
    <d v="2016-07-01T00:00:00"/>
    <n v="7"/>
    <x v="6"/>
    <n v="90249922.476153865"/>
    <n v="0"/>
    <n v="176.89999999999998"/>
    <n v="146.83365237238908"/>
    <n v="31"/>
    <n v="0"/>
    <n v="0"/>
    <n v="0"/>
    <n v="0"/>
    <n v="79"/>
    <n v="93184534.854763314"/>
    <n v="-2934612.3786094487"/>
  </r>
  <r>
    <d v="2016-08-01T00:00:00"/>
    <n v="8"/>
    <x v="6"/>
    <n v="94016713.441538468"/>
    <n v="0"/>
    <n v="195.4"/>
    <n v="147.10942739008146"/>
    <n v="31"/>
    <n v="0"/>
    <n v="0"/>
    <n v="0"/>
    <n v="0"/>
    <n v="80"/>
    <n v="95474174.506461546"/>
    <n v="-1457461.0649230778"/>
  </r>
  <r>
    <d v="2016-09-01T00:00:00"/>
    <n v="9"/>
    <x v="6"/>
    <n v="77678226.287692308"/>
    <n v="25.900000000000006"/>
    <n v="69.400000000000006"/>
    <n v="147.3857203534842"/>
    <n v="30"/>
    <n v="0"/>
    <n v="0"/>
    <n v="0"/>
    <n v="0"/>
    <n v="81"/>
    <n v="78094383.186800137"/>
    <n v="-416156.89910782874"/>
  </r>
  <r>
    <d v="2016-10-01T00:00:00"/>
    <n v="10"/>
    <x v="6"/>
    <n v="71025278.580769241"/>
    <n v="194.20000000000002"/>
    <n v="4.0999999999999996"/>
    <n v="147.6625322353749"/>
    <n v="31"/>
    <n v="0"/>
    <n v="0"/>
    <n v="0"/>
    <n v="1"/>
    <n v="82"/>
    <n v="72548052.248683527"/>
    <n v="-1522773.6679142863"/>
  </r>
  <r>
    <d v="2016-11-01T00:00:00"/>
    <n v="11"/>
    <x v="6"/>
    <n v="71123495.761538461"/>
    <n v="337.80000000000007"/>
    <n v="0"/>
    <n v="147.93986401035815"/>
    <n v="30"/>
    <n v="0"/>
    <n v="0"/>
    <n v="0"/>
    <n v="0"/>
    <n v="83"/>
    <n v="73867320.695161223"/>
    <n v="-2743824.9336227626"/>
  </r>
  <r>
    <d v="2016-12-01T00:00:00"/>
    <n v="12"/>
    <x v="6"/>
    <n v="76024870.703076944"/>
    <n v="607.99999999999989"/>
    <n v="0"/>
    <n v="148.21771665486904"/>
    <n v="31"/>
    <n v="0"/>
    <n v="0"/>
    <n v="0"/>
    <n v="0"/>
    <n v="84"/>
    <n v="79780455.491017982"/>
    <n v="-3755584.7879410386"/>
  </r>
  <r>
    <d v="2017-01-01T00:00:00"/>
    <n v="1"/>
    <x v="7"/>
    <n v="78997942.227619052"/>
    <n v="608.9"/>
    <n v="0"/>
    <n v="148.6475381454095"/>
    <n v="31"/>
    <n v="0"/>
    <n v="0"/>
    <n v="0"/>
    <n v="0"/>
    <n v="85"/>
    <n v="79869020.280506536"/>
    <n v="-871078.05288748443"/>
  </r>
  <r>
    <d v="2017-02-01T00:00:00"/>
    <n v="2"/>
    <x v="7"/>
    <n v="69829356.909999996"/>
    <n v="510.4"/>
    <n v="0"/>
    <n v="149.07860608959868"/>
    <n v="28"/>
    <n v="0"/>
    <n v="0"/>
    <n v="0"/>
    <n v="0"/>
    <n v="86"/>
    <n v="72206849.707884058"/>
    <n v="-2377492.7978840619"/>
  </r>
  <r>
    <d v="2017-03-01T00:00:00"/>
    <n v="3"/>
    <x v="7"/>
    <n v="76565564.916190505"/>
    <n v="574"/>
    <n v="0"/>
    <n v="149.51092410206903"/>
    <n v="31"/>
    <n v="1"/>
    <n v="0"/>
    <n v="0"/>
    <n v="0"/>
    <n v="87"/>
    <n v="77753267.760220423"/>
    <n v="-1187702.8440299183"/>
  </r>
  <r>
    <d v="2017-04-01T00:00:00"/>
    <n v="4"/>
    <x v="7"/>
    <n v="66644954.449523814"/>
    <n v="257.49999999999994"/>
    <n v="0"/>
    <n v="149.94449580793514"/>
    <n v="30"/>
    <n v="0"/>
    <n v="1"/>
    <n v="0"/>
    <n v="0"/>
    <n v="88"/>
    <n v="68852862.280396119"/>
    <n v="-2207907.8308723047"/>
  </r>
  <r>
    <d v="2017-05-01T00:00:00"/>
    <n v="5"/>
    <x v="7"/>
    <n v="70677545.254761904"/>
    <n v="177"/>
    <n v="9"/>
    <n v="150.37932484282425"/>
    <n v="31"/>
    <n v="0"/>
    <n v="0"/>
    <n v="1"/>
    <n v="0"/>
    <n v="89"/>
    <n v="72073793.363548279"/>
    <n v="-1396248.1087863743"/>
  </r>
  <r>
    <d v="2017-06-01T00:00:00"/>
    <n v="6"/>
    <x v="7"/>
    <n v="78699725.353333339"/>
    <n v="26.699999999999996"/>
    <n v="68.2"/>
    <n v="150.81541485290663"/>
    <n v="30"/>
    <n v="0"/>
    <n v="0"/>
    <n v="0"/>
    <n v="0"/>
    <n v="90"/>
    <n v="78412300.575968996"/>
    <n v="287424.7773643434"/>
  </r>
  <r>
    <d v="2017-07-01T00:00:00"/>
    <n v="7"/>
    <x v="7"/>
    <n v="85577695.760000005"/>
    <n v="0"/>
    <n v="116.49999999999999"/>
    <n v="151.25276949492624"/>
    <n v="31"/>
    <n v="0"/>
    <n v="0"/>
    <n v="0"/>
    <n v="0"/>
    <n v="91"/>
    <n v="86223306.239931509"/>
    <n v="-645610.47993150353"/>
  </r>
  <r>
    <d v="2017-08-01T00:00:00"/>
    <n v="8"/>
    <x v="7"/>
    <n v="83019509.650000006"/>
    <n v="11.6"/>
    <n v="75.2"/>
    <n v="151.69139243623133"/>
    <n v="31"/>
    <n v="0"/>
    <n v="0"/>
    <n v="0"/>
    <n v="0"/>
    <n v="92"/>
    <n v="81346300.406975999"/>
    <n v="1673209.2430240065"/>
  </r>
  <r>
    <d v="2017-09-01T00:00:00"/>
    <n v="9"/>
    <x v="7"/>
    <n v="77334131.13666667"/>
    <n v="49.1"/>
    <n v="71.499999999999986"/>
    <n v="152.13128735480518"/>
    <n v="30"/>
    <n v="0"/>
    <n v="0"/>
    <n v="0"/>
    <n v="0"/>
    <n v="93"/>
    <n v="79377766.792071417"/>
    <n v="-2043635.6554047465"/>
  </r>
  <r>
    <d v="2017-10-01T00:00:00"/>
    <n v="10"/>
    <x v="7"/>
    <n v="73469057.820000008"/>
    <n v="153.99999999999997"/>
    <n v="8.1"/>
    <n v="152.57245793929707"/>
    <n v="31"/>
    <n v="0"/>
    <n v="0"/>
    <n v="0"/>
    <n v="1"/>
    <n v="94"/>
    <n v="73261158.244503826"/>
    <n v="207899.57549618185"/>
  </r>
  <r>
    <d v="2017-11-01T00:00:00"/>
    <n v="11"/>
    <x v="7"/>
    <n v="74459348.126666665"/>
    <n v="414.2"/>
    <n v="0"/>
    <n v="153.01490788905303"/>
    <n v="30"/>
    <n v="0"/>
    <n v="0"/>
    <n v="0"/>
    <n v="0"/>
    <n v="95"/>
    <n v="75809207.919394091"/>
    <n v="-1349859.7927274257"/>
  </r>
  <r>
    <d v="2017-12-01T00:00:00"/>
    <n v="12"/>
    <x v="7"/>
    <n v="79667517.416666657"/>
    <n v="718.49999999999989"/>
    <n v="0"/>
    <n v="153.45864091414703"/>
    <n v="31"/>
    <n v="0"/>
    <n v="0"/>
    <n v="0"/>
    <n v="0"/>
    <n v="96"/>
    <n v="82287794.55542703"/>
    <n v="-2620277.138760373"/>
  </r>
  <r>
    <d v="2018-01-01T00:00:00"/>
    <n v="1"/>
    <x v="8"/>
    <n v="84752511.140000001"/>
    <n v="732.29999999999984"/>
    <n v="0"/>
    <n v="153.85890281731997"/>
    <n v="31"/>
    <n v="0"/>
    <n v="0"/>
    <n v="0"/>
    <n v="0"/>
    <n v="97"/>
    <n v="82542340.93903257"/>
    <n v="2210170.2009674311"/>
  </r>
  <r>
    <d v="2018-02-01T00:00:00"/>
    <n v="2"/>
    <x v="8"/>
    <n v="72631313.480000004"/>
    <n v="555.00000000000023"/>
    <n v="0"/>
    <n v="154.26020871247783"/>
    <n v="28"/>
    <n v="0"/>
    <n v="0"/>
    <n v="0"/>
    <n v="0"/>
    <n v="98"/>
    <n v="73757065.313709319"/>
    <n v="-1125751.8337093145"/>
  </r>
  <r>
    <d v="2018-03-01T00:00:00"/>
    <n v="3"/>
    <x v="8"/>
    <n v="77931843.100000009"/>
    <n v="553.99999999999989"/>
    <n v="0"/>
    <n v="154.66256132263587"/>
    <n v="31"/>
    <n v="1"/>
    <n v="0"/>
    <n v="0"/>
    <n v="0"/>
    <n v="99"/>
    <n v="78379875.106568143"/>
    <n v="-448032.00656813383"/>
  </r>
  <r>
    <d v="2018-04-01T00:00:00"/>
    <n v="4"/>
    <x v="8"/>
    <n v="72888274.790000007"/>
    <n v="437.20000000000005"/>
    <n v="0"/>
    <n v="155.06596337791169"/>
    <n v="30"/>
    <n v="0"/>
    <n v="1"/>
    <n v="0"/>
    <n v="0"/>
    <n v="100"/>
    <n v="72270889.651731431"/>
    <n v="617385.13826857507"/>
  </r>
  <r>
    <d v="2018-05-01T00:00:00"/>
    <n v="5"/>
    <x v="8"/>
    <n v="76624694.199999973"/>
    <n v="75.3"/>
    <n v="43.4"/>
    <n v="155.47041761554377"/>
    <n v="31"/>
    <n v="0"/>
    <n v="0"/>
    <n v="1"/>
    <n v="0"/>
    <n v="101"/>
    <n v="75785603.96441631"/>
    <n v="839090.23558366299"/>
  </r>
  <r>
    <d v="2018-06-01T00:00:00"/>
    <n v="6"/>
    <x v="8"/>
    <n v="80769043.830000013"/>
    <n v="14.799999999999999"/>
    <n v="60.5"/>
    <n v="155.87592677991009"/>
    <n v="30"/>
    <n v="0"/>
    <n v="0"/>
    <n v="0"/>
    <n v="0"/>
    <n v="102"/>
    <n v="78150775.5373009"/>
    <n v="2618268.2926991135"/>
  </r>
  <r>
    <d v="2018-07-01T00:00:00"/>
    <n v="7"/>
    <x v="8"/>
    <n v="95230727.25999999"/>
    <n v="0"/>
    <n v="167.8"/>
    <n v="156.2824936225467"/>
    <n v="31"/>
    <n v="0"/>
    <n v="0"/>
    <n v="0"/>
    <n v="0"/>
    <n v="103"/>
    <n v="93428132.79912512"/>
    <n v="1802594.4608748704"/>
  </r>
  <r>
    <d v="2018-08-01T00:00:00"/>
    <n v="8"/>
    <x v="8"/>
    <n v="93580216.839999989"/>
    <n v="1.2"/>
    <n v="162.4"/>
    <n v="156.6901209021664"/>
    <n v="31"/>
    <n v="0"/>
    <n v="0"/>
    <n v="0"/>
    <n v="0"/>
    <n v="104"/>
    <n v="92839876.966625586"/>
    <n v="740339.87337440252"/>
  </r>
  <r>
    <d v="2018-09-01T00:00:00"/>
    <n v="9"/>
    <x v="8"/>
    <n v="79916023.120000005"/>
    <n v="41.399999999999991"/>
    <n v="76.399999999999977"/>
    <n v="157.09881138467748"/>
    <n v="30"/>
    <n v="0"/>
    <n v="0"/>
    <n v="0"/>
    <n v="0"/>
    <n v="105"/>
    <n v="80689199.955159709"/>
    <n v="-773176.83515970409"/>
  </r>
  <r>
    <d v="2018-10-01T00:00:00"/>
    <n v="10"/>
    <x v="8"/>
    <n v="75870343.00999999"/>
    <n v="289.40000000000003"/>
    <n v="8.1999999999999993"/>
    <n v="157.50856784320246"/>
    <n v="31"/>
    <n v="0"/>
    <n v="0"/>
    <n v="0"/>
    <n v="1"/>
    <n v="106"/>
    <n v="75972643.239235893"/>
    <n v="-102300.22923590243"/>
  </r>
  <r>
    <d v="2018-11-01T00:00:00"/>
    <n v="11"/>
    <x v="8"/>
    <n v="77972578.930000007"/>
    <n v="494.1"/>
    <n v="0"/>
    <n v="157.91939305809689"/>
    <n v="30"/>
    <n v="0"/>
    <n v="0"/>
    <n v="0"/>
    <n v="0"/>
    <n v="107"/>
    <n v="77711738.91362913"/>
    <n v="260840.01637087762"/>
  </r>
  <r>
    <d v="2018-12-01T00:00:00"/>
    <n v="12"/>
    <x v="8"/>
    <n v="77716342.479999989"/>
    <n v="563.60000000000014"/>
    <n v="0"/>
    <n v="158.33128981696836"/>
    <n v="31"/>
    <n v="0"/>
    <n v="0"/>
    <n v="0"/>
    <n v="0"/>
    <n v="108"/>
    <n v="80873328.749843702"/>
    <n v="-3156986.2698437124"/>
  </r>
  <r>
    <d v="2019-01-01T00:00:00"/>
    <n v="1"/>
    <x v="9"/>
    <n v="85029523.596500009"/>
    <n v="764.5"/>
    <n v="0"/>
    <n v="158.56186296962741"/>
    <n v="31"/>
    <n v="0"/>
    <n v="0"/>
    <n v="0"/>
    <n v="0"/>
    <n v="109"/>
    <n v="83669744.944495216"/>
    <n v="1359778.6520047933"/>
  </r>
  <r>
    <d v="2019-02-01T00:00:00"/>
    <n v="2"/>
    <x v="9"/>
    <n v="75571374.736000016"/>
    <n v="621.70000000000016"/>
    <n v="0"/>
    <n v="158.79277189911735"/>
    <n v="28"/>
    <n v="0"/>
    <n v="0"/>
    <n v="0"/>
    <n v="0"/>
    <n v="110"/>
    <n v="75280948.728440478"/>
    <n v="290426.00755953789"/>
  </r>
  <r>
    <d v="2019-03-01T00:00:00"/>
    <n v="3"/>
    <x v="9"/>
    <n v="79381068.277800009"/>
    <n v="593.90000000000009"/>
    <n v="0"/>
    <n v="159.02401709442"/>
    <n v="31"/>
    <n v="1"/>
    <n v="0"/>
    <n v="0"/>
    <n v="0"/>
    <n v="111"/>
    <n v="79438205.295614198"/>
    <n v="-57137.017814189196"/>
  </r>
  <r>
    <d v="2019-04-01T00:00:00"/>
    <n v="4"/>
    <x v="9"/>
    <n v="73998852.774599999"/>
    <n v="346.8"/>
    <n v="0"/>
    <n v="159.2555990452293"/>
    <n v="30"/>
    <n v="0"/>
    <n v="1"/>
    <n v="0"/>
    <n v="0"/>
    <n v="112"/>
    <n v="71408448.296560004"/>
    <n v="2590404.4780399948"/>
  </r>
  <r>
    <d v="2019-05-01T00:00:00"/>
    <n v="5"/>
    <x v="9"/>
    <n v="74079885.052200004"/>
    <n v="180.99999999999997"/>
    <n v="0"/>
    <n v="159.48751824195227"/>
    <n v="31"/>
    <n v="0"/>
    <n v="0"/>
    <n v="1"/>
    <n v="0"/>
    <n v="113"/>
    <n v="72209151.545757622"/>
    <n v="1870733.5064423829"/>
  </r>
  <r>
    <d v="2019-06-01T00:00:00"/>
    <n v="6"/>
    <x v="9"/>
    <n v="77200774.899399996"/>
    <n v="35.5"/>
    <n v="41.300000000000004"/>
    <n v="159.71977517571011"/>
    <n v="30"/>
    <n v="0"/>
    <n v="0"/>
    <n v="0"/>
    <n v="0"/>
    <n v="114"/>
    <n v="76289983.863540217"/>
    <n v="910791.03585977852"/>
  </r>
  <r>
    <d v="2019-07-01T00:00:00"/>
    <n v="7"/>
    <x v="9"/>
    <n v="97266632.718700007"/>
    <n v="0"/>
    <n v="166.90000000000003"/>
    <n v="159.95237033833922"/>
    <n v="31"/>
    <n v="0"/>
    <n v="0"/>
    <n v="0"/>
    <n v="0"/>
    <n v="115"/>
    <n v="93454955.19863306"/>
    <n v="3811677.5200669467"/>
  </r>
  <r>
    <d v="2019-08-01T00:00:00"/>
    <n v="8"/>
    <x v="9"/>
    <n v="88226114.621299982"/>
    <n v="0.89999999999999991"/>
    <n v="103.30000000000003"/>
    <n v="160.18530422239229"/>
    <n v="31"/>
    <n v="0"/>
    <n v="0"/>
    <n v="0"/>
    <n v="0"/>
    <n v="116"/>
    <n v="85555904.804488406"/>
    <n v="2670209.8168115765"/>
  </r>
  <r>
    <d v="2019-09-01T00:00:00"/>
    <n v="9"/>
    <x v="9"/>
    <n v="76664331.356100008"/>
    <n v="38.400000000000006"/>
    <n v="25.400000000000002"/>
    <n v="160.41857732113922"/>
    <n v="30"/>
    <n v="0"/>
    <n v="0"/>
    <n v="0"/>
    <n v="0"/>
    <n v="117"/>
    <n v="74280470.134656981"/>
    <n v="2383861.2214430273"/>
  </r>
  <r>
    <d v="2019-10-01T00:00:00"/>
    <n v="10"/>
    <x v="9"/>
    <n v="75138464.501400009"/>
    <n v="236.5"/>
    <n v="5.0999999999999996"/>
    <n v="160.65219012856832"/>
    <n v="31"/>
    <n v="0"/>
    <n v="0"/>
    <n v="0"/>
    <n v="1"/>
    <n v="118"/>
    <n v="74709880.365121007"/>
    <n v="428584.13627900183"/>
  </r>
  <r>
    <d v="2019-11-01T00:00:00"/>
    <n v="11"/>
    <x v="9"/>
    <n v="79324528.1259"/>
    <n v="513.30000000000007"/>
    <n v="0"/>
    <n v="160.88614313938723"/>
    <n v="30"/>
    <n v="0"/>
    <n v="0"/>
    <n v="0"/>
    <n v="0"/>
    <n v="119"/>
    <n v="77754968.935154065"/>
    <n v="1569559.1907459348"/>
  </r>
  <r>
    <d v="2019-12-01T00:00:00"/>
    <n v="12"/>
    <x v="9"/>
    <n v="77448670.109640002"/>
    <n v="582.4"/>
    <n v="0"/>
    <n v="161.12043684902417"/>
    <n v="31"/>
    <n v="0"/>
    <n v="0"/>
    <n v="0"/>
    <n v="0"/>
    <n v="120"/>
    <n v="80818724.753354922"/>
    <n v="-3370054.6437149197"/>
  </r>
  <r>
    <d v="2020-01-01T00:00:00"/>
    <n v="1"/>
    <x v="10"/>
    <n v="81251440.013279989"/>
    <n v="605"/>
    <n v="0"/>
    <n v="160.36267106853012"/>
    <n v="31"/>
    <n v="0"/>
    <n v="0"/>
    <n v="0"/>
    <n v="0"/>
    <n v="121"/>
    <n v="80595720.978366539"/>
    <n v="655719.03491345048"/>
  </r>
  <r>
    <d v="2020-02-01T00:00:00"/>
    <n v="2"/>
    <x v="10"/>
    <n v="75883614.011019975"/>
    <n v="611.79999999999995"/>
    <n v="0"/>
    <n v="159.60846913747267"/>
    <n v="29"/>
    <n v="0"/>
    <n v="0"/>
    <n v="0"/>
    <n v="0"/>
    <n v="122"/>
    <n v="75916364.168950006"/>
    <n v="-32750.157930031419"/>
  </r>
  <r>
    <d v="2020-03-01T00:00:00"/>
    <n v="3"/>
    <x v="10"/>
    <n v="75425735.247120008"/>
    <n v="458.69999999999993"/>
    <n v="0"/>
    <n v="158.85781429470592"/>
    <n v="31"/>
    <n v="1"/>
    <n v="0"/>
    <n v="0"/>
    <n v="0"/>
    <n v="123"/>
    <n v="75684483.313991979"/>
    <n v="-258748.06687197089"/>
  </r>
  <r>
    <d v="2020-04-01T00:00:00"/>
    <n v="4"/>
    <x v="10"/>
    <n v="68179453.099079981"/>
    <n v="362.2999999999999"/>
    <n v="0"/>
    <n v="158.11068985791331"/>
    <n v="30"/>
    <n v="0"/>
    <n v="1"/>
    <n v="0"/>
    <n v="0"/>
    <n v="124"/>
    <n v="69264897.776125386"/>
    <n v="-1085444.6770454049"/>
  </r>
  <r>
    <d v="2020-05-01T00:00:00"/>
    <n v="5"/>
    <x v="10"/>
    <n v="72113730.421249986"/>
    <n v="208.09999999999997"/>
    <n v="24.2"/>
    <n v="157.36707922323697"/>
    <n v="31"/>
    <n v="0"/>
    <n v="0"/>
    <n v="1"/>
    <n v="0"/>
    <n v="125"/>
    <n v="72722578.03837128"/>
    <n v="-608847.61712129414"/>
  </r>
  <r>
    <d v="2020-06-01T00:00:00"/>
    <n v="6"/>
    <x v="10"/>
    <n v="86099647.89466998"/>
    <n v="23.799999999999997"/>
    <n v="97.700000000000017"/>
    <n v="156.62696586490861"/>
    <n v="30"/>
    <n v="0"/>
    <n v="0"/>
    <n v="0"/>
    <n v="0"/>
    <n v="126"/>
    <n v="79745453.048620269"/>
    <n v="6354194.8460497111"/>
  </r>
  <r>
    <d v="2020-07-01T00:00:00"/>
    <n v="7"/>
    <x v="10"/>
    <n v="103947133.04603"/>
    <n v="0"/>
    <n v="215.7"/>
    <n v="155.89033333488234"/>
    <n v="31"/>
    <n v="0"/>
    <n v="0"/>
    <n v="0"/>
    <n v="0"/>
    <n v="127"/>
    <n v="95629383.497096464"/>
    <n v="8317749.5489335358"/>
  </r>
  <r>
    <d v="2020-08-01T00:00:00"/>
    <n v="8"/>
    <x v="10"/>
    <n v="92534942.41407001"/>
    <n v="0.8"/>
    <n v="126.69999999999999"/>
    <n v="155.15716526246908"/>
    <n v="31"/>
    <n v="0"/>
    <n v="0"/>
    <n v="0"/>
    <n v="0"/>
    <n v="128"/>
    <n v="84078130.662710086"/>
    <n v="8456811.7513599247"/>
  </r>
  <r>
    <d v="2020-09-01T00:00:00"/>
    <n v="9"/>
    <x v="10"/>
    <n v="76554649.522059992"/>
    <n v="69.100000000000009"/>
    <n v="33.300000000000004"/>
    <n v="154.42744535397276"/>
    <n v="30"/>
    <n v="0"/>
    <n v="0"/>
    <n v="0"/>
    <n v="0"/>
    <n v="129"/>
    <n v="70813896.70416218"/>
    <n v="5740752.8178978115"/>
  </r>
  <r>
    <d v="2020-10-01T00:00:00"/>
    <n v="10"/>
    <x v="10"/>
    <n v="74574750.82904999"/>
    <n v="270.3"/>
    <n v="0"/>
    <n v="153.70115739232821"/>
    <n v="31"/>
    <n v="0"/>
    <n v="0"/>
    <n v="0"/>
    <n v="1"/>
    <n v="130"/>
    <n v="69176708.287099823"/>
    <n v="5398042.5419501662"/>
  </r>
  <r>
    <d v="2020-11-01T00:00:00"/>
    <n v="11"/>
    <x v="10"/>
    <n v="75524140.206439972"/>
    <n v="334.79999999999995"/>
    <n v="0"/>
    <n v="152.97828523674082"/>
    <n v="30"/>
    <n v="0"/>
    <n v="0"/>
    <n v="0"/>
    <n v="0"/>
    <n v="131"/>
    <n v="69373136.75064531"/>
    <n v="6151003.4557946622"/>
  </r>
  <r>
    <d v="2020-12-01T00:00:00"/>
    <n v="12"/>
    <x v="10"/>
    <n v="78942466.150570005"/>
    <n v="567.29999999999995"/>
    <n v="0"/>
    <n v="152.25881282232783"/>
    <n v="31"/>
    <n v="0"/>
    <n v="0"/>
    <n v="0"/>
    <n v="0"/>
    <n v="132"/>
    <n v="74238530.618933901"/>
    <n v="4703935.531636104"/>
  </r>
  <r>
    <d v="2021-01-01T00:00:00"/>
    <n v="1"/>
    <x v="11"/>
    <m/>
    <n v="700.99"/>
    <n v="0"/>
    <n v="152.76950332981193"/>
    <n v="31"/>
    <n v="0"/>
    <n v="0"/>
    <n v="0"/>
    <n v="0"/>
    <n v="133"/>
    <n v="76235645.890674457"/>
    <n v="-76235645.890674457"/>
  </r>
  <r>
    <d v="2021-02-01T00:00:00"/>
    <n v="2"/>
    <x v="11"/>
    <m/>
    <n v="629.89"/>
    <n v="0"/>
    <n v="153.28190674172239"/>
    <n v="28"/>
    <n v="0"/>
    <n v="0"/>
    <n v="0"/>
    <n v="0"/>
    <n v="134"/>
    <n v="69000852.896013424"/>
    <n v="-69000852.896013424"/>
  </r>
  <r>
    <d v="2021-03-01T00:00:00"/>
    <n v="3"/>
    <x v="11"/>
    <m/>
    <n v="543.98"/>
    <n v="0.02"/>
    <n v="153.79602880330322"/>
    <n v="31"/>
    <n v="1"/>
    <n v="0"/>
    <n v="0"/>
    <n v="0"/>
    <n v="135"/>
    <n v="72490635.157562181"/>
    <n v="-72490635.157562181"/>
  </r>
  <r>
    <d v="2021-04-01T00:00:00"/>
    <n v="4"/>
    <x v="11"/>
    <m/>
    <n v="348.17999999999995"/>
    <n v="0"/>
    <n v="154.31187527906849"/>
    <n v="30"/>
    <n v="0"/>
    <n v="1"/>
    <n v="0"/>
    <n v="0"/>
    <n v="136"/>
    <n v="65327087.195326343"/>
    <n v="-65327087.195326343"/>
  </r>
  <r>
    <d v="2021-05-01T00:00:00"/>
    <n v="5"/>
    <x v="11"/>
    <m/>
    <n v="132.97999999999996"/>
    <n v="23.23"/>
    <n v="154.829451952867"/>
    <n v="31"/>
    <n v="0"/>
    <n v="0"/>
    <n v="1"/>
    <n v="0"/>
    <n v="137"/>
    <n v="68461863.855378732"/>
    <n v="-68461863.855378732"/>
  </r>
  <r>
    <d v="2021-06-01T00:00:00"/>
    <n v="6"/>
    <x v="11"/>
    <m/>
    <n v="24.6"/>
    <n v="66.52000000000001"/>
    <n v="155.34876462794719"/>
    <n v="30"/>
    <n v="0"/>
    <n v="0"/>
    <n v="0"/>
    <n v="0"/>
    <n v="138"/>
    <n v="73460241.283324778"/>
    <n v="-73460241.283324778"/>
  </r>
  <r>
    <d v="2021-07-01T00:00:00"/>
    <n v="7"/>
    <x v="11"/>
    <m/>
    <n v="1.1099999999999999"/>
    <n v="153.85"/>
    <n v="155.86981912702208"/>
    <n v="31"/>
    <n v="0"/>
    <n v="0"/>
    <n v="0"/>
    <n v="0"/>
    <n v="139"/>
    <n v="86198926.19560872"/>
    <n v="-86198926.19560872"/>
  </r>
  <r>
    <d v="2021-08-01T00:00:00"/>
    <n v="8"/>
    <x v="11"/>
    <m/>
    <n v="3.54"/>
    <n v="116.15"/>
    <n v="156.39262129233467"/>
    <n v="31"/>
    <n v="0"/>
    <n v="0"/>
    <n v="0"/>
    <n v="0"/>
    <n v="140"/>
    <n v="81683070.921624914"/>
    <n v="-81683070.921624914"/>
  </r>
  <r>
    <d v="2021-09-01T00:00:00"/>
    <n v="9"/>
    <x v="11"/>
    <m/>
    <n v="54.989999999999995"/>
    <n v="49.14"/>
    <n v="156.91717698572333"/>
    <n v="30"/>
    <n v="0"/>
    <n v="0"/>
    <n v="0"/>
    <n v="0"/>
    <n v="141"/>
    <n v="72105145.552491501"/>
    <n v="-72105145.552491501"/>
  </r>
  <r>
    <d v="2021-10-01T00:00:00"/>
    <n v="10"/>
    <x v="11"/>
    <m/>
    <n v="227.63000000000002"/>
    <n v="3.0699999999999994"/>
    <n v="157.44349208868769"/>
    <n v="31"/>
    <n v="0"/>
    <n v="0"/>
    <n v="0"/>
    <n v="1"/>
    <n v="142"/>
    <n v="69133576.788217604"/>
    <n v="-69133576.788217604"/>
  </r>
  <r>
    <d v="2021-11-01T00:00:00"/>
    <n v="11"/>
    <x v="11"/>
    <m/>
    <n v="424.61"/>
    <n v="0"/>
    <n v="157.97157250245439"/>
    <n v="30"/>
    <n v="0"/>
    <n v="0"/>
    <n v="0"/>
    <n v="0"/>
    <n v="143"/>
    <n v="71461073.716598377"/>
    <n v="-71461073.716598377"/>
  </r>
  <r>
    <d v="2021-12-01T00:00:00"/>
    <n v="12"/>
    <x v="11"/>
    <m/>
    <n v="589.11"/>
    <n v="0"/>
    <n v="158.50142414804324"/>
    <n v="31"/>
    <n v="0"/>
    <n v="0"/>
    <n v="0"/>
    <n v="0"/>
    <n v="144"/>
    <n v="76019273.668110594"/>
    <n v="-76019273.668110594"/>
  </r>
  <r>
    <d v="2022-01-01T00:00:00"/>
    <n v="1"/>
    <x v="12"/>
    <m/>
    <n v="700.99"/>
    <n v="0"/>
    <n v="159.09656722616333"/>
    <n v="31"/>
    <n v="0"/>
    <n v="0"/>
    <n v="0"/>
    <n v="0"/>
    <n v="145"/>
    <n v="77753664.294159576"/>
    <n v="-77753664.294159576"/>
  </r>
  <r>
    <d v="2022-02-01T00:00:00"/>
    <n v="2"/>
    <x v="12"/>
    <m/>
    <n v="629.89"/>
    <n v="0"/>
    <n v="159.69394495476266"/>
    <n v="28"/>
    <n v="0"/>
    <n v="0"/>
    <n v="0"/>
    <n v="0"/>
    <n v="146"/>
    <n v="70562989.922984555"/>
    <n v="-70562989.922984555"/>
  </r>
  <r>
    <d v="2022-03-01T00:00:00"/>
    <n v="3"/>
    <x v="12"/>
    <m/>
    <n v="543.98"/>
    <n v="0.02"/>
    <n v="160.29356572453409"/>
    <n v="31"/>
    <n v="1"/>
    <n v="0"/>
    <n v="0"/>
    <n v="0"/>
    <n v="147"/>
    <n v="74097163.071829483"/>
    <n v="-74097163.071829483"/>
  </r>
  <r>
    <d v="2022-04-01T00:00:00"/>
    <n v="4"/>
    <x v="12"/>
    <m/>
    <n v="348.17999999999995"/>
    <n v="0"/>
    <n v="160.89543795767591"/>
    <n v="30"/>
    <n v="0"/>
    <n v="1"/>
    <n v="0"/>
    <n v="0"/>
    <n v="148"/>
    <n v="66978279.640568212"/>
    <n v="-66978279.640568212"/>
  </r>
  <r>
    <d v="2022-05-01T00:00:00"/>
    <n v="5"/>
    <x v="12"/>
    <m/>
    <n v="132.97999999999996"/>
    <n v="23.23"/>
    <n v="161.49957010801023"/>
    <n v="31"/>
    <n v="0"/>
    <n v="0"/>
    <n v="1"/>
    <n v="0"/>
    <n v="149"/>
    <n v="70157995.861522466"/>
    <n v="-70157995.861522466"/>
  </r>
  <r>
    <d v="2022-06-01T00:00:00"/>
    <n v="6"/>
    <x v="12"/>
    <m/>
    <n v="24.6"/>
    <n v="66.52000000000001"/>
    <n v="162.10597066110165"/>
    <n v="30"/>
    <n v="0"/>
    <n v="0"/>
    <n v="0"/>
    <n v="0"/>
    <n v="150"/>
    <n v="75201589.272954956"/>
    <n v="-75201589.272954956"/>
  </r>
  <r>
    <d v="2022-07-01T00:00:00"/>
    <n v="7"/>
    <x v="12"/>
    <m/>
    <n v="1.1099999999999999"/>
    <n v="153.85"/>
    <n v="162.71464813437649"/>
    <n v="31"/>
    <n v="0"/>
    <n v="0"/>
    <n v="0"/>
    <n v="0"/>
    <n v="151"/>
    <n v="87985767.990403667"/>
    <n v="-87985767.990403667"/>
  </r>
  <r>
    <d v="2022-08-01T00:00:00"/>
    <n v="8"/>
    <x v="12"/>
    <m/>
    <n v="3.54"/>
    <n v="116.15"/>
    <n v="163.32561107724234"/>
    <n v="31"/>
    <n v="0"/>
    <n v="0"/>
    <n v="0"/>
    <n v="0"/>
    <n v="152"/>
    <n v="83515685.748821482"/>
    <n v="-83515685.748821482"/>
  </r>
  <r>
    <d v="2022-09-01T00:00:00"/>
    <n v="9"/>
    <x v="12"/>
    <m/>
    <n v="54.989999999999995"/>
    <n v="49.14"/>
    <n v="163.9388680712083"/>
    <n v="30"/>
    <n v="0"/>
    <n v="0"/>
    <n v="0"/>
    <n v="0"/>
    <n v="153"/>
    <n v="73983814.05137834"/>
    <n v="-73983814.05137834"/>
  </r>
  <r>
    <d v="2022-10-01T00:00:00"/>
    <n v="10"/>
    <x v="12"/>
    <m/>
    <n v="227.63000000000002"/>
    <n v="3.0699999999999994"/>
    <n v="164.55442773000539"/>
    <n v="31"/>
    <n v="0"/>
    <n v="0"/>
    <n v="0"/>
    <n v="1"/>
    <n v="154"/>
    <n v="71058581.016656414"/>
    <n v="-71058581.016656414"/>
  </r>
  <r>
    <d v="2022-11-01T00:00:00"/>
    <n v="11"/>
    <x v="12"/>
    <m/>
    <n v="424.61"/>
    <n v="0"/>
    <n v="165.17229869970754"/>
    <n v="30"/>
    <n v="0"/>
    <n v="0"/>
    <n v="0"/>
    <n v="0"/>
    <n v="155"/>
    <n v="73432697.157574326"/>
    <n v="-73432697.157574326"/>
  </r>
  <r>
    <d v="2022-12-01T00:00:00"/>
    <n v="12"/>
    <x v="12"/>
    <m/>
    <n v="589.11"/>
    <n v="0"/>
    <n v="165.79248965885324"/>
    <n v="31"/>
    <n v="0"/>
    <n v="0"/>
    <n v="0"/>
    <n v="0"/>
    <n v="156"/>
    <n v="78037801.236311182"/>
    <n v="-78037801.2363111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Data" updatedVersion="4" minRefreshableVersion="3" showMemberPropertyTips="0" useAutoFormatting="1" rowGrandTotals="0" colGrandTotals="0" itemPrintTitles="1" createdVersion="4" indent="0" compact="0" compactData="0" gridDropZones="1">
  <location ref="D5:J19" firstHeaderRow="1" firstDataRow="2" firstDataCol="1"/>
  <pivotFields count="15">
    <pivotField compact="0" numFmtId="17" outline="0" subtotalTop="0" showAll="0" includeNewItemsInFilter="1"/>
    <pivotField compact="0" outline="0" showAll="0" defaultSubtotal="0"/>
    <pivotField axis="axisRow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compact="0" outline="0" subtotalTop="0" showAll="0" includeNewItemsInFilter="1"/>
    <pivotField dataField="1" compact="0" numFmtId="43" outline="0" subtotalTop="0" showAll="0" includeNewItemsInFilter="1"/>
    <pivotField dataField="1" compact="0" numFmtId="43" outline="0" subtotalTop="0" showAll="0" includeNewItemsInFilter="1"/>
    <pivotField compact="0" numFmtId="171" outline="0" subtotalTop="0" showAll="0" includeNewItemsInFilter="1" defaultSubtotal="0"/>
    <pivotField compact="0" numFmtId="37" outline="0" subtotalTop="0" showAll="0" includeNewItemsInFilter="1"/>
    <pivotField compact="0" numFmtId="37" outline="0" subtotalTop="0" showAll="0" includeNewItemsInFilter="1" defaultSubtotal="0"/>
    <pivotField compact="0" numFmtId="37" outline="0" subtotalTop="0" showAll="0" includeNewItemsInFilter="1" defaultSubtotal="0"/>
    <pivotField compact="0" numFmtId="37" outline="0" subtotalTop="0" showAll="0" includeNewItemsInFilter="1" defaultSubtotal="0"/>
    <pivotField compact="0" numFmtId="37" outline="0" subtotalTop="0" showAll="0" includeNewItemsInFilter="1" defaultSubtotal="0"/>
    <pivotField compact="0" numFmtId="37" outline="0" showAll="0" defaultSubtotal="0"/>
    <pivotField dataField="1" compact="0" numFmtId="37" outline="0" subtotalTop="0" showAll="0" includeNewItemsInFilter="1" defaultSubtotal="0"/>
    <pivotField dataField="1" compact="0" numFmtId="43" outline="0" subtotalTop="0" showAll="0" includeNewItemsInFilter="1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ount of Purchased" fld="3" subtotal="count" baseField="0" baseItem="0"/>
    <dataField name="Sum of Purchased2" fld="3" baseField="1" baseItem="0" numFmtId="3"/>
    <dataField name="Sum of Heating Degree Days" fld="4" baseField="0" baseItem="0" numFmtId="3"/>
    <dataField name="Sum of Cooling Degree Days" fld="5" baseField="0" baseItem="0"/>
    <dataField name="Sum of Predicted Purchases " fld="13" baseField="0" baseItem="0"/>
    <dataField name="Sum of Predicted Less Acturals" fld="14" baseField="0" baseItem="0"/>
  </dataFields>
  <formats count="4">
    <format dxfId="3">
      <pivotArea outline="0" fieldPosition="0">
        <references count="1">
          <reference field="4294967294" count="1" selected="0">
            <x v="1"/>
          </reference>
        </references>
      </pivotArea>
    </format>
    <format dxfId="2">
      <pivotArea type="all" dataOnly="0" outline="0" fieldPosition="0"/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160"/>
  <sheetViews>
    <sheetView workbookViewId="0"/>
  </sheetViews>
  <sheetFormatPr defaultRowHeight="12.5" x14ac:dyDescent="0.25"/>
  <cols>
    <col min="2" max="2" width="21.54296875" customWidth="1"/>
    <col min="3" max="3" width="12.54296875" customWidth="1"/>
    <col min="5" max="6" width="17.1796875" customWidth="1"/>
  </cols>
  <sheetData>
    <row r="1" spans="1:20" ht="50" x14ac:dyDescent="0.25">
      <c r="B1" s="65" t="s">
        <v>105</v>
      </c>
      <c r="C1" s="65" t="s">
        <v>109</v>
      </c>
      <c r="D1" s="65" t="s">
        <v>107</v>
      </c>
      <c r="E1" s="65" t="s">
        <v>108</v>
      </c>
      <c r="F1" s="65" t="s">
        <v>112</v>
      </c>
      <c r="G1" s="65" t="s">
        <v>110</v>
      </c>
      <c r="H1" s="65" t="s">
        <v>111</v>
      </c>
    </row>
    <row r="2" spans="1:20" x14ac:dyDescent="0.25">
      <c r="B2" t="s">
        <v>106</v>
      </c>
      <c r="C2" t="s">
        <v>106</v>
      </c>
      <c r="D2" t="s">
        <v>106</v>
      </c>
      <c r="E2" t="s">
        <v>106</v>
      </c>
      <c r="S2" s="66" t="s">
        <v>94</v>
      </c>
      <c r="T2" s="66">
        <v>1</v>
      </c>
    </row>
    <row r="3" spans="1:20" x14ac:dyDescent="0.25">
      <c r="A3">
        <v>2006</v>
      </c>
      <c r="B3" s="59">
        <v>0</v>
      </c>
      <c r="C3" s="59">
        <v>10</v>
      </c>
      <c r="D3">
        <f>C3/2</f>
        <v>5</v>
      </c>
      <c r="E3">
        <f>B3+D3</f>
        <v>5</v>
      </c>
      <c r="F3">
        <f>D28</f>
        <v>9.2307692307692299</v>
      </c>
      <c r="G3">
        <f>E3</f>
        <v>5</v>
      </c>
      <c r="H3">
        <f>G3/$T$14</f>
        <v>6.4102564102564097E-2</v>
      </c>
      <c r="S3" s="66" t="s">
        <v>95</v>
      </c>
      <c r="T3" s="66">
        <v>2</v>
      </c>
    </row>
    <row r="4" spans="1:20" x14ac:dyDescent="0.25">
      <c r="A4">
        <v>2007</v>
      </c>
      <c r="B4" s="59">
        <v>10</v>
      </c>
      <c r="C4" s="59">
        <v>10</v>
      </c>
      <c r="D4">
        <f t="shared" ref="D4:D14" si="0">C4/2</f>
        <v>5</v>
      </c>
      <c r="E4">
        <f t="shared" ref="E4:E14" si="1">B4+D4</f>
        <v>15</v>
      </c>
      <c r="F4">
        <f>D40</f>
        <v>19.881656804733733</v>
      </c>
      <c r="G4">
        <f>E4-F3</f>
        <v>5.7692307692307701</v>
      </c>
      <c r="H4">
        <f t="shared" ref="H4:H13" si="2">G4/$T$14</f>
        <v>7.3964497041420135E-2</v>
      </c>
      <c r="S4" s="66" t="s">
        <v>96</v>
      </c>
      <c r="T4" s="66">
        <v>3</v>
      </c>
    </row>
    <row r="5" spans="1:20" x14ac:dyDescent="0.25">
      <c r="A5">
        <v>2008</v>
      </c>
      <c r="B5" s="59">
        <v>20</v>
      </c>
      <c r="C5" s="59">
        <v>10</v>
      </c>
      <c r="D5">
        <f t="shared" si="0"/>
        <v>5</v>
      </c>
      <c r="E5">
        <f t="shared" si="1"/>
        <v>25</v>
      </c>
      <c r="F5">
        <f>D52</f>
        <v>29.330905780609921</v>
      </c>
      <c r="G5">
        <f t="shared" ref="G5:G14" si="3">E5-F4</f>
        <v>5.1183431952662666</v>
      </c>
      <c r="H5">
        <f t="shared" si="2"/>
        <v>6.561978455469572E-2</v>
      </c>
      <c r="S5" s="66" t="s">
        <v>97</v>
      </c>
      <c r="T5" s="66">
        <v>4</v>
      </c>
    </row>
    <row r="6" spans="1:20" x14ac:dyDescent="0.25">
      <c r="A6">
        <v>2009</v>
      </c>
      <c r="B6" s="59">
        <v>30</v>
      </c>
      <c r="C6" s="59">
        <v>10</v>
      </c>
      <c r="D6">
        <f t="shared" si="0"/>
        <v>5</v>
      </c>
      <c r="E6">
        <f t="shared" si="1"/>
        <v>35</v>
      </c>
      <c r="F6">
        <f>D64</f>
        <v>39.796925877945469</v>
      </c>
      <c r="G6">
        <f t="shared" si="3"/>
        <v>5.6690942193900788</v>
      </c>
      <c r="H6">
        <f t="shared" si="2"/>
        <v>7.2680695120385622E-2</v>
      </c>
      <c r="S6" s="66" t="s">
        <v>84</v>
      </c>
      <c r="T6" s="66">
        <v>5</v>
      </c>
    </row>
    <row r="7" spans="1:20" x14ac:dyDescent="0.25">
      <c r="A7">
        <v>2010</v>
      </c>
      <c r="B7" s="59">
        <v>40</v>
      </c>
      <c r="C7" s="59">
        <v>10</v>
      </c>
      <c r="D7">
        <f t="shared" si="0"/>
        <v>5</v>
      </c>
      <c r="E7">
        <f t="shared" si="1"/>
        <v>45</v>
      </c>
      <c r="F7">
        <f>D76</f>
        <v>49.402601180200008</v>
      </c>
      <c r="G7">
        <f t="shared" si="3"/>
        <v>5.2030741220545309</v>
      </c>
      <c r="H7">
        <f t="shared" si="2"/>
        <v>6.6706078487878601E-2</v>
      </c>
      <c r="S7" s="66" t="s">
        <v>98</v>
      </c>
      <c r="T7" s="66">
        <v>6</v>
      </c>
    </row>
    <row r="8" spans="1:20" x14ac:dyDescent="0.25">
      <c r="A8">
        <v>2011</v>
      </c>
      <c r="B8" s="59">
        <v>50</v>
      </c>
      <c r="C8" s="59">
        <v>10</v>
      </c>
      <c r="D8">
        <f t="shared" si="0"/>
        <v>5</v>
      </c>
      <c r="E8">
        <f t="shared" si="1"/>
        <v>55</v>
      </c>
      <c r="F8">
        <f>D88</f>
        <v>59.736260539830795</v>
      </c>
      <c r="G8">
        <f t="shared" si="3"/>
        <v>5.5973988197999915</v>
      </c>
      <c r="H8">
        <f t="shared" si="2"/>
        <v>7.1761523330769128E-2</v>
      </c>
      <c r="S8" s="66" t="s">
        <v>99</v>
      </c>
      <c r="T8" s="66">
        <v>7</v>
      </c>
    </row>
    <row r="9" spans="1:20" x14ac:dyDescent="0.25">
      <c r="A9">
        <v>2012</v>
      </c>
      <c r="B9" s="59">
        <v>60</v>
      </c>
      <c r="C9" s="59">
        <v>10</v>
      </c>
      <c r="D9">
        <f t="shared" si="0"/>
        <v>5</v>
      </c>
      <c r="E9">
        <f t="shared" si="1"/>
        <v>65</v>
      </c>
      <c r="F9">
        <f>D100</f>
        <v>69.45393338937393</v>
      </c>
      <c r="G9">
        <f t="shared" si="3"/>
        <v>5.2637394601692051</v>
      </c>
      <c r="H9">
        <f t="shared" si="2"/>
        <v>6.7483839232938533E-2</v>
      </c>
      <c r="S9" s="66" t="s">
        <v>100</v>
      </c>
      <c r="T9" s="66">
        <v>8</v>
      </c>
    </row>
    <row r="10" spans="1:20" x14ac:dyDescent="0.25">
      <c r="A10">
        <v>2013</v>
      </c>
      <c r="B10" s="59">
        <v>70</v>
      </c>
      <c r="C10" s="59">
        <v>10</v>
      </c>
      <c r="D10">
        <f t="shared" si="0"/>
        <v>5</v>
      </c>
      <c r="E10">
        <f t="shared" si="1"/>
        <v>75</v>
      </c>
      <c r="F10">
        <f>D112</f>
        <v>79.692825593606685</v>
      </c>
      <c r="G10">
        <f t="shared" si="3"/>
        <v>5.5460666106260703</v>
      </c>
      <c r="H10">
        <f t="shared" si="2"/>
        <v>7.1103418084949618E-2</v>
      </c>
      <c r="S10" s="66" t="s">
        <v>101</v>
      </c>
      <c r="T10" s="66">
        <v>9</v>
      </c>
    </row>
    <row r="11" spans="1:20" x14ac:dyDescent="0.25">
      <c r="A11">
        <v>2014</v>
      </c>
      <c r="B11" s="59">
        <v>80</v>
      </c>
      <c r="C11" s="59">
        <v>10</v>
      </c>
      <c r="D11">
        <f t="shared" si="0"/>
        <v>5</v>
      </c>
      <c r="E11">
        <f t="shared" si="1"/>
        <v>85</v>
      </c>
      <c r="F11">
        <f>D124</f>
        <v>89.490686036178943</v>
      </c>
      <c r="G11">
        <f t="shared" si="3"/>
        <v>5.3071744063933153</v>
      </c>
      <c r="H11">
        <f t="shared" si="2"/>
        <v>6.8040697517863014E-2</v>
      </c>
      <c r="S11" s="66" t="s">
        <v>102</v>
      </c>
      <c r="T11" s="66">
        <v>10</v>
      </c>
    </row>
    <row r="12" spans="1:20" x14ac:dyDescent="0.25">
      <c r="A12">
        <v>2015</v>
      </c>
      <c r="B12" s="59">
        <v>90</v>
      </c>
      <c r="C12" s="64">
        <v>10</v>
      </c>
      <c r="D12">
        <f t="shared" si="0"/>
        <v>5</v>
      </c>
      <c r="E12">
        <f t="shared" si="1"/>
        <v>95</v>
      </c>
      <c r="F12">
        <f>D136</f>
        <v>99.661727200156292</v>
      </c>
      <c r="G12">
        <f t="shared" si="3"/>
        <v>5.5093139638210573</v>
      </c>
      <c r="H12">
        <f t="shared" si="2"/>
        <v>7.0632230305398169E-2</v>
      </c>
      <c r="S12" s="66" t="s">
        <v>103</v>
      </c>
      <c r="T12" s="66">
        <v>11</v>
      </c>
    </row>
    <row r="13" spans="1:20" x14ac:dyDescent="0.25">
      <c r="A13">
        <v>2016</v>
      </c>
      <c r="B13" s="59">
        <v>100</v>
      </c>
      <c r="C13" s="64">
        <v>10</v>
      </c>
      <c r="D13">
        <f t="shared" si="0"/>
        <v>5</v>
      </c>
      <c r="E13">
        <f t="shared" si="1"/>
        <v>105</v>
      </c>
      <c r="F13">
        <f>D148</f>
        <v>109.51700006140629</v>
      </c>
      <c r="G13">
        <f t="shared" si="3"/>
        <v>5.3382727998437076</v>
      </c>
      <c r="H13">
        <f t="shared" si="2"/>
        <v>6.8439394869791129E-2</v>
      </c>
      <c r="S13" s="66" t="s">
        <v>104</v>
      </c>
      <c r="T13" s="66">
        <v>12</v>
      </c>
    </row>
    <row r="14" spans="1:20" x14ac:dyDescent="0.25">
      <c r="A14">
        <v>2017</v>
      </c>
      <c r="B14" s="59">
        <v>110</v>
      </c>
      <c r="C14" s="64">
        <v>10</v>
      </c>
      <c r="D14">
        <f t="shared" si="0"/>
        <v>5</v>
      </c>
      <c r="E14">
        <f t="shared" si="1"/>
        <v>115</v>
      </c>
      <c r="F14">
        <f>D160</f>
        <v>119.63946148650234</v>
      </c>
      <c r="G14">
        <f t="shared" si="3"/>
        <v>5.4829999385937072</v>
      </c>
      <c r="H14">
        <f>G14/$T$14</f>
        <v>7.0294871007611628E-2</v>
      </c>
      <c r="S14" s="66" t="s">
        <v>9</v>
      </c>
      <c r="T14" s="66">
        <v>78</v>
      </c>
    </row>
    <row r="17" spans="1:4" s="48" customFormat="1" x14ac:dyDescent="0.25">
      <c r="A17" s="47">
        <v>38718</v>
      </c>
      <c r="B17" s="48">
        <f>B16+$H$3</f>
        <v>6.4102564102564097E-2</v>
      </c>
      <c r="C17" s="48">
        <f>H3</f>
        <v>6.4102564102564097E-2</v>
      </c>
    </row>
    <row r="18" spans="1:4" s="51" customFormat="1" x14ac:dyDescent="0.25">
      <c r="A18" s="49">
        <v>38749</v>
      </c>
      <c r="B18" s="51">
        <f t="shared" ref="B18:B28" si="4">B17+$H$3</f>
        <v>0.12820512820512819</v>
      </c>
    </row>
    <row r="19" spans="1:4" s="51" customFormat="1" x14ac:dyDescent="0.25">
      <c r="A19" s="49">
        <v>38777</v>
      </c>
      <c r="B19" s="51">
        <f t="shared" si="4"/>
        <v>0.19230769230769229</v>
      </c>
    </row>
    <row r="20" spans="1:4" s="51" customFormat="1" x14ac:dyDescent="0.25">
      <c r="A20" s="49">
        <v>38808</v>
      </c>
      <c r="B20" s="51">
        <f t="shared" si="4"/>
        <v>0.25641025641025639</v>
      </c>
    </row>
    <row r="21" spans="1:4" s="51" customFormat="1" x14ac:dyDescent="0.25">
      <c r="A21" s="49">
        <v>38838</v>
      </c>
      <c r="B21" s="51">
        <f t="shared" si="4"/>
        <v>0.32051282051282048</v>
      </c>
    </row>
    <row r="22" spans="1:4" s="51" customFormat="1" x14ac:dyDescent="0.25">
      <c r="A22" s="49">
        <v>38869</v>
      </c>
      <c r="B22" s="51">
        <f t="shared" si="4"/>
        <v>0.38461538461538458</v>
      </c>
    </row>
    <row r="23" spans="1:4" s="51" customFormat="1" x14ac:dyDescent="0.25">
      <c r="A23" s="49">
        <v>38899</v>
      </c>
      <c r="B23" s="51">
        <f t="shared" si="4"/>
        <v>0.44871794871794868</v>
      </c>
    </row>
    <row r="24" spans="1:4" s="51" customFormat="1" x14ac:dyDescent="0.25">
      <c r="A24" s="49">
        <v>38930</v>
      </c>
      <c r="B24" s="51">
        <f t="shared" si="4"/>
        <v>0.51282051282051277</v>
      </c>
    </row>
    <row r="25" spans="1:4" s="51" customFormat="1" x14ac:dyDescent="0.25">
      <c r="A25" s="49">
        <v>38961</v>
      </c>
      <c r="B25" s="51">
        <f t="shared" si="4"/>
        <v>0.57692307692307687</v>
      </c>
    </row>
    <row r="26" spans="1:4" s="51" customFormat="1" x14ac:dyDescent="0.25">
      <c r="A26" s="49">
        <v>38991</v>
      </c>
      <c r="B26" s="51">
        <f t="shared" si="4"/>
        <v>0.64102564102564097</v>
      </c>
    </row>
    <row r="27" spans="1:4" s="51" customFormat="1" x14ac:dyDescent="0.25">
      <c r="A27" s="49">
        <v>39022</v>
      </c>
      <c r="B27" s="51">
        <f t="shared" si="4"/>
        <v>0.70512820512820507</v>
      </c>
      <c r="C27" s="51" t="s">
        <v>93</v>
      </c>
    </row>
    <row r="28" spans="1:4" s="53" customFormat="1" x14ac:dyDescent="0.25">
      <c r="A28" s="52">
        <v>39052</v>
      </c>
      <c r="B28" s="53">
        <f t="shared" si="4"/>
        <v>0.76923076923076916</v>
      </c>
      <c r="C28" s="53">
        <f>SUM(B17:B28)</f>
        <v>4.9999999999999991</v>
      </c>
      <c r="D28" s="53">
        <f>B28*12</f>
        <v>9.2307692307692299</v>
      </c>
    </row>
    <row r="29" spans="1:4" s="48" customFormat="1" x14ac:dyDescent="0.25">
      <c r="A29" s="47">
        <v>39083</v>
      </c>
      <c r="B29" s="48">
        <f>B28+$C$29</f>
        <v>0.84319526627218933</v>
      </c>
      <c r="C29" s="48">
        <f>H4</f>
        <v>7.3964497041420135E-2</v>
      </c>
    </row>
    <row r="30" spans="1:4" s="51" customFormat="1" x14ac:dyDescent="0.25">
      <c r="A30" s="49">
        <v>39114</v>
      </c>
      <c r="B30" s="51">
        <f>B29+$C$29</f>
        <v>0.91715976331360949</v>
      </c>
    </row>
    <row r="31" spans="1:4" s="51" customFormat="1" x14ac:dyDescent="0.25">
      <c r="A31" s="49">
        <v>39142</v>
      </c>
      <c r="B31" s="51">
        <f t="shared" ref="B31:B40" si="5">B30+$C$29</f>
        <v>0.99112426035502965</v>
      </c>
    </row>
    <row r="32" spans="1:4" s="51" customFormat="1" x14ac:dyDescent="0.25">
      <c r="A32" s="49">
        <v>39173</v>
      </c>
      <c r="B32" s="51">
        <f t="shared" si="5"/>
        <v>1.0650887573964498</v>
      </c>
    </row>
    <row r="33" spans="1:4" s="51" customFormat="1" x14ac:dyDescent="0.25">
      <c r="A33" s="49">
        <v>39203</v>
      </c>
      <c r="B33" s="51">
        <f t="shared" si="5"/>
        <v>1.13905325443787</v>
      </c>
    </row>
    <row r="34" spans="1:4" s="51" customFormat="1" x14ac:dyDescent="0.25">
      <c r="A34" s="49">
        <v>39234</v>
      </c>
      <c r="B34" s="51">
        <f t="shared" si="5"/>
        <v>1.2130177514792901</v>
      </c>
    </row>
    <row r="35" spans="1:4" s="51" customFormat="1" x14ac:dyDescent="0.25">
      <c r="A35" s="49">
        <v>39264</v>
      </c>
      <c r="B35" s="51">
        <f t="shared" si="5"/>
        <v>1.2869822485207103</v>
      </c>
    </row>
    <row r="36" spans="1:4" s="51" customFormat="1" x14ac:dyDescent="0.25">
      <c r="A36" s="49">
        <v>39295</v>
      </c>
      <c r="B36" s="51">
        <f t="shared" si="5"/>
        <v>1.3609467455621305</v>
      </c>
    </row>
    <row r="37" spans="1:4" s="51" customFormat="1" x14ac:dyDescent="0.25">
      <c r="A37" s="49">
        <v>39326</v>
      </c>
      <c r="B37" s="51">
        <f t="shared" si="5"/>
        <v>1.4349112426035506</v>
      </c>
    </row>
    <row r="38" spans="1:4" s="51" customFormat="1" x14ac:dyDescent="0.25">
      <c r="A38" s="49">
        <v>39356</v>
      </c>
      <c r="B38" s="51">
        <f t="shared" si="5"/>
        <v>1.5088757396449708</v>
      </c>
    </row>
    <row r="39" spans="1:4" s="51" customFormat="1" x14ac:dyDescent="0.25">
      <c r="A39" s="49">
        <v>39387</v>
      </c>
      <c r="B39" s="51">
        <f t="shared" si="5"/>
        <v>1.582840236686391</v>
      </c>
      <c r="C39" s="51" t="s">
        <v>93</v>
      </c>
    </row>
    <row r="40" spans="1:4" s="53" customFormat="1" x14ac:dyDescent="0.25">
      <c r="A40" s="52">
        <v>39417</v>
      </c>
      <c r="B40" s="53">
        <f t="shared" si="5"/>
        <v>1.6568047337278111</v>
      </c>
      <c r="C40" s="53">
        <f>SUM(B29:B40)</f>
        <v>15</v>
      </c>
      <c r="D40" s="53">
        <f>B40*12</f>
        <v>19.881656804733733</v>
      </c>
    </row>
    <row r="41" spans="1:4" s="51" customFormat="1" x14ac:dyDescent="0.25">
      <c r="A41" s="49">
        <v>39448</v>
      </c>
      <c r="B41" s="51">
        <f>B40+$C$41</f>
        <v>1.7224245182825069</v>
      </c>
      <c r="C41" s="51">
        <f>H5</f>
        <v>6.561978455469572E-2</v>
      </c>
    </row>
    <row r="42" spans="1:4" s="51" customFormat="1" x14ac:dyDescent="0.25">
      <c r="A42" s="49">
        <v>39479</v>
      </c>
      <c r="B42" s="51">
        <f t="shared" ref="B42:B52" si="6">B41+$C$41</f>
        <v>1.7880443028372026</v>
      </c>
    </row>
    <row r="43" spans="1:4" s="51" customFormat="1" x14ac:dyDescent="0.25">
      <c r="A43" s="49">
        <v>39508</v>
      </c>
      <c r="B43" s="51">
        <f t="shared" si="6"/>
        <v>1.8536640873918984</v>
      </c>
    </row>
    <row r="44" spans="1:4" s="51" customFormat="1" x14ac:dyDescent="0.25">
      <c r="A44" s="49">
        <v>39539</v>
      </c>
      <c r="B44" s="51">
        <f t="shared" si="6"/>
        <v>1.9192838719465941</v>
      </c>
    </row>
    <row r="45" spans="1:4" s="51" customFormat="1" x14ac:dyDescent="0.25">
      <c r="A45" s="49">
        <v>39569</v>
      </c>
      <c r="B45" s="51">
        <f t="shared" si="6"/>
        <v>1.9849036565012899</v>
      </c>
    </row>
    <row r="46" spans="1:4" s="51" customFormat="1" x14ac:dyDescent="0.25">
      <c r="A46" s="49">
        <v>39600</v>
      </c>
      <c r="B46" s="51">
        <f t="shared" si="6"/>
        <v>2.0505234410559856</v>
      </c>
    </row>
    <row r="47" spans="1:4" s="51" customFormat="1" x14ac:dyDescent="0.25">
      <c r="A47" s="49">
        <v>39630</v>
      </c>
      <c r="B47" s="51">
        <f t="shared" si="6"/>
        <v>2.1161432256106814</v>
      </c>
    </row>
    <row r="48" spans="1:4" s="51" customFormat="1" x14ac:dyDescent="0.25">
      <c r="A48" s="49">
        <v>39661</v>
      </c>
      <c r="B48" s="51">
        <f t="shared" si="6"/>
        <v>2.1817630101653771</v>
      </c>
    </row>
    <row r="49" spans="1:4" s="51" customFormat="1" x14ac:dyDescent="0.25">
      <c r="A49" s="49">
        <v>39692</v>
      </c>
      <c r="B49" s="51">
        <f t="shared" si="6"/>
        <v>2.2473827947200729</v>
      </c>
    </row>
    <row r="50" spans="1:4" s="51" customFormat="1" x14ac:dyDescent="0.25">
      <c r="A50" s="49">
        <v>39722</v>
      </c>
      <c r="B50" s="51">
        <f t="shared" si="6"/>
        <v>2.3130025792747686</v>
      </c>
    </row>
    <row r="51" spans="1:4" s="51" customFormat="1" x14ac:dyDescent="0.25">
      <c r="A51" s="49">
        <v>39753</v>
      </c>
      <c r="B51" s="51">
        <f t="shared" si="6"/>
        <v>2.3786223638294643</v>
      </c>
      <c r="C51" s="51" t="s">
        <v>93</v>
      </c>
    </row>
    <row r="52" spans="1:4" s="53" customFormat="1" x14ac:dyDescent="0.25">
      <c r="A52" s="52">
        <v>39783</v>
      </c>
      <c r="B52" s="53">
        <f t="shared" si="6"/>
        <v>2.4442421483841601</v>
      </c>
      <c r="C52" s="53">
        <f>SUM(B41:B52)</f>
        <v>25</v>
      </c>
      <c r="D52" s="53">
        <f>B52*12</f>
        <v>29.330905780609921</v>
      </c>
    </row>
    <row r="53" spans="1:4" s="48" customFormat="1" x14ac:dyDescent="0.25">
      <c r="A53" s="47">
        <v>39814</v>
      </c>
      <c r="B53" s="48">
        <f>B52+$C$53</f>
        <v>2.5169228435045459</v>
      </c>
      <c r="C53" s="48">
        <f>H6</f>
        <v>7.2680695120385622E-2</v>
      </c>
    </row>
    <row r="54" spans="1:4" s="51" customFormat="1" x14ac:dyDescent="0.25">
      <c r="A54" s="49">
        <v>39845</v>
      </c>
      <c r="B54" s="51">
        <f t="shared" ref="B54:B64" si="7">B53+$C$53</f>
        <v>2.5896035386249316</v>
      </c>
    </row>
    <row r="55" spans="1:4" s="51" customFormat="1" x14ac:dyDescent="0.25">
      <c r="A55" s="49">
        <v>39873</v>
      </c>
      <c r="B55" s="51">
        <f t="shared" si="7"/>
        <v>2.6622842337453174</v>
      </c>
    </row>
    <row r="56" spans="1:4" s="51" customFormat="1" x14ac:dyDescent="0.25">
      <c r="A56" s="49">
        <v>39904</v>
      </c>
      <c r="B56" s="51">
        <f t="shared" si="7"/>
        <v>2.7349649288657032</v>
      </c>
    </row>
    <row r="57" spans="1:4" s="51" customFormat="1" x14ac:dyDescent="0.25">
      <c r="A57" s="49">
        <v>39934</v>
      </c>
      <c r="B57" s="51">
        <f t="shared" si="7"/>
        <v>2.807645623986089</v>
      </c>
    </row>
    <row r="58" spans="1:4" s="51" customFormat="1" x14ac:dyDescent="0.25">
      <c r="A58" s="49">
        <v>39965</v>
      </c>
      <c r="B58" s="51">
        <f t="shared" si="7"/>
        <v>2.8803263191064747</v>
      </c>
    </row>
    <row r="59" spans="1:4" s="51" customFormat="1" x14ac:dyDescent="0.25">
      <c r="A59" s="49">
        <v>39995</v>
      </c>
      <c r="B59" s="51">
        <f t="shared" si="7"/>
        <v>2.9530070142268605</v>
      </c>
    </row>
    <row r="60" spans="1:4" s="51" customFormat="1" x14ac:dyDescent="0.25">
      <c r="A60" s="49">
        <v>40026</v>
      </c>
      <c r="B60" s="51">
        <f t="shared" si="7"/>
        <v>3.0256877093472463</v>
      </c>
    </row>
    <row r="61" spans="1:4" s="51" customFormat="1" x14ac:dyDescent="0.25">
      <c r="A61" s="49">
        <v>40057</v>
      </c>
      <c r="B61" s="51">
        <f t="shared" si="7"/>
        <v>3.0983684044676321</v>
      </c>
    </row>
    <row r="62" spans="1:4" s="51" customFormat="1" x14ac:dyDescent="0.25">
      <c r="A62" s="49">
        <v>40087</v>
      </c>
      <c r="B62" s="51">
        <f t="shared" si="7"/>
        <v>3.1710490995880178</v>
      </c>
    </row>
    <row r="63" spans="1:4" s="51" customFormat="1" x14ac:dyDescent="0.25">
      <c r="A63" s="49">
        <v>40118</v>
      </c>
      <c r="B63" s="51">
        <f t="shared" si="7"/>
        <v>3.2437297947084036</v>
      </c>
      <c r="C63" s="51" t="s">
        <v>93</v>
      </c>
    </row>
    <row r="64" spans="1:4" s="53" customFormat="1" x14ac:dyDescent="0.25">
      <c r="A64" s="52">
        <v>40148</v>
      </c>
      <c r="B64" s="53">
        <f t="shared" si="7"/>
        <v>3.3164104898287894</v>
      </c>
      <c r="C64" s="53">
        <f>SUM(B53:B64)</f>
        <v>35.000000000000007</v>
      </c>
      <c r="D64" s="53">
        <f>B64*12</f>
        <v>39.796925877945469</v>
      </c>
    </row>
    <row r="65" spans="1:4" s="48" customFormat="1" x14ac:dyDescent="0.25">
      <c r="A65" s="47">
        <v>40179</v>
      </c>
      <c r="B65" s="48">
        <f>B64+$C$65</f>
        <v>3.3831165683166682</v>
      </c>
      <c r="C65" s="48">
        <f>H7</f>
        <v>6.6706078487878601E-2</v>
      </c>
    </row>
    <row r="66" spans="1:4" s="51" customFormat="1" x14ac:dyDescent="0.25">
      <c r="A66" s="49">
        <v>40210</v>
      </c>
      <c r="B66" s="51">
        <f t="shared" ref="B66:B76" si="8">B65+$C$65</f>
        <v>3.449822646804547</v>
      </c>
    </row>
    <row r="67" spans="1:4" s="51" customFormat="1" x14ac:dyDescent="0.25">
      <c r="A67" s="49">
        <v>40238</v>
      </c>
      <c r="B67" s="51">
        <f t="shared" si="8"/>
        <v>3.5165287252924258</v>
      </c>
    </row>
    <row r="68" spans="1:4" s="51" customFormat="1" x14ac:dyDescent="0.25">
      <c r="A68" s="49">
        <v>40269</v>
      </c>
      <c r="B68" s="51">
        <f t="shared" si="8"/>
        <v>3.5832348037803046</v>
      </c>
    </row>
    <row r="69" spans="1:4" s="51" customFormat="1" x14ac:dyDescent="0.25">
      <c r="A69" s="49">
        <v>40299</v>
      </c>
      <c r="B69" s="51">
        <f t="shared" si="8"/>
        <v>3.6499408822681834</v>
      </c>
    </row>
    <row r="70" spans="1:4" s="51" customFormat="1" x14ac:dyDescent="0.25">
      <c r="A70" s="49">
        <v>40330</v>
      </c>
      <c r="B70" s="51">
        <f t="shared" si="8"/>
        <v>3.7166469607560622</v>
      </c>
    </row>
    <row r="71" spans="1:4" s="51" customFormat="1" x14ac:dyDescent="0.25">
      <c r="A71" s="49">
        <v>40360</v>
      </c>
      <c r="B71" s="51">
        <f t="shared" si="8"/>
        <v>3.783353039243941</v>
      </c>
    </row>
    <row r="72" spans="1:4" s="51" customFormat="1" x14ac:dyDescent="0.25">
      <c r="A72" s="49">
        <v>40391</v>
      </c>
      <c r="B72" s="51">
        <f t="shared" si="8"/>
        <v>3.8500591177318197</v>
      </c>
    </row>
    <row r="73" spans="1:4" s="51" customFormat="1" x14ac:dyDescent="0.25">
      <c r="A73" s="49">
        <v>40422</v>
      </c>
      <c r="B73" s="51">
        <f t="shared" si="8"/>
        <v>3.9167651962196985</v>
      </c>
    </row>
    <row r="74" spans="1:4" s="51" customFormat="1" x14ac:dyDescent="0.25">
      <c r="A74" s="49">
        <v>40452</v>
      </c>
      <c r="B74" s="51">
        <f t="shared" si="8"/>
        <v>3.9834712747075773</v>
      </c>
    </row>
    <row r="75" spans="1:4" s="51" customFormat="1" x14ac:dyDescent="0.25">
      <c r="A75" s="49">
        <v>40483</v>
      </c>
      <c r="B75" s="51">
        <f t="shared" si="8"/>
        <v>4.0501773531954557</v>
      </c>
      <c r="C75" s="51" t="s">
        <v>93</v>
      </c>
    </row>
    <row r="76" spans="1:4" s="53" customFormat="1" x14ac:dyDescent="0.25">
      <c r="A76" s="52">
        <v>40513</v>
      </c>
      <c r="B76" s="53">
        <f t="shared" si="8"/>
        <v>4.116883431683334</v>
      </c>
      <c r="C76" s="53">
        <f>SUM(B65:B76)</f>
        <v>45.000000000000021</v>
      </c>
      <c r="D76" s="53">
        <f>B76*12</f>
        <v>49.402601180200008</v>
      </c>
    </row>
    <row r="77" spans="1:4" s="48" customFormat="1" x14ac:dyDescent="0.25">
      <c r="A77" s="47">
        <v>40544</v>
      </c>
      <c r="B77" s="48">
        <f>B76+$C$77</f>
        <v>4.1886449550141034</v>
      </c>
      <c r="C77" s="48">
        <f>H8</f>
        <v>7.1761523330769128E-2</v>
      </c>
    </row>
    <row r="78" spans="1:4" s="51" customFormat="1" x14ac:dyDescent="0.25">
      <c r="A78" s="49">
        <v>40575</v>
      </c>
      <c r="B78" s="51">
        <f t="shared" ref="B78:B88" si="9">B77+$C$77</f>
        <v>4.2604064783448727</v>
      </c>
    </row>
    <row r="79" spans="1:4" s="51" customFormat="1" x14ac:dyDescent="0.25">
      <c r="A79" s="49">
        <v>40603</v>
      </c>
      <c r="B79" s="51">
        <f t="shared" si="9"/>
        <v>4.3321680016756421</v>
      </c>
    </row>
    <row r="80" spans="1:4" s="51" customFormat="1" x14ac:dyDescent="0.25">
      <c r="A80" s="49">
        <v>40634</v>
      </c>
      <c r="B80" s="51">
        <f t="shared" si="9"/>
        <v>4.4039295250064114</v>
      </c>
    </row>
    <row r="81" spans="1:4" s="51" customFormat="1" x14ac:dyDescent="0.25">
      <c r="A81" s="49">
        <v>40664</v>
      </c>
      <c r="B81" s="51">
        <f t="shared" si="9"/>
        <v>4.4756910483371808</v>
      </c>
    </row>
    <row r="82" spans="1:4" s="51" customFormat="1" x14ac:dyDescent="0.25">
      <c r="A82" s="49">
        <v>40695</v>
      </c>
      <c r="B82" s="51">
        <f t="shared" si="9"/>
        <v>4.5474525716679501</v>
      </c>
    </row>
    <row r="83" spans="1:4" s="51" customFormat="1" x14ac:dyDescent="0.25">
      <c r="A83" s="49">
        <v>40725</v>
      </c>
      <c r="B83" s="51">
        <f t="shared" si="9"/>
        <v>4.6192140949987195</v>
      </c>
    </row>
    <row r="84" spans="1:4" s="51" customFormat="1" x14ac:dyDescent="0.25">
      <c r="A84" s="49">
        <v>40756</v>
      </c>
      <c r="B84" s="51">
        <f t="shared" si="9"/>
        <v>4.6909756183294888</v>
      </c>
    </row>
    <row r="85" spans="1:4" s="51" customFormat="1" x14ac:dyDescent="0.25">
      <c r="A85" s="49">
        <v>40787</v>
      </c>
      <c r="B85" s="51">
        <f t="shared" si="9"/>
        <v>4.7627371416602582</v>
      </c>
    </row>
    <row r="86" spans="1:4" s="51" customFormat="1" x14ac:dyDescent="0.25">
      <c r="A86" s="49">
        <v>40817</v>
      </c>
      <c r="B86" s="51">
        <f t="shared" si="9"/>
        <v>4.8344986649910275</v>
      </c>
    </row>
    <row r="87" spans="1:4" s="51" customFormat="1" x14ac:dyDescent="0.25">
      <c r="A87" s="49">
        <v>40848</v>
      </c>
      <c r="B87" s="51">
        <f t="shared" si="9"/>
        <v>4.9062601883217969</v>
      </c>
      <c r="C87" s="51" t="s">
        <v>93</v>
      </c>
    </row>
    <row r="88" spans="1:4" s="53" customFormat="1" x14ac:dyDescent="0.25">
      <c r="A88" s="52">
        <v>40878</v>
      </c>
      <c r="B88" s="53">
        <f t="shared" si="9"/>
        <v>4.9780217116525662</v>
      </c>
      <c r="C88" s="53">
        <f>SUM(B77:B88)</f>
        <v>55.000000000000021</v>
      </c>
      <c r="D88" s="53">
        <f>B88*12</f>
        <v>59.736260539830795</v>
      </c>
    </row>
    <row r="89" spans="1:4" s="48" customFormat="1" x14ac:dyDescent="0.25">
      <c r="A89" s="47">
        <v>40909</v>
      </c>
      <c r="B89" s="48">
        <f>B88+$C$89</f>
        <v>5.0455055508855047</v>
      </c>
      <c r="C89" s="48">
        <f>H9</f>
        <v>6.7483839232938533E-2</v>
      </c>
    </row>
    <row r="90" spans="1:4" s="51" customFormat="1" x14ac:dyDescent="0.25">
      <c r="A90" s="49">
        <v>40940</v>
      </c>
      <c r="B90" s="51">
        <f t="shared" ref="B90:B100" si="10">B89+$C$89</f>
        <v>5.1129893901184431</v>
      </c>
    </row>
    <row r="91" spans="1:4" s="51" customFormat="1" x14ac:dyDescent="0.25">
      <c r="A91" s="49">
        <v>40969</v>
      </c>
      <c r="B91" s="51">
        <f t="shared" si="10"/>
        <v>5.1804732293513815</v>
      </c>
    </row>
    <row r="92" spans="1:4" s="51" customFormat="1" x14ac:dyDescent="0.25">
      <c r="A92" s="49">
        <v>41000</v>
      </c>
      <c r="B92" s="51">
        <f t="shared" si="10"/>
        <v>5.24795706858432</v>
      </c>
    </row>
    <row r="93" spans="1:4" s="51" customFormat="1" x14ac:dyDescent="0.25">
      <c r="A93" s="49">
        <v>41030</v>
      </c>
      <c r="B93" s="51">
        <f t="shared" si="10"/>
        <v>5.3154409078172584</v>
      </c>
    </row>
    <row r="94" spans="1:4" s="51" customFormat="1" x14ac:dyDescent="0.25">
      <c r="A94" s="49">
        <v>41061</v>
      </c>
      <c r="B94" s="51">
        <f t="shared" si="10"/>
        <v>5.3829247470501969</v>
      </c>
    </row>
    <row r="95" spans="1:4" s="51" customFormat="1" x14ac:dyDescent="0.25">
      <c r="A95" s="49">
        <v>41091</v>
      </c>
      <c r="B95" s="51">
        <f t="shared" si="10"/>
        <v>5.4504085862831353</v>
      </c>
    </row>
    <row r="96" spans="1:4" s="51" customFormat="1" x14ac:dyDescent="0.25">
      <c r="A96" s="49">
        <v>41122</v>
      </c>
      <c r="B96" s="51">
        <f t="shared" si="10"/>
        <v>5.5178924255160737</v>
      </c>
    </row>
    <row r="97" spans="1:4" s="51" customFormat="1" x14ac:dyDescent="0.25">
      <c r="A97" s="49">
        <v>41153</v>
      </c>
      <c r="B97" s="51">
        <f t="shared" si="10"/>
        <v>5.5853762647490122</v>
      </c>
    </row>
    <row r="98" spans="1:4" s="51" customFormat="1" x14ac:dyDescent="0.25">
      <c r="A98" s="49">
        <v>41183</v>
      </c>
      <c r="B98" s="51">
        <f t="shared" si="10"/>
        <v>5.6528601039819506</v>
      </c>
    </row>
    <row r="99" spans="1:4" s="51" customFormat="1" x14ac:dyDescent="0.25">
      <c r="A99" s="49">
        <v>41214</v>
      </c>
      <c r="B99" s="51">
        <f t="shared" si="10"/>
        <v>5.720343943214889</v>
      </c>
      <c r="C99" s="51" t="s">
        <v>93</v>
      </c>
    </row>
    <row r="100" spans="1:4" s="53" customFormat="1" x14ac:dyDescent="0.25">
      <c r="A100" s="52">
        <v>41244</v>
      </c>
      <c r="B100" s="53">
        <f t="shared" si="10"/>
        <v>5.7878277824478275</v>
      </c>
      <c r="C100" s="53">
        <f>SUM(B89:B100)</f>
        <v>65</v>
      </c>
      <c r="D100" s="53">
        <f>B100*12</f>
        <v>69.45393338937393</v>
      </c>
    </row>
    <row r="101" spans="1:4" s="48" customFormat="1" x14ac:dyDescent="0.25">
      <c r="A101" s="47">
        <v>41275</v>
      </c>
      <c r="B101" s="48">
        <f>B100+$C$101</f>
        <v>5.8589312005327772</v>
      </c>
      <c r="C101" s="48">
        <f>H10</f>
        <v>7.1103418084949618E-2</v>
      </c>
    </row>
    <row r="102" spans="1:4" s="51" customFormat="1" x14ac:dyDescent="0.25">
      <c r="A102" s="49">
        <v>41306</v>
      </c>
      <c r="B102" s="51">
        <f t="shared" ref="B102:B112" si="11">B101+$C$101</f>
        <v>5.9300346186177268</v>
      </c>
    </row>
    <row r="103" spans="1:4" s="51" customFormat="1" x14ac:dyDescent="0.25">
      <c r="A103" s="49">
        <v>41334</v>
      </c>
      <c r="B103" s="51">
        <f t="shared" si="11"/>
        <v>6.0011380367026765</v>
      </c>
    </row>
    <row r="104" spans="1:4" s="51" customFormat="1" x14ac:dyDescent="0.25">
      <c r="A104" s="49">
        <v>41365</v>
      </c>
      <c r="B104" s="51">
        <f t="shared" si="11"/>
        <v>6.0722414547876262</v>
      </c>
    </row>
    <row r="105" spans="1:4" s="51" customFormat="1" x14ac:dyDescent="0.25">
      <c r="A105" s="49">
        <v>41395</v>
      </c>
      <c r="B105" s="51">
        <f t="shared" si="11"/>
        <v>6.1433448728725759</v>
      </c>
    </row>
    <row r="106" spans="1:4" s="51" customFormat="1" x14ac:dyDescent="0.25">
      <c r="A106" s="49">
        <v>41426</v>
      </c>
      <c r="B106" s="51">
        <f t="shared" si="11"/>
        <v>6.2144482909575256</v>
      </c>
    </row>
    <row r="107" spans="1:4" s="51" customFormat="1" x14ac:dyDescent="0.25">
      <c r="A107" s="49">
        <v>41456</v>
      </c>
      <c r="B107" s="51">
        <f t="shared" si="11"/>
        <v>6.2855517090424753</v>
      </c>
    </row>
    <row r="108" spans="1:4" s="51" customFormat="1" x14ac:dyDescent="0.25">
      <c r="A108" s="49">
        <v>41487</v>
      </c>
      <c r="B108" s="51">
        <f t="shared" si="11"/>
        <v>6.356655127127425</v>
      </c>
    </row>
    <row r="109" spans="1:4" s="51" customFormat="1" x14ac:dyDescent="0.25">
      <c r="A109" s="49">
        <v>41518</v>
      </c>
      <c r="B109" s="51">
        <f t="shared" si="11"/>
        <v>6.4277585452123747</v>
      </c>
    </row>
    <row r="110" spans="1:4" s="51" customFormat="1" x14ac:dyDescent="0.25">
      <c r="A110" s="49">
        <v>41548</v>
      </c>
      <c r="B110" s="51">
        <f t="shared" si="11"/>
        <v>6.4988619632973244</v>
      </c>
    </row>
    <row r="111" spans="1:4" s="51" customFormat="1" x14ac:dyDescent="0.25">
      <c r="A111" s="49">
        <v>41579</v>
      </c>
      <c r="B111" s="51">
        <f t="shared" si="11"/>
        <v>6.569965381382274</v>
      </c>
      <c r="C111" s="51" t="s">
        <v>93</v>
      </c>
    </row>
    <row r="112" spans="1:4" s="53" customFormat="1" x14ac:dyDescent="0.25">
      <c r="A112" s="52">
        <v>41609</v>
      </c>
      <c r="B112" s="53">
        <f t="shared" si="11"/>
        <v>6.6410687994672237</v>
      </c>
      <c r="C112" s="53">
        <f>SUM(B101:B112)</f>
        <v>75</v>
      </c>
      <c r="D112" s="53">
        <f>B112*12</f>
        <v>79.692825593606685</v>
      </c>
    </row>
    <row r="113" spans="1:4" s="48" customFormat="1" x14ac:dyDescent="0.25">
      <c r="A113" s="47">
        <v>41640</v>
      </c>
      <c r="B113" s="48">
        <f>B112+$C$113</f>
        <v>6.7091094969850866</v>
      </c>
      <c r="C113" s="48">
        <f>H11</f>
        <v>6.8040697517863014E-2</v>
      </c>
    </row>
    <row r="114" spans="1:4" s="51" customFormat="1" x14ac:dyDescent="0.25">
      <c r="A114" s="49">
        <v>41671</v>
      </c>
      <c r="B114" s="51">
        <f t="shared" ref="B114:B124" si="12">B113+$C$113</f>
        <v>6.7771501945029495</v>
      </c>
    </row>
    <row r="115" spans="1:4" s="51" customFormat="1" x14ac:dyDescent="0.25">
      <c r="A115" s="49">
        <v>41699</v>
      </c>
      <c r="B115" s="51">
        <f t="shared" si="12"/>
        <v>6.8451908920208124</v>
      </c>
    </row>
    <row r="116" spans="1:4" s="51" customFormat="1" x14ac:dyDescent="0.25">
      <c r="A116" s="49">
        <v>41730</v>
      </c>
      <c r="B116" s="51">
        <f t="shared" si="12"/>
        <v>6.9132315895386753</v>
      </c>
    </row>
    <row r="117" spans="1:4" s="51" customFormat="1" x14ac:dyDescent="0.25">
      <c r="A117" s="49">
        <v>41760</v>
      </c>
      <c r="B117" s="51">
        <f t="shared" si="12"/>
        <v>6.9812722870565382</v>
      </c>
    </row>
    <row r="118" spans="1:4" s="51" customFormat="1" x14ac:dyDescent="0.25">
      <c r="A118" s="49">
        <v>41791</v>
      </c>
      <c r="B118" s="51">
        <f t="shared" si="12"/>
        <v>7.0493129845744011</v>
      </c>
    </row>
    <row r="119" spans="1:4" s="51" customFormat="1" x14ac:dyDescent="0.25">
      <c r="A119" s="49">
        <v>41821</v>
      </c>
      <c r="B119" s="51">
        <f t="shared" si="12"/>
        <v>7.117353682092264</v>
      </c>
    </row>
    <row r="120" spans="1:4" s="51" customFormat="1" x14ac:dyDescent="0.25">
      <c r="A120" s="49">
        <v>41852</v>
      </c>
      <c r="B120" s="51">
        <f t="shared" si="12"/>
        <v>7.1853943796101269</v>
      </c>
    </row>
    <row r="121" spans="1:4" s="51" customFormat="1" x14ac:dyDescent="0.25">
      <c r="A121" s="49">
        <v>41883</v>
      </c>
      <c r="B121" s="51">
        <f t="shared" si="12"/>
        <v>7.2534350771279898</v>
      </c>
    </row>
    <row r="122" spans="1:4" s="51" customFormat="1" x14ac:dyDescent="0.25">
      <c r="A122" s="49">
        <v>41913</v>
      </c>
      <c r="B122" s="51">
        <f t="shared" si="12"/>
        <v>7.3214757746458528</v>
      </c>
    </row>
    <row r="123" spans="1:4" s="51" customFormat="1" x14ac:dyDescent="0.25">
      <c r="A123" s="49">
        <v>41944</v>
      </c>
      <c r="B123" s="51">
        <f t="shared" si="12"/>
        <v>7.3895164721637157</v>
      </c>
      <c r="C123" s="51" t="s">
        <v>93</v>
      </c>
    </row>
    <row r="124" spans="1:4" s="53" customFormat="1" x14ac:dyDescent="0.25">
      <c r="A124" s="52">
        <v>41974</v>
      </c>
      <c r="B124" s="53">
        <f t="shared" si="12"/>
        <v>7.4575571696815786</v>
      </c>
      <c r="C124" s="53">
        <f>SUM(B113:B124)</f>
        <v>84.999999999999986</v>
      </c>
      <c r="D124" s="53">
        <f>B124*12</f>
        <v>89.490686036178943</v>
      </c>
    </row>
    <row r="125" spans="1:4" s="48" customFormat="1" x14ac:dyDescent="0.25">
      <c r="A125" s="47">
        <v>42005</v>
      </c>
      <c r="B125" s="48">
        <f>B124+$C$125</f>
        <v>7.5281893999869771</v>
      </c>
      <c r="C125" s="48">
        <f>H12</f>
        <v>7.0632230305398169E-2</v>
      </c>
    </row>
    <row r="126" spans="1:4" s="51" customFormat="1" x14ac:dyDescent="0.25">
      <c r="A126" s="49">
        <v>42036</v>
      </c>
      <c r="B126" s="51">
        <f t="shared" ref="B126:B136" si="13">B125+$C$125</f>
        <v>7.5988216302923757</v>
      </c>
    </row>
    <row r="127" spans="1:4" s="51" customFormat="1" x14ac:dyDescent="0.25">
      <c r="A127" s="49">
        <v>42064</v>
      </c>
      <c r="B127" s="51">
        <f t="shared" si="13"/>
        <v>7.6694538605977742</v>
      </c>
    </row>
    <row r="128" spans="1:4" s="51" customFormat="1" x14ac:dyDescent="0.25">
      <c r="A128" s="49">
        <v>42095</v>
      </c>
      <c r="B128" s="51">
        <f t="shared" si="13"/>
        <v>7.7400860909031728</v>
      </c>
    </row>
    <row r="129" spans="1:4" s="51" customFormat="1" x14ac:dyDescent="0.25">
      <c r="A129" s="49">
        <v>42125</v>
      </c>
      <c r="B129" s="51">
        <f t="shared" si="13"/>
        <v>7.8107183212085713</v>
      </c>
    </row>
    <row r="130" spans="1:4" s="51" customFormat="1" x14ac:dyDescent="0.25">
      <c r="A130" s="49">
        <v>42156</v>
      </c>
      <c r="B130" s="51">
        <f t="shared" si="13"/>
        <v>7.8813505515139699</v>
      </c>
    </row>
    <row r="131" spans="1:4" s="51" customFormat="1" x14ac:dyDescent="0.25">
      <c r="A131" s="49">
        <v>42186</v>
      </c>
      <c r="B131" s="51">
        <f t="shared" si="13"/>
        <v>7.9519827818193685</v>
      </c>
    </row>
    <row r="132" spans="1:4" s="51" customFormat="1" x14ac:dyDescent="0.25">
      <c r="A132" s="49">
        <v>42217</v>
      </c>
      <c r="B132" s="51">
        <f t="shared" si="13"/>
        <v>8.022615012124767</v>
      </c>
    </row>
    <row r="133" spans="1:4" s="51" customFormat="1" x14ac:dyDescent="0.25">
      <c r="A133" s="49">
        <v>42248</v>
      </c>
      <c r="B133" s="51">
        <f t="shared" si="13"/>
        <v>8.0932472424301647</v>
      </c>
    </row>
    <row r="134" spans="1:4" s="51" customFormat="1" x14ac:dyDescent="0.25">
      <c r="A134" s="49">
        <v>42278</v>
      </c>
      <c r="B134" s="51">
        <f t="shared" si="13"/>
        <v>8.1638794727355624</v>
      </c>
    </row>
    <row r="135" spans="1:4" s="51" customFormat="1" x14ac:dyDescent="0.25">
      <c r="A135" s="49">
        <v>42309</v>
      </c>
      <c r="B135" s="51">
        <f t="shared" si="13"/>
        <v>8.23451170304096</v>
      </c>
      <c r="C135" s="51" t="s">
        <v>93</v>
      </c>
    </row>
    <row r="136" spans="1:4" s="53" customFormat="1" x14ac:dyDescent="0.25">
      <c r="A136" s="52">
        <v>42339</v>
      </c>
      <c r="B136" s="53">
        <f t="shared" si="13"/>
        <v>8.3051439333463577</v>
      </c>
      <c r="C136" s="53">
        <f>SUM(B125:B136)</f>
        <v>95.000000000000014</v>
      </c>
      <c r="D136" s="53">
        <f>B136*12</f>
        <v>99.661727200156292</v>
      </c>
    </row>
    <row r="137" spans="1:4" s="48" customFormat="1" x14ac:dyDescent="0.25">
      <c r="A137" s="47">
        <v>42370</v>
      </c>
      <c r="B137" s="48">
        <f>B136+$C$137</f>
        <v>8.3735833282161494</v>
      </c>
      <c r="C137" s="48">
        <f>H13</f>
        <v>6.8439394869791129E-2</v>
      </c>
    </row>
    <row r="138" spans="1:4" s="51" customFormat="1" x14ac:dyDescent="0.25">
      <c r="A138" s="49">
        <v>42401</v>
      </c>
      <c r="B138" s="51">
        <f t="shared" ref="B138:B148" si="14">B137+$C$137</f>
        <v>8.442022723085941</v>
      </c>
    </row>
    <row r="139" spans="1:4" s="51" customFormat="1" x14ac:dyDescent="0.25">
      <c r="A139" s="49">
        <v>42430</v>
      </c>
      <c r="B139" s="51">
        <f t="shared" si="14"/>
        <v>8.5104621179557327</v>
      </c>
    </row>
    <row r="140" spans="1:4" s="51" customFormat="1" x14ac:dyDescent="0.25">
      <c r="A140" s="49">
        <v>42461</v>
      </c>
      <c r="B140" s="51">
        <f t="shared" si="14"/>
        <v>8.5789015128255244</v>
      </c>
    </row>
    <row r="141" spans="1:4" s="51" customFormat="1" x14ac:dyDescent="0.25">
      <c r="A141" s="49">
        <v>42491</v>
      </c>
      <c r="B141" s="51">
        <f t="shared" si="14"/>
        <v>8.647340907695316</v>
      </c>
    </row>
    <row r="142" spans="1:4" s="51" customFormat="1" x14ac:dyDescent="0.25">
      <c r="A142" s="49">
        <v>42522</v>
      </c>
      <c r="B142" s="51">
        <f t="shared" si="14"/>
        <v>8.7157803025651077</v>
      </c>
    </row>
    <row r="143" spans="1:4" s="51" customFormat="1" x14ac:dyDescent="0.25">
      <c r="A143" s="49">
        <v>42552</v>
      </c>
      <c r="B143" s="51">
        <f t="shared" si="14"/>
        <v>8.7842196974348994</v>
      </c>
    </row>
    <row r="144" spans="1:4" s="51" customFormat="1" x14ac:dyDescent="0.25">
      <c r="A144" s="49">
        <v>42583</v>
      </c>
      <c r="B144" s="51">
        <f t="shared" si="14"/>
        <v>8.8526590923046911</v>
      </c>
    </row>
    <row r="145" spans="1:4" s="51" customFormat="1" x14ac:dyDescent="0.25">
      <c r="A145" s="49">
        <v>42614</v>
      </c>
      <c r="B145" s="51">
        <f t="shared" si="14"/>
        <v>8.9210984871744827</v>
      </c>
    </row>
    <row r="146" spans="1:4" s="51" customFormat="1" x14ac:dyDescent="0.25">
      <c r="A146" s="49">
        <v>42644</v>
      </c>
      <c r="B146" s="51">
        <f t="shared" si="14"/>
        <v>8.9895378820442744</v>
      </c>
    </row>
    <row r="147" spans="1:4" s="51" customFormat="1" x14ac:dyDescent="0.25">
      <c r="A147" s="49">
        <v>42675</v>
      </c>
      <c r="B147" s="51">
        <f t="shared" si="14"/>
        <v>9.0579772769140661</v>
      </c>
      <c r="C147" s="51" t="s">
        <v>93</v>
      </c>
    </row>
    <row r="148" spans="1:4" s="53" customFormat="1" x14ac:dyDescent="0.25">
      <c r="A148" s="52">
        <v>42705</v>
      </c>
      <c r="B148" s="53">
        <f t="shared" si="14"/>
        <v>9.1264166717838577</v>
      </c>
      <c r="C148" s="53">
        <f>SUM(B137:B148)</f>
        <v>105.00000000000003</v>
      </c>
      <c r="D148" s="53">
        <f>B148*12</f>
        <v>109.51700006140629</v>
      </c>
    </row>
    <row r="149" spans="1:4" s="48" customFormat="1" x14ac:dyDescent="0.25">
      <c r="A149" s="47">
        <v>42736</v>
      </c>
      <c r="B149" s="48">
        <f>B148+$C$149</f>
        <v>9.1967115427914692</v>
      </c>
      <c r="C149" s="48">
        <f>H14</f>
        <v>7.0294871007611628E-2</v>
      </c>
    </row>
    <row r="150" spans="1:4" s="51" customFormat="1" x14ac:dyDescent="0.25">
      <c r="A150" s="49">
        <v>42767</v>
      </c>
      <c r="B150" s="51">
        <f t="shared" ref="B150:B160" si="15">B149+$C$149</f>
        <v>9.2670064137990806</v>
      </c>
    </row>
    <row r="151" spans="1:4" s="51" customFormat="1" x14ac:dyDescent="0.25">
      <c r="A151" s="49">
        <v>42795</v>
      </c>
      <c r="B151" s="51">
        <f t="shared" si="15"/>
        <v>9.3373012848066921</v>
      </c>
    </row>
    <row r="152" spans="1:4" s="51" customFormat="1" x14ac:dyDescent="0.25">
      <c r="A152" s="49">
        <v>42826</v>
      </c>
      <c r="B152" s="51">
        <f t="shared" si="15"/>
        <v>9.4075961558143035</v>
      </c>
    </row>
    <row r="153" spans="1:4" s="51" customFormat="1" x14ac:dyDescent="0.25">
      <c r="A153" s="49">
        <v>42856</v>
      </c>
      <c r="B153" s="51">
        <f t="shared" si="15"/>
        <v>9.477891026821915</v>
      </c>
    </row>
    <row r="154" spans="1:4" s="51" customFormat="1" x14ac:dyDescent="0.25">
      <c r="A154" s="49">
        <v>42887</v>
      </c>
      <c r="B154" s="51">
        <f t="shared" si="15"/>
        <v>9.5481858978295264</v>
      </c>
    </row>
    <row r="155" spans="1:4" s="51" customFormat="1" x14ac:dyDescent="0.25">
      <c r="A155" s="49">
        <v>42917</v>
      </c>
      <c r="B155" s="51">
        <f t="shared" si="15"/>
        <v>9.6184807688371379</v>
      </c>
    </row>
    <row r="156" spans="1:4" s="51" customFormat="1" x14ac:dyDescent="0.25">
      <c r="A156" s="49">
        <v>42948</v>
      </c>
      <c r="B156" s="51">
        <f t="shared" si="15"/>
        <v>9.6887756398447493</v>
      </c>
    </row>
    <row r="157" spans="1:4" s="51" customFormat="1" x14ac:dyDescent="0.25">
      <c r="A157" s="49">
        <v>42979</v>
      </c>
      <c r="B157" s="51">
        <f t="shared" si="15"/>
        <v>9.7590705108523608</v>
      </c>
    </row>
    <row r="158" spans="1:4" s="51" customFormat="1" x14ac:dyDescent="0.25">
      <c r="A158" s="49">
        <v>43009</v>
      </c>
      <c r="B158" s="51">
        <f t="shared" si="15"/>
        <v>9.8293653818599722</v>
      </c>
    </row>
    <row r="159" spans="1:4" s="51" customFormat="1" x14ac:dyDescent="0.25">
      <c r="A159" s="49">
        <v>43040</v>
      </c>
      <c r="B159" s="51">
        <f t="shared" si="15"/>
        <v>9.8996602528675837</v>
      </c>
      <c r="C159" s="51" t="s">
        <v>93</v>
      </c>
    </row>
    <row r="160" spans="1:4" s="53" customFormat="1" x14ac:dyDescent="0.25">
      <c r="A160" s="52">
        <v>43070</v>
      </c>
      <c r="B160" s="53">
        <f t="shared" si="15"/>
        <v>9.9699551238751951</v>
      </c>
      <c r="C160" s="53">
        <f>SUM(B149:B160)</f>
        <v>114.99999999999997</v>
      </c>
      <c r="D160" s="53">
        <f>B160*12</f>
        <v>119.63946148650234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6"/>
    <pageSetUpPr fitToPage="1"/>
  </sheetPr>
  <dimension ref="A1:Q72"/>
  <sheetViews>
    <sheetView tabSelected="1" view="pageBreakPreview" zoomScale="6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7" sqref="D27"/>
    </sheetView>
  </sheetViews>
  <sheetFormatPr defaultColWidth="9.1796875" defaultRowHeight="12.5" x14ac:dyDescent="0.25"/>
  <cols>
    <col min="1" max="1" width="32.54296875" style="65" customWidth="1"/>
    <col min="2" max="7" width="14" style="45" bestFit="1" customWidth="1"/>
    <col min="8" max="12" width="14" style="45" customWidth="1"/>
    <col min="13" max="13" width="13.81640625" style="45" bestFit="1" customWidth="1"/>
    <col min="14" max="14" width="13.453125" style="33" bestFit="1" customWidth="1"/>
    <col min="15" max="15" width="11.54296875" style="139" bestFit="1" customWidth="1"/>
    <col min="16" max="17" width="11.54296875" style="65" bestFit="1" customWidth="1"/>
    <col min="18" max="16384" width="9.1796875" style="65"/>
  </cols>
  <sheetData>
    <row r="1" spans="1:17" ht="46.5" x14ac:dyDescent="0.35">
      <c r="A1" s="91" t="s">
        <v>145</v>
      </c>
    </row>
    <row r="2" spans="1:17" ht="6.5" customHeight="1" x14ac:dyDescent="0.25">
      <c r="B2" s="193">
        <v>2010</v>
      </c>
      <c r="C2" s="193">
        <v>2011</v>
      </c>
      <c r="D2" s="193">
        <v>2012</v>
      </c>
      <c r="E2" s="193">
        <v>2013</v>
      </c>
      <c r="F2" s="193">
        <v>2014</v>
      </c>
      <c r="G2" s="193">
        <v>2015</v>
      </c>
      <c r="H2" s="193">
        <v>2016</v>
      </c>
      <c r="I2" s="193">
        <v>2017</v>
      </c>
      <c r="J2" s="193">
        <v>2018</v>
      </c>
      <c r="K2" s="193">
        <v>2019</v>
      </c>
      <c r="L2" s="193">
        <v>2020</v>
      </c>
      <c r="M2" s="193">
        <v>2021</v>
      </c>
      <c r="N2" s="193">
        <v>2022</v>
      </c>
    </row>
    <row r="3" spans="1:17" ht="39" x14ac:dyDescent="0.3">
      <c r="B3" s="145" t="s">
        <v>64</v>
      </c>
      <c r="C3" s="145" t="s">
        <v>66</v>
      </c>
      <c r="D3" s="145" t="s">
        <v>70</v>
      </c>
      <c r="E3" s="145" t="s">
        <v>69</v>
      </c>
      <c r="F3" s="145" t="s">
        <v>68</v>
      </c>
      <c r="G3" s="145" t="s">
        <v>67</v>
      </c>
      <c r="H3" s="145" t="s">
        <v>137</v>
      </c>
      <c r="I3" s="145" t="s">
        <v>138</v>
      </c>
      <c r="J3" s="145" t="s">
        <v>139</v>
      </c>
      <c r="K3" s="145" t="s">
        <v>140</v>
      </c>
      <c r="L3" s="145" t="s">
        <v>142</v>
      </c>
      <c r="M3" s="125" t="s">
        <v>141</v>
      </c>
      <c r="N3" s="123" t="s">
        <v>143</v>
      </c>
      <c r="O3" s="152"/>
    </row>
    <row r="4" spans="1:17" ht="13" x14ac:dyDescent="0.3">
      <c r="A4" s="92" t="s">
        <v>50</v>
      </c>
      <c r="B4" s="46">
        <f>GETPIVOTDATA("Sum of Purchased2",'Purch. Power Model '!$D$5,"Year",B2)</f>
        <v>950759112.65007687</v>
      </c>
      <c r="C4" s="46">
        <f>GETPIVOTDATA("Sum of Purchased2",'Purch. Power Model '!$D$5,"Year",C2)</f>
        <v>944902732.12384617</v>
      </c>
      <c r="D4" s="46">
        <f>GETPIVOTDATA("Sum of Purchased2",'Purch. Power Model '!$D$5,"Year",D2)</f>
        <v>964379230.70517492</v>
      </c>
      <c r="E4" s="46">
        <f>GETPIVOTDATA("Sum of Purchased2",'Purch. Power Model '!$D$5,"Year",E2)</f>
        <v>961335479.00000012</v>
      </c>
      <c r="F4" s="46">
        <f>GETPIVOTDATA("Sum of Purchased2",'Purch. Power Model '!$D$5,"Year",F2)</f>
        <v>913546785.3566668</v>
      </c>
      <c r="G4" s="46">
        <f>GETPIVOTDATA("Sum of Purchased2",'Purch. Power Model '!$D$5,"Year",G2)</f>
        <v>920489866.98307681</v>
      </c>
      <c r="H4" s="46">
        <f>GETPIVOTDATA("Sum of Purchased2",'Purch. Power Model '!$D$5,"Year",H2)</f>
        <v>928717584.78461564</v>
      </c>
      <c r="I4" s="46">
        <f>GETPIVOTDATA("Sum of Purchased2",'Purch. Power Model '!$D$5,"Year",I2)</f>
        <v>914942349.02142859</v>
      </c>
      <c r="J4" s="46">
        <f>GETPIVOTDATA("Sum of Purchased2",'Purch. Power Model '!$D$5,"Year",J2)</f>
        <v>965883912.18000007</v>
      </c>
      <c r="K4" s="46">
        <f>GETPIVOTDATA("Sum of Purchased2",'Purch. Power Model '!$D$5,"Year",K2)</f>
        <v>959330220.76954007</v>
      </c>
      <c r="L4" s="46">
        <f>GETPIVOTDATA("Sum of Purchased2",'Purch. Power Model '!$D$5,"Year",L2)</f>
        <v>961031702.85464001</v>
      </c>
      <c r="M4" s="127"/>
      <c r="N4" s="128"/>
    </row>
    <row r="5" spans="1:17" ht="13" x14ac:dyDescent="0.3">
      <c r="A5" s="92" t="s">
        <v>51</v>
      </c>
      <c r="B5" s="46">
        <f>GETPIVOTDATA("Sum of Predicted Purchases ",'Purch. Power Model '!$D$5,"Year",B2)</f>
        <v>960319810.41915989</v>
      </c>
      <c r="C5" s="46">
        <f>GETPIVOTDATA("Sum of Predicted Purchases ",'Purch. Power Model '!$D$5,"Year",C2)</f>
        <v>958844382.30784512</v>
      </c>
      <c r="D5" s="46">
        <f>GETPIVOTDATA("Sum of Predicted Purchases ",'Purch. Power Model '!$D$5,"Year",D2)</f>
        <v>950666119.44824326</v>
      </c>
      <c r="E5" s="46">
        <f>GETPIVOTDATA("Sum of Predicted Purchases ",'Purch. Power Model '!$D$5,"Year",E2)</f>
        <v>927029805.31403124</v>
      </c>
      <c r="F5" s="46">
        <f>GETPIVOTDATA("Sum of Predicted Purchases ",'Purch. Power Model '!$D$5,"Year",F2)</f>
        <v>918015075.310835</v>
      </c>
      <c r="G5" s="46">
        <f>GETPIVOTDATA("Sum of Predicted Purchases ",'Purch. Power Model '!$D$5,"Year",G2)</f>
        <v>924465660.20835423</v>
      </c>
      <c r="H5" s="46">
        <f>GETPIVOTDATA("Sum of Predicted Purchases ",'Purch. Power Model '!$D$5,"Year",H2)</f>
        <v>950199934.43693376</v>
      </c>
      <c r="I5" s="46">
        <f>GETPIVOTDATA("Sum of Predicted Purchases ",'Purch. Power Model '!$D$5,"Year",I2)</f>
        <v>927473628.12682843</v>
      </c>
      <c r="J5" s="46">
        <f>GETPIVOTDATA("Sum of Predicted Purchases ",'Purch. Power Model '!$D$5,"Year",J2)</f>
        <v>962401471.13637781</v>
      </c>
      <c r="K5" s="46">
        <f>GETPIVOTDATA("Sum of Predicted Purchases ",'Purch. Power Model '!$D$5,"Year",K2)</f>
        <v>944871386.86581624</v>
      </c>
      <c r="L5" s="46">
        <f>GETPIVOTDATA("Sum of Predicted Purchases ",'Purch. Power Model '!$D$5,"Year",L2)</f>
        <v>917239283.8450731</v>
      </c>
      <c r="M5" s="129">
        <f>GETPIVOTDATA("Sum of Predicted Purchases ",'Purch. Power Model '!$D$5,"Year",M2)</f>
        <v>881577393.12093174</v>
      </c>
      <c r="N5" s="128">
        <f>GETPIVOTDATA("Sum of Predicted Purchases ",'Purch. Power Model '!$D$5,"Year",N2)</f>
        <v>902766029.26516461</v>
      </c>
    </row>
    <row r="6" spans="1:17" ht="13" x14ac:dyDescent="0.3">
      <c r="A6" s="92" t="s">
        <v>8</v>
      </c>
      <c r="B6" s="146">
        <f t="shared" ref="B6:L6" si="0">(B5-B4)/B4</f>
        <v>1.0055857095530989E-2</v>
      </c>
      <c r="C6" s="146">
        <f t="shared" si="0"/>
        <v>1.4754587652278736E-2</v>
      </c>
      <c r="D6" s="146">
        <f t="shared" si="0"/>
        <v>-1.4219625247325514E-2</v>
      </c>
      <c r="E6" s="146">
        <f t="shared" si="0"/>
        <v>-3.5685433894163884E-2</v>
      </c>
      <c r="F6" s="146">
        <f t="shared" si="0"/>
        <v>4.8911451781023909E-3</v>
      </c>
      <c r="G6" s="146">
        <f t="shared" si="0"/>
        <v>4.3192145485622373E-3</v>
      </c>
      <c r="H6" s="146">
        <f t="shared" si="0"/>
        <v>2.3131197259821691E-2</v>
      </c>
      <c r="I6" s="146">
        <f t="shared" si="0"/>
        <v>1.3696249953674793E-2</v>
      </c>
      <c r="J6" s="146">
        <f t="shared" si="0"/>
        <v>-3.605444712048662E-3</v>
      </c>
      <c r="K6" s="146">
        <f t="shared" si="0"/>
        <v>-1.5071800711256111E-2</v>
      </c>
      <c r="L6" s="146">
        <f t="shared" si="0"/>
        <v>-4.5568131498145474E-2</v>
      </c>
      <c r="M6" s="129"/>
      <c r="N6" s="130"/>
      <c r="O6" s="140"/>
      <c r="P6" s="94"/>
      <c r="Q6" s="94"/>
    </row>
    <row r="7" spans="1:17" ht="13" x14ac:dyDescent="0.3">
      <c r="A7" s="92"/>
      <c r="M7" s="127"/>
      <c r="N7" s="128"/>
    </row>
    <row r="8" spans="1:17" ht="13" x14ac:dyDescent="0.3">
      <c r="A8" s="92" t="s">
        <v>53</v>
      </c>
      <c r="B8" s="147">
        <f>'Rate Class Energy Model'!$G7</f>
        <v>917169662</v>
      </c>
      <c r="C8" s="147">
        <f>'Rate Class Energy Model'!$G8</f>
        <v>919260512</v>
      </c>
      <c r="D8" s="147">
        <f>'Rate Class Energy Model'!$G9</f>
        <v>936319334</v>
      </c>
      <c r="E8" s="147">
        <f>'Rate Class Energy Model'!$G10</f>
        <v>926349236</v>
      </c>
      <c r="F8" s="147">
        <f>'Rate Class Energy Model'!$G11</f>
        <v>889619639</v>
      </c>
      <c r="G8" s="147">
        <f>'Rate Class Energy Model'!$G12</f>
        <v>904891892</v>
      </c>
      <c r="H8" s="147">
        <f>'Rate Class Energy Model'!G13</f>
        <v>909331461</v>
      </c>
      <c r="I8" s="147">
        <f>'Rate Class Energy Model'!G14</f>
        <v>892260753</v>
      </c>
      <c r="J8" s="147">
        <f>'Rate Class Energy Model'!G15</f>
        <v>934510743</v>
      </c>
      <c r="K8" s="147">
        <f>'Rate Class Energy Model'!G16</f>
        <v>932356870.25999999</v>
      </c>
      <c r="L8" s="147">
        <f>'Rate Class Energy Model'!G17</f>
        <v>933148229.9000001</v>
      </c>
      <c r="M8" s="131">
        <f>'Rate Class Energy Model'!G84</f>
        <v>857658458.6916101</v>
      </c>
      <c r="N8" s="132">
        <f>'Rate Class Energy Model'!G85</f>
        <v>878272205.32241476</v>
      </c>
      <c r="O8" s="156"/>
      <c r="Q8" s="101"/>
    </row>
    <row r="9" spans="1:17" ht="25.5" x14ac:dyDescent="0.3">
      <c r="A9" s="92"/>
      <c r="H9" s="102"/>
      <c r="I9" s="102"/>
      <c r="J9" s="102"/>
      <c r="K9" s="102"/>
      <c r="L9" s="102" t="s">
        <v>147</v>
      </c>
      <c r="M9" s="136">
        <f>M8/K8-1</f>
        <v>-8.0117832507159203E-2</v>
      </c>
      <c r="N9" s="137">
        <f>N8/K8-1</f>
        <v>-5.8008544434818177E-2</v>
      </c>
      <c r="O9" s="156"/>
    </row>
    <row r="10" spans="1:17" ht="15.5" x14ac:dyDescent="0.35">
      <c r="A10" s="91" t="s">
        <v>52</v>
      </c>
      <c r="M10" s="127"/>
      <c r="N10" s="128"/>
    </row>
    <row r="11" spans="1:17" ht="13" x14ac:dyDescent="0.3">
      <c r="A11" s="95" t="str">
        <f>'Rate Class Energy Model'!H2</f>
        <v>Residential</v>
      </c>
      <c r="M11" s="127"/>
      <c r="N11" s="128"/>
    </row>
    <row r="12" spans="1:17" x14ac:dyDescent="0.25">
      <c r="A12" s="65" t="s">
        <v>45</v>
      </c>
      <c r="B12" s="46">
        <f>'Rate Class Customer Model'!$B$7</f>
        <v>34256</v>
      </c>
      <c r="C12" s="46">
        <f>'Rate Class Customer Model'!$B$8</f>
        <v>34643</v>
      </c>
      <c r="D12" s="46">
        <f>'Rate Class Customer Model'!$B$9</f>
        <v>34938</v>
      </c>
      <c r="E12" s="46">
        <f>'Rate Class Customer Model'!$B$10</f>
        <v>35225.5</v>
      </c>
      <c r="F12" s="46">
        <f>'Rate Class Customer Model'!$B$11</f>
        <v>35479</v>
      </c>
      <c r="G12" s="46">
        <f>'Rate Class Customer Model'!$B$12</f>
        <v>35743.5</v>
      </c>
      <c r="H12" s="46">
        <f>'Rate Class Customer Model'!B13</f>
        <v>36042.75</v>
      </c>
      <c r="I12" s="46">
        <f>'Rate Class Customer Model'!B14</f>
        <v>36240.75</v>
      </c>
      <c r="J12" s="46">
        <f>'Rate Class Customer Model'!B15</f>
        <v>36520.5</v>
      </c>
      <c r="K12" s="46">
        <f>'Rate Class Customer Model'!B16</f>
        <v>36732.5</v>
      </c>
      <c r="L12" s="46">
        <f>'Rate Class Customer Model'!B17</f>
        <v>37076.5</v>
      </c>
      <c r="M12" s="127">
        <f>'Rate Class Customer Model'!$B$18</f>
        <v>37371.01885563018</v>
      </c>
      <c r="N12" s="128">
        <f>'Rate Class Customer Model'!$B$19</f>
        <v>37667.87723511838</v>
      </c>
      <c r="P12" s="101"/>
    </row>
    <row r="13" spans="1:17" x14ac:dyDescent="0.25">
      <c r="A13" s="65" t="s">
        <v>46</v>
      </c>
      <c r="B13" s="46">
        <f>'Rate Class Energy Model'!$H$7</f>
        <v>287357342</v>
      </c>
      <c r="C13" s="46">
        <f>'Rate Class Energy Model'!$H$8</f>
        <v>291380972</v>
      </c>
      <c r="D13" s="46">
        <f>'Rate Class Energy Model'!$H$9</f>
        <v>287058174</v>
      </c>
      <c r="E13" s="46">
        <f>'Rate Class Energy Model'!$H$10</f>
        <v>282501947</v>
      </c>
      <c r="F13" s="46">
        <f>'Rate Class Energy Model'!$H$11</f>
        <v>282925750</v>
      </c>
      <c r="G13" s="121">
        <f>'Rate Class Energy Model'!$H$12</f>
        <v>287594336</v>
      </c>
      <c r="H13" s="121">
        <f>'Rate Class Energy Model'!H13</f>
        <v>291787861</v>
      </c>
      <c r="I13" s="121">
        <f>'Rate Class Energy Model'!H14</f>
        <v>273448641</v>
      </c>
      <c r="J13" s="121">
        <f>'Rate Class Energy Model'!H15</f>
        <v>301310523</v>
      </c>
      <c r="K13" s="121">
        <f>'Rate Class Energy Model'!H16</f>
        <v>292180864.93883711</v>
      </c>
      <c r="L13" s="121">
        <f>'Rate Class Energy Model'!H17</f>
        <v>315774546.06238711</v>
      </c>
      <c r="M13" s="127">
        <f>'Rate Class Energy Model'!$H$84</f>
        <v>281856414.84104896</v>
      </c>
      <c r="N13" s="128">
        <f>'Rate Class Energy Model'!$H$85</f>
        <v>293509086.81476605</v>
      </c>
      <c r="P13" s="101"/>
    </row>
    <row r="14" spans="1:17" ht="13" x14ac:dyDescent="0.3">
      <c r="D14" s="93"/>
      <c r="M14" s="127"/>
      <c r="N14" s="130"/>
    </row>
    <row r="15" spans="1:17" ht="13" x14ac:dyDescent="0.3">
      <c r="A15" s="95" t="str">
        <f>'Rate Class Energy Model'!I2</f>
        <v>GS&lt;50</v>
      </c>
      <c r="M15" s="127"/>
      <c r="N15" s="128"/>
    </row>
    <row r="16" spans="1:17" x14ac:dyDescent="0.25">
      <c r="A16" s="65" t="s">
        <v>45</v>
      </c>
      <c r="B16" s="46">
        <f>'Rate Class Customer Model'!$C$7</f>
        <v>2687.5</v>
      </c>
      <c r="C16" s="46">
        <f>'Rate Class Customer Model'!$C$8</f>
        <v>2709</v>
      </c>
      <c r="D16" s="46">
        <f>'Rate Class Customer Model'!$C$9</f>
        <v>2728</v>
      </c>
      <c r="E16" s="46">
        <f>'Rate Class Customer Model'!$C$10</f>
        <v>2748.5</v>
      </c>
      <c r="F16" s="46">
        <f>'Rate Class Customer Model'!$C$11</f>
        <v>2771.5</v>
      </c>
      <c r="G16" s="46">
        <f>'Rate Class Customer Model'!$C$12</f>
        <v>2784</v>
      </c>
      <c r="H16" s="46">
        <f>'Rate Class Customer Model'!C13</f>
        <v>2792.25</v>
      </c>
      <c r="I16" s="46">
        <f>'Rate Class Customer Model'!C14</f>
        <v>2797.75</v>
      </c>
      <c r="J16" s="46">
        <f>'Rate Class Customer Model'!C15</f>
        <v>2804</v>
      </c>
      <c r="K16" s="46">
        <f>'Rate Class Customer Model'!C16</f>
        <v>2834</v>
      </c>
      <c r="L16" s="46">
        <f>'Rate Class Customer Model'!C17</f>
        <v>2930.25</v>
      </c>
      <c r="M16" s="127">
        <f>'Rate Class Customer Model'!$C$18</f>
        <v>2955.6996133950884</v>
      </c>
      <c r="N16" s="128">
        <f>'Rate Class Customer Model'!$C$19</f>
        <v>2981.3702600883457</v>
      </c>
    </row>
    <row r="17" spans="1:17" x14ac:dyDescent="0.25">
      <c r="A17" s="65" t="s">
        <v>46</v>
      </c>
      <c r="B17" s="46">
        <f>'Rate Class Energy Model'!$I$7</f>
        <v>98691975</v>
      </c>
      <c r="C17" s="46">
        <f>'Rate Class Energy Model'!$I$8</f>
        <v>99001655</v>
      </c>
      <c r="D17" s="46">
        <f>'Rate Class Energy Model'!$I$9</f>
        <v>100340238</v>
      </c>
      <c r="E17" s="46">
        <f>'Rate Class Energy Model'!$I$10</f>
        <v>99838335</v>
      </c>
      <c r="F17" s="46">
        <f>'Rate Class Energy Model'!$I$11</f>
        <v>99356580</v>
      </c>
      <c r="G17" s="121">
        <f>'Rate Class Energy Model'!$I$12</f>
        <v>100078635</v>
      </c>
      <c r="H17" s="121">
        <f>'Rate Class Energy Model'!I13</f>
        <v>99573959</v>
      </c>
      <c r="I17" s="121">
        <f>'Rate Class Energy Model'!I14</f>
        <v>96495542</v>
      </c>
      <c r="J17" s="121">
        <f>'Rate Class Energy Model'!I15</f>
        <v>94728588</v>
      </c>
      <c r="K17" s="121">
        <f>'Rate Class Energy Model'!I16</f>
        <v>93124427.492277056</v>
      </c>
      <c r="L17" s="121">
        <f>'Rate Class Energy Model'!I17</f>
        <v>87228067.152691096</v>
      </c>
      <c r="M17" s="127">
        <f>'Rate Class Energy Model'!$I$84</f>
        <v>76054487.901469886</v>
      </c>
      <c r="N17" s="128">
        <f>'Rate Class Energy Model'!$I$85</f>
        <v>77363528.136319786</v>
      </c>
    </row>
    <row r="18" spans="1:17" ht="13" x14ac:dyDescent="0.3">
      <c r="D18" s="93"/>
      <c r="M18" s="127"/>
      <c r="N18" s="130"/>
    </row>
    <row r="19" spans="1:17" ht="13" x14ac:dyDescent="0.3">
      <c r="A19" s="95" t="str">
        <f>'Rate Class Energy Model'!J2</f>
        <v>GS&gt;50 (excl. WMP)</v>
      </c>
      <c r="M19" s="127"/>
      <c r="N19" s="128"/>
    </row>
    <row r="20" spans="1:17" x14ac:dyDescent="0.25">
      <c r="A20" s="65" t="s">
        <v>45</v>
      </c>
      <c r="B20" s="46">
        <f>'Rate Class Customer Model'!$D$7</f>
        <v>417</v>
      </c>
      <c r="C20" s="46">
        <f>'Rate Class Customer Model'!$D$8</f>
        <v>421</v>
      </c>
      <c r="D20" s="46">
        <f>'Rate Class Customer Model'!$D$9</f>
        <v>419</v>
      </c>
      <c r="E20" s="46">
        <f>'Rate Class Customer Model'!$D$10</f>
        <v>423.5</v>
      </c>
      <c r="F20" s="46">
        <f>'Rate Class Customer Model'!$D$11</f>
        <v>432</v>
      </c>
      <c r="G20" s="46">
        <f>'Rate Class Customer Model'!$D$12</f>
        <v>437.5</v>
      </c>
      <c r="H20" s="46">
        <f>'Rate Class Customer Model'!D13</f>
        <v>452</v>
      </c>
      <c r="I20" s="46">
        <f>'Rate Class Customer Model'!D14</f>
        <v>456.75</v>
      </c>
      <c r="J20" s="46">
        <f>'Rate Class Customer Model'!D15</f>
        <v>483.25</v>
      </c>
      <c r="K20" s="46">
        <f>'Rate Class Customer Model'!D16</f>
        <v>488.75</v>
      </c>
      <c r="L20" s="46">
        <f>'Rate Class Customer Model'!D17</f>
        <v>490.66666666666669</v>
      </c>
      <c r="M20" s="127">
        <f>'Rate Class Customer Model'!$D$18</f>
        <v>498.71405204334792</v>
      </c>
      <c r="N20" s="128">
        <f>'Rate Class Customer Model'!$D$19</f>
        <v>506.89342195413406</v>
      </c>
    </row>
    <row r="21" spans="1:17" x14ac:dyDescent="0.25">
      <c r="A21" s="65" t="s">
        <v>46</v>
      </c>
      <c r="B21" s="46">
        <f>'Rate Class Energy Model'!$J$7</f>
        <v>521725747</v>
      </c>
      <c r="C21" s="46">
        <f>'Rate Class Energy Model'!$J$8</f>
        <v>519515098</v>
      </c>
      <c r="D21" s="46">
        <f>'Rate Class Energy Model'!$J$9</f>
        <v>539521215</v>
      </c>
      <c r="E21" s="46">
        <f>'Rate Class Energy Model'!$J$10</f>
        <v>534621114</v>
      </c>
      <c r="F21" s="46">
        <f>'Rate Class Energy Model'!$J$11</f>
        <v>497985709</v>
      </c>
      <c r="G21" s="121">
        <f>'Rate Class Energy Model'!$J$12</f>
        <v>507886846</v>
      </c>
      <c r="H21" s="121">
        <f>'Rate Class Energy Model'!J13</f>
        <v>508774431</v>
      </c>
      <c r="I21" s="121">
        <f>'Rate Class Energy Model'!J14</f>
        <v>513281236</v>
      </c>
      <c r="J21" s="121">
        <f>'Rate Class Energy Model'!J15</f>
        <v>529592600</v>
      </c>
      <c r="K21" s="121">
        <f>'Rate Class Energy Model'!J16</f>
        <v>538150482.33084905</v>
      </c>
      <c r="L21" s="121">
        <f>'Rate Class Energy Model'!J17</f>
        <v>521485545.00903696</v>
      </c>
      <c r="M21" s="127">
        <f>'Rate Class Energy Model'!$J$84</f>
        <v>490713363.01567924</v>
      </c>
      <c r="N21" s="128">
        <f>'Rate Class Energy Model'!$J$85</f>
        <v>497967199.05250567</v>
      </c>
    </row>
    <row r="22" spans="1:17" x14ac:dyDescent="0.25">
      <c r="A22" s="65" t="s">
        <v>47</v>
      </c>
      <c r="B22" s="148">
        <f>'Rate Class Load Model'!$B$6</f>
        <v>1323482.2400000002</v>
      </c>
      <c r="C22" s="148">
        <f>'Rate Class Load Model'!$B$7</f>
        <v>1344251</v>
      </c>
      <c r="D22" s="148">
        <f>'Rate Class Load Model'!$B$8</f>
        <v>1398783.62</v>
      </c>
      <c r="E22" s="148">
        <f>'Rate Class Load Model'!$B$9</f>
        <v>1395148.24</v>
      </c>
      <c r="F22" s="148">
        <f>'Rate Class Load Model'!$B$10</f>
        <v>1368652.3</v>
      </c>
      <c r="G22" s="148">
        <f>'Rate Class Load Model'!$B$11</f>
        <v>1388241.3</v>
      </c>
      <c r="H22" s="148">
        <f>'Rate Class Load Model'!$B$12</f>
        <v>1378958.28</v>
      </c>
      <c r="I22" s="148">
        <f>'Rate Class Load Model'!$B$13</f>
        <v>1400391</v>
      </c>
      <c r="J22" s="148">
        <f>'Rate Class Load Model'!$B$14</f>
        <v>1435245</v>
      </c>
      <c r="K22" s="148">
        <f>'Rate Class Load Model'!$B$15</f>
        <v>1450909.33</v>
      </c>
      <c r="L22" s="148">
        <f>'Rate Class Load Model'!$B$16</f>
        <v>1428136.72</v>
      </c>
      <c r="M22" s="133">
        <f>'Rate Class Load Model'!$B$17</f>
        <v>1317808.2277504546</v>
      </c>
      <c r="N22" s="134">
        <f>'Rate Class Load Model'!$B$18</f>
        <v>1337288.3673442425</v>
      </c>
    </row>
    <row r="23" spans="1:17" ht="13" x14ac:dyDescent="0.3">
      <c r="D23" s="93"/>
      <c r="M23" s="127"/>
      <c r="N23" s="130"/>
      <c r="Q23" s="101"/>
    </row>
    <row r="24" spans="1:17" ht="13" x14ac:dyDescent="0.3">
      <c r="A24" s="95" t="s">
        <v>123</v>
      </c>
      <c r="M24" s="127"/>
      <c r="N24" s="128"/>
    </row>
    <row r="25" spans="1:17" x14ac:dyDescent="0.25">
      <c r="A25" s="65" t="s">
        <v>45</v>
      </c>
      <c r="B25" s="149">
        <v>3</v>
      </c>
      <c r="C25" s="149">
        <v>3</v>
      </c>
      <c r="D25" s="149">
        <v>3</v>
      </c>
      <c r="E25" s="149">
        <v>3</v>
      </c>
      <c r="F25" s="149">
        <v>3</v>
      </c>
      <c r="G25" s="149">
        <v>3</v>
      </c>
      <c r="H25" s="149">
        <v>2</v>
      </c>
      <c r="I25" s="149">
        <v>2</v>
      </c>
      <c r="J25" s="149">
        <v>2</v>
      </c>
      <c r="K25" s="149">
        <v>2</v>
      </c>
      <c r="L25" s="149">
        <v>2</v>
      </c>
      <c r="M25" s="133">
        <f>'Embedded Distributor Forecast'!C19</f>
        <v>2</v>
      </c>
      <c r="N25" s="134">
        <f>'Embedded Distributor Forecast'!C20</f>
        <v>2</v>
      </c>
      <c r="P25" s="101"/>
    </row>
    <row r="26" spans="1:17" x14ac:dyDescent="0.25">
      <c r="A26" s="65" t="s">
        <v>46</v>
      </c>
      <c r="B26" s="46">
        <f>'Embedded Distributor Forecast'!E13</f>
        <v>0</v>
      </c>
      <c r="C26" s="46">
        <f>'Embedded Distributor Forecast'!E14</f>
        <v>0</v>
      </c>
      <c r="D26" s="46">
        <f>'Embedded Distributor Forecast'!E15</f>
        <v>0</v>
      </c>
      <c r="E26" s="46">
        <f>'Embedded Distributor Forecast'!E16</f>
        <v>0</v>
      </c>
      <c r="F26" s="46">
        <f>'Embedded Distributor Forecast'!E17</f>
        <v>0</v>
      </c>
      <c r="G26" s="46">
        <f>'Embedded Distributor Forecast'!E18</f>
        <v>0</v>
      </c>
      <c r="H26" s="46">
        <f>'Embedded Distributor Forecast'!E19</f>
        <v>65359955</v>
      </c>
      <c r="I26" s="46">
        <f>'Embedded Distributor Forecast'!E20</f>
        <v>43309246</v>
      </c>
      <c r="J26" s="46">
        <f>'Embedded Distributor Forecast'!E21</f>
        <v>41227723</v>
      </c>
      <c r="K26" s="46">
        <f>'Embedded Distributor Forecast'!E22</f>
        <v>41261684.090000004</v>
      </c>
      <c r="L26" s="46">
        <f>'Embedded Distributor Forecast'!E23</f>
        <v>43029561.790000007</v>
      </c>
      <c r="M26" s="127">
        <f>'Embedded Distributor Forecast'!E24</f>
        <v>43459857.407900006</v>
      </c>
      <c r="N26" s="128">
        <f>'Embedded Distributor Forecast'!E25</f>
        <v>43894455.981979005</v>
      </c>
      <c r="P26" s="101"/>
    </row>
    <row r="27" spans="1:17" x14ac:dyDescent="0.25">
      <c r="A27" s="65" t="s">
        <v>47</v>
      </c>
      <c r="B27" s="46">
        <f>'Embedded Distributor Forecast'!B13</f>
        <v>158115.16</v>
      </c>
      <c r="C27" s="46">
        <f>'Embedded Distributor Forecast'!B14</f>
        <v>156839.26</v>
      </c>
      <c r="D27" s="46">
        <f>'Embedded Distributor Forecast'!B15</f>
        <v>153310.46</v>
      </c>
      <c r="E27" s="46">
        <f>'Embedded Distributor Forecast'!B16</f>
        <v>159285.71000000002</v>
      </c>
      <c r="F27" s="46">
        <f>'Embedded Distributor Forecast'!B17</f>
        <v>164324.43999999997</v>
      </c>
      <c r="G27" s="46">
        <f>'Embedded Distributor Forecast'!$B$18</f>
        <v>142203.42000000001</v>
      </c>
      <c r="H27" s="46">
        <f>'Embedded Distributor Forecast'!$B$19</f>
        <v>136187.20000000001</v>
      </c>
      <c r="I27" s="46">
        <f>'Embedded Distributor Forecast'!$B$20</f>
        <v>107291</v>
      </c>
      <c r="J27" s="46">
        <f>'Embedded Distributor Forecast'!$B$21</f>
        <v>95218.6</v>
      </c>
      <c r="K27" s="46">
        <f>'Embedded Distributor Forecast'!$B$22</f>
        <v>97683.05</v>
      </c>
      <c r="L27" s="46">
        <f>'Embedded Distributor Forecast'!$B$23</f>
        <v>100586.92000000001</v>
      </c>
      <c r="M27" s="127">
        <f>'Embedded Distributor Forecast'!B24</f>
        <v>101592.78920000001</v>
      </c>
      <c r="N27" s="128">
        <f>'Embedded Distributor Forecast'!B25</f>
        <v>102608.71709200002</v>
      </c>
      <c r="P27" s="101"/>
    </row>
    <row r="28" spans="1:17" ht="13" x14ac:dyDescent="0.3">
      <c r="D28" s="93"/>
      <c r="M28" s="127"/>
      <c r="N28" s="130"/>
    </row>
    <row r="29" spans="1:17" ht="13" x14ac:dyDescent="0.3">
      <c r="A29" s="95" t="str">
        <f>'Rate Class Energy Model'!K2</f>
        <v>Sentinels</v>
      </c>
      <c r="M29" s="127"/>
      <c r="N29" s="128"/>
    </row>
    <row r="30" spans="1:17" x14ac:dyDescent="0.25">
      <c r="A30" s="65" t="s">
        <v>60</v>
      </c>
      <c r="B30" s="46">
        <f>'Rate Class Customer Model'!$E$7</f>
        <v>602.5</v>
      </c>
      <c r="C30" s="46">
        <f>'Rate Class Customer Model'!$E$8</f>
        <v>620.5</v>
      </c>
      <c r="D30" s="46">
        <f>'Rate Class Customer Model'!$E$9</f>
        <v>625</v>
      </c>
      <c r="E30" s="46">
        <f>'Rate Class Customer Model'!$E$10</f>
        <v>624.5</v>
      </c>
      <c r="F30" s="46">
        <f>'Rate Class Customer Model'!$E$11</f>
        <v>621.5</v>
      </c>
      <c r="G30" s="46">
        <f>'Rate Class Customer Model'!$E$12</f>
        <v>618.5</v>
      </c>
      <c r="H30" s="46">
        <f>'Rate Class Customer Model'!E13</f>
        <v>551.25</v>
      </c>
      <c r="I30" s="46">
        <f>'Rate Class Customer Model'!E14</f>
        <v>511.5</v>
      </c>
      <c r="J30" s="46">
        <f>'Rate Class Customer Model'!E15</f>
        <v>506.5</v>
      </c>
      <c r="K30" s="46">
        <f>'Rate Class Customer Model'!E16</f>
        <v>501.25</v>
      </c>
      <c r="L30" s="46">
        <f>'Rate Class Customer Model'!E17</f>
        <v>494.83333333333331</v>
      </c>
      <c r="M30" s="127">
        <f>'Rate Class Customer Model'!$E$18</f>
        <v>485.18697861143431</v>
      </c>
      <c r="N30" s="128">
        <f>'Rate Class Customer Model'!$E$19</f>
        <v>475.72867136562968</v>
      </c>
    </row>
    <row r="31" spans="1:17" x14ac:dyDescent="0.25">
      <c r="A31" s="65" t="s">
        <v>46</v>
      </c>
      <c r="B31" s="46">
        <f>'Rate Class Energy Model'!$K$7</f>
        <v>480615</v>
      </c>
      <c r="C31" s="46">
        <f>'Rate Class Energy Model'!$K$8</f>
        <v>475427</v>
      </c>
      <c r="D31" s="46">
        <f>'Rate Class Energy Model'!$K$9</f>
        <v>459394</v>
      </c>
      <c r="E31" s="46">
        <f>'Rate Class Energy Model'!$K$10</f>
        <v>448778</v>
      </c>
      <c r="F31" s="46">
        <f>'Rate Class Energy Model'!$K$11</f>
        <v>445147</v>
      </c>
      <c r="G31" s="121">
        <f>'Rate Class Energy Model'!$K$12</f>
        <v>446247</v>
      </c>
      <c r="H31" s="121">
        <f>'Rate Class Energy Model'!K13</f>
        <v>314139</v>
      </c>
      <c r="I31" s="121">
        <f>'Rate Class Energy Model'!K14</f>
        <v>186504</v>
      </c>
      <c r="J31" s="121">
        <f>'Rate Class Energy Model'!K15</f>
        <v>190023</v>
      </c>
      <c r="K31" s="121">
        <f>'Rate Class Energy Model'!K16</f>
        <v>194957.89217390213</v>
      </c>
      <c r="L31" s="121">
        <f>'Rate Class Energy Model'!K17</f>
        <v>187738.7264654169</v>
      </c>
      <c r="M31" s="127">
        <f>'Rate Class Energy Model'!$K$84</f>
        <v>170250.23052332981</v>
      </c>
      <c r="N31" s="128">
        <f>'Rate Class Energy Model'!$K$85</f>
        <v>154390.84699760258</v>
      </c>
    </row>
    <row r="32" spans="1:17" x14ac:dyDescent="0.25">
      <c r="A32" s="65" t="s">
        <v>47</v>
      </c>
      <c r="B32" s="148">
        <f>'Rate Class Load Model'!$C$6</f>
        <v>1534.31</v>
      </c>
      <c r="C32" s="148">
        <f>'Rate Class Load Model'!$C$7</f>
        <v>1487.24</v>
      </c>
      <c r="D32" s="148">
        <f>'Rate Class Load Model'!$C$8</f>
        <v>1392.0700000000002</v>
      </c>
      <c r="E32" s="148">
        <f>'Rate Class Load Model'!$C$9</f>
        <v>1384.9899999999998</v>
      </c>
      <c r="F32" s="148">
        <f>'Rate Class Load Model'!$C$10</f>
        <v>1361</v>
      </c>
      <c r="G32" s="148">
        <f>'Rate Class Load Model'!$C$11</f>
        <v>1363.29</v>
      </c>
      <c r="H32" s="148">
        <f>'Rate Class Load Model'!$C$12</f>
        <v>923</v>
      </c>
      <c r="I32" s="148">
        <f>'Rate Class Load Model'!$C$13</f>
        <v>570</v>
      </c>
      <c r="J32" s="148">
        <f>'Rate Class Load Model'!$C$14</f>
        <v>520</v>
      </c>
      <c r="K32" s="148">
        <f>'Rate Class Load Model'!$C$15</f>
        <v>568</v>
      </c>
      <c r="L32" s="148">
        <f>'Rate Class Load Model'!$C$16</f>
        <v>554.28999999999974</v>
      </c>
      <c r="M32" s="133">
        <f>'Rate Class Load Model'!$C$17</f>
        <v>509.96507329783549</v>
      </c>
      <c r="N32" s="134">
        <f>'Rate Class Load Model'!$C$18</f>
        <v>462.46010571397261</v>
      </c>
      <c r="P32" s="138"/>
    </row>
    <row r="33" spans="1:16" x14ac:dyDescent="0.25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27"/>
      <c r="N33" s="128"/>
    </row>
    <row r="34" spans="1:16" ht="13" x14ac:dyDescent="0.3">
      <c r="A34" s="95" t="str">
        <f>'Rate Class Energy Model'!L2</f>
        <v>Streetlights</v>
      </c>
      <c r="M34" s="127"/>
      <c r="N34" s="128"/>
    </row>
    <row r="35" spans="1:16" x14ac:dyDescent="0.25">
      <c r="A35" s="65" t="s">
        <v>60</v>
      </c>
      <c r="B35" s="46">
        <f>'Rate Class Customer Model'!$F$7</f>
        <v>9953</v>
      </c>
      <c r="C35" s="46">
        <f>'Rate Class Customer Model'!$F$8</f>
        <v>9988</v>
      </c>
      <c r="D35" s="46">
        <f>'Rate Class Customer Model'!$F$9</f>
        <v>10134</v>
      </c>
      <c r="E35" s="46">
        <f>'Rate Class Customer Model'!$F$10</f>
        <v>10231.5</v>
      </c>
      <c r="F35" s="46">
        <f>'Rate Class Customer Model'!$F$11</f>
        <v>10392</v>
      </c>
      <c r="G35" s="46">
        <f>'Rate Class Customer Model'!$F$12</f>
        <v>10631.5</v>
      </c>
      <c r="H35" s="46">
        <f>'Rate Class Customer Model'!F13</f>
        <v>10228.5</v>
      </c>
      <c r="I35" s="46">
        <f>'Rate Class Customer Model'!F14</f>
        <v>5769</v>
      </c>
      <c r="J35" s="46">
        <f>'Rate Class Customer Model'!F15</f>
        <v>5771</v>
      </c>
      <c r="K35" s="46">
        <f>'Rate Class Customer Model'!F16</f>
        <v>5771</v>
      </c>
      <c r="L35" s="46">
        <f>'Rate Class Customer Model'!F17</f>
        <v>5771</v>
      </c>
      <c r="M35" s="127">
        <v>5771</v>
      </c>
      <c r="N35" s="159">
        <v>5771</v>
      </c>
      <c r="P35" s="150"/>
    </row>
    <row r="36" spans="1:16" x14ac:dyDescent="0.25">
      <c r="A36" s="65" t="s">
        <v>46</v>
      </c>
      <c r="B36" s="46">
        <f>'Rate Class Energy Model'!$L$7</f>
        <v>7354351</v>
      </c>
      <c r="C36" s="46">
        <f>'Rate Class Energy Model'!$L$8</f>
        <v>7330830</v>
      </c>
      <c r="D36" s="46">
        <f>'Rate Class Energy Model'!$L$9</f>
        <v>7395374</v>
      </c>
      <c r="E36" s="46">
        <f>'Rate Class Energy Model'!$L$10</f>
        <v>7386717</v>
      </c>
      <c r="F36" s="46">
        <f>'Rate Class Energy Model'!$L$11</f>
        <v>7378259</v>
      </c>
      <c r="G36" s="121">
        <f>'Rate Class Energy Model'!$L$12</f>
        <v>7369714</v>
      </c>
      <c r="H36" s="121">
        <f>'Rate Class Energy Model'!L13</f>
        <v>7368093</v>
      </c>
      <c r="I36" s="121">
        <f>'Rate Class Energy Model'!L14</f>
        <v>7324649</v>
      </c>
      <c r="J36" s="121">
        <f>'Rate Class Energy Model'!L15</f>
        <v>7191580</v>
      </c>
      <c r="K36" s="121">
        <f>'Rate Class Energy Model'!L16</f>
        <v>7147042.3329913896</v>
      </c>
      <c r="L36" s="121">
        <f>'Rate Class Energy Model'!L17</f>
        <v>6962317.0293546142</v>
      </c>
      <c r="M36" s="127">
        <f>'Rate Class Energy Model'!$L$84</f>
        <v>7357574.9638242451</v>
      </c>
      <c r="N36" s="128">
        <f>'Rate Class Energy Model'!$L$85</f>
        <v>7775272.0997985639</v>
      </c>
    </row>
    <row r="37" spans="1:16" x14ac:dyDescent="0.25">
      <c r="A37" s="65" t="s">
        <v>47</v>
      </c>
      <c r="B37" s="148">
        <f>'Rate Class Load Model'!$D$6</f>
        <v>22480</v>
      </c>
      <c r="C37" s="148">
        <f>'Rate Class Load Model'!$D$7</f>
        <v>22428</v>
      </c>
      <c r="D37" s="148">
        <f>'Rate Class Load Model'!$D$8</f>
        <v>22533</v>
      </c>
      <c r="E37" s="148">
        <f>'Rate Class Load Model'!$D$9</f>
        <v>22581</v>
      </c>
      <c r="F37" s="148">
        <f>'Rate Class Load Model'!$D$10</f>
        <v>22553</v>
      </c>
      <c r="G37" s="148">
        <f>'Rate Class Load Model'!$D$11</f>
        <v>22527</v>
      </c>
      <c r="H37" s="148">
        <f>'Rate Class Load Model'!$D$12</f>
        <v>22444</v>
      </c>
      <c r="I37" s="148">
        <f>'Rate Class Load Model'!$D$13</f>
        <v>22338</v>
      </c>
      <c r="J37" s="148">
        <f>'Rate Class Load Model'!$D$14</f>
        <v>22227</v>
      </c>
      <c r="K37" s="148">
        <f>'Rate Class Load Model'!$D$15</f>
        <v>21978.7</v>
      </c>
      <c r="L37" s="148">
        <f>'Rate Class Load Model'!$D$16</f>
        <v>21543.26</v>
      </c>
      <c r="M37" s="133">
        <f>'Rate Class Load Model'!$D$17</f>
        <v>22103.207939749733</v>
      </c>
      <c r="N37" s="134">
        <f>'Rate Class Load Model'!$D$18</f>
        <v>22947.72530147756</v>
      </c>
    </row>
    <row r="38" spans="1:16" x14ac:dyDescent="0.25">
      <c r="M38" s="127"/>
      <c r="N38" s="128"/>
    </row>
    <row r="39" spans="1:16" ht="13" x14ac:dyDescent="0.3">
      <c r="A39" s="95" t="str">
        <f>'Rate Class Energy Model'!M2</f>
        <v>USL</v>
      </c>
      <c r="M39" s="127"/>
      <c r="N39" s="128"/>
    </row>
    <row r="40" spans="1:16" x14ac:dyDescent="0.25">
      <c r="A40" s="65" t="s">
        <v>60</v>
      </c>
      <c r="B40" s="46">
        <f>'Rate Class Customer Model'!$G$7</f>
        <v>445.5</v>
      </c>
      <c r="C40" s="46">
        <f>'Rate Class Customer Model'!$G$8</f>
        <v>445.5</v>
      </c>
      <c r="D40" s="46">
        <f>'Rate Class Customer Model'!$G$9</f>
        <v>442.5</v>
      </c>
      <c r="E40" s="46">
        <f>'Rate Class Customer Model'!$G$10</f>
        <v>437.5</v>
      </c>
      <c r="F40" s="46">
        <f>'Rate Class Customer Model'!$G$11</f>
        <v>434</v>
      </c>
      <c r="G40" s="46">
        <f>'Rate Class Customer Model'!$G$12</f>
        <v>430.5</v>
      </c>
      <c r="H40" s="46">
        <f>'Rate Class Customer Model'!G13</f>
        <v>426.75</v>
      </c>
      <c r="I40" s="46">
        <f>'Rate Class Customer Model'!G14</f>
        <v>424.75</v>
      </c>
      <c r="J40" s="46">
        <f>'Rate Class Customer Model'!G15</f>
        <v>420.25</v>
      </c>
      <c r="K40" s="46">
        <f>'Rate Class Customer Model'!G16</f>
        <v>408</v>
      </c>
      <c r="L40" s="46">
        <f>'Rate Class Customer Model'!G17</f>
        <v>408.91666666666669</v>
      </c>
      <c r="M40" s="127">
        <f>'Rate Class Customer Model'!$G$18</f>
        <v>405.42779769982849</v>
      </c>
      <c r="N40" s="128">
        <f>'Rate Class Customer Model'!$G$19</f>
        <v>401.96869569447659</v>
      </c>
    </row>
    <row r="41" spans="1:16" x14ac:dyDescent="0.25">
      <c r="A41" s="65" t="s">
        <v>46</v>
      </c>
      <c r="B41" s="46">
        <f>'Rate Class Energy Model'!$M$7</f>
        <v>1559632</v>
      </c>
      <c r="C41" s="46">
        <f>'Rate Class Energy Model'!$M$8</f>
        <v>1556530</v>
      </c>
      <c r="D41" s="46">
        <f>'Rate Class Energy Model'!$M$9</f>
        <v>1544939</v>
      </c>
      <c r="E41" s="46">
        <f>'Rate Class Energy Model'!$M$10</f>
        <v>1552345</v>
      </c>
      <c r="F41" s="46">
        <f>'Rate Class Energy Model'!$M$11</f>
        <v>1528194</v>
      </c>
      <c r="G41" s="121">
        <f>'Rate Class Energy Model'!$M$12</f>
        <v>1516114</v>
      </c>
      <c r="H41" s="121">
        <f>'Rate Class Energy Model'!M13</f>
        <v>1512978</v>
      </c>
      <c r="I41" s="121">
        <f>'Rate Class Energy Model'!M14</f>
        <v>1524181</v>
      </c>
      <c r="J41" s="121">
        <f>'Rate Class Energy Model'!M15</f>
        <v>1497429</v>
      </c>
      <c r="K41" s="121">
        <f>'Rate Class Energy Model'!M16</f>
        <v>1559095.2728715499</v>
      </c>
      <c r="L41" s="121">
        <f>'Rate Class Energy Model'!M17</f>
        <v>1510015.9200649587</v>
      </c>
      <c r="M41" s="127">
        <f>'Rate Class Energy Model'!$M$84</f>
        <v>1506367.7390644536</v>
      </c>
      <c r="N41" s="128">
        <f>'Rate Class Energy Model'!$M$85</f>
        <v>1502728.3720270565</v>
      </c>
    </row>
    <row r="42" spans="1:16" s="94" customFormat="1" x14ac:dyDescent="0.25">
      <c r="B42" s="46"/>
      <c r="C42" s="46"/>
      <c r="D42" s="46"/>
      <c r="E42" s="46"/>
      <c r="F42" s="46"/>
      <c r="G42" s="121"/>
      <c r="H42" s="121"/>
      <c r="I42" s="121"/>
      <c r="J42" s="121"/>
      <c r="K42" s="121"/>
      <c r="L42" s="121"/>
      <c r="M42" s="127"/>
      <c r="N42" s="128"/>
      <c r="O42" s="141"/>
    </row>
    <row r="43" spans="1:16" s="94" customFormat="1" ht="13" x14ac:dyDescent="0.3">
      <c r="A43" s="95" t="s">
        <v>128</v>
      </c>
      <c r="B43" s="46"/>
      <c r="C43" s="46">
        <f>'WMP Forecast'!B3</f>
        <v>0</v>
      </c>
      <c r="M43" s="133"/>
      <c r="N43" s="134"/>
      <c r="O43" s="141"/>
    </row>
    <row r="44" spans="1:16" s="94" customFormat="1" x14ac:dyDescent="0.25">
      <c r="A44" s="65" t="s">
        <v>60</v>
      </c>
      <c r="B44" s="46"/>
      <c r="C44" s="46"/>
      <c r="D44" s="46">
        <v>2</v>
      </c>
      <c r="E44" s="46">
        <v>2</v>
      </c>
      <c r="F44" s="46">
        <v>2</v>
      </c>
      <c r="G44" s="121">
        <v>2</v>
      </c>
      <c r="H44" s="121">
        <v>2</v>
      </c>
      <c r="I44" s="121">
        <v>2</v>
      </c>
      <c r="J44" s="121">
        <v>2</v>
      </c>
      <c r="K44" s="121">
        <v>2</v>
      </c>
      <c r="L44" s="121">
        <v>2</v>
      </c>
      <c r="M44" s="127">
        <v>2</v>
      </c>
      <c r="N44" s="128">
        <v>2</v>
      </c>
      <c r="O44" s="141"/>
    </row>
    <row r="45" spans="1:16" x14ac:dyDescent="0.25">
      <c r="A45" s="65" t="s">
        <v>46</v>
      </c>
      <c r="D45" s="46">
        <f>'WMP Forecast'!D4</f>
        <v>0</v>
      </c>
      <c r="E45" s="46">
        <f>'WMP Forecast'!D5</f>
        <v>0</v>
      </c>
      <c r="F45" s="46">
        <f>'WMP Forecast'!D6</f>
        <v>0</v>
      </c>
      <c r="G45" s="121">
        <f>'WMP Forecast'!D7</f>
        <v>6792377.5999999996</v>
      </c>
      <c r="H45" s="121">
        <f>'WMP Forecast'!D8</f>
        <v>6607289</v>
      </c>
      <c r="I45" s="121">
        <f>'WMP Forecast'!D9</f>
        <v>6489035</v>
      </c>
      <c r="J45" s="121">
        <f>'WMP Forecast'!D10</f>
        <v>6330357</v>
      </c>
      <c r="K45" s="121">
        <f>'WMP Forecast'!D11</f>
        <v>6085994.9199999999</v>
      </c>
      <c r="L45" s="121">
        <f>'WMP Forecast'!D12</f>
        <v>6029967.5800000001</v>
      </c>
      <c r="M45" s="127">
        <f>'WMP Forecast'!D13</f>
        <v>6029967.5800000001</v>
      </c>
      <c r="N45" s="128">
        <f>'WMP Forecast'!D14</f>
        <v>6029967.5800000001</v>
      </c>
      <c r="P45" s="96"/>
    </row>
    <row r="46" spans="1:16" x14ac:dyDescent="0.25">
      <c r="A46" s="65" t="s">
        <v>47</v>
      </c>
      <c r="D46" s="165">
        <f>'WMP Forecast'!B4</f>
        <v>3486.38</v>
      </c>
      <c r="E46" s="165">
        <f>'WMP Forecast'!B5</f>
        <v>13589.76</v>
      </c>
      <c r="F46" s="165">
        <f>'WMP Forecast'!B6</f>
        <v>12736.7</v>
      </c>
      <c r="G46" s="165">
        <f>'WMP Forecast'!B7</f>
        <v>12397.7</v>
      </c>
      <c r="H46" s="165">
        <f>'WMP Forecast'!B8</f>
        <v>12437.3</v>
      </c>
      <c r="I46" s="165">
        <f>'WMP Forecast'!B9</f>
        <v>12330</v>
      </c>
      <c r="J46" s="165">
        <f>'WMP Forecast'!B10</f>
        <v>12258</v>
      </c>
      <c r="K46" s="165">
        <f>'WMP Forecast'!B11</f>
        <v>10962.46</v>
      </c>
      <c r="L46" s="165">
        <f>'WMP Forecast'!B12</f>
        <v>11674.01</v>
      </c>
      <c r="M46" s="127">
        <f>'WMP Forecast'!B13</f>
        <v>11674.01</v>
      </c>
      <c r="N46" s="134">
        <f>'WMP Forecast'!B14</f>
        <v>11674.01</v>
      </c>
    </row>
    <row r="47" spans="1:16" x14ac:dyDescent="0.25">
      <c r="M47" s="127"/>
      <c r="N47" s="128"/>
    </row>
    <row r="48" spans="1:16" ht="13" x14ac:dyDescent="0.3">
      <c r="A48" s="95" t="s">
        <v>61</v>
      </c>
      <c r="B48" s="46"/>
      <c r="D48" s="46"/>
      <c r="E48" s="46"/>
      <c r="F48" s="46"/>
      <c r="G48" s="46"/>
      <c r="H48" s="46"/>
      <c r="I48" s="46"/>
      <c r="J48" s="46"/>
      <c r="K48" s="46"/>
      <c r="L48" s="46"/>
      <c r="M48" s="127"/>
      <c r="N48" s="128"/>
    </row>
    <row r="49" spans="1:17" x14ac:dyDescent="0.25">
      <c r="A49" s="65" t="s">
        <v>49</v>
      </c>
      <c r="B49" s="150">
        <f>B12+B16+B20+B25+B30+B35+B40+B44</f>
        <v>48364.5</v>
      </c>
      <c r="C49" s="150">
        <f>C12+C16+C20+C25+C30+C35+C40+C44</f>
        <v>48830</v>
      </c>
      <c r="D49" s="150">
        <f>D12+D16+D20+D25+D30+D35+D40+D44</f>
        <v>49291.5</v>
      </c>
      <c r="E49" s="150">
        <f>E12+E16+E20+E25+E30+E35+E40+E44</f>
        <v>49696</v>
      </c>
      <c r="F49" s="150">
        <f>F12+F16+F20+F25+F30+F35+F40+F44</f>
        <v>50135</v>
      </c>
      <c r="G49" s="150">
        <f t="shared" ref="G49:L49" si="1">G12+G16+G20+G25+G30+G35+G40+G44</f>
        <v>50650.5</v>
      </c>
      <c r="H49" s="150">
        <f t="shared" si="1"/>
        <v>50497.5</v>
      </c>
      <c r="I49" s="150">
        <f t="shared" si="1"/>
        <v>46204.5</v>
      </c>
      <c r="J49" s="150">
        <f t="shared" si="1"/>
        <v>46509.5</v>
      </c>
      <c r="K49" s="150">
        <f t="shared" si="1"/>
        <v>46739.5</v>
      </c>
      <c r="L49" s="150">
        <f t="shared" si="1"/>
        <v>47176.166666666664</v>
      </c>
      <c r="M49" s="126">
        <f>M12+M16+M20+M25+M30+M35+M40+M44</f>
        <v>47491.047297379875</v>
      </c>
      <c r="N49" s="124">
        <f>N12+N16+N20+N25+N30+N35+N40+N44</f>
        <v>47808.838284220968</v>
      </c>
    </row>
    <row r="50" spans="1:17" x14ac:dyDescent="0.25">
      <c r="A50" s="65" t="s">
        <v>46</v>
      </c>
      <c r="B50" s="150">
        <f t="shared" ref="B50:G50" si="2">B41+B36+B31+B21+B17+B13+B45+B26</f>
        <v>917169662</v>
      </c>
      <c r="C50" s="150">
        <f t="shared" si="2"/>
        <v>919260512</v>
      </c>
      <c r="D50" s="150">
        <f t="shared" si="2"/>
        <v>936319334</v>
      </c>
      <c r="E50" s="150">
        <f t="shared" si="2"/>
        <v>926349236</v>
      </c>
      <c r="F50" s="150">
        <f t="shared" si="2"/>
        <v>889619639</v>
      </c>
      <c r="G50" s="150">
        <f t="shared" si="2"/>
        <v>911684269.60000002</v>
      </c>
      <c r="H50" s="150">
        <f t="shared" ref="H50:N50" si="3">H41+H36+H31+H21+H17+H13+H45+H26</f>
        <v>981298705</v>
      </c>
      <c r="I50" s="150">
        <f t="shared" si="3"/>
        <v>942059034</v>
      </c>
      <c r="J50" s="150">
        <f t="shared" si="3"/>
        <v>982068823</v>
      </c>
      <c r="K50" s="150">
        <f t="shared" si="3"/>
        <v>979704549.26999998</v>
      </c>
      <c r="L50" s="150">
        <f t="shared" si="3"/>
        <v>982207759.2700001</v>
      </c>
      <c r="M50" s="126">
        <f t="shared" si="3"/>
        <v>907148283.67951012</v>
      </c>
      <c r="N50" s="124">
        <f t="shared" si="3"/>
        <v>928196628.88439381</v>
      </c>
    </row>
    <row r="51" spans="1:17" x14ac:dyDescent="0.25">
      <c r="A51" s="65" t="s">
        <v>48</v>
      </c>
      <c r="B51" s="150">
        <f t="shared" ref="B51:G51" si="4">B37+B32+B22+B46+B27</f>
        <v>1505611.7100000002</v>
      </c>
      <c r="C51" s="150">
        <f t="shared" si="4"/>
        <v>1525005.5</v>
      </c>
      <c r="D51" s="150">
        <f t="shared" si="4"/>
        <v>1579505.53</v>
      </c>
      <c r="E51" s="150">
        <f t="shared" si="4"/>
        <v>1591989.7</v>
      </c>
      <c r="F51" s="150">
        <f t="shared" si="4"/>
        <v>1569627.44</v>
      </c>
      <c r="G51" s="150">
        <f t="shared" si="4"/>
        <v>1566732.71</v>
      </c>
      <c r="H51" s="150">
        <f t="shared" ref="H51:N51" si="5">H37+H32+H22+H46+H27</f>
        <v>1550949.78</v>
      </c>
      <c r="I51" s="150">
        <f t="shared" si="5"/>
        <v>1542920</v>
      </c>
      <c r="J51" s="150">
        <f t="shared" si="5"/>
        <v>1565468.6</v>
      </c>
      <c r="K51" s="150">
        <f t="shared" si="5"/>
        <v>1582101.54</v>
      </c>
      <c r="L51" s="150">
        <f t="shared" si="5"/>
        <v>1562495.2</v>
      </c>
      <c r="M51" s="126">
        <f t="shared" si="5"/>
        <v>1453688.1999635021</v>
      </c>
      <c r="N51" s="124">
        <f t="shared" si="5"/>
        <v>1474981.279843434</v>
      </c>
    </row>
    <row r="52" spans="1:17" x14ac:dyDescent="0.25">
      <c r="M52" s="127"/>
      <c r="N52" s="128"/>
    </row>
    <row r="53" spans="1:17" ht="13" x14ac:dyDescent="0.3">
      <c r="A53" s="95" t="s">
        <v>129</v>
      </c>
      <c r="M53" s="127"/>
      <c r="N53" s="128"/>
    </row>
    <row r="54" spans="1:17" x14ac:dyDescent="0.25">
      <c r="A54" s="65" t="s">
        <v>49</v>
      </c>
      <c r="B54" s="148">
        <f>'Rate Class Customer Model'!$H$7</f>
        <v>48361.5</v>
      </c>
      <c r="C54" s="148">
        <f>'Rate Class Customer Model'!$H$8</f>
        <v>48827</v>
      </c>
      <c r="D54" s="148">
        <f>'Rate Class Customer Model'!$H$9</f>
        <v>49286.5</v>
      </c>
      <c r="E54" s="148">
        <f>'Rate Class Customer Model'!$H$10</f>
        <v>49691</v>
      </c>
      <c r="F54" s="148">
        <f>'Rate Class Customer Model'!$H$11</f>
        <v>50130</v>
      </c>
      <c r="G54" s="148">
        <f>'Rate Class Customer Model'!$H$12</f>
        <v>50645.5</v>
      </c>
      <c r="H54" s="148">
        <f>'Rate Class Customer Model'!$H$13</f>
        <v>50493.5</v>
      </c>
      <c r="I54" s="148">
        <f>'Rate Class Customer Model'!$H$14</f>
        <v>46200.5</v>
      </c>
      <c r="J54" s="148">
        <f>'Rate Class Customer Model'!$H$15</f>
        <v>46505.5</v>
      </c>
      <c r="K54" s="148">
        <f>'Rate Class Customer Model'!$H$16</f>
        <v>46735.5</v>
      </c>
      <c r="L54" s="148">
        <f>'Rate Class Customer Model'!$H$17</f>
        <v>47172.166666666664</v>
      </c>
      <c r="M54" s="133">
        <f>'Rate Class Customer Model'!$H$18</f>
        <v>47487.047297379875</v>
      </c>
      <c r="N54" s="134">
        <f>'Rate Class Customer Model'!$H$19</f>
        <v>47804.838284220968</v>
      </c>
    </row>
    <row r="55" spans="1:17" x14ac:dyDescent="0.25">
      <c r="A55" s="65" t="s">
        <v>46</v>
      </c>
      <c r="B55" s="148">
        <f>'Rate Class Energy Model'!$G$7</f>
        <v>917169662</v>
      </c>
      <c r="C55" s="148">
        <f>'Rate Class Energy Model'!$G$8</f>
        <v>919260512</v>
      </c>
      <c r="D55" s="148">
        <f>'Rate Class Energy Model'!$G$9</f>
        <v>936319334</v>
      </c>
      <c r="E55" s="148">
        <f>'Rate Class Energy Model'!$G$10</f>
        <v>926349236</v>
      </c>
      <c r="F55" s="148">
        <f>'Rate Class Energy Model'!$G$11</f>
        <v>889619639</v>
      </c>
      <c r="G55" s="148">
        <f>'Rate Class Energy Model'!$G$12</f>
        <v>904891892</v>
      </c>
      <c r="H55" s="148">
        <f>'Rate Class Energy Model'!G13</f>
        <v>909331461</v>
      </c>
      <c r="I55" s="148">
        <f>'Rate Class Energy Model'!G14</f>
        <v>892260753</v>
      </c>
      <c r="J55" s="148">
        <f>'Rate Class Energy Model'!G15</f>
        <v>934510743</v>
      </c>
      <c r="K55" s="148">
        <f>'Rate Class Energy Model'!G16</f>
        <v>932356870.25999999</v>
      </c>
      <c r="L55" s="148">
        <f>'Rate Class Energy Model'!G17</f>
        <v>933148229.9000001</v>
      </c>
      <c r="M55" s="133">
        <f>'Rate Class Energy Model'!G84</f>
        <v>857658458.6916101</v>
      </c>
      <c r="N55" s="134">
        <f>'Rate Class Energy Model'!G85</f>
        <v>878272205.32241476</v>
      </c>
    </row>
    <row r="56" spans="1:17" x14ac:dyDescent="0.25">
      <c r="A56" s="65" t="s">
        <v>48</v>
      </c>
      <c r="B56" s="148">
        <f>'Rate Class Load Model'!$E$6</f>
        <v>1347496.5500000003</v>
      </c>
      <c r="C56" s="148">
        <f>'Rate Class Load Model'!$E$7</f>
        <v>1368166.24</v>
      </c>
      <c r="D56" s="148">
        <f>'Rate Class Load Model'!$E$8</f>
        <v>1422708.6900000002</v>
      </c>
      <c r="E56" s="148">
        <f>'Rate Class Load Model'!$E$9</f>
        <v>1419114.23</v>
      </c>
      <c r="F56" s="148">
        <f>'Rate Class Load Model'!$E$10</f>
        <v>1392566.3</v>
      </c>
      <c r="G56" s="148">
        <f>'Rate Class Load Model'!$E$11</f>
        <v>1412131.59</v>
      </c>
      <c r="H56" s="148">
        <f>'Rate Class Load Model'!$E$12</f>
        <v>1402325.28</v>
      </c>
      <c r="I56" s="148">
        <f>'Rate Class Load Model'!$E$13</f>
        <v>1423299</v>
      </c>
      <c r="J56" s="148">
        <f>'Rate Class Load Model'!$E$14</f>
        <v>1457992</v>
      </c>
      <c r="K56" s="148">
        <f>'Rate Class Load Model'!$E$15</f>
        <v>1473456.03</v>
      </c>
      <c r="L56" s="148">
        <f>'Rate Class Load Model'!$E$16</f>
        <v>1450234.27</v>
      </c>
      <c r="M56" s="133">
        <f>'Rate Class Load Model'!$E$17</f>
        <v>1340421.4007635021</v>
      </c>
      <c r="N56" s="134">
        <f>'Rate Class Load Model'!$E$18</f>
        <v>1360698.552751434</v>
      </c>
      <c r="P56" s="96"/>
      <c r="Q56" s="96"/>
    </row>
    <row r="57" spans="1:17" x14ac:dyDescent="0.25">
      <c r="M57" s="127"/>
      <c r="N57" s="128"/>
    </row>
    <row r="58" spans="1:17" ht="13" x14ac:dyDescent="0.3">
      <c r="A58" s="95" t="s">
        <v>130</v>
      </c>
      <c r="M58" s="127"/>
      <c r="N58" s="128"/>
    </row>
    <row r="59" spans="1:17" x14ac:dyDescent="0.25">
      <c r="A59" s="65" t="s">
        <v>49</v>
      </c>
      <c r="B59" s="151">
        <f t="shared" ref="B59:N61" si="6">B44+B25</f>
        <v>3</v>
      </c>
      <c r="C59" s="151">
        <f t="shared" si="6"/>
        <v>3</v>
      </c>
      <c r="D59" s="151">
        <f t="shared" si="6"/>
        <v>5</v>
      </c>
      <c r="E59" s="151">
        <f t="shared" si="6"/>
        <v>5</v>
      </c>
      <c r="F59" s="151">
        <f t="shared" si="6"/>
        <v>5</v>
      </c>
      <c r="G59" s="151">
        <f t="shared" si="6"/>
        <v>5</v>
      </c>
      <c r="H59" s="151">
        <f t="shared" ref="H59:L61" si="7">H44+H25</f>
        <v>4</v>
      </c>
      <c r="I59" s="151">
        <f t="shared" si="7"/>
        <v>4</v>
      </c>
      <c r="J59" s="151">
        <f t="shared" si="7"/>
        <v>4</v>
      </c>
      <c r="K59" s="151">
        <f t="shared" si="7"/>
        <v>4</v>
      </c>
      <c r="L59" s="151">
        <f t="shared" si="7"/>
        <v>4</v>
      </c>
      <c r="M59" s="127">
        <f>M44+M25</f>
        <v>4</v>
      </c>
      <c r="N59" s="128">
        <f>N44+N25</f>
        <v>4</v>
      </c>
    </row>
    <row r="60" spans="1:17" x14ac:dyDescent="0.25">
      <c r="A60" s="65" t="s">
        <v>46</v>
      </c>
      <c r="B60" s="151">
        <f t="shared" si="6"/>
        <v>0</v>
      </c>
      <c r="C60" s="151">
        <f t="shared" si="6"/>
        <v>0</v>
      </c>
      <c r="D60" s="151">
        <f t="shared" si="6"/>
        <v>0</v>
      </c>
      <c r="E60" s="151">
        <f t="shared" si="6"/>
        <v>0</v>
      </c>
      <c r="F60" s="151">
        <f t="shared" si="6"/>
        <v>0</v>
      </c>
      <c r="G60" s="151">
        <f t="shared" si="6"/>
        <v>6792377.5999999996</v>
      </c>
      <c r="H60" s="151">
        <f t="shared" si="7"/>
        <v>71967244</v>
      </c>
      <c r="I60" s="151">
        <f t="shared" si="7"/>
        <v>49798281</v>
      </c>
      <c r="J60" s="151">
        <f t="shared" si="7"/>
        <v>47558080</v>
      </c>
      <c r="K60" s="151">
        <f t="shared" si="7"/>
        <v>47347679.010000005</v>
      </c>
      <c r="L60" s="151">
        <f t="shared" si="7"/>
        <v>49059529.370000005</v>
      </c>
      <c r="M60" s="127">
        <f>M45+M26</f>
        <v>49489824.987900004</v>
      </c>
      <c r="N60" s="128">
        <f t="shared" si="6"/>
        <v>49924423.561979003</v>
      </c>
    </row>
    <row r="61" spans="1:17" x14ac:dyDescent="0.25">
      <c r="A61" s="65" t="s">
        <v>48</v>
      </c>
      <c r="B61" s="151">
        <f t="shared" si="6"/>
        <v>158115.16</v>
      </c>
      <c r="C61" s="151">
        <f t="shared" si="6"/>
        <v>156839.26</v>
      </c>
      <c r="D61" s="151">
        <f t="shared" si="6"/>
        <v>156796.84</v>
      </c>
      <c r="E61" s="151">
        <f t="shared" si="6"/>
        <v>172875.47000000003</v>
      </c>
      <c r="F61" s="151">
        <f t="shared" si="6"/>
        <v>177061.13999999998</v>
      </c>
      <c r="G61" s="151">
        <f t="shared" si="6"/>
        <v>154601.12000000002</v>
      </c>
      <c r="H61" s="151">
        <f t="shared" si="7"/>
        <v>148624.5</v>
      </c>
      <c r="I61" s="151">
        <f t="shared" si="7"/>
        <v>119621</v>
      </c>
      <c r="J61" s="151">
        <f t="shared" si="7"/>
        <v>107476.6</v>
      </c>
      <c r="K61" s="151">
        <f t="shared" si="7"/>
        <v>108645.51000000001</v>
      </c>
      <c r="L61" s="151">
        <f t="shared" si="7"/>
        <v>112260.93000000001</v>
      </c>
      <c r="M61" s="127">
        <f>M46+M27</f>
        <v>113266.79920000001</v>
      </c>
      <c r="N61" s="128">
        <f>N46+N27</f>
        <v>114282.72709200002</v>
      </c>
    </row>
    <row r="62" spans="1:17" x14ac:dyDescent="0.25">
      <c r="M62" s="127"/>
      <c r="N62" s="128"/>
    </row>
    <row r="63" spans="1:17" ht="13" x14ac:dyDescent="0.3">
      <c r="A63" s="95" t="s">
        <v>62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127"/>
      <c r="N63" s="128"/>
    </row>
    <row r="64" spans="1:17" x14ac:dyDescent="0.25">
      <c r="A64" s="65" t="s">
        <v>49</v>
      </c>
      <c r="B64" s="46">
        <f>B49-B54-B59</f>
        <v>0</v>
      </c>
      <c r="C64" s="46">
        <f>C49-C54-C59</f>
        <v>0</v>
      </c>
      <c r="D64" s="46">
        <f>D49-D54-D59</f>
        <v>0</v>
      </c>
      <c r="E64" s="46">
        <f>E49-E54-E59</f>
        <v>0</v>
      </c>
      <c r="F64" s="46">
        <f>F49-F54-F59</f>
        <v>0</v>
      </c>
      <c r="G64" s="46">
        <f t="shared" ref="G64:L64" si="8">G49-G54-G59</f>
        <v>0</v>
      </c>
      <c r="H64" s="46">
        <f>H49-H54-H59</f>
        <v>0</v>
      </c>
      <c r="I64" s="46">
        <f t="shared" si="8"/>
        <v>0</v>
      </c>
      <c r="J64" s="46">
        <f t="shared" si="8"/>
        <v>0</v>
      </c>
      <c r="K64" s="46">
        <f t="shared" si="8"/>
        <v>0</v>
      </c>
      <c r="L64" s="46">
        <f t="shared" si="8"/>
        <v>0</v>
      </c>
      <c r="M64" s="127">
        <f>M49-M54-M59</f>
        <v>0</v>
      </c>
      <c r="N64" s="128">
        <f>N49-N54-N59</f>
        <v>0</v>
      </c>
      <c r="O64" s="152"/>
    </row>
    <row r="65" spans="1:15" x14ac:dyDescent="0.25">
      <c r="A65" s="65" t="s">
        <v>46</v>
      </c>
      <c r="B65" s="46">
        <f t="shared" ref="B65:G66" si="9">B50-B55-B60</f>
        <v>0</v>
      </c>
      <c r="C65" s="46">
        <f t="shared" si="9"/>
        <v>0</v>
      </c>
      <c r="D65" s="46">
        <f t="shared" si="9"/>
        <v>0</v>
      </c>
      <c r="E65" s="46">
        <f t="shared" si="9"/>
        <v>0</v>
      </c>
      <c r="F65" s="46">
        <f t="shared" si="9"/>
        <v>0</v>
      </c>
      <c r="G65" s="46">
        <f t="shared" si="9"/>
        <v>2.4214386940002441E-8</v>
      </c>
      <c r="H65" s="46">
        <f t="shared" ref="H65:N65" si="10">H50-H55-H60</f>
        <v>0</v>
      </c>
      <c r="I65" s="46">
        <f t="shared" si="10"/>
        <v>0</v>
      </c>
      <c r="J65" s="46">
        <f t="shared" si="10"/>
        <v>0</v>
      </c>
      <c r="K65" s="46">
        <f t="shared" si="10"/>
        <v>0</v>
      </c>
      <c r="L65" s="46">
        <f t="shared" si="10"/>
        <v>0</v>
      </c>
      <c r="M65" s="127">
        <f>M50-M55-M60</f>
        <v>0</v>
      </c>
      <c r="N65" s="128">
        <f t="shared" si="10"/>
        <v>0</v>
      </c>
      <c r="O65" s="152"/>
    </row>
    <row r="66" spans="1:15" x14ac:dyDescent="0.25">
      <c r="A66" s="65" t="s">
        <v>48</v>
      </c>
      <c r="B66" s="46">
        <f t="shared" si="9"/>
        <v>0</v>
      </c>
      <c r="C66" s="46">
        <f t="shared" si="9"/>
        <v>0</v>
      </c>
      <c r="D66" s="46">
        <f t="shared" si="9"/>
        <v>0</v>
      </c>
      <c r="E66" s="46">
        <f t="shared" si="9"/>
        <v>0</v>
      </c>
      <c r="F66" s="46">
        <f t="shared" si="9"/>
        <v>0</v>
      </c>
      <c r="G66" s="46">
        <f t="shared" si="9"/>
        <v>0</v>
      </c>
      <c r="H66" s="46">
        <f>H51-H56-H61</f>
        <v>0</v>
      </c>
      <c r="I66" s="46">
        <f>I51-I56-I61</f>
        <v>0</v>
      </c>
      <c r="J66" s="46">
        <f>J51-J56-J61</f>
        <v>0</v>
      </c>
      <c r="K66" s="46">
        <f>K51-K56-K61</f>
        <v>0</v>
      </c>
      <c r="L66" s="46">
        <f>L51-L56-L61</f>
        <v>0</v>
      </c>
      <c r="M66" s="127">
        <f>M51-M56-M61</f>
        <v>0</v>
      </c>
      <c r="N66" s="128">
        <f>N51-N56-N61</f>
        <v>0</v>
      </c>
    </row>
    <row r="67" spans="1:15" ht="6" customHeight="1" x14ac:dyDescent="0.25"/>
    <row r="68" spans="1:15" ht="5" customHeight="1" x14ac:dyDescent="0.25"/>
    <row r="69" spans="1:15" ht="13" x14ac:dyDescent="0.3">
      <c r="A69" s="92" t="s">
        <v>168</v>
      </c>
    </row>
    <row r="70" spans="1:15" x14ac:dyDescent="0.25">
      <c r="A70" s="65" t="s">
        <v>60</v>
      </c>
      <c r="B70" s="46">
        <f t="shared" ref="B70:N70" si="11">+B20+B44</f>
        <v>417</v>
      </c>
      <c r="C70" s="46">
        <f t="shared" si="11"/>
        <v>421</v>
      </c>
      <c r="D70" s="46">
        <f t="shared" si="11"/>
        <v>421</v>
      </c>
      <c r="E70" s="46">
        <f t="shared" si="11"/>
        <v>425.5</v>
      </c>
      <c r="F70" s="46">
        <f t="shared" si="11"/>
        <v>434</v>
      </c>
      <c r="G70" s="46">
        <f t="shared" si="11"/>
        <v>439.5</v>
      </c>
      <c r="H70" s="46">
        <f t="shared" si="11"/>
        <v>454</v>
      </c>
      <c r="I70" s="46">
        <f t="shared" si="11"/>
        <v>458.75</v>
      </c>
      <c r="J70" s="46">
        <f t="shared" si="11"/>
        <v>485.25</v>
      </c>
      <c r="K70" s="46">
        <f t="shared" si="11"/>
        <v>490.75</v>
      </c>
      <c r="L70" s="46">
        <f t="shared" si="11"/>
        <v>492.66666666666669</v>
      </c>
      <c r="M70" s="46">
        <f t="shared" si="11"/>
        <v>500.71405204334792</v>
      </c>
      <c r="N70" s="46">
        <f t="shared" si="11"/>
        <v>508.89342195413406</v>
      </c>
    </row>
    <row r="71" spans="1:15" x14ac:dyDescent="0.25">
      <c r="A71" s="65" t="s">
        <v>46</v>
      </c>
      <c r="B71" s="46">
        <f t="shared" ref="B71:C71" si="12">+B21+B45</f>
        <v>521725747</v>
      </c>
      <c r="C71" s="46">
        <f t="shared" si="12"/>
        <v>519515098</v>
      </c>
      <c r="D71" s="46">
        <f t="shared" ref="D71:N71" si="13">+D21+D45</f>
        <v>539521215</v>
      </c>
      <c r="E71" s="46">
        <f t="shared" si="13"/>
        <v>534621114</v>
      </c>
      <c r="F71" s="46">
        <f t="shared" si="13"/>
        <v>497985709</v>
      </c>
      <c r="G71" s="46">
        <f t="shared" si="13"/>
        <v>514679223.60000002</v>
      </c>
      <c r="H71" s="46">
        <f t="shared" si="13"/>
        <v>515381720</v>
      </c>
      <c r="I71" s="46">
        <f t="shared" si="13"/>
        <v>519770271</v>
      </c>
      <c r="J71" s="46">
        <f t="shared" si="13"/>
        <v>535922957</v>
      </c>
      <c r="K71" s="46">
        <f t="shared" si="13"/>
        <v>544236477.25084901</v>
      </c>
      <c r="L71" s="46">
        <f t="shared" si="13"/>
        <v>527515512.58903694</v>
      </c>
      <c r="M71" s="46">
        <f t="shared" si="13"/>
        <v>496743330.59567922</v>
      </c>
      <c r="N71" s="46">
        <f t="shared" si="13"/>
        <v>503997166.63250566</v>
      </c>
    </row>
    <row r="72" spans="1:15" x14ac:dyDescent="0.25">
      <c r="A72" s="65" t="s">
        <v>47</v>
      </c>
      <c r="B72" s="46">
        <f t="shared" ref="B72:N72" si="14">+B22+B46</f>
        <v>1323482.2400000002</v>
      </c>
      <c r="C72" s="46">
        <f t="shared" si="14"/>
        <v>1344251</v>
      </c>
      <c r="D72" s="46">
        <f t="shared" si="14"/>
        <v>1402270</v>
      </c>
      <c r="E72" s="46">
        <f t="shared" si="14"/>
        <v>1408738</v>
      </c>
      <c r="F72" s="46">
        <f t="shared" si="14"/>
        <v>1381389</v>
      </c>
      <c r="G72" s="46">
        <f t="shared" si="14"/>
        <v>1400639</v>
      </c>
      <c r="H72" s="46">
        <f t="shared" si="14"/>
        <v>1391395.58</v>
      </c>
      <c r="I72" s="46">
        <f t="shared" si="14"/>
        <v>1412721</v>
      </c>
      <c r="J72" s="46">
        <f t="shared" si="14"/>
        <v>1447503</v>
      </c>
      <c r="K72" s="46">
        <f t="shared" si="14"/>
        <v>1461871.79</v>
      </c>
      <c r="L72" s="46">
        <f t="shared" si="14"/>
        <v>1439810.73</v>
      </c>
      <c r="M72" s="46">
        <f t="shared" si="14"/>
        <v>1329482.2377504546</v>
      </c>
      <c r="N72" s="46">
        <f t="shared" si="14"/>
        <v>1348962.3773442425</v>
      </c>
    </row>
  </sheetData>
  <phoneticPr fontId="0" type="noConversion"/>
  <pageMargins left="0.38" right="0.75" top="0.73" bottom="0.74" header="0.5" footer="0.5"/>
  <pageSetup scale="52" orientation="landscape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 enableFormatConditionsCalculation="0">
    <tabColor rgb="FF00B050"/>
    <pageSetUpPr fitToPage="1"/>
  </sheetPr>
  <dimension ref="A1:S87"/>
  <sheetViews>
    <sheetView view="pageBreakPreview" zoomScale="60" zoomScaleNormal="100" workbookViewId="0">
      <selection activeCell="C17" sqref="C17"/>
    </sheetView>
  </sheetViews>
  <sheetFormatPr defaultRowHeight="12.5" x14ac:dyDescent="0.25"/>
  <cols>
    <col min="1" max="1" width="11" customWidth="1"/>
    <col min="2" max="3" width="18" style="1" customWidth="1"/>
    <col min="4" max="4" width="11.1796875" style="1" bestFit="1" customWidth="1"/>
    <col min="5" max="5" width="13.1796875" style="1" customWidth="1"/>
    <col min="6" max="6" width="10.81640625" style="1" customWidth="1"/>
    <col min="7" max="7" width="18.81640625" style="6" customWidth="1"/>
    <col min="8" max="8" width="15" style="6" customWidth="1"/>
    <col min="9" max="10" width="14.1796875" style="6" bestFit="1" customWidth="1"/>
    <col min="11" max="11" width="14.1796875" style="6" customWidth="1"/>
    <col min="12" max="12" width="14.54296875" style="6" customWidth="1"/>
    <col min="13" max="13" width="12.54296875" style="6" customWidth="1"/>
    <col min="14" max="14" width="12.54296875" style="6" bestFit="1" customWidth="1"/>
    <col min="15" max="15" width="11.1796875" style="6" bestFit="1" customWidth="1"/>
    <col min="16" max="16" width="11.54296875" style="6" bestFit="1" customWidth="1"/>
    <col min="17" max="17" width="10.54296875" style="6" bestFit="1" customWidth="1"/>
    <col min="18" max="18" width="9.1796875" style="6" customWidth="1"/>
    <col min="19" max="19" width="11.1796875" style="6" bestFit="1" customWidth="1"/>
  </cols>
  <sheetData>
    <row r="1" spans="1:19" x14ac:dyDescent="0.25">
      <c r="H1" s="6" t="s">
        <v>144</v>
      </c>
    </row>
    <row r="2" spans="1:19" ht="42" customHeight="1" x14ac:dyDescent="0.25">
      <c r="B2" s="2" t="s">
        <v>6</v>
      </c>
      <c r="C2" s="2" t="s">
        <v>7</v>
      </c>
      <c r="D2" s="2" t="s">
        <v>38</v>
      </c>
      <c r="E2" s="2" t="s">
        <v>8</v>
      </c>
      <c r="F2" s="2" t="s">
        <v>1</v>
      </c>
      <c r="G2" s="7" t="s">
        <v>2</v>
      </c>
      <c r="H2" s="36" t="s">
        <v>56</v>
      </c>
      <c r="I2" s="37" t="s">
        <v>57</v>
      </c>
      <c r="J2" s="97" t="s">
        <v>131</v>
      </c>
      <c r="K2" s="37" t="s">
        <v>63</v>
      </c>
      <c r="L2" s="37" t="s">
        <v>59</v>
      </c>
      <c r="M2" s="38" t="s">
        <v>58</v>
      </c>
    </row>
    <row r="4" spans="1:19" x14ac:dyDescent="0.25">
      <c r="A4" s="14"/>
      <c r="B4" s="32" t="s">
        <v>40</v>
      </c>
      <c r="G4" s="203"/>
    </row>
    <row r="5" spans="1:19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7" spans="1:19" s="27" customFormat="1" x14ac:dyDescent="0.25">
      <c r="A7" s="27">
        <v>2010</v>
      </c>
      <c r="B7" s="23">
        <f>GETPIVOTDATA("Sum of Purchased2",'Purch. Power Model '!$D$5,"Year",A7)</f>
        <v>950759112.65007687</v>
      </c>
      <c r="C7" s="23">
        <f>GETPIVOTDATA("Sum of Predicted Purchases ",'Purch. Power Model '!$D$5,"Year",A7)</f>
        <v>960319810.41915989</v>
      </c>
      <c r="D7" s="54">
        <f>C7-B7</f>
        <v>9560697.7690830231</v>
      </c>
      <c r="E7" s="153">
        <f t="shared" ref="E7:E17" si="0">D7/B7</f>
        <v>1.0055857095530989E-2</v>
      </c>
      <c r="F7" s="41">
        <f>1 +(B7-G7)/G7</f>
        <v>1.0366229412525825</v>
      </c>
      <c r="G7" s="154">
        <f t="shared" ref="G7:G17" si="1">SUM(H7:M7)</f>
        <v>917169662</v>
      </c>
      <c r="H7" s="23">
        <v>287357342</v>
      </c>
      <c r="I7" s="23">
        <v>98691975</v>
      </c>
      <c r="J7" s="23">
        <v>521725747</v>
      </c>
      <c r="K7" s="23">
        <v>480615</v>
      </c>
      <c r="L7" s="23">
        <v>7354351</v>
      </c>
      <c r="M7" s="23">
        <v>1559632</v>
      </c>
      <c r="N7" s="190">
        <f t="shared" ref="N7:N16" si="2">H7/SUM($H7:$J7)</f>
        <v>0.31655126186634269</v>
      </c>
      <c r="O7" s="190">
        <f t="shared" ref="O7:O16" si="3">I7/SUM($H7:$J7)</f>
        <v>0.10871853492551983</v>
      </c>
      <c r="P7" s="190">
        <f t="shared" ref="P7:P16" si="4">J7/SUM($H7:$J7)</f>
        <v>0.5747302032081375</v>
      </c>
      <c r="Q7" s="23"/>
      <c r="R7" s="23"/>
      <c r="S7" s="23"/>
    </row>
    <row r="8" spans="1:19" s="27" customFormat="1" x14ac:dyDescent="0.25">
      <c r="A8" s="27">
        <v>2011</v>
      </c>
      <c r="B8" s="23">
        <f>GETPIVOTDATA("Sum of Purchased2",'Purch. Power Model '!$D$5,"Year",A8)</f>
        <v>944902732.12384617</v>
      </c>
      <c r="C8" s="23">
        <f>GETPIVOTDATA("Sum of Predicted Purchases ",'Purch. Power Model '!$D$5,"Year",A8)</f>
        <v>958844382.30784512</v>
      </c>
      <c r="D8" s="54">
        <f>C8-B8</f>
        <v>13941650.183998942</v>
      </c>
      <c r="E8" s="153">
        <f t="shared" si="0"/>
        <v>1.4754587652278736E-2</v>
      </c>
      <c r="F8" s="41">
        <f>1 +(B8-G8)/G8</f>
        <v>1.0278943996713807</v>
      </c>
      <c r="G8" s="154">
        <f t="shared" si="1"/>
        <v>919260512</v>
      </c>
      <c r="H8" s="23">
        <v>291380972</v>
      </c>
      <c r="I8" s="23">
        <v>99001655</v>
      </c>
      <c r="J8" s="23">
        <v>519515098</v>
      </c>
      <c r="K8" s="23">
        <v>475427</v>
      </c>
      <c r="L8" s="23">
        <v>7330830</v>
      </c>
      <c r="M8" s="23">
        <v>1556530</v>
      </c>
      <c r="N8" s="190">
        <f t="shared" si="2"/>
        <v>0.32023486156095182</v>
      </c>
      <c r="O8" s="190">
        <f t="shared" si="3"/>
        <v>0.10880525610721799</v>
      </c>
      <c r="P8" s="190">
        <f t="shared" si="4"/>
        <v>0.57095988233183026</v>
      </c>
      <c r="Q8" s="23">
        <f>H8-H7</f>
        <v>4023630</v>
      </c>
      <c r="R8" s="23"/>
      <c r="S8" s="23"/>
    </row>
    <row r="9" spans="1:19" s="27" customFormat="1" x14ac:dyDescent="0.25">
      <c r="A9" s="27">
        <v>2012</v>
      </c>
      <c r="B9" s="23">
        <f>GETPIVOTDATA("Sum of Purchased2",'Purch. Power Model '!$D$5,"Year",A9)</f>
        <v>964379230.70517492</v>
      </c>
      <c r="C9" s="23">
        <f>GETPIVOTDATA("Sum of Predicted Purchases ",'Purch. Power Model '!$D$5,"Year",A9)</f>
        <v>950666119.44824326</v>
      </c>
      <c r="D9" s="54">
        <f>C9-B9</f>
        <v>-13713111.256931663</v>
      </c>
      <c r="E9" s="153">
        <f t="shared" si="0"/>
        <v>-1.4219625247325514E-2</v>
      </c>
      <c r="F9" s="41">
        <f>1 +(B9-G9)/G9</f>
        <v>1.0299682978725877</v>
      </c>
      <c r="G9" s="154">
        <f t="shared" si="1"/>
        <v>936319334</v>
      </c>
      <c r="H9" s="23">
        <v>287058174</v>
      </c>
      <c r="I9" s="23">
        <v>100340238</v>
      </c>
      <c r="J9" s="23">
        <v>539521215</v>
      </c>
      <c r="K9" s="23">
        <v>459394</v>
      </c>
      <c r="L9" s="23">
        <v>7395374</v>
      </c>
      <c r="M9" s="23">
        <v>1544939</v>
      </c>
      <c r="N9" s="190">
        <f t="shared" si="2"/>
        <v>0.30969046898820279</v>
      </c>
      <c r="O9" s="190">
        <f t="shared" si="3"/>
        <v>0.10825128207151449</v>
      </c>
      <c r="P9" s="190">
        <f t="shared" si="4"/>
        <v>0.58205824894028269</v>
      </c>
      <c r="Q9" s="23">
        <f t="shared" ref="Q9:Q17" si="5">H9-H8</f>
        <v>-4322798</v>
      </c>
      <c r="R9" s="23"/>
      <c r="S9" s="23"/>
    </row>
    <row r="10" spans="1:19" s="27" customFormat="1" x14ac:dyDescent="0.25">
      <c r="A10" s="27">
        <v>2013</v>
      </c>
      <c r="B10" s="23">
        <f>GETPIVOTDATA("Sum of Purchased2",'Purch. Power Model '!$D$5,"Year",A10)</f>
        <v>961335479.00000012</v>
      </c>
      <c r="C10" s="23">
        <f>GETPIVOTDATA("Sum of Predicted Purchases ",'Purch. Power Model '!$D$5,"Year",A10)</f>
        <v>927029805.31403124</v>
      </c>
      <c r="D10" s="54">
        <f>C10-B10</f>
        <v>-34305673.685968876</v>
      </c>
      <c r="E10" s="153">
        <f t="shared" si="0"/>
        <v>-3.5685433894163884E-2</v>
      </c>
      <c r="F10" s="41">
        <f>1 +(B10-G10)/G10</f>
        <v>1.0377678759158604</v>
      </c>
      <c r="G10" s="154">
        <f t="shared" si="1"/>
        <v>926349236</v>
      </c>
      <c r="H10" s="23">
        <v>282501947</v>
      </c>
      <c r="I10" s="23">
        <v>99838335</v>
      </c>
      <c r="J10" s="23">
        <v>534621114</v>
      </c>
      <c r="K10" s="23">
        <v>448778</v>
      </c>
      <c r="L10" s="23">
        <v>7386717</v>
      </c>
      <c r="M10" s="23">
        <v>1552345</v>
      </c>
      <c r="N10" s="190">
        <f t="shared" si="2"/>
        <v>0.30808488583307819</v>
      </c>
      <c r="O10" s="190">
        <f t="shared" si="3"/>
        <v>0.10887954000628397</v>
      </c>
      <c r="P10" s="190">
        <f t="shared" si="4"/>
        <v>0.58303557416063789</v>
      </c>
      <c r="Q10" s="23">
        <f t="shared" si="5"/>
        <v>-4556227</v>
      </c>
      <c r="R10" s="23"/>
      <c r="S10" s="23"/>
    </row>
    <row r="11" spans="1:19" s="27" customFormat="1" x14ac:dyDescent="0.25">
      <c r="A11" s="27">
        <v>2014</v>
      </c>
      <c r="B11" s="23">
        <f>GETPIVOTDATA("Sum of Purchased2",'Purch. Power Model '!$D$5,"Year",A11)</f>
        <v>913546785.3566668</v>
      </c>
      <c r="C11" s="23">
        <f>GETPIVOTDATA("Sum of Predicted Purchases ",'Purch. Power Model '!$D$5,"Year",A11)</f>
        <v>918015075.310835</v>
      </c>
      <c r="D11" s="54">
        <f>C11-B11</f>
        <v>4468289.9541682005</v>
      </c>
      <c r="E11" s="153">
        <f t="shared" si="0"/>
        <v>4.8911451781023909E-3</v>
      </c>
      <c r="F11" s="41">
        <f>1 +(B11-G11)/G11</f>
        <v>1.0268959286730257</v>
      </c>
      <c r="G11" s="154">
        <f t="shared" si="1"/>
        <v>889619639</v>
      </c>
      <c r="H11" s="23">
        <v>282925750</v>
      </c>
      <c r="I11" s="23">
        <v>99356580</v>
      </c>
      <c r="J11" s="23">
        <v>497985709</v>
      </c>
      <c r="K11" s="23">
        <v>445147</v>
      </c>
      <c r="L11" s="23">
        <v>7378259</v>
      </c>
      <c r="M11" s="23">
        <v>1528194</v>
      </c>
      <c r="N11" s="190">
        <f t="shared" si="2"/>
        <v>0.32140863630742361</v>
      </c>
      <c r="O11" s="190">
        <f t="shared" si="3"/>
        <v>0.11287082524644519</v>
      </c>
      <c r="P11" s="190">
        <f t="shared" si="4"/>
        <v>0.56572053844613113</v>
      </c>
      <c r="Q11" s="23">
        <f t="shared" si="5"/>
        <v>423803</v>
      </c>
      <c r="R11" s="23"/>
      <c r="S11" s="23"/>
    </row>
    <row r="12" spans="1:19" s="27" customFormat="1" x14ac:dyDescent="0.25">
      <c r="A12" s="27">
        <v>2015</v>
      </c>
      <c r="B12" s="23">
        <f>GETPIVOTDATA("Sum of Purchased2",'Purch. Power Model '!$D$5,"Year",A12)</f>
        <v>920489866.98307681</v>
      </c>
      <c r="C12" s="23">
        <f>GETPIVOTDATA("Sum of Predicted Purchases ",'Purch. Power Model '!$D$5,"Year",A12)</f>
        <v>924465660.20835423</v>
      </c>
      <c r="D12" s="54">
        <f t="shared" ref="D12:D17" si="6">C12-B12</f>
        <v>3975793.2252774239</v>
      </c>
      <c r="E12" s="153">
        <f t="shared" si="0"/>
        <v>4.3192145485622373E-3</v>
      </c>
      <c r="F12" s="41">
        <f t="shared" ref="F12:F17" si="7">1 +(B12-G12)/G12</f>
        <v>1.0172373905888383</v>
      </c>
      <c r="G12" s="154">
        <f t="shared" si="1"/>
        <v>904891892</v>
      </c>
      <c r="H12" s="23">
        <v>287594336</v>
      </c>
      <c r="I12" s="23">
        <v>100078635</v>
      </c>
      <c r="J12" s="23">
        <v>507886846</v>
      </c>
      <c r="K12" s="23">
        <v>446247</v>
      </c>
      <c r="L12" s="23">
        <v>7369714</v>
      </c>
      <c r="M12" s="23">
        <v>1516114</v>
      </c>
      <c r="N12" s="190">
        <f t="shared" si="2"/>
        <v>0.32113358654634677</v>
      </c>
      <c r="O12" s="190">
        <f t="shared" si="3"/>
        <v>0.11174980509425871</v>
      </c>
      <c r="P12" s="190">
        <f t="shared" si="4"/>
        <v>0.56711660835939448</v>
      </c>
      <c r="Q12" s="23">
        <f t="shared" si="5"/>
        <v>4668586</v>
      </c>
      <c r="R12" s="23"/>
      <c r="S12" s="23"/>
    </row>
    <row r="13" spans="1:19" x14ac:dyDescent="0.25">
      <c r="A13" s="27">
        <v>2016</v>
      </c>
      <c r="B13" s="23">
        <f>GETPIVOTDATA("Sum of Purchased2",'Purch. Power Model '!$D$5,"Year",A13)</f>
        <v>928717584.78461564</v>
      </c>
      <c r="C13" s="23">
        <f>GETPIVOTDATA("Sum of Predicted Purchases ",'Purch. Power Model '!$D$5,"Year",A13)</f>
        <v>950199934.43693376</v>
      </c>
      <c r="D13" s="54">
        <f t="shared" si="6"/>
        <v>21482349.65231812</v>
      </c>
      <c r="E13" s="153">
        <f t="shared" si="0"/>
        <v>2.3131197259821691E-2</v>
      </c>
      <c r="F13" s="41">
        <f t="shared" si="7"/>
        <v>1.0213190949791802</v>
      </c>
      <c r="G13" s="154">
        <f t="shared" si="1"/>
        <v>909331461</v>
      </c>
      <c r="H13" s="6">
        <v>291787861</v>
      </c>
      <c r="I13" s="6">
        <v>99573959</v>
      </c>
      <c r="J13" s="6">
        <v>508774431</v>
      </c>
      <c r="K13" s="6">
        <v>314139</v>
      </c>
      <c r="L13" s="6">
        <v>7368093</v>
      </c>
      <c r="M13" s="6">
        <v>1512978</v>
      </c>
      <c r="N13" s="190">
        <f t="shared" si="2"/>
        <v>0.32415965991353013</v>
      </c>
      <c r="O13" s="190">
        <f t="shared" si="3"/>
        <v>0.11062098531125596</v>
      </c>
      <c r="P13" s="190">
        <f t="shared" si="4"/>
        <v>0.5652193547752139</v>
      </c>
      <c r="Q13" s="23">
        <f t="shared" si="5"/>
        <v>4193525</v>
      </c>
    </row>
    <row r="14" spans="1:19" x14ac:dyDescent="0.25">
      <c r="A14" s="27">
        <v>2017</v>
      </c>
      <c r="B14" s="23">
        <f>GETPIVOTDATA("Sum of Purchased2",'Purch. Power Model '!$D$5,"Year",A14)</f>
        <v>914942349.02142859</v>
      </c>
      <c r="C14" s="23">
        <f>GETPIVOTDATA("Sum of Predicted Purchases ",'Purch. Power Model '!$D$5,"Year",A14)</f>
        <v>927473628.12682843</v>
      </c>
      <c r="D14" s="54">
        <f t="shared" si="6"/>
        <v>12531279.105399847</v>
      </c>
      <c r="E14" s="153">
        <f t="shared" si="0"/>
        <v>1.3696249953674793E-2</v>
      </c>
      <c r="F14" s="41">
        <f t="shared" si="7"/>
        <v>1.0254203672470938</v>
      </c>
      <c r="G14" s="154">
        <f t="shared" si="1"/>
        <v>892260753</v>
      </c>
      <c r="H14" s="6">
        <v>273448641</v>
      </c>
      <c r="I14" s="6">
        <v>96495542</v>
      </c>
      <c r="J14" s="6">
        <v>513281236</v>
      </c>
      <c r="K14" s="6">
        <v>186504</v>
      </c>
      <c r="L14" s="6">
        <v>7324649</v>
      </c>
      <c r="M14" s="6">
        <v>1524181</v>
      </c>
      <c r="N14" s="190">
        <f t="shared" si="2"/>
        <v>0.30960232248478797</v>
      </c>
      <c r="O14" s="190">
        <f t="shared" si="3"/>
        <v>0.10925358342749418</v>
      </c>
      <c r="P14" s="190">
        <f t="shared" si="4"/>
        <v>0.58114409408771783</v>
      </c>
      <c r="Q14" s="23">
        <f t="shared" si="5"/>
        <v>-18339220</v>
      </c>
    </row>
    <row r="15" spans="1:19" x14ac:dyDescent="0.25">
      <c r="A15" s="27">
        <v>2018</v>
      </c>
      <c r="B15" s="23">
        <f>GETPIVOTDATA("Sum of Purchased2",'Purch. Power Model '!$D$5,"Year",A15)</f>
        <v>965883912.18000007</v>
      </c>
      <c r="C15" s="23">
        <f>GETPIVOTDATA("Sum of Predicted Purchases ",'Purch. Power Model '!$D$5,"Year",A15)</f>
        <v>962401471.13637781</v>
      </c>
      <c r="D15" s="54">
        <f t="shared" si="6"/>
        <v>-3482441.0436222553</v>
      </c>
      <c r="E15" s="153">
        <f t="shared" si="0"/>
        <v>-3.605444712048662E-3</v>
      </c>
      <c r="F15" s="41">
        <f t="shared" si="7"/>
        <v>1.0335717587143887</v>
      </c>
      <c r="G15" s="154">
        <f t="shared" si="1"/>
        <v>934510743</v>
      </c>
      <c r="H15" s="6">
        <v>301310523</v>
      </c>
      <c r="I15" s="6">
        <v>94728588</v>
      </c>
      <c r="J15" s="6">
        <f>535922957-6330357</f>
        <v>529592600</v>
      </c>
      <c r="K15" s="6">
        <v>190023</v>
      </c>
      <c r="L15" s="6">
        <v>7191580</v>
      </c>
      <c r="M15" s="6">
        <v>1497429</v>
      </c>
      <c r="N15" s="190">
        <f t="shared" si="2"/>
        <v>0.32551879912852294</v>
      </c>
      <c r="O15" s="190">
        <f t="shared" si="3"/>
        <v>0.10233939359927569</v>
      </c>
      <c r="P15" s="190">
        <f t="shared" si="4"/>
        <v>0.57214180727220132</v>
      </c>
      <c r="Q15" s="23">
        <f t="shared" si="5"/>
        <v>27861882</v>
      </c>
    </row>
    <row r="16" spans="1:19" x14ac:dyDescent="0.25">
      <c r="A16" s="27">
        <v>2019</v>
      </c>
      <c r="B16" s="23">
        <f>GETPIVOTDATA("Sum of Purchased2",'Purch. Power Model '!$D$5,"Year",A16)</f>
        <v>959330220.76954007</v>
      </c>
      <c r="C16" s="23">
        <f>GETPIVOTDATA("Sum of Predicted Purchases ",'Purch. Power Model '!$D$5,"Year",A16)</f>
        <v>944871386.86581624</v>
      </c>
      <c r="D16" s="54">
        <f t="shared" si="6"/>
        <v>-14458833.903723836</v>
      </c>
      <c r="E16" s="153">
        <f t="shared" si="0"/>
        <v>-1.5071800711256111E-2</v>
      </c>
      <c r="F16" s="41">
        <f t="shared" si="7"/>
        <v>1.02893028556975</v>
      </c>
      <c r="G16" s="154">
        <f t="shared" si="1"/>
        <v>932356870.25999999</v>
      </c>
      <c r="H16" s="6">
        <v>292180864.93883711</v>
      </c>
      <c r="I16" s="6">
        <v>93124427.492277056</v>
      </c>
      <c r="J16" s="6">
        <v>538150482.33084905</v>
      </c>
      <c r="K16" s="6">
        <v>194957.89217390213</v>
      </c>
      <c r="L16" s="6">
        <v>7147042.3329913896</v>
      </c>
      <c r="M16" s="6">
        <v>1559095.2728715499</v>
      </c>
      <c r="N16" s="190">
        <f t="shared" si="2"/>
        <v>0.3163994128621393</v>
      </c>
      <c r="O16" s="190">
        <f t="shared" si="3"/>
        <v>0.10084340803032121</v>
      </c>
      <c r="P16" s="190">
        <f t="shared" si="4"/>
        <v>0.58275717910753944</v>
      </c>
      <c r="Q16" s="23">
        <f t="shared" si="5"/>
        <v>-9129658.061162889</v>
      </c>
    </row>
    <row r="17" spans="1:19" x14ac:dyDescent="0.25">
      <c r="A17" s="27">
        <v>2020</v>
      </c>
      <c r="B17" s="23">
        <f>GETPIVOTDATA("Sum of Purchased2",'Purch. Power Model '!$D$5,"Year",A17)</f>
        <v>961031702.85464001</v>
      </c>
      <c r="C17" s="23">
        <f>GETPIVOTDATA("Sum of Predicted Purchases ",'Purch. Power Model '!$D$5,"Year",A17)</f>
        <v>917239283.8450731</v>
      </c>
      <c r="D17" s="54">
        <f t="shared" si="6"/>
        <v>-43792419.009566903</v>
      </c>
      <c r="E17" s="153">
        <f t="shared" si="0"/>
        <v>-4.5568131498145474E-2</v>
      </c>
      <c r="F17" s="41">
        <f t="shared" si="7"/>
        <v>1.0298810757618091</v>
      </c>
      <c r="G17" s="154">
        <f t="shared" si="1"/>
        <v>933148229.9000001</v>
      </c>
      <c r="H17" s="23">
        <v>315774546.06238711</v>
      </c>
      <c r="I17" s="23">
        <v>87228067.152691096</v>
      </c>
      <c r="J17" s="23">
        <v>521485545.00903696</v>
      </c>
      <c r="K17" s="23">
        <v>187738.7264654169</v>
      </c>
      <c r="L17" s="23">
        <v>6962317.0293546142</v>
      </c>
      <c r="M17" s="23">
        <v>1510015.9200649587</v>
      </c>
      <c r="N17" s="190">
        <f>H17/SUM($H17:$J17)</f>
        <v>0.34156689109893046</v>
      </c>
      <c r="O17" s="190">
        <f>I17/SUM($H17:$J17)</f>
        <v>9.4352822561027547E-2</v>
      </c>
      <c r="P17" s="190">
        <f>J17/SUM($H17:$J17)</f>
        <v>0.56408028634004204</v>
      </c>
      <c r="Q17" s="23">
        <f t="shared" si="5"/>
        <v>23593681.123549998</v>
      </c>
    </row>
    <row r="18" spans="1:19" x14ac:dyDescent="0.25">
      <c r="A18" s="27">
        <v>2021</v>
      </c>
      <c r="B18" s="23"/>
      <c r="C18" s="23">
        <f>GETPIVOTDATA("Sum of Predicted Purchases ",'Purch. Power Model '!$D$5,"Year",A18)</f>
        <v>881577393.12093174</v>
      </c>
      <c r="G18" s="17">
        <f>C18/$F$23</f>
        <v>857658458.6916101</v>
      </c>
      <c r="N18" s="190"/>
      <c r="O18" s="190"/>
      <c r="P18" s="190"/>
      <c r="Q18" s="23"/>
    </row>
    <row r="19" spans="1:19" x14ac:dyDescent="0.25">
      <c r="A19" s="27">
        <v>2022</v>
      </c>
      <c r="B19" s="23"/>
      <c r="C19" s="23">
        <f>GETPIVOTDATA("Sum of Predicted Purchases ",'Purch. Power Model '!$D$5,"Year",A19)</f>
        <v>902766029.26516461</v>
      </c>
      <c r="G19" s="17">
        <f>C19/$F$23</f>
        <v>878272205.32241476</v>
      </c>
      <c r="N19" s="190"/>
      <c r="O19" s="190"/>
      <c r="P19" s="190"/>
      <c r="Q19" s="23"/>
    </row>
    <row r="20" spans="1:19" x14ac:dyDescent="0.25">
      <c r="B20" s="6"/>
      <c r="C20" s="6"/>
      <c r="G20" s="23"/>
    </row>
    <row r="21" spans="1:19" x14ac:dyDescent="0.25">
      <c r="B21" s="6"/>
      <c r="C21" s="6"/>
      <c r="G21" s="23"/>
    </row>
    <row r="22" spans="1:19" x14ac:dyDescent="0.25">
      <c r="I22" s="21"/>
    </row>
    <row r="23" spans="1:19" ht="13" x14ac:dyDescent="0.3">
      <c r="A23" s="15" t="s">
        <v>10</v>
      </c>
      <c r="F23" s="40">
        <f>AVERAGE(F8:F17)</f>
        <v>1.0278886474993914</v>
      </c>
    </row>
    <row r="24" spans="1:19" x14ac:dyDescent="0.25">
      <c r="E24" s="14"/>
      <c r="F24" s="14" t="s">
        <v>65</v>
      </c>
      <c r="G24" s="17"/>
    </row>
    <row r="26" spans="1:19" ht="13" x14ac:dyDescent="0.3">
      <c r="A26" s="18" t="s">
        <v>12</v>
      </c>
      <c r="B26" s="11"/>
    </row>
    <row r="27" spans="1:19" x14ac:dyDescent="0.25">
      <c r="C27" s="115"/>
      <c r="D27" s="115"/>
      <c r="E27" s="115"/>
    </row>
    <row r="28" spans="1:19" x14ac:dyDescent="0.25">
      <c r="A28">
        <f>A7</f>
        <v>2010</v>
      </c>
      <c r="H28" s="23">
        <f>H7/'Rate Class Customer Model'!B7</f>
        <v>8388.5258640822049</v>
      </c>
      <c r="I28" s="23">
        <f>I7/'Rate Class Customer Model'!C7</f>
        <v>36722.595348837211</v>
      </c>
      <c r="J28" s="23">
        <f>J7/'Rate Class Customer Model'!D7</f>
        <v>1251140.8800959233</v>
      </c>
      <c r="K28" s="23">
        <f>K7/'Rate Class Customer Model'!E7</f>
        <v>797.70124481327798</v>
      </c>
      <c r="L28" s="23">
        <f>L7/'Rate Class Customer Model'!F7</f>
        <v>738.90796744700094</v>
      </c>
      <c r="M28" s="23">
        <f>M7/'Rate Class Customer Model'!G7</f>
        <v>3500.8574635241303</v>
      </c>
    </row>
    <row r="29" spans="1:19" x14ac:dyDescent="0.25">
      <c r="A29">
        <f>A8</f>
        <v>2011</v>
      </c>
      <c r="H29" s="23">
        <f>H8/'Rate Class Customer Model'!B8</f>
        <v>8410.9624455156882</v>
      </c>
      <c r="I29" s="23">
        <f>I8/'Rate Class Customer Model'!C8</f>
        <v>36545.461424880028</v>
      </c>
      <c r="J29" s="23">
        <f>J8/'Rate Class Customer Model'!D8</f>
        <v>1234002.6080760094</v>
      </c>
      <c r="K29" s="23">
        <f>K8/'Rate Class Customer Model'!E8</f>
        <v>766.19983883964539</v>
      </c>
      <c r="L29" s="23">
        <f>L8/'Rate Class Customer Model'!F8</f>
        <v>733.96375650780942</v>
      </c>
      <c r="M29" s="23">
        <f>M8/'Rate Class Customer Model'!G8</f>
        <v>3493.8945005611672</v>
      </c>
    </row>
    <row r="30" spans="1:19" s="27" customFormat="1" x14ac:dyDescent="0.25">
      <c r="A30" s="27">
        <f>A9</f>
        <v>2012</v>
      </c>
      <c r="B30" s="19"/>
      <c r="C30" s="19"/>
      <c r="D30" s="19"/>
      <c r="E30" s="19"/>
      <c r="F30" s="19"/>
      <c r="G30" s="23"/>
      <c r="H30" s="23">
        <f>H9/'Rate Class Customer Model'!B9</f>
        <v>8216.216555040357</v>
      </c>
      <c r="I30" s="23">
        <f>I9/'Rate Class Customer Model'!C9</f>
        <v>36781.612170087974</v>
      </c>
      <c r="J30" s="23">
        <f>J9/'Rate Class Customer Model'!D9</f>
        <v>1287640.1312649164</v>
      </c>
      <c r="K30" s="23">
        <f>K9/'Rate Class Customer Model'!E9</f>
        <v>735.03039999999999</v>
      </c>
      <c r="L30" s="23">
        <f>L9/'Rate Class Customer Model'!F9</f>
        <v>729.75863430037498</v>
      </c>
      <c r="M30" s="23">
        <f>M9/'Rate Class Customer Model'!G9</f>
        <v>3491.387570621469</v>
      </c>
      <c r="N30" s="23"/>
      <c r="O30" s="23"/>
      <c r="P30" s="23"/>
      <c r="Q30" s="23"/>
      <c r="R30" s="23"/>
      <c r="S30" s="23"/>
    </row>
    <row r="31" spans="1:19" s="27" customFormat="1" x14ac:dyDescent="0.25">
      <c r="A31" s="27">
        <f>A10</f>
        <v>2013</v>
      </c>
      <c r="B31" s="19"/>
      <c r="C31" s="19"/>
      <c r="D31" s="19"/>
      <c r="E31" s="19"/>
      <c r="F31" s="19"/>
      <c r="G31" s="23"/>
      <c r="H31" s="23">
        <f>H10/'Rate Class Customer Model'!B10</f>
        <v>8019.8136861080748</v>
      </c>
      <c r="I31" s="23">
        <f>I10/'Rate Class Customer Model'!C10</f>
        <v>36324.662543205384</v>
      </c>
      <c r="J31" s="23">
        <f>J10/'Rate Class Customer Model'!D10</f>
        <v>1262387.5182998818</v>
      </c>
      <c r="K31" s="23">
        <f>K10/'Rate Class Customer Model'!E10</f>
        <v>718.61969575660532</v>
      </c>
      <c r="L31" s="23">
        <f>L10/'Rate Class Customer Model'!F10</f>
        <v>721.95836387626446</v>
      </c>
      <c r="M31" s="23">
        <f>M10/'Rate Class Customer Model'!G10</f>
        <v>3548.2171428571428</v>
      </c>
      <c r="N31" s="23"/>
      <c r="O31" s="23"/>
      <c r="P31" s="23"/>
      <c r="Q31" s="23"/>
      <c r="R31" s="23"/>
      <c r="S31" s="23"/>
    </row>
    <row r="32" spans="1:19" s="27" customFormat="1" x14ac:dyDescent="0.25">
      <c r="A32" s="27">
        <v>2014</v>
      </c>
      <c r="B32" s="19"/>
      <c r="C32" s="19"/>
      <c r="D32" s="19"/>
      <c r="E32" s="19"/>
      <c r="F32" s="19"/>
      <c r="G32" s="23"/>
      <c r="H32" s="23">
        <f>H11/'Rate Class Customer Model'!B11</f>
        <v>7974.4567208771387</v>
      </c>
      <c r="I32" s="23">
        <f>I11/'Rate Class Customer Model'!C11</f>
        <v>35849.388417824281</v>
      </c>
      <c r="J32" s="23">
        <f>J11/'Rate Class Customer Model'!D11</f>
        <v>1152744.6967592593</v>
      </c>
      <c r="K32" s="23">
        <f>K11/'Rate Class Customer Model'!E11</f>
        <v>716.24617860016087</v>
      </c>
      <c r="L32" s="23">
        <f>L11/'Rate Class Customer Model'!F11</f>
        <v>709.99413010007697</v>
      </c>
      <c r="M32" s="23">
        <f>M11/'Rate Class Customer Model'!G11</f>
        <v>3521.1843317972352</v>
      </c>
      <c r="N32" s="23"/>
      <c r="O32" s="23"/>
      <c r="P32" s="23"/>
      <c r="Q32" s="23"/>
      <c r="R32" s="23"/>
      <c r="S32" s="23"/>
    </row>
    <row r="33" spans="1:13" x14ac:dyDescent="0.25">
      <c r="A33">
        <v>2015</v>
      </c>
      <c r="H33" s="23">
        <f>H12/'Rate Class Customer Model'!B12</f>
        <v>8046.0597311399279</v>
      </c>
      <c r="I33" s="23">
        <f>I12/'Rate Class Customer Model'!C12</f>
        <v>35947.785560344826</v>
      </c>
      <c r="J33" s="23">
        <f>J12/'Rate Class Customer Model'!D12</f>
        <v>1160884.2194285714</v>
      </c>
      <c r="K33" s="23">
        <f>K12/'Rate Class Customer Model'!E12</f>
        <v>721.49878738884399</v>
      </c>
      <c r="L33" s="23">
        <f>L12/'Rate Class Customer Model'!F12</f>
        <v>693.19606828763585</v>
      </c>
      <c r="M33" s="23">
        <f>M12/'Rate Class Customer Model'!G12</f>
        <v>3521.7514518002322</v>
      </c>
    </row>
    <row r="34" spans="1:13" x14ac:dyDescent="0.25">
      <c r="A34">
        <v>2016</v>
      </c>
      <c r="H34" s="23">
        <f>H13/'Rate Class Customer Model'!B13</f>
        <v>8095.6048303750404</v>
      </c>
      <c r="I34" s="23">
        <f>I13/'Rate Class Customer Model'!C13</f>
        <v>35660.832303697738</v>
      </c>
      <c r="J34" s="23">
        <f>J13/'Rate Class Customer Model'!D13</f>
        <v>1125607.1482300884</v>
      </c>
      <c r="K34" s="23">
        <f>K13/'Rate Class Customer Model'!E13</f>
        <v>569.86666666666667</v>
      </c>
      <c r="L34" s="23">
        <f>L13/'Rate Class Customer Model'!F13</f>
        <v>720.34931808183023</v>
      </c>
      <c r="M34" s="23">
        <f>M13/'Rate Class Customer Model'!G13</f>
        <v>3545.3497363796132</v>
      </c>
    </row>
    <row r="35" spans="1:13" x14ac:dyDescent="0.25">
      <c r="A35">
        <v>2017</v>
      </c>
      <c r="H35" s="23">
        <f>H14/'Rate Class Customer Model'!B14</f>
        <v>7545.3361478446222</v>
      </c>
      <c r="I35" s="23">
        <f>I14/'Rate Class Customer Model'!C14</f>
        <v>34490.409078723977</v>
      </c>
      <c r="J35" s="23">
        <f>J14/'Rate Class Customer Model'!D14</f>
        <v>1123768.442255063</v>
      </c>
      <c r="K35" s="23">
        <f>K14/'Rate Class Customer Model'!E14</f>
        <v>364.6217008797654</v>
      </c>
      <c r="L35" s="23">
        <f>L14/'Rate Class Customer Model'!F14</f>
        <v>1269.6566129311839</v>
      </c>
      <c r="M35" s="23">
        <f>M14/'Rate Class Customer Model'!G14</f>
        <v>3588.4190700412005</v>
      </c>
    </row>
    <row r="36" spans="1:13" x14ac:dyDescent="0.25">
      <c r="A36">
        <v>2018</v>
      </c>
      <c r="H36" s="23">
        <f>H15/'Rate Class Customer Model'!B15</f>
        <v>8250.4490080913456</v>
      </c>
      <c r="I36" s="23">
        <f>I15/'Rate Class Customer Model'!C15</f>
        <v>33783.376604850215</v>
      </c>
      <c r="J36" s="23">
        <f>J15/'Rate Class Customer Model'!D15</f>
        <v>1095897.7754785307</v>
      </c>
      <c r="K36" s="23">
        <f>K15/'Rate Class Customer Model'!E15</f>
        <v>375.16880552813427</v>
      </c>
      <c r="L36" s="23">
        <f>L15/'Rate Class Customer Model'!F15</f>
        <v>1246.1583780973835</v>
      </c>
      <c r="M36" s="23">
        <f>M15/'Rate Class Customer Model'!G15</f>
        <v>3563.1861986912554</v>
      </c>
    </row>
    <row r="37" spans="1:13" x14ac:dyDescent="0.25">
      <c r="A37">
        <v>2019</v>
      </c>
      <c r="H37" s="23">
        <f>H16/'Rate Class Customer Model'!B16</f>
        <v>7954.287482170751</v>
      </c>
      <c r="I37" s="23">
        <f>I16/'Rate Class Customer Model'!C16</f>
        <v>32859.713300027193</v>
      </c>
      <c r="J37" s="23">
        <f>J16/'Rate Class Customer Model'!D16</f>
        <v>1101075.1556641413</v>
      </c>
      <c r="K37" s="23">
        <f>K16/'Rate Class Customer Model'!E16</f>
        <v>388.9434257833459</v>
      </c>
      <c r="L37" s="23">
        <f>L16/'Rate Class Customer Model'!F16</f>
        <v>1238.4408825145365</v>
      </c>
      <c r="M37" s="23">
        <f>M16/'Rate Class Customer Model'!G16</f>
        <v>3821.3119433126226</v>
      </c>
    </row>
    <row r="38" spans="1:13" x14ac:dyDescent="0.25">
      <c r="A38">
        <v>2020</v>
      </c>
      <c r="H38" s="23">
        <f>H17/'Rate Class Customer Model'!B17</f>
        <v>8516.8380527392583</v>
      </c>
      <c r="I38" s="23">
        <f>I17/'Rate Class Customer Model'!C17</f>
        <v>29768.131440215373</v>
      </c>
      <c r="J38" s="23">
        <f>J17/'Rate Class Customer Model'!D17</f>
        <v>1062810.2140129828</v>
      </c>
      <c r="K38" s="23">
        <f>K17/'Rate Class Customer Model'!E17</f>
        <v>379.39789787554781</v>
      </c>
      <c r="L38" s="23">
        <f>L17/'Rate Class Customer Model'!F17</f>
        <v>1206.4316460500111</v>
      </c>
      <c r="M38" s="23">
        <f>M17/'Rate Class Customer Model'!G17</f>
        <v>3692.7228532259028</v>
      </c>
    </row>
    <row r="39" spans="1:13" x14ac:dyDescent="0.25">
      <c r="A39">
        <v>2021</v>
      </c>
      <c r="H39" s="17">
        <f t="shared" ref="H39:M39" si="8">H38*H54</f>
        <v>8528.6839721054894</v>
      </c>
      <c r="I39" s="17">
        <f t="shared" si="8"/>
        <v>29097.36008224537</v>
      </c>
      <c r="J39" s="17">
        <f t="shared" si="8"/>
        <v>1045319.406095818</v>
      </c>
      <c r="K39" s="17">
        <f t="shared" si="8"/>
        <v>350.89612464574407</v>
      </c>
      <c r="L39" s="17">
        <f t="shared" si="8"/>
        <v>1274.9220176441249</v>
      </c>
      <c r="M39" s="17">
        <f t="shared" si="8"/>
        <v>3715.5018664500685</v>
      </c>
    </row>
    <row r="40" spans="1:13" x14ac:dyDescent="0.25">
      <c r="A40">
        <v>2022</v>
      </c>
      <c r="H40" s="17">
        <f t="shared" ref="H40:M40" si="9">H39*H54</f>
        <v>8540.5463677513853</v>
      </c>
      <c r="I40" s="17">
        <f t="shared" si="9"/>
        <v>28441.703351660581</v>
      </c>
      <c r="J40" s="17">
        <f t="shared" si="9"/>
        <v>1028116.44671225</v>
      </c>
      <c r="K40" s="17">
        <f t="shared" si="9"/>
        <v>324.53551003013388</v>
      </c>
      <c r="L40" s="17">
        <f t="shared" si="9"/>
        <v>1347.3006584298325</v>
      </c>
      <c r="M40" s="17">
        <f t="shared" si="9"/>
        <v>3738.4213948074002</v>
      </c>
    </row>
    <row r="42" spans="1:13" x14ac:dyDescent="0.25">
      <c r="A42" s="29">
        <v>2011</v>
      </c>
      <c r="D42" s="6"/>
      <c r="H42" s="21">
        <f t="shared" ref="H42:M51" si="10">H29/H28</f>
        <v>1.0026746751213527</v>
      </c>
      <c r="I42" s="21">
        <f t="shared" si="10"/>
        <v>0.99517643232253761</v>
      </c>
      <c r="J42" s="21">
        <f t="shared" si="10"/>
        <v>0.9863018847097379</v>
      </c>
      <c r="K42" s="21">
        <f t="shared" si="10"/>
        <v>0.960509769567921</v>
      </c>
      <c r="L42" s="21">
        <f t="shared" si="10"/>
        <v>0.99330875947071695</v>
      </c>
      <c r="M42" s="21">
        <f t="shared" si="10"/>
        <v>0.99801106927788086</v>
      </c>
    </row>
    <row r="43" spans="1:13" x14ac:dyDescent="0.25">
      <c r="A43" s="55">
        <v>2012</v>
      </c>
      <c r="D43" s="6"/>
      <c r="H43" s="21">
        <f t="shared" si="10"/>
        <v>0.97684618237962051</v>
      </c>
      <c r="I43" s="21">
        <f t="shared" si="10"/>
        <v>1.006461835095265</v>
      </c>
      <c r="J43" s="21">
        <f t="shared" si="10"/>
        <v>1.0434662964550259</v>
      </c>
      <c r="K43" s="21">
        <f t="shared" si="10"/>
        <v>0.95931943957747456</v>
      </c>
      <c r="L43" s="21">
        <f t="shared" si="10"/>
        <v>0.99427066776778961</v>
      </c>
      <c r="M43" s="21">
        <f t="shared" si="10"/>
        <v>0.9992824826452843</v>
      </c>
    </row>
    <row r="44" spans="1:13" x14ac:dyDescent="0.25">
      <c r="A44" s="55">
        <v>2013</v>
      </c>
      <c r="D44" s="6"/>
      <c r="H44" s="21">
        <f t="shared" si="10"/>
        <v>0.97609570443809734</v>
      </c>
      <c r="I44" s="21">
        <f t="shared" si="10"/>
        <v>0.98757668302385626</v>
      </c>
      <c r="J44" s="21">
        <f t="shared" si="10"/>
        <v>0.98038845454418422</v>
      </c>
      <c r="K44" s="21">
        <f t="shared" si="10"/>
        <v>0.97767343467236911</v>
      </c>
      <c r="L44" s="21">
        <f t="shared" si="10"/>
        <v>0.98931116391436913</v>
      </c>
      <c r="M44" s="21">
        <f t="shared" si="10"/>
        <v>1.0162770735377162</v>
      </c>
    </row>
    <row r="45" spans="1:13" x14ac:dyDescent="0.25">
      <c r="A45" s="55">
        <v>2014</v>
      </c>
      <c r="D45" s="6"/>
      <c r="H45" s="21">
        <f t="shared" si="10"/>
        <v>0.99434438666455516</v>
      </c>
      <c r="I45" s="21">
        <f t="shared" si="10"/>
        <v>0.98691593831557822</v>
      </c>
      <c r="J45" s="21">
        <f t="shared" si="10"/>
        <v>0.91314646259471599</v>
      </c>
      <c r="K45" s="21">
        <f t="shared" si="10"/>
        <v>0.99669711647139669</v>
      </c>
      <c r="L45" s="21">
        <f t="shared" si="10"/>
        <v>0.983428083425822</v>
      </c>
      <c r="M45" s="21">
        <f t="shared" si="10"/>
        <v>0.99238129743149261</v>
      </c>
    </row>
    <row r="46" spans="1:13" x14ac:dyDescent="0.25">
      <c r="A46" s="55">
        <v>2015</v>
      </c>
      <c r="D46" s="6"/>
      <c r="H46" s="21">
        <f t="shared" si="10"/>
        <v>1.0089790455662431</v>
      </c>
      <c r="I46" s="21">
        <f t="shared" si="10"/>
        <v>1.0027447369917091</v>
      </c>
      <c r="J46" s="21">
        <f t="shared" si="10"/>
        <v>1.0070609933771069</v>
      </c>
      <c r="K46" s="21">
        <f t="shared" si="10"/>
        <v>1.0073335243462644</v>
      </c>
      <c r="L46" s="21">
        <f t="shared" si="10"/>
        <v>0.97634056240708167</v>
      </c>
      <c r="M46" s="21">
        <f t="shared" si="10"/>
        <v>1.0001610594474921</v>
      </c>
    </row>
    <row r="47" spans="1:13" x14ac:dyDescent="0.25">
      <c r="A47" s="55">
        <v>2016</v>
      </c>
      <c r="D47" s="6"/>
      <c r="H47" s="21">
        <f t="shared" si="10"/>
        <v>1.0061576847414346</v>
      </c>
      <c r="I47" s="21">
        <f t="shared" si="10"/>
        <v>0.99201749837509778</v>
      </c>
      <c r="J47" s="21">
        <f t="shared" si="10"/>
        <v>0.96961189530524616</v>
      </c>
      <c r="K47" s="21">
        <f t="shared" si="10"/>
        <v>0.78983731730035911</v>
      </c>
      <c r="L47" s="21">
        <f t="shared" si="10"/>
        <v>1.0391710960814731</v>
      </c>
      <c r="M47" s="21">
        <f t="shared" si="10"/>
        <v>1.0067007240296069</v>
      </c>
    </row>
    <row r="48" spans="1:13" x14ac:dyDescent="0.25">
      <c r="A48" s="55">
        <v>2017</v>
      </c>
      <c r="D48" s="6"/>
      <c r="H48" s="21">
        <f t="shared" si="10"/>
        <v>0.93202871260887299</v>
      </c>
      <c r="I48" s="21">
        <f t="shared" si="10"/>
        <v>0.96717902669780376</v>
      </c>
      <c r="J48" s="21">
        <f t="shared" si="10"/>
        <v>0.99836647628089725</v>
      </c>
      <c r="K48" s="21">
        <f t="shared" si="10"/>
        <v>0.63983686396776795</v>
      </c>
      <c r="L48" s="21">
        <f t="shared" si="10"/>
        <v>1.7625568332764818</v>
      </c>
      <c r="M48" s="21">
        <f t="shared" si="10"/>
        <v>1.0121481198934039</v>
      </c>
    </row>
    <row r="49" spans="1:14" x14ac:dyDescent="0.25">
      <c r="A49" s="55">
        <v>2018</v>
      </c>
      <c r="D49" s="6"/>
      <c r="H49" s="21">
        <f t="shared" si="10"/>
        <v>1.0934501586716112</v>
      </c>
      <c r="I49" s="21">
        <f t="shared" si="10"/>
        <v>0.97950060632044211</v>
      </c>
      <c r="J49" s="21">
        <f t="shared" si="10"/>
        <v>0.97519892379198303</v>
      </c>
      <c r="K49" s="21">
        <f t="shared" si="10"/>
        <v>1.0289261572279451</v>
      </c>
      <c r="L49" s="21">
        <f t="shared" si="10"/>
        <v>0.9814924487499409</v>
      </c>
      <c r="M49" s="21">
        <f t="shared" si="10"/>
        <v>0.99296824845219223</v>
      </c>
    </row>
    <row r="50" spans="1:14" x14ac:dyDescent="0.25">
      <c r="A50" s="55">
        <v>2019</v>
      </c>
      <c r="D50" s="6"/>
      <c r="H50" s="21">
        <f t="shared" si="10"/>
        <v>0.96410358689204134</v>
      </c>
      <c r="I50" s="21">
        <f t="shared" si="10"/>
        <v>0.97265923665278586</v>
      </c>
      <c r="J50" s="21">
        <f t="shared" si="10"/>
        <v>1.0047243276713012</v>
      </c>
      <c r="K50" s="21">
        <f t="shared" si="10"/>
        <v>1.0367157931369608</v>
      </c>
      <c r="L50" s="21">
        <f t="shared" si="10"/>
        <v>0.99380697051154121</v>
      </c>
      <c r="M50" s="21">
        <f t="shared" si="10"/>
        <v>1.0724423957176799</v>
      </c>
    </row>
    <row r="51" spans="1:14" x14ac:dyDescent="0.25">
      <c r="A51" s="55">
        <v>2020</v>
      </c>
      <c r="D51" s="6"/>
      <c r="H51" s="21">
        <f t="shared" si="10"/>
        <v>1.0707229367595079</v>
      </c>
      <c r="I51" s="21">
        <f t="shared" si="10"/>
        <v>0.90591573847330975</v>
      </c>
      <c r="J51" s="21">
        <f t="shared" si="10"/>
        <v>0.96524765684311709</v>
      </c>
      <c r="K51" s="21">
        <f t="shared" si="10"/>
        <v>0.97545779855110537</v>
      </c>
      <c r="L51" s="21">
        <f t="shared" si="10"/>
        <v>0.97415360158368347</v>
      </c>
      <c r="M51" s="21">
        <f t="shared" si="10"/>
        <v>0.96634949148505045</v>
      </c>
    </row>
    <row r="52" spans="1:14" x14ac:dyDescent="0.25">
      <c r="A52" s="55"/>
      <c r="D52" s="6"/>
      <c r="H52" s="21"/>
      <c r="I52" s="21"/>
      <c r="J52" s="21"/>
      <c r="K52" s="21"/>
      <c r="L52" s="21"/>
      <c r="M52" s="21"/>
    </row>
    <row r="53" spans="1:14" x14ac:dyDescent="0.25">
      <c r="A53" s="3"/>
      <c r="D53" s="6"/>
      <c r="E53" s="6"/>
      <c r="F53" s="6"/>
    </row>
    <row r="54" spans="1:14" x14ac:dyDescent="0.25">
      <c r="A54" t="s">
        <v>14</v>
      </c>
      <c r="D54" s="6"/>
      <c r="H54" s="21">
        <f t="shared" ref="H54:M54" si="11">H56</f>
        <v>1.0013908823078326</v>
      </c>
      <c r="I54" s="21">
        <f t="shared" si="11"/>
        <v>0.97746679668768788</v>
      </c>
      <c r="J54" s="21">
        <f t="shared" si="11"/>
        <v>0.98354286806190683</v>
      </c>
      <c r="K54" s="21">
        <f t="shared" si="11"/>
        <v>0.92487630166271229</v>
      </c>
      <c r="L54" s="21">
        <f t="shared" si="11"/>
        <v>1.0567710336663987</v>
      </c>
      <c r="M54" s="21">
        <f t="shared" si="11"/>
        <v>1.0061686224852391</v>
      </c>
    </row>
    <row r="55" spans="1:14" x14ac:dyDescent="0.25">
      <c r="A55" s="3"/>
      <c r="D55" s="6"/>
      <c r="H55" s="11"/>
      <c r="I55" s="11"/>
      <c r="L55" s="10"/>
      <c r="M55" s="10"/>
    </row>
    <row r="56" spans="1:14" x14ac:dyDescent="0.25">
      <c r="A56" t="s">
        <v>11</v>
      </c>
      <c r="D56" s="6"/>
      <c r="H56" s="21">
        <f t="shared" ref="H56:M56" si="12">GEOMEAN(H43:H51)</f>
        <v>1.0013908823078326</v>
      </c>
      <c r="I56" s="21">
        <f t="shared" si="12"/>
        <v>0.97746679668768788</v>
      </c>
      <c r="J56" s="21">
        <f t="shared" si="12"/>
        <v>0.98354286806190683</v>
      </c>
      <c r="K56" s="21">
        <f t="shared" si="12"/>
        <v>0.92487630166271229</v>
      </c>
      <c r="L56" s="21">
        <f t="shared" si="12"/>
        <v>1.0567710336663987</v>
      </c>
      <c r="M56" s="21">
        <f t="shared" si="12"/>
        <v>1.0061686224852391</v>
      </c>
    </row>
    <row r="57" spans="1:14" x14ac:dyDescent="0.25">
      <c r="D57" s="6"/>
      <c r="H57" s="21"/>
      <c r="I57" s="21"/>
      <c r="J57" s="21"/>
      <c r="K57" s="21"/>
      <c r="L57" s="21"/>
      <c r="M57" s="21"/>
    </row>
    <row r="58" spans="1:14" ht="13" x14ac:dyDescent="0.3">
      <c r="A58" s="15" t="s">
        <v>42</v>
      </c>
    </row>
    <row r="59" spans="1:14" x14ac:dyDescent="0.25">
      <c r="A59">
        <v>2021</v>
      </c>
      <c r="B59"/>
      <c r="C59"/>
      <c r="G59" s="28">
        <f>SUM(H59:M59)</f>
        <v>935078335.10817885</v>
      </c>
      <c r="H59" s="28">
        <f>H39*'Rate Class Customer Model'!B18</f>
        <v>318725609.53526515</v>
      </c>
      <c r="I59" s="28">
        <f>'Rate Class Customer Model'!C18*I39</f>
        <v>86003055.94591032</v>
      </c>
      <c r="J59" s="28">
        <f>'Rate Class Customer Model'!D18*J39</f>
        <v>521315476.69359136</v>
      </c>
      <c r="K59" s="28">
        <f>'Rate Class Customer Model'!E18*K39</f>
        <v>170250.23052332981</v>
      </c>
      <c r="L59" s="28">
        <f>'Rate Class Customer Model'!F18*L39</f>
        <v>7357574.9638242451</v>
      </c>
      <c r="M59" s="28">
        <f>'Rate Class Customer Model'!G18*M39</f>
        <v>1506367.7390644536</v>
      </c>
      <c r="N59" s="28"/>
    </row>
    <row r="60" spans="1:14" x14ac:dyDescent="0.25">
      <c r="A60">
        <v>2022</v>
      </c>
      <c r="G60" s="28">
        <f>SUM(H60:M60)</f>
        <v>937077355.78031194</v>
      </c>
      <c r="H60" s="28">
        <f>H40*'Rate Class Customer Model'!B19</f>
        <v>321704252.10129535</v>
      </c>
      <c r="I60" s="28">
        <f>I40*'Rate Class Customer Model'!C19</f>
        <v>84795248.518895879</v>
      </c>
      <c r="J60" s="28">
        <f>J40*'Rate Class Customer Model'!D19</f>
        <v>521145463.84129751</v>
      </c>
      <c r="K60" s="28">
        <f>K40*'Rate Class Customer Model'!E19</f>
        <v>154390.84699760258</v>
      </c>
      <c r="L60" s="28">
        <f>L40*'Rate Class Customer Model'!F19</f>
        <v>7775272.0997985639</v>
      </c>
      <c r="M60" s="28">
        <f>M40*'Rate Class Customer Model'!G19</f>
        <v>1502728.3720270565</v>
      </c>
      <c r="N60" s="28"/>
    </row>
    <row r="61" spans="1:14" x14ac:dyDescent="0.25">
      <c r="G61" s="28"/>
      <c r="H61" s="28"/>
      <c r="I61" s="28"/>
      <c r="J61" s="28"/>
      <c r="K61" s="28"/>
      <c r="L61" s="28"/>
      <c r="M61" s="28"/>
      <c r="N61" s="28"/>
    </row>
    <row r="62" spans="1:14" ht="13" x14ac:dyDescent="0.3">
      <c r="A62" s="15" t="s">
        <v>41</v>
      </c>
      <c r="G62" s="28"/>
      <c r="H62" s="28"/>
      <c r="I62" s="28"/>
      <c r="J62" s="28"/>
      <c r="K62" s="28"/>
      <c r="L62" s="28"/>
      <c r="M62" s="28"/>
      <c r="N62" s="28" t="s">
        <v>13</v>
      </c>
    </row>
    <row r="63" spans="1:14" x14ac:dyDescent="0.25">
      <c r="A63">
        <v>2021</v>
      </c>
      <c r="G63" s="43">
        <f>G18</f>
        <v>857658458.6916101</v>
      </c>
      <c r="H63" s="28">
        <f t="shared" ref="H63:M64" si="13">H59+H71</f>
        <v>281856414.84104896</v>
      </c>
      <c r="I63" s="28">
        <f t="shared" si="13"/>
        <v>76054487.901469886</v>
      </c>
      <c r="J63" s="28">
        <f t="shared" si="13"/>
        <v>490713363.01567924</v>
      </c>
      <c r="K63" s="28">
        <f t="shared" si="13"/>
        <v>170250.23052332981</v>
      </c>
      <c r="L63" s="28">
        <f t="shared" si="13"/>
        <v>7357574.9638242451</v>
      </c>
      <c r="M63" s="28">
        <f t="shared" si="13"/>
        <v>1506367.7390644536</v>
      </c>
      <c r="N63" s="28">
        <f>SUM(H63:M63)</f>
        <v>857658458.6916101</v>
      </c>
    </row>
    <row r="64" spans="1:14" x14ac:dyDescent="0.25">
      <c r="A64">
        <v>2022</v>
      </c>
      <c r="G64" s="43">
        <f>G19</f>
        <v>878272205.32241476</v>
      </c>
      <c r="H64" s="28">
        <f t="shared" si="13"/>
        <v>293509086.81476605</v>
      </c>
      <c r="I64" s="28">
        <f t="shared" si="13"/>
        <v>77363528.136319786</v>
      </c>
      <c r="J64" s="28">
        <f t="shared" si="13"/>
        <v>497967199.05250567</v>
      </c>
      <c r="K64" s="28">
        <f t="shared" si="13"/>
        <v>154390.84699760258</v>
      </c>
      <c r="L64" s="28">
        <f t="shared" si="13"/>
        <v>7775272.0997985639</v>
      </c>
      <c r="M64" s="28">
        <f t="shared" si="13"/>
        <v>1502728.3720270565</v>
      </c>
      <c r="N64" s="28">
        <f>SUM(H64:M64)</f>
        <v>878272205.32241476</v>
      </c>
    </row>
    <row r="65" spans="1:14" x14ac:dyDescent="0.25">
      <c r="G65" s="28"/>
      <c r="H65" s="28"/>
      <c r="I65" s="28"/>
      <c r="J65" s="28"/>
      <c r="K65" s="28"/>
      <c r="L65" s="28"/>
      <c r="M65" s="28"/>
      <c r="N65" s="28"/>
    </row>
    <row r="66" spans="1:14" x14ac:dyDescent="0.25">
      <c r="A66" s="39" t="s">
        <v>43</v>
      </c>
      <c r="G66" s="28"/>
      <c r="H66" s="44">
        <v>0.67</v>
      </c>
      <c r="I66" s="44">
        <v>0.67</v>
      </c>
      <c r="J66" s="44">
        <v>0.34</v>
      </c>
      <c r="K66" s="90">
        <v>0</v>
      </c>
      <c r="L66" s="44">
        <v>0</v>
      </c>
      <c r="M66" s="44">
        <v>0</v>
      </c>
      <c r="N66" s="28" t="s">
        <v>13</v>
      </c>
    </row>
    <row r="67" spans="1:14" x14ac:dyDescent="0.25">
      <c r="A67">
        <v>2021</v>
      </c>
      <c r="G67" s="28">
        <f>G63-G59</f>
        <v>-77419876.416568756</v>
      </c>
      <c r="H67" s="28">
        <f t="shared" ref="H67:M67" si="14">H59*H66</f>
        <v>213546158.38862765</v>
      </c>
      <c r="I67" s="28">
        <f t="shared" si="14"/>
        <v>57622047.483759917</v>
      </c>
      <c r="J67" s="28">
        <f t="shared" si="14"/>
        <v>177247262.07582107</v>
      </c>
      <c r="K67" s="28">
        <f t="shared" si="14"/>
        <v>0</v>
      </c>
      <c r="L67" s="28">
        <f t="shared" si="14"/>
        <v>0</v>
      </c>
      <c r="M67" s="28">
        <f t="shared" si="14"/>
        <v>0</v>
      </c>
      <c r="N67" s="28">
        <f>SUM(H67:M67)</f>
        <v>448415467.94820869</v>
      </c>
    </row>
    <row r="68" spans="1:14" x14ac:dyDescent="0.25">
      <c r="A68">
        <v>2022</v>
      </c>
      <c r="G68" s="28">
        <f>G64-G60</f>
        <v>-58805150.457897186</v>
      </c>
      <c r="H68" s="28">
        <f t="shared" ref="H68:M68" si="15">H60*H66</f>
        <v>215541848.90786791</v>
      </c>
      <c r="I68" s="28">
        <f t="shared" si="15"/>
        <v>56812816.50766024</v>
      </c>
      <c r="J68" s="28">
        <f t="shared" si="15"/>
        <v>177189457.70604116</v>
      </c>
      <c r="K68" s="28">
        <f t="shared" si="15"/>
        <v>0</v>
      </c>
      <c r="L68" s="28">
        <f t="shared" si="15"/>
        <v>0</v>
      </c>
      <c r="M68" s="28">
        <f t="shared" si="15"/>
        <v>0</v>
      </c>
      <c r="N68" s="28">
        <f>SUM(H68:M68)</f>
        <v>449544123.12156934</v>
      </c>
    </row>
    <row r="69" spans="1:14" ht="12" customHeight="1" x14ac:dyDescent="0.25">
      <c r="G69" s="28"/>
      <c r="H69" s="28"/>
      <c r="I69" s="28"/>
      <c r="J69" s="28"/>
      <c r="K69" s="28"/>
      <c r="L69" s="28"/>
      <c r="M69" s="28"/>
      <c r="N69" s="28"/>
    </row>
    <row r="70" spans="1:14" x14ac:dyDescent="0.25">
      <c r="A70" t="s">
        <v>44</v>
      </c>
      <c r="G70" s="28"/>
      <c r="H70" s="28"/>
      <c r="I70" s="28"/>
      <c r="J70" s="28"/>
      <c r="K70" s="28"/>
      <c r="L70" s="28"/>
      <c r="M70" s="28"/>
      <c r="N70" s="28"/>
    </row>
    <row r="71" spans="1:14" x14ac:dyDescent="0.25">
      <c r="A71">
        <v>2021</v>
      </c>
      <c r="G71" s="28"/>
      <c r="H71" s="28">
        <f t="shared" ref="H71:M71" si="16">H67/$N$67*$G$67</f>
        <v>-36869194.694216199</v>
      </c>
      <c r="I71" s="28">
        <f t="shared" si="16"/>
        <v>-9948568.0444404259</v>
      </c>
      <c r="J71" s="28">
        <f t="shared" si="16"/>
        <v>-30602113.67791212</v>
      </c>
      <c r="K71" s="28">
        <f t="shared" si="16"/>
        <v>0</v>
      </c>
      <c r="L71" s="28">
        <f t="shared" si="16"/>
        <v>0</v>
      </c>
      <c r="M71" s="28">
        <f t="shared" si="16"/>
        <v>0</v>
      </c>
      <c r="N71" s="28">
        <f>SUM(H71:M71)</f>
        <v>-77419876.416568741</v>
      </c>
    </row>
    <row r="72" spans="1:14" x14ac:dyDescent="0.25">
      <c r="A72">
        <v>2022</v>
      </c>
      <c r="H72" s="28">
        <f t="shared" ref="H72:M72" si="17">H68/$N$68*$G$68</f>
        <v>-28195165.286529277</v>
      </c>
      <c r="I72" s="28">
        <f t="shared" si="17"/>
        <v>-7431720.3825760977</v>
      </c>
      <c r="J72" s="28">
        <f t="shared" si="17"/>
        <v>-23178264.788791809</v>
      </c>
      <c r="K72" s="28">
        <f t="shared" si="17"/>
        <v>0</v>
      </c>
      <c r="L72" s="28">
        <f t="shared" si="17"/>
        <v>0</v>
      </c>
      <c r="M72" s="28">
        <f t="shared" si="17"/>
        <v>0</v>
      </c>
      <c r="N72" s="28">
        <f>SUM(H72:M72)</f>
        <v>-58805150.457897186</v>
      </c>
    </row>
    <row r="74" spans="1:14" x14ac:dyDescent="0.25">
      <c r="A74" s="12" t="s">
        <v>71</v>
      </c>
    </row>
    <row r="75" spans="1:14" x14ac:dyDescent="0.25">
      <c r="G75" s="58" t="s">
        <v>73</v>
      </c>
      <c r="H75" s="116">
        <v>5.410560600989428E-2</v>
      </c>
      <c r="I75" s="116">
        <v>5.1847756283270201E-2</v>
      </c>
      <c r="J75" s="116">
        <v>0.89404663770683557</v>
      </c>
      <c r="K75" s="57">
        <v>0</v>
      </c>
      <c r="L75" s="57">
        <v>0</v>
      </c>
      <c r="M75" s="57">
        <v>0</v>
      </c>
      <c r="N75" s="28">
        <v>1</v>
      </c>
    </row>
    <row r="76" spans="1:14" x14ac:dyDescent="0.25">
      <c r="A76">
        <v>2021</v>
      </c>
      <c r="G76" s="4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8">
        <v>0</v>
      </c>
    </row>
    <row r="77" spans="1:14" x14ac:dyDescent="0.25">
      <c r="A77">
        <v>2022</v>
      </c>
      <c r="G77" s="160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</row>
    <row r="79" spans="1:14" x14ac:dyDescent="0.25">
      <c r="A79" s="39" t="s">
        <v>132</v>
      </c>
      <c r="B79" s="19"/>
      <c r="C79" s="19"/>
      <c r="D79" s="19"/>
      <c r="E79" s="19"/>
      <c r="F79" s="19"/>
      <c r="G79" s="23"/>
      <c r="H79" s="23"/>
      <c r="I79" s="23"/>
      <c r="J79" s="23"/>
      <c r="K79" s="23"/>
      <c r="L79" s="23"/>
      <c r="M79" s="23"/>
    </row>
    <row r="80" spans="1:14" x14ac:dyDescent="0.25">
      <c r="A80" s="27">
        <v>2021</v>
      </c>
      <c r="B80" s="19"/>
      <c r="C80" s="19"/>
      <c r="D80" s="19"/>
      <c r="E80" s="19"/>
      <c r="F80" s="19"/>
      <c r="G80" s="23"/>
      <c r="H80" s="23"/>
      <c r="I80" s="23"/>
      <c r="J80" s="23"/>
      <c r="K80" s="23">
        <v>0</v>
      </c>
      <c r="L80" s="197"/>
      <c r="M80" s="23"/>
    </row>
    <row r="81" spans="1:14" x14ac:dyDescent="0.25">
      <c r="A81" s="27">
        <v>2022</v>
      </c>
      <c r="B81" s="19"/>
      <c r="C81" s="19"/>
      <c r="D81" s="19"/>
      <c r="E81" s="19"/>
      <c r="F81" s="19"/>
      <c r="G81" s="23"/>
      <c r="H81" s="23"/>
      <c r="I81" s="23"/>
      <c r="J81" s="23"/>
      <c r="K81" s="23">
        <v>0</v>
      </c>
      <c r="L81" s="23"/>
      <c r="M81" s="23"/>
    </row>
    <row r="82" spans="1:14" ht="13" x14ac:dyDescent="0.3">
      <c r="A82" s="236" t="s">
        <v>72</v>
      </c>
      <c r="B82" s="19"/>
      <c r="C82" s="19"/>
    </row>
    <row r="83" spans="1:14" x14ac:dyDescent="0.25">
      <c r="A83" s="27"/>
      <c r="B83" s="19"/>
      <c r="C83" s="19"/>
      <c r="G83" s="54"/>
    </row>
    <row r="84" spans="1:14" x14ac:dyDescent="0.25">
      <c r="A84" s="27">
        <v>2021</v>
      </c>
      <c r="B84" s="19"/>
      <c r="C84" s="19"/>
      <c r="G84" s="54">
        <f>G63+G76-K80</f>
        <v>857658458.6916101</v>
      </c>
      <c r="H84" s="6">
        <f t="shared" ref="H84:J85" si="18">H63+H76</f>
        <v>281856414.84104896</v>
      </c>
      <c r="I84" s="6">
        <f t="shared" si="18"/>
        <v>76054487.901469886</v>
      </c>
      <c r="J84" s="6">
        <f t="shared" si="18"/>
        <v>490713363.01567924</v>
      </c>
      <c r="K84" s="6">
        <f>K63+K76-K80</f>
        <v>170250.23052332981</v>
      </c>
      <c r="L84" s="6">
        <f>L63+L76</f>
        <v>7357574.9638242451</v>
      </c>
      <c r="M84" s="6">
        <f>M63+M76</f>
        <v>1506367.7390644536</v>
      </c>
      <c r="N84" s="28">
        <f>SUM(H84:M84)</f>
        <v>857658458.6916101</v>
      </c>
    </row>
    <row r="85" spans="1:14" x14ac:dyDescent="0.25">
      <c r="A85" s="27">
        <v>2022</v>
      </c>
      <c r="B85" s="19"/>
      <c r="C85" s="19"/>
      <c r="G85" s="54">
        <f>G64+G77-K81</f>
        <v>878272205.32241476</v>
      </c>
      <c r="H85" s="6">
        <f>H64+H77</f>
        <v>293509086.81476605</v>
      </c>
      <c r="I85" s="6">
        <f t="shared" si="18"/>
        <v>77363528.136319786</v>
      </c>
      <c r="J85" s="6">
        <f t="shared" si="18"/>
        <v>497967199.05250567</v>
      </c>
      <c r="K85" s="6">
        <f>K64+K77-K81</f>
        <v>154390.84699760258</v>
      </c>
      <c r="L85" s="6">
        <f>L64+L77</f>
        <v>7775272.0997985639</v>
      </c>
      <c r="M85" s="6">
        <f>M64+M77</f>
        <v>1502728.3720270565</v>
      </c>
      <c r="N85" s="28">
        <f>SUM(H85:M85)</f>
        <v>878272205.32241476</v>
      </c>
    </row>
    <row r="86" spans="1:14" x14ac:dyDescent="0.25">
      <c r="A86" s="27"/>
      <c r="B86" s="19"/>
      <c r="C86" s="19"/>
      <c r="G86" s="23"/>
    </row>
    <row r="87" spans="1:14" x14ac:dyDescent="0.25">
      <c r="A87" s="39"/>
      <c r="B87" s="19"/>
      <c r="C87" s="19"/>
      <c r="G87" s="106"/>
    </row>
  </sheetData>
  <phoneticPr fontId="0" type="noConversion"/>
  <pageMargins left="0.38" right="0.75" top="0.73" bottom="0.74" header="0.5" footer="0.5"/>
  <pageSetup scale="41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  <pageSetUpPr fitToPage="1"/>
  </sheetPr>
  <dimension ref="A1:M95"/>
  <sheetViews>
    <sheetView view="pageBreakPreview" zoomScale="60" zoomScaleNormal="100" workbookViewId="0">
      <selection activeCell="H19" sqref="H19"/>
    </sheetView>
  </sheetViews>
  <sheetFormatPr defaultRowHeight="12.5" x14ac:dyDescent="0.25"/>
  <cols>
    <col min="1" max="1" width="11" customWidth="1"/>
    <col min="2" max="2" width="15" style="6" customWidth="1"/>
    <col min="3" max="4" width="14.1796875" style="6" bestFit="1" customWidth="1"/>
    <col min="5" max="5" width="14.1796875" style="6" customWidth="1"/>
    <col min="6" max="6" width="17.54296875" style="6" customWidth="1"/>
    <col min="7" max="7" width="12.54296875" style="6" customWidth="1"/>
    <col min="8" max="9" width="12.54296875" style="6" bestFit="1" customWidth="1"/>
    <col min="10" max="10" width="11.54296875" style="6" bestFit="1" customWidth="1"/>
    <col min="11" max="11" width="10.54296875" style="6" bestFit="1" customWidth="1"/>
    <col min="12" max="13" width="9.1796875" style="6" customWidth="1"/>
  </cols>
  <sheetData>
    <row r="1" spans="1:13" x14ac:dyDescent="0.25">
      <c r="A1" s="100" t="s">
        <v>163</v>
      </c>
    </row>
    <row r="2" spans="1:13" ht="42" customHeight="1" x14ac:dyDescent="0.25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 (excl. WMP)</v>
      </c>
      <c r="E2" s="9" t="str">
        <f>'Rate Class Energy Model'!K2</f>
        <v>Sentinels</v>
      </c>
      <c r="F2" s="9" t="str">
        <f>'Rate Class Energy Model'!L2</f>
        <v>Streetlights</v>
      </c>
      <c r="G2" s="9" t="str">
        <f>'Rate Class Energy Model'!M2</f>
        <v>USL</v>
      </c>
      <c r="H2" s="6" t="s">
        <v>9</v>
      </c>
    </row>
    <row r="3" spans="1:13" x14ac:dyDescent="0.25">
      <c r="A3" s="4">
        <v>2006</v>
      </c>
      <c r="B3" s="31">
        <v>32800</v>
      </c>
      <c r="C3" s="31">
        <v>2546</v>
      </c>
      <c r="D3" s="31">
        <v>398.5</v>
      </c>
      <c r="E3" s="42">
        <v>276.5</v>
      </c>
      <c r="F3" s="31">
        <v>9366</v>
      </c>
      <c r="G3" s="31">
        <v>455.5</v>
      </c>
      <c r="H3" s="30">
        <f t="shared" ref="H3:H18" si="0">SUM(B3:G3)</f>
        <v>45842.5</v>
      </c>
      <c r="K3"/>
    </row>
    <row r="4" spans="1:13" x14ac:dyDescent="0.25">
      <c r="A4" s="4">
        <v>2007</v>
      </c>
      <c r="B4" s="31">
        <v>33263.5</v>
      </c>
      <c r="C4" s="31">
        <v>2640</v>
      </c>
      <c r="D4" s="31">
        <v>409</v>
      </c>
      <c r="E4" s="42">
        <v>569</v>
      </c>
      <c r="F4" s="31">
        <v>9602</v>
      </c>
      <c r="G4" s="31">
        <v>439</v>
      </c>
      <c r="H4" s="30">
        <f t="shared" si="0"/>
        <v>46922.5</v>
      </c>
      <c r="K4"/>
    </row>
    <row r="5" spans="1:13" x14ac:dyDescent="0.25">
      <c r="A5" s="4">
        <v>2008</v>
      </c>
      <c r="B5" s="31">
        <v>33683.5</v>
      </c>
      <c r="C5" s="31">
        <v>2702</v>
      </c>
      <c r="D5" s="31">
        <v>407</v>
      </c>
      <c r="E5" s="42">
        <v>585</v>
      </c>
      <c r="F5" s="31">
        <v>9740</v>
      </c>
      <c r="G5" s="31">
        <v>442</v>
      </c>
      <c r="H5" s="30">
        <f t="shared" si="0"/>
        <v>47559.5</v>
      </c>
      <c r="K5"/>
    </row>
    <row r="6" spans="1:13" x14ac:dyDescent="0.25">
      <c r="A6" s="4">
        <v>2009</v>
      </c>
      <c r="B6" s="31">
        <v>33947</v>
      </c>
      <c r="C6" s="31">
        <v>2703.5</v>
      </c>
      <c r="D6" s="31">
        <v>408.5</v>
      </c>
      <c r="E6" s="42">
        <v>590</v>
      </c>
      <c r="F6" s="31">
        <v>9852</v>
      </c>
      <c r="G6" s="31">
        <v>444</v>
      </c>
      <c r="H6" s="30">
        <f t="shared" si="0"/>
        <v>47945</v>
      </c>
      <c r="K6"/>
    </row>
    <row r="7" spans="1:13" x14ac:dyDescent="0.25">
      <c r="A7" s="4">
        <v>2010</v>
      </c>
      <c r="B7" s="31">
        <v>34256</v>
      </c>
      <c r="C7" s="31">
        <v>2687.5</v>
      </c>
      <c r="D7" s="31">
        <v>417</v>
      </c>
      <c r="E7" s="42">
        <v>602.5</v>
      </c>
      <c r="F7" s="31">
        <v>9953</v>
      </c>
      <c r="G7" s="31">
        <v>445.5</v>
      </c>
      <c r="H7" s="30">
        <f t="shared" si="0"/>
        <v>48361.5</v>
      </c>
    </row>
    <row r="8" spans="1:13" x14ac:dyDescent="0.25">
      <c r="A8" s="4">
        <v>2011</v>
      </c>
      <c r="B8" s="31">
        <v>34643</v>
      </c>
      <c r="C8" s="31">
        <v>2709</v>
      </c>
      <c r="D8" s="31">
        <v>421</v>
      </c>
      <c r="E8" s="42">
        <v>620.5</v>
      </c>
      <c r="F8" s="31">
        <v>9988</v>
      </c>
      <c r="G8" s="31">
        <v>445.5</v>
      </c>
      <c r="H8" s="30">
        <f t="shared" si="0"/>
        <v>48827</v>
      </c>
      <c r="K8"/>
    </row>
    <row r="9" spans="1:13" s="27" customFormat="1" x14ac:dyDescent="0.25">
      <c r="A9" s="60">
        <v>2012</v>
      </c>
      <c r="B9" s="31">
        <v>34938</v>
      </c>
      <c r="C9" s="31">
        <v>2728</v>
      </c>
      <c r="D9" s="31">
        <v>419</v>
      </c>
      <c r="E9" s="42">
        <v>625</v>
      </c>
      <c r="F9" s="31">
        <v>10134</v>
      </c>
      <c r="G9" s="31">
        <v>442.5</v>
      </c>
      <c r="H9" s="30">
        <f t="shared" si="0"/>
        <v>49286.5</v>
      </c>
      <c r="I9" s="23"/>
      <c r="J9" s="23"/>
      <c r="K9" s="6"/>
      <c r="L9" s="23"/>
      <c r="M9" s="23"/>
    </row>
    <row r="10" spans="1:13" s="27" customFormat="1" x14ac:dyDescent="0.25">
      <c r="A10" s="60">
        <v>2013</v>
      </c>
      <c r="B10" s="31">
        <v>35225.5</v>
      </c>
      <c r="C10" s="31">
        <v>2748.5</v>
      </c>
      <c r="D10" s="31">
        <v>423.5</v>
      </c>
      <c r="E10" s="42">
        <v>624.5</v>
      </c>
      <c r="F10" s="31">
        <v>10231.5</v>
      </c>
      <c r="G10" s="31">
        <v>437.5</v>
      </c>
      <c r="H10" s="30">
        <f t="shared" si="0"/>
        <v>49691</v>
      </c>
      <c r="I10" s="23"/>
      <c r="J10" s="23"/>
      <c r="K10"/>
      <c r="L10" s="23"/>
      <c r="M10" s="23"/>
    </row>
    <row r="11" spans="1:13" s="27" customFormat="1" x14ac:dyDescent="0.25">
      <c r="A11" s="60">
        <v>2014</v>
      </c>
      <c r="B11" s="31">
        <v>35479</v>
      </c>
      <c r="C11" s="31">
        <v>2771.5</v>
      </c>
      <c r="D11" s="31">
        <v>432</v>
      </c>
      <c r="E11" s="42">
        <v>621.5</v>
      </c>
      <c r="F11" s="31">
        <v>10392</v>
      </c>
      <c r="G11" s="31">
        <v>434</v>
      </c>
      <c r="H11" s="30">
        <f t="shared" si="0"/>
        <v>50130</v>
      </c>
      <c r="I11" s="23"/>
      <c r="J11" s="23"/>
      <c r="K11" s="6"/>
      <c r="L11" s="6"/>
      <c r="M11" s="23"/>
    </row>
    <row r="12" spans="1:13" s="27" customFormat="1" x14ac:dyDescent="0.25">
      <c r="A12" s="60">
        <v>2015</v>
      </c>
      <c r="B12" s="31">
        <v>35743.5</v>
      </c>
      <c r="C12" s="31">
        <v>2784</v>
      </c>
      <c r="D12" s="31">
        <v>437.5</v>
      </c>
      <c r="E12" s="42">
        <v>618.5</v>
      </c>
      <c r="F12" s="31">
        <v>10631.5</v>
      </c>
      <c r="G12" s="31">
        <v>430.5</v>
      </c>
      <c r="H12" s="30">
        <f t="shared" si="0"/>
        <v>50645.5</v>
      </c>
      <c r="I12" s="23"/>
      <c r="J12" s="23"/>
      <c r="K12"/>
      <c r="L12" s="23"/>
      <c r="M12" s="23"/>
    </row>
    <row r="13" spans="1:13" s="27" customFormat="1" x14ac:dyDescent="0.25">
      <c r="A13" s="60">
        <v>2016</v>
      </c>
      <c r="B13" s="31">
        <v>36042.75</v>
      </c>
      <c r="C13" s="31">
        <v>2792.25</v>
      </c>
      <c r="D13" s="31">
        <v>452</v>
      </c>
      <c r="E13" s="42">
        <v>551.25</v>
      </c>
      <c r="F13" s="31">
        <v>10228.5</v>
      </c>
      <c r="G13" s="31">
        <v>426.75</v>
      </c>
      <c r="H13" s="30">
        <f t="shared" si="0"/>
        <v>50493.5</v>
      </c>
      <c r="I13" s="23"/>
      <c r="J13" s="23"/>
      <c r="K13" s="6"/>
      <c r="L13" s="23"/>
      <c r="M13" s="23"/>
    </row>
    <row r="14" spans="1:13" s="27" customFormat="1" x14ac:dyDescent="0.25">
      <c r="A14" s="60">
        <v>2017</v>
      </c>
      <c r="B14" s="31">
        <v>36240.75</v>
      </c>
      <c r="C14" s="31">
        <v>2797.75</v>
      </c>
      <c r="D14" s="31">
        <v>456.75</v>
      </c>
      <c r="E14" s="42">
        <v>511.5</v>
      </c>
      <c r="F14" s="31">
        <v>5769</v>
      </c>
      <c r="G14" s="31">
        <v>424.75</v>
      </c>
      <c r="H14" s="30">
        <f t="shared" si="0"/>
        <v>46200.5</v>
      </c>
      <c r="I14" s="23"/>
      <c r="J14" s="23"/>
      <c r="K14"/>
      <c r="L14" s="6"/>
      <c r="M14" s="23"/>
    </row>
    <row r="15" spans="1:13" s="27" customFormat="1" x14ac:dyDescent="0.25">
      <c r="A15" s="60">
        <v>2018</v>
      </c>
      <c r="B15" s="31">
        <v>36520.5</v>
      </c>
      <c r="C15" s="31">
        <v>2804</v>
      </c>
      <c r="D15" s="31">
        <v>483.25</v>
      </c>
      <c r="E15" s="42">
        <v>506.5</v>
      </c>
      <c r="F15" s="31">
        <v>5771</v>
      </c>
      <c r="G15" s="31">
        <v>420.25</v>
      </c>
      <c r="H15" s="30">
        <f t="shared" si="0"/>
        <v>46505.5</v>
      </c>
      <c r="I15" s="23"/>
      <c r="J15" s="23"/>
      <c r="K15" s="6"/>
      <c r="L15" s="23"/>
      <c r="M15" s="23"/>
    </row>
    <row r="16" spans="1:13" s="27" customFormat="1" x14ac:dyDescent="0.25">
      <c r="A16" s="60">
        <v>2019</v>
      </c>
      <c r="B16" s="31">
        <v>36732.5</v>
      </c>
      <c r="C16" s="31">
        <v>2834</v>
      </c>
      <c r="D16" s="31">
        <v>488.75</v>
      </c>
      <c r="E16" s="42">
        <v>501.25</v>
      </c>
      <c r="F16" s="31">
        <v>5771</v>
      </c>
      <c r="G16" s="31">
        <v>408</v>
      </c>
      <c r="H16" s="30">
        <f t="shared" si="0"/>
        <v>46735.5</v>
      </c>
      <c r="I16" s="23"/>
      <c r="J16" s="23"/>
      <c r="K16"/>
      <c r="L16" s="23"/>
      <c r="M16" s="23"/>
    </row>
    <row r="17" spans="1:13" s="27" customFormat="1" x14ac:dyDescent="0.25">
      <c r="A17" s="60">
        <v>2020</v>
      </c>
      <c r="B17" s="31">
        <v>37076.5</v>
      </c>
      <c r="C17" s="31">
        <v>2930.25</v>
      </c>
      <c r="D17" s="31">
        <v>490.66666666666669</v>
      </c>
      <c r="E17" s="42">
        <v>494.83333333333331</v>
      </c>
      <c r="F17" s="31">
        <v>5771</v>
      </c>
      <c r="G17" s="31">
        <v>408.91666666666669</v>
      </c>
      <c r="H17" s="30">
        <f t="shared" si="0"/>
        <v>47172.166666666664</v>
      </c>
      <c r="I17" s="23"/>
      <c r="J17" s="23"/>
      <c r="K17" s="6"/>
      <c r="L17" s="6"/>
      <c r="M17" s="23"/>
    </row>
    <row r="18" spans="1:13" x14ac:dyDescent="0.25">
      <c r="A18" s="4">
        <v>2021</v>
      </c>
      <c r="B18" s="56">
        <f>B17*B39</f>
        <v>37371.01885563018</v>
      </c>
      <c r="C18" s="56">
        <f>C17*C39</f>
        <v>2955.6996133950884</v>
      </c>
      <c r="D18" s="56">
        <f>D17*D39</f>
        <v>498.71405204334792</v>
      </c>
      <c r="E18" s="56">
        <f>E17*E39</f>
        <v>485.18697861143431</v>
      </c>
      <c r="F18" s="164">
        <f>F17</f>
        <v>5771</v>
      </c>
      <c r="G18" s="56">
        <f>G17*G39</f>
        <v>405.42779769982849</v>
      </c>
      <c r="H18" s="56">
        <f t="shared" si="0"/>
        <v>47487.047297379875</v>
      </c>
    </row>
    <row r="19" spans="1:13" x14ac:dyDescent="0.25">
      <c r="A19" s="4">
        <v>2022</v>
      </c>
      <c r="B19" s="56">
        <f>B18*B39</f>
        <v>37667.87723511838</v>
      </c>
      <c r="C19" s="56">
        <f>C18*C39</f>
        <v>2981.3702600883457</v>
      </c>
      <c r="D19" s="56">
        <f>D18*D39</f>
        <v>506.89342195413406</v>
      </c>
      <c r="E19" s="56">
        <f>E18*E39</f>
        <v>475.72867136562968</v>
      </c>
      <c r="F19" s="164">
        <f>F18</f>
        <v>5771</v>
      </c>
      <c r="G19" s="56">
        <f>G18*G39</f>
        <v>401.96869569447659</v>
      </c>
      <c r="H19" s="56">
        <f>SUM(B19:G19)</f>
        <v>47804.838284220968</v>
      </c>
    </row>
    <row r="20" spans="1:13" ht="13" x14ac:dyDescent="0.3">
      <c r="A20" s="16"/>
    </row>
    <row r="21" spans="1:13" ht="13" x14ac:dyDescent="0.3">
      <c r="A21" s="15" t="s">
        <v>39</v>
      </c>
      <c r="B21" s="5"/>
      <c r="C21" s="5"/>
      <c r="D21" s="5"/>
      <c r="E21" s="5"/>
      <c r="F21" s="5"/>
      <c r="G21" s="5"/>
    </row>
    <row r="22" spans="1:13" x14ac:dyDescent="0.25">
      <c r="A22" s="4">
        <v>2006</v>
      </c>
      <c r="B22" s="20"/>
      <c r="C22" s="20"/>
      <c r="D22" s="20"/>
      <c r="E22" s="20"/>
      <c r="F22" s="20"/>
      <c r="G22" s="20"/>
    </row>
    <row r="23" spans="1:13" x14ac:dyDescent="0.25">
      <c r="A23" s="4">
        <v>2007</v>
      </c>
      <c r="B23" s="20">
        <f t="shared" ref="B23:D31" si="1">B4/B3</f>
        <v>1.0141310975609756</v>
      </c>
      <c r="C23" s="20">
        <f t="shared" si="1"/>
        <v>1.0369206598586018</v>
      </c>
      <c r="D23" s="20">
        <f t="shared" si="1"/>
        <v>1.0263488080301129</v>
      </c>
      <c r="E23" s="20"/>
      <c r="F23" s="20">
        <f t="shared" ref="F23:G31" si="2">F4/F3</f>
        <v>1.0251975229553705</v>
      </c>
      <c r="G23" s="20">
        <f t="shared" si="2"/>
        <v>0.96377607025246981</v>
      </c>
    </row>
    <row r="24" spans="1:13" x14ac:dyDescent="0.25">
      <c r="A24" s="4">
        <v>2008</v>
      </c>
      <c r="B24" s="20">
        <f t="shared" si="1"/>
        <v>1.0126264524178152</v>
      </c>
      <c r="C24" s="20">
        <f t="shared" si="1"/>
        <v>1.0234848484848484</v>
      </c>
      <c r="D24" s="20">
        <f t="shared" si="1"/>
        <v>0.99511002444987773</v>
      </c>
      <c r="E24" s="20">
        <f t="shared" ref="E24:E31" si="3">E5/E4</f>
        <v>1.0281195079086116</v>
      </c>
      <c r="F24" s="20">
        <f t="shared" si="2"/>
        <v>1.0143720058321184</v>
      </c>
      <c r="G24" s="20">
        <f t="shared" si="2"/>
        <v>1.0068337129840548</v>
      </c>
    </row>
    <row r="25" spans="1:13" x14ac:dyDescent="0.25">
      <c r="A25" s="4">
        <v>2009</v>
      </c>
      <c r="B25" s="20">
        <f t="shared" si="1"/>
        <v>1.0078228212626361</v>
      </c>
      <c r="C25" s="20">
        <f t="shared" si="1"/>
        <v>1.0005551443375278</v>
      </c>
      <c r="D25" s="20">
        <f t="shared" si="1"/>
        <v>1.0036855036855037</v>
      </c>
      <c r="E25" s="20">
        <f t="shared" si="3"/>
        <v>1.0085470085470085</v>
      </c>
      <c r="F25" s="20">
        <f t="shared" si="2"/>
        <v>1.0114989733059547</v>
      </c>
      <c r="G25" s="20">
        <f t="shared" si="2"/>
        <v>1.004524886877828</v>
      </c>
    </row>
    <row r="26" spans="1:13" x14ac:dyDescent="0.25">
      <c r="A26" s="4">
        <v>2010</v>
      </c>
      <c r="B26" s="20">
        <f t="shared" si="1"/>
        <v>1.0091024243673963</v>
      </c>
      <c r="C26" s="20">
        <f t="shared" si="1"/>
        <v>0.9940817458849639</v>
      </c>
      <c r="D26" s="20">
        <f t="shared" si="1"/>
        <v>1.0208078335373316</v>
      </c>
      <c r="E26" s="20">
        <f t="shared" si="3"/>
        <v>1.021186440677966</v>
      </c>
      <c r="F26" s="20">
        <f t="shared" si="2"/>
        <v>1.0102517255379619</v>
      </c>
      <c r="G26" s="20">
        <f t="shared" si="2"/>
        <v>1.0033783783783783</v>
      </c>
    </row>
    <row r="27" spans="1:13" x14ac:dyDescent="0.25">
      <c r="A27" s="4">
        <v>2011</v>
      </c>
      <c r="B27" s="20">
        <f t="shared" si="1"/>
        <v>1.0112972909855207</v>
      </c>
      <c r="C27" s="20">
        <f t="shared" si="1"/>
        <v>1.008</v>
      </c>
      <c r="D27" s="20">
        <f t="shared" si="1"/>
        <v>1.0095923261390887</v>
      </c>
      <c r="E27" s="20">
        <f t="shared" si="3"/>
        <v>1.0298755186721991</v>
      </c>
      <c r="F27" s="20">
        <f t="shared" si="2"/>
        <v>1.0035165276800964</v>
      </c>
      <c r="G27" s="20">
        <f t="shared" si="2"/>
        <v>1</v>
      </c>
    </row>
    <row r="28" spans="1:13" x14ac:dyDescent="0.25">
      <c r="A28" s="4">
        <v>2012</v>
      </c>
      <c r="B28" s="20">
        <f t="shared" si="1"/>
        <v>1.0085154288023555</v>
      </c>
      <c r="C28" s="20">
        <f t="shared" si="1"/>
        <v>1.0070136581764488</v>
      </c>
      <c r="D28" s="20">
        <f t="shared" si="1"/>
        <v>0.99524940617577196</v>
      </c>
      <c r="E28" s="20">
        <f t="shared" si="3"/>
        <v>1.0072522159548751</v>
      </c>
      <c r="F28" s="20">
        <f t="shared" si="2"/>
        <v>1.0146175410492591</v>
      </c>
      <c r="G28" s="20">
        <f t="shared" si="2"/>
        <v>0.9932659932659933</v>
      </c>
    </row>
    <row r="29" spans="1:13" x14ac:dyDescent="0.25">
      <c r="A29" s="4">
        <v>2013</v>
      </c>
      <c r="B29" s="20">
        <f t="shared" si="1"/>
        <v>1.0082288625565288</v>
      </c>
      <c r="C29" s="20">
        <f t="shared" si="1"/>
        <v>1.0075146627565983</v>
      </c>
      <c r="D29" s="20">
        <f t="shared" si="1"/>
        <v>1.0107398568019093</v>
      </c>
      <c r="E29" s="20">
        <f t="shared" si="3"/>
        <v>0.99919999999999998</v>
      </c>
      <c r="F29" s="20">
        <f t="shared" si="2"/>
        <v>1.0096210775606869</v>
      </c>
      <c r="G29" s="20">
        <f t="shared" si="2"/>
        <v>0.98870056497175141</v>
      </c>
    </row>
    <row r="30" spans="1:13" x14ac:dyDescent="0.25">
      <c r="A30" s="4">
        <v>2014</v>
      </c>
      <c r="B30" s="20">
        <f t="shared" si="1"/>
        <v>1.0071964911782658</v>
      </c>
      <c r="C30" s="20">
        <f t="shared" si="1"/>
        <v>1.00836820083682</v>
      </c>
      <c r="D30" s="20">
        <f t="shared" si="1"/>
        <v>1.0200708382526564</v>
      </c>
      <c r="E30" s="20">
        <f t="shared" si="3"/>
        <v>0.99519615692554042</v>
      </c>
      <c r="F30" s="20">
        <f t="shared" si="2"/>
        <v>1.0156868494355666</v>
      </c>
      <c r="G30" s="20">
        <f t="shared" si="2"/>
        <v>0.99199999999999999</v>
      </c>
    </row>
    <row r="31" spans="1:13" x14ac:dyDescent="0.25">
      <c r="A31" s="4">
        <v>2015</v>
      </c>
      <c r="B31" s="20">
        <f t="shared" si="1"/>
        <v>1.007455114292962</v>
      </c>
      <c r="C31" s="20">
        <f t="shared" si="1"/>
        <v>1.0045101930362619</v>
      </c>
      <c r="D31" s="20">
        <f t="shared" si="1"/>
        <v>1.0127314814814814</v>
      </c>
      <c r="E31" s="20">
        <f t="shared" si="3"/>
        <v>0.99517296862429605</v>
      </c>
      <c r="F31" s="20">
        <f t="shared" si="2"/>
        <v>1.0230465742879138</v>
      </c>
      <c r="G31" s="20">
        <f t="shared" si="2"/>
        <v>0.99193548387096775</v>
      </c>
    </row>
    <row r="32" spans="1:13" x14ac:dyDescent="0.25">
      <c r="A32" s="4">
        <v>2016</v>
      </c>
      <c r="B32" s="20">
        <f t="shared" ref="B32:G32" si="4">B13/B12</f>
        <v>1.0083721515800075</v>
      </c>
      <c r="C32" s="20">
        <f t="shared" si="4"/>
        <v>1.0029633620689655</v>
      </c>
      <c r="D32" s="20">
        <f t="shared" si="4"/>
        <v>1.0331428571428571</v>
      </c>
      <c r="E32" s="20">
        <f t="shared" si="4"/>
        <v>0.89126919967663698</v>
      </c>
      <c r="F32" s="20">
        <f t="shared" si="4"/>
        <v>0.96209377792409345</v>
      </c>
      <c r="G32" s="20">
        <f t="shared" si="4"/>
        <v>0.99128919860627174</v>
      </c>
    </row>
    <row r="33" spans="1:7" x14ac:dyDescent="0.25">
      <c r="A33" s="4">
        <v>2017</v>
      </c>
      <c r="B33" s="20">
        <f t="shared" ref="B33:G33" si="5">B14/B13</f>
        <v>1.0054934764966603</v>
      </c>
      <c r="C33" s="20">
        <f t="shared" si="5"/>
        <v>1.0019697376667562</v>
      </c>
      <c r="D33" s="20">
        <f t="shared" si="5"/>
        <v>1.0105088495575221</v>
      </c>
      <c r="E33" s="20">
        <f t="shared" si="5"/>
        <v>0.92789115646258502</v>
      </c>
      <c r="F33" s="20">
        <f t="shared" si="5"/>
        <v>0.56401231852177736</v>
      </c>
      <c r="G33" s="20">
        <f t="shared" si="5"/>
        <v>0.99531341534856477</v>
      </c>
    </row>
    <row r="34" spans="1:7" x14ac:dyDescent="0.25">
      <c r="A34" s="4">
        <v>2018</v>
      </c>
      <c r="B34" s="20">
        <f t="shared" ref="B34:G34" si="6">B15/B14</f>
        <v>1.0077192111090416</v>
      </c>
      <c r="C34" s="20">
        <f t="shared" si="6"/>
        <v>1.0022339379858816</v>
      </c>
      <c r="D34" s="20">
        <f t="shared" si="6"/>
        <v>1.0580186097427478</v>
      </c>
      <c r="E34" s="20">
        <f t="shared" si="6"/>
        <v>0.99022482893450636</v>
      </c>
      <c r="F34" s="20">
        <f t="shared" si="6"/>
        <v>1.0003466805338881</v>
      </c>
      <c r="G34" s="20">
        <f t="shared" si="6"/>
        <v>0.98940553266627429</v>
      </c>
    </row>
    <row r="35" spans="1:7" x14ac:dyDescent="0.25">
      <c r="A35" s="4">
        <v>2019</v>
      </c>
      <c r="B35" s="20">
        <f t="shared" ref="B35:G36" si="7">B16/B15</f>
        <v>1.0058049588587232</v>
      </c>
      <c r="C35" s="20">
        <f t="shared" si="7"/>
        <v>1.0106990014265336</v>
      </c>
      <c r="D35" s="20">
        <f t="shared" si="7"/>
        <v>1.0113812726332125</v>
      </c>
      <c r="E35" s="20">
        <f t="shared" si="7"/>
        <v>0.98963474827245801</v>
      </c>
      <c r="F35" s="20">
        <f t="shared" si="7"/>
        <v>1</v>
      </c>
      <c r="G35" s="20">
        <f t="shared" si="7"/>
        <v>0.97085068411659725</v>
      </c>
    </row>
    <row r="36" spans="1:7" x14ac:dyDescent="0.25">
      <c r="A36" s="4">
        <v>2020</v>
      </c>
      <c r="B36" s="20">
        <f t="shared" si="7"/>
        <v>1.0093650037432791</v>
      </c>
      <c r="C36" s="20">
        <f t="shared" si="7"/>
        <v>1.0339625970359916</v>
      </c>
      <c r="D36" s="20">
        <f t="shared" si="7"/>
        <v>1.003921568627451</v>
      </c>
      <c r="E36" s="20">
        <f t="shared" si="7"/>
        <v>0.98719866999168737</v>
      </c>
      <c r="F36" s="20">
        <f t="shared" si="7"/>
        <v>1</v>
      </c>
      <c r="G36" s="20">
        <f t="shared" si="7"/>
        <v>1.0022467320261439</v>
      </c>
    </row>
    <row r="37" spans="1:7" x14ac:dyDescent="0.25">
      <c r="A37" s="4"/>
      <c r="B37" s="20"/>
      <c r="C37" s="20"/>
      <c r="D37" s="20"/>
      <c r="E37" s="20"/>
      <c r="F37" s="20"/>
      <c r="G37" s="20"/>
    </row>
    <row r="39" spans="1:7" x14ac:dyDescent="0.25">
      <c r="A39" t="s">
        <v>54</v>
      </c>
      <c r="B39" s="21">
        <f t="shared" ref="B39:G39" si="8">B41</f>
        <v>1.0079435452545462</v>
      </c>
      <c r="C39" s="21">
        <f t="shared" si="8"/>
        <v>1.0086851338264955</v>
      </c>
      <c r="D39" s="21">
        <f t="shared" si="8"/>
        <v>1.0164009212839971</v>
      </c>
      <c r="E39" s="21">
        <f t="shared" si="8"/>
        <v>0.98050585101670795</v>
      </c>
      <c r="F39" s="199">
        <v>1</v>
      </c>
      <c r="G39" s="21">
        <f t="shared" si="8"/>
        <v>0.9914680196449851</v>
      </c>
    </row>
    <row r="40" spans="1:7" x14ac:dyDescent="0.25">
      <c r="B40" s="21"/>
      <c r="C40" s="21"/>
      <c r="D40" s="21"/>
      <c r="E40" s="21"/>
      <c r="F40" s="21"/>
      <c r="G40" s="21"/>
    </row>
    <row r="41" spans="1:7" x14ac:dyDescent="0.25">
      <c r="A41" t="s">
        <v>11</v>
      </c>
      <c r="B41" s="21">
        <f t="shared" ref="B41:G41" si="9">GEOMEAN(B27:B36)</f>
        <v>1.0079435452545462</v>
      </c>
      <c r="C41" s="21">
        <f t="shared" si="9"/>
        <v>1.0086851338264955</v>
      </c>
      <c r="D41" s="21">
        <f t="shared" si="9"/>
        <v>1.0164009212839971</v>
      </c>
      <c r="E41" s="21">
        <f t="shared" si="9"/>
        <v>0.98050585101670795</v>
      </c>
      <c r="F41" s="21">
        <f t="shared" si="9"/>
        <v>0.94695579700595467</v>
      </c>
      <c r="G41" s="21">
        <f t="shared" si="9"/>
        <v>0.9914680196449851</v>
      </c>
    </row>
    <row r="42" spans="1:7" x14ac:dyDescent="0.25">
      <c r="A42" s="4"/>
      <c r="B42" s="21"/>
      <c r="C42" s="21"/>
      <c r="D42" s="21"/>
      <c r="E42" s="21"/>
      <c r="F42" s="21"/>
      <c r="G42" s="21"/>
    </row>
    <row r="43" spans="1:7" x14ac:dyDescent="0.25">
      <c r="A43" s="4"/>
      <c r="B43" s="21"/>
      <c r="C43" s="21"/>
      <c r="D43" s="21"/>
      <c r="E43" s="21"/>
      <c r="F43" s="21"/>
      <c r="G43" s="21"/>
    </row>
    <row r="44" spans="1:7" x14ac:dyDescent="0.25">
      <c r="A44" s="4"/>
      <c r="B44" s="21"/>
      <c r="C44" s="21"/>
      <c r="D44" s="21"/>
      <c r="E44" s="21"/>
      <c r="F44" s="21"/>
      <c r="G44" s="21"/>
    </row>
    <row r="45" spans="1:7" x14ac:dyDescent="0.25">
      <c r="A45" s="4"/>
      <c r="B45" s="21"/>
      <c r="C45" s="21"/>
      <c r="D45" s="21"/>
      <c r="E45" s="21"/>
      <c r="F45" s="21"/>
      <c r="G45" s="21"/>
    </row>
    <row r="46" spans="1:7" x14ac:dyDescent="0.25">
      <c r="A46" s="4"/>
      <c r="B46" s="21"/>
      <c r="C46" s="21"/>
      <c r="D46" s="21"/>
      <c r="E46" s="21"/>
      <c r="F46" s="21"/>
      <c r="G46" s="21"/>
    </row>
    <row r="47" spans="1:7" x14ac:dyDescent="0.25">
      <c r="A47" s="4"/>
      <c r="B47" s="21"/>
      <c r="C47" s="21"/>
      <c r="D47" s="21"/>
      <c r="E47" s="21"/>
      <c r="F47" s="21"/>
      <c r="G47" s="21"/>
    </row>
    <row r="48" spans="1:7" x14ac:dyDescent="0.25">
      <c r="A48" s="4"/>
      <c r="B48" s="21"/>
      <c r="C48" s="21"/>
      <c r="D48" s="21"/>
      <c r="E48" s="21"/>
      <c r="F48" s="21"/>
      <c r="G48" s="21"/>
    </row>
    <row r="49" spans="2:7" x14ac:dyDescent="0.25">
      <c r="B49" s="21"/>
      <c r="C49" s="21"/>
      <c r="D49" s="21"/>
      <c r="E49" s="21"/>
      <c r="F49" s="21"/>
      <c r="G49" s="21"/>
    </row>
    <row r="50" spans="2:7" x14ac:dyDescent="0.25">
      <c r="B50" s="21"/>
      <c r="C50" s="21"/>
      <c r="D50" s="21"/>
      <c r="E50" s="21"/>
      <c r="F50" s="21"/>
      <c r="G50" s="21"/>
    </row>
    <row r="51" spans="2:7" x14ac:dyDescent="0.25">
      <c r="B51" s="21"/>
      <c r="C51" s="21"/>
      <c r="D51" s="21"/>
      <c r="E51" s="21"/>
      <c r="F51" s="21"/>
      <c r="G51" s="21"/>
    </row>
    <row r="52" spans="2:7" x14ac:dyDescent="0.25">
      <c r="B52" s="21"/>
      <c r="C52" s="21"/>
      <c r="D52" s="21"/>
      <c r="E52" s="21"/>
      <c r="F52" s="21"/>
      <c r="G52" s="21"/>
    </row>
    <row r="53" spans="2:7" x14ac:dyDescent="0.25">
      <c r="B53" s="21"/>
      <c r="C53" s="21"/>
      <c r="D53" s="21"/>
      <c r="E53" s="21"/>
      <c r="F53" s="21"/>
      <c r="G53" s="21"/>
    </row>
    <row r="54" spans="2:7" x14ac:dyDescent="0.25">
      <c r="B54" s="21"/>
      <c r="C54" s="21"/>
      <c r="D54" s="21"/>
      <c r="E54" s="21"/>
      <c r="F54" s="21"/>
      <c r="G54" s="21"/>
    </row>
    <row r="55" spans="2:7" x14ac:dyDescent="0.25">
      <c r="B55" s="21"/>
      <c r="C55" s="21"/>
      <c r="D55" s="21"/>
      <c r="E55" s="21"/>
      <c r="F55" s="21"/>
      <c r="G55" s="21"/>
    </row>
    <row r="56" spans="2:7" x14ac:dyDescent="0.25">
      <c r="B56" s="21"/>
      <c r="C56" s="21"/>
      <c r="D56" s="21"/>
      <c r="E56" s="21"/>
      <c r="F56" s="21"/>
      <c r="G56" s="21"/>
    </row>
    <row r="57" spans="2:7" x14ac:dyDescent="0.25">
      <c r="B57" s="21"/>
      <c r="C57" s="21"/>
      <c r="D57" s="21"/>
      <c r="E57" s="21"/>
      <c r="F57" s="21"/>
      <c r="G57" s="21"/>
    </row>
    <row r="58" spans="2:7" x14ac:dyDescent="0.25">
      <c r="B58" s="21"/>
      <c r="C58" s="21"/>
      <c r="D58" s="21"/>
      <c r="E58" s="21"/>
      <c r="F58" s="21"/>
      <c r="G58" s="21"/>
    </row>
    <row r="59" spans="2:7" x14ac:dyDescent="0.25">
      <c r="B59" s="21"/>
      <c r="C59" s="21"/>
      <c r="D59" s="21"/>
      <c r="E59" s="21"/>
      <c r="F59" s="21"/>
      <c r="G59" s="21"/>
    </row>
    <row r="60" spans="2:7" x14ac:dyDescent="0.25">
      <c r="B60" s="21"/>
      <c r="C60" s="21"/>
      <c r="D60" s="21"/>
      <c r="E60" s="21"/>
      <c r="F60" s="21"/>
      <c r="G60" s="21"/>
    </row>
    <row r="61" spans="2:7" x14ac:dyDescent="0.25">
      <c r="B61" s="21"/>
      <c r="C61" s="21"/>
      <c r="D61" s="21"/>
      <c r="E61" s="21"/>
      <c r="F61" s="21"/>
      <c r="G61" s="21"/>
    </row>
    <row r="62" spans="2:7" x14ac:dyDescent="0.25">
      <c r="B62" s="21"/>
      <c r="C62" s="21"/>
      <c r="D62" s="21"/>
      <c r="E62" s="21"/>
      <c r="F62" s="21"/>
      <c r="G62" s="21"/>
    </row>
    <row r="63" spans="2:7" x14ac:dyDescent="0.25">
      <c r="B63" s="21"/>
      <c r="C63" s="21"/>
      <c r="D63" s="21"/>
      <c r="E63" s="21"/>
      <c r="F63" s="21"/>
      <c r="G63" s="21"/>
    </row>
    <row r="64" spans="2:7" x14ac:dyDescent="0.25">
      <c r="B64" s="21"/>
      <c r="C64" s="21"/>
      <c r="D64" s="21"/>
      <c r="E64" s="21"/>
      <c r="F64" s="21"/>
      <c r="G64" s="21"/>
    </row>
    <row r="65" spans="2:7" x14ac:dyDescent="0.25">
      <c r="B65" s="21"/>
      <c r="C65" s="21"/>
      <c r="D65" s="21"/>
      <c r="E65" s="21"/>
      <c r="F65" s="21"/>
      <c r="G65" s="21"/>
    </row>
    <row r="66" spans="2:7" x14ac:dyDescent="0.25">
      <c r="B66" s="21"/>
      <c r="C66" s="21"/>
      <c r="D66" s="21"/>
      <c r="E66" s="21"/>
      <c r="F66" s="21"/>
      <c r="G66" s="21"/>
    </row>
    <row r="67" spans="2:7" x14ac:dyDescent="0.25">
      <c r="B67" s="21"/>
      <c r="C67" s="21"/>
      <c r="F67" s="21"/>
      <c r="G67" s="21"/>
    </row>
    <row r="73" spans="2:7" x14ac:dyDescent="0.25">
      <c r="D73" s="22"/>
      <c r="E73" s="22"/>
    </row>
    <row r="74" spans="2:7" x14ac:dyDescent="0.25">
      <c r="B74" s="22"/>
      <c r="C74" s="22"/>
      <c r="D74" s="22"/>
      <c r="E74" s="22"/>
      <c r="F74" s="22"/>
      <c r="G74" s="22"/>
    </row>
    <row r="75" spans="2:7" x14ac:dyDescent="0.25">
      <c r="B75" s="22"/>
      <c r="C75" s="22"/>
      <c r="F75" s="22"/>
      <c r="G75" s="22"/>
    </row>
    <row r="93" spans="2:7" x14ac:dyDescent="0.25">
      <c r="D93" s="13"/>
      <c r="E93" s="13"/>
    </row>
    <row r="94" spans="2:7" x14ac:dyDescent="0.25">
      <c r="B94" s="13"/>
      <c r="C94" s="13"/>
      <c r="D94" s="13"/>
      <c r="E94" s="13"/>
      <c r="F94" s="13"/>
      <c r="G94" s="13"/>
    </row>
    <row r="95" spans="2:7" x14ac:dyDescent="0.25">
      <c r="B95" s="13"/>
      <c r="C95" s="13"/>
      <c r="F95" s="13"/>
      <c r="G95" s="13"/>
    </row>
  </sheetData>
  <phoneticPr fontId="0" type="noConversion"/>
  <pageMargins left="0.38" right="0.75" top="0.73" bottom="0.74" header="0.5" footer="0.5"/>
  <pageSetup scale="86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4:E29"/>
  <sheetViews>
    <sheetView view="pageBreakPreview" zoomScale="60" zoomScaleNormal="100" workbookViewId="0">
      <selection activeCell="F35" sqref="F35"/>
    </sheetView>
  </sheetViews>
  <sheetFormatPr defaultRowHeight="12.5" x14ac:dyDescent="0.25"/>
  <cols>
    <col min="1" max="1" width="11.81640625" customWidth="1"/>
    <col min="2" max="2" width="13.453125" customWidth="1"/>
    <col min="3" max="3" width="12" customWidth="1"/>
    <col min="4" max="4" width="10.90625" customWidth="1"/>
    <col min="5" max="5" width="13" customWidth="1"/>
    <col min="6" max="6" width="9.453125" customWidth="1"/>
    <col min="9" max="9" width="12.1796875" customWidth="1"/>
  </cols>
  <sheetData>
    <row r="4" spans="1:5" x14ac:dyDescent="0.25">
      <c r="A4" t="s">
        <v>118</v>
      </c>
      <c r="B4" t="s">
        <v>119</v>
      </c>
    </row>
    <row r="5" spans="1:5" x14ac:dyDescent="0.25">
      <c r="B5" t="s">
        <v>120</v>
      </c>
    </row>
    <row r="6" spans="1:5" x14ac:dyDescent="0.25">
      <c r="B6" t="s">
        <v>150</v>
      </c>
    </row>
    <row r="8" spans="1:5" ht="25" x14ac:dyDescent="0.25">
      <c r="A8" t="s">
        <v>117</v>
      </c>
      <c r="B8" t="s">
        <v>121</v>
      </c>
      <c r="C8" s="65" t="s">
        <v>122</v>
      </c>
      <c r="D8" s="107" t="s">
        <v>127</v>
      </c>
      <c r="E8" s="100" t="s">
        <v>125</v>
      </c>
    </row>
    <row r="9" spans="1:5" x14ac:dyDescent="0.25">
      <c r="A9">
        <v>2006</v>
      </c>
      <c r="B9" s="98">
        <v>24679.71</v>
      </c>
      <c r="E9" s="98"/>
    </row>
    <row r="10" spans="1:5" x14ac:dyDescent="0.25">
      <c r="A10">
        <v>2007</v>
      </c>
      <c r="B10" s="98">
        <v>23111.48</v>
      </c>
      <c r="E10" s="98"/>
    </row>
    <row r="11" spans="1:5" x14ac:dyDescent="0.25">
      <c r="A11">
        <v>2008</v>
      </c>
      <c r="B11" s="98">
        <v>136273.84999999998</v>
      </c>
      <c r="E11" s="98"/>
    </row>
    <row r="12" spans="1:5" x14ac:dyDescent="0.25">
      <c r="A12">
        <v>2009</v>
      </c>
      <c r="B12" s="98">
        <v>215796.66</v>
      </c>
      <c r="E12" s="98"/>
    </row>
    <row r="13" spans="1:5" x14ac:dyDescent="0.25">
      <c r="A13" s="27">
        <v>2010</v>
      </c>
      <c r="B13" s="142">
        <v>158115.16</v>
      </c>
      <c r="C13" s="27">
        <v>3</v>
      </c>
      <c r="D13" s="27"/>
      <c r="E13" s="142"/>
    </row>
    <row r="14" spans="1:5" x14ac:dyDescent="0.25">
      <c r="A14" s="112">
        <v>2011</v>
      </c>
      <c r="B14" s="113">
        <v>156839.26</v>
      </c>
      <c r="C14" s="112">
        <v>3</v>
      </c>
      <c r="E14" s="113"/>
    </row>
    <row r="15" spans="1:5" x14ac:dyDescent="0.25">
      <c r="A15" s="112">
        <v>2012</v>
      </c>
      <c r="B15" s="113">
        <v>153310.46</v>
      </c>
      <c r="C15" s="112">
        <v>3</v>
      </c>
      <c r="E15" s="113"/>
    </row>
    <row r="16" spans="1:5" x14ac:dyDescent="0.25">
      <c r="A16" s="112">
        <v>2013</v>
      </c>
      <c r="B16" s="113">
        <v>159285.71000000002</v>
      </c>
      <c r="C16" s="112">
        <v>3</v>
      </c>
      <c r="E16" s="113"/>
    </row>
    <row r="17" spans="1:5" x14ac:dyDescent="0.25">
      <c r="A17" s="112">
        <v>2014</v>
      </c>
      <c r="B17" s="113">
        <v>164324.43999999997</v>
      </c>
      <c r="C17" s="112">
        <v>3</v>
      </c>
      <c r="E17" s="113"/>
    </row>
    <row r="18" spans="1:5" x14ac:dyDescent="0.25">
      <c r="A18" s="112">
        <v>2015</v>
      </c>
      <c r="B18" s="113">
        <v>142203.42000000001</v>
      </c>
      <c r="C18" s="112">
        <v>3</v>
      </c>
      <c r="E18" s="113"/>
    </row>
    <row r="19" spans="1:5" x14ac:dyDescent="0.25">
      <c r="A19" s="112">
        <v>2016</v>
      </c>
      <c r="B19" s="113">
        <v>136187.20000000001</v>
      </c>
      <c r="C19" s="112">
        <v>2</v>
      </c>
      <c r="E19" s="113">
        <v>65359955</v>
      </c>
    </row>
    <row r="20" spans="1:5" x14ac:dyDescent="0.25">
      <c r="A20" s="112">
        <v>2017</v>
      </c>
      <c r="B20" s="113">
        <v>107291</v>
      </c>
      <c r="C20" s="112">
        <v>2</v>
      </c>
      <c r="E20" s="113">
        <v>43309246</v>
      </c>
    </row>
    <row r="21" spans="1:5" x14ac:dyDescent="0.25">
      <c r="A21" s="112">
        <v>2018</v>
      </c>
      <c r="B21" s="113">
        <v>95218.6</v>
      </c>
      <c r="C21" s="112">
        <v>2</v>
      </c>
      <c r="E21" s="113">
        <v>41227723</v>
      </c>
    </row>
    <row r="22" spans="1:5" x14ac:dyDescent="0.25">
      <c r="A22" s="112">
        <v>2019</v>
      </c>
      <c r="B22" s="113">
        <v>97683.05</v>
      </c>
      <c r="C22" s="112">
        <v>2</v>
      </c>
      <c r="E22" s="113">
        <v>41261684.090000004</v>
      </c>
    </row>
    <row r="23" spans="1:5" x14ac:dyDescent="0.25">
      <c r="A23" s="112">
        <v>2020</v>
      </c>
      <c r="B23" s="113">
        <v>100586.92000000001</v>
      </c>
      <c r="C23" s="112">
        <v>2</v>
      </c>
      <c r="E23" s="113">
        <v>43029561.790000007</v>
      </c>
    </row>
    <row r="24" spans="1:5" x14ac:dyDescent="0.25">
      <c r="A24" s="100" t="s">
        <v>136</v>
      </c>
      <c r="B24" s="99">
        <f>B23*1.01</f>
        <v>101592.78920000001</v>
      </c>
      <c r="C24" s="114">
        <v>2</v>
      </c>
      <c r="E24" s="192">
        <f>E23*1.01</f>
        <v>43459857.407900006</v>
      </c>
    </row>
    <row r="25" spans="1:5" x14ac:dyDescent="0.25">
      <c r="A25" s="107" t="s">
        <v>148</v>
      </c>
      <c r="B25" s="99">
        <f>B24*1.01</f>
        <v>102608.71709200002</v>
      </c>
      <c r="C25" s="114">
        <v>2</v>
      </c>
      <c r="E25" s="192">
        <f>E24*1.01</f>
        <v>43894455.981979005</v>
      </c>
    </row>
    <row r="27" spans="1:5" x14ac:dyDescent="0.25">
      <c r="A27" s="143" t="s">
        <v>133</v>
      </c>
      <c r="B27" s="98"/>
      <c r="C27" s="98"/>
      <c r="E27" s="98"/>
    </row>
    <row r="28" spans="1:5" x14ac:dyDescent="0.25">
      <c r="A28" s="100"/>
    </row>
    <row r="29" spans="1:5" x14ac:dyDescent="0.25">
      <c r="A29" s="100" t="s">
        <v>167</v>
      </c>
    </row>
  </sheetData>
  <pageMargins left="0.7" right="0.7" top="0.75" bottom="0.75" header="0.3" footer="0.3"/>
  <pageSetup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  <pageSetUpPr fitToPage="1"/>
  </sheetPr>
  <dimension ref="A1:J57"/>
  <sheetViews>
    <sheetView view="pageBreakPreview" zoomScale="60" zoomScaleNormal="100" workbookViewId="0">
      <selection activeCell="C33" sqref="C33"/>
    </sheetView>
  </sheetViews>
  <sheetFormatPr defaultRowHeight="12.5" x14ac:dyDescent="0.25"/>
  <cols>
    <col min="1" max="1" width="17" bestFit="1" customWidth="1"/>
    <col min="2" max="2" width="14.1796875" style="6" bestFit="1" customWidth="1"/>
    <col min="3" max="3" width="14.1796875" style="6" customWidth="1"/>
    <col min="4" max="4" width="17.54296875" style="6" customWidth="1"/>
    <col min="5" max="5" width="12.54296875" style="6" bestFit="1" customWidth="1"/>
    <col min="6" max="6" width="14.453125" style="6" bestFit="1" customWidth="1"/>
    <col min="7" max="7" width="11.54296875" style="6" bestFit="1" customWidth="1"/>
    <col min="8" max="8" width="10.54296875" style="6" bestFit="1" customWidth="1"/>
    <col min="9" max="10" width="9.1796875" style="6" customWidth="1"/>
  </cols>
  <sheetData>
    <row r="1" spans="1:10" ht="42" customHeight="1" x14ac:dyDescent="0.25">
      <c r="B1" s="8" t="str">
        <f>'Rate Class Customer Model'!D2</f>
        <v>GS&gt;50 (excl. WMP)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  <c r="G1" s="144" t="s">
        <v>162</v>
      </c>
    </row>
    <row r="2" spans="1:10" x14ac:dyDescent="0.25">
      <c r="A2" s="25">
        <v>2006</v>
      </c>
      <c r="B2" s="35">
        <v>1481342.88</v>
      </c>
      <c r="C2" s="34">
        <v>0</v>
      </c>
      <c r="D2" s="35">
        <v>21299</v>
      </c>
      <c r="E2" s="6">
        <f t="shared" ref="E2:E18" si="0">SUM(B2:D2)</f>
        <v>1502641.88</v>
      </c>
    </row>
    <row r="3" spans="1:10" x14ac:dyDescent="0.25">
      <c r="A3" s="25">
        <v>2007</v>
      </c>
      <c r="B3" s="35">
        <v>1489945.61</v>
      </c>
      <c r="C3" s="34">
        <v>0</v>
      </c>
      <c r="D3" s="35">
        <v>21758</v>
      </c>
      <c r="E3" s="6">
        <f t="shared" si="0"/>
        <v>1511703.61</v>
      </c>
    </row>
    <row r="4" spans="1:10" x14ac:dyDescent="0.25">
      <c r="A4" s="25">
        <v>2008</v>
      </c>
      <c r="B4" s="35">
        <v>1450726.3200000003</v>
      </c>
      <c r="C4" s="34">
        <v>0</v>
      </c>
      <c r="D4" s="35">
        <v>22064</v>
      </c>
      <c r="E4" s="6">
        <f t="shared" si="0"/>
        <v>1472790.3200000003</v>
      </c>
    </row>
    <row r="5" spans="1:10" x14ac:dyDescent="0.25">
      <c r="A5" s="25">
        <v>2009</v>
      </c>
      <c r="B5" s="35">
        <v>1326769.78</v>
      </c>
      <c r="C5" s="34">
        <v>0</v>
      </c>
      <c r="D5" s="35">
        <v>22380</v>
      </c>
      <c r="E5" s="6">
        <f t="shared" si="0"/>
        <v>1349149.78</v>
      </c>
    </row>
    <row r="6" spans="1:10" x14ac:dyDescent="0.25">
      <c r="A6" s="25">
        <v>2010</v>
      </c>
      <c r="B6" s="35">
        <v>1323482.2400000002</v>
      </c>
      <c r="C6" s="34">
        <v>1534.31</v>
      </c>
      <c r="D6" s="35">
        <v>22480</v>
      </c>
      <c r="E6" s="6">
        <f t="shared" si="0"/>
        <v>1347496.5500000003</v>
      </c>
    </row>
    <row r="7" spans="1:10" s="27" customFormat="1" x14ac:dyDescent="0.25">
      <c r="A7" s="135">
        <v>2011</v>
      </c>
      <c r="B7" s="35">
        <v>1344251</v>
      </c>
      <c r="C7" s="34">
        <v>1487.24</v>
      </c>
      <c r="D7" s="35">
        <v>22428</v>
      </c>
      <c r="E7" s="23">
        <f>SUM(B7:D7)</f>
        <v>1368166.24</v>
      </c>
      <c r="F7" s="23"/>
      <c r="G7" s="23"/>
      <c r="H7" s="23"/>
      <c r="I7" s="23"/>
      <c r="J7" s="23"/>
    </row>
    <row r="8" spans="1:10" s="27" customFormat="1" x14ac:dyDescent="0.25">
      <c r="A8" s="135">
        <v>2012</v>
      </c>
      <c r="B8" s="35">
        <v>1398783.62</v>
      </c>
      <c r="C8" s="34">
        <v>1392.0700000000002</v>
      </c>
      <c r="D8" s="35">
        <v>22533</v>
      </c>
      <c r="E8" s="23">
        <f t="shared" si="0"/>
        <v>1422708.6900000002</v>
      </c>
      <c r="F8" s="23"/>
      <c r="G8" s="23"/>
      <c r="H8" s="23"/>
      <c r="I8" s="23"/>
      <c r="J8" s="23"/>
    </row>
    <row r="9" spans="1:10" s="27" customFormat="1" x14ac:dyDescent="0.25">
      <c r="A9" s="135">
        <v>2013</v>
      </c>
      <c r="B9" s="35">
        <v>1395148.24</v>
      </c>
      <c r="C9" s="34">
        <v>1384.9899999999998</v>
      </c>
      <c r="D9" s="35">
        <v>22581</v>
      </c>
      <c r="E9" s="23">
        <f t="shared" si="0"/>
        <v>1419114.23</v>
      </c>
      <c r="F9" s="23"/>
      <c r="G9" s="23"/>
      <c r="H9" s="23"/>
      <c r="I9" s="23"/>
      <c r="J9" s="23"/>
    </row>
    <row r="10" spans="1:10" s="27" customFormat="1" x14ac:dyDescent="0.25">
      <c r="A10" s="135">
        <v>2014</v>
      </c>
      <c r="B10" s="35">
        <v>1368652.3</v>
      </c>
      <c r="C10" s="34">
        <v>1361</v>
      </c>
      <c r="D10" s="35">
        <v>22553</v>
      </c>
      <c r="E10" s="23">
        <f t="shared" si="0"/>
        <v>1392566.3</v>
      </c>
      <c r="F10" s="23"/>
      <c r="G10" s="23"/>
      <c r="H10" s="23"/>
      <c r="I10" s="23"/>
      <c r="J10" s="23"/>
    </row>
    <row r="11" spans="1:10" s="27" customFormat="1" x14ac:dyDescent="0.25">
      <c r="A11" s="135">
        <v>2015</v>
      </c>
      <c r="B11" s="35">
        <v>1388241.3</v>
      </c>
      <c r="C11" s="34">
        <v>1363.29</v>
      </c>
      <c r="D11" s="35">
        <v>22527</v>
      </c>
      <c r="E11" s="23">
        <f t="shared" si="0"/>
        <v>1412131.59</v>
      </c>
      <c r="F11" s="23" t="s">
        <v>146</v>
      </c>
      <c r="G11" s="23"/>
      <c r="H11" s="23"/>
      <c r="I11" s="23"/>
      <c r="J11" s="23"/>
    </row>
    <row r="12" spans="1:10" x14ac:dyDescent="0.25">
      <c r="A12" s="25">
        <v>2016</v>
      </c>
      <c r="B12" s="35">
        <f>994736.57+384221.71</f>
        <v>1378958.28</v>
      </c>
      <c r="C12" s="34">
        <v>923</v>
      </c>
      <c r="D12" s="35">
        <v>22444</v>
      </c>
      <c r="E12" s="6">
        <f>SUM(B12:D12)</f>
        <v>1402325.28</v>
      </c>
      <c r="F12" s="23" t="s">
        <v>146</v>
      </c>
    </row>
    <row r="13" spans="1:10" x14ac:dyDescent="0.25">
      <c r="A13" s="25">
        <v>2017</v>
      </c>
      <c r="B13" s="35">
        <f>112237+1288154</f>
        <v>1400391</v>
      </c>
      <c r="C13" s="34">
        <v>570</v>
      </c>
      <c r="D13" s="35">
        <v>22338</v>
      </c>
      <c r="E13" s="6">
        <f t="shared" si="0"/>
        <v>1423299</v>
      </c>
      <c r="F13" s="23" t="s">
        <v>146</v>
      </c>
    </row>
    <row r="14" spans="1:10" x14ac:dyDescent="0.25">
      <c r="A14" s="163">
        <v>2018</v>
      </c>
      <c r="B14" s="35">
        <f>106845+1328400</f>
        <v>1435245</v>
      </c>
      <c r="C14" s="34">
        <v>520</v>
      </c>
      <c r="D14" s="35">
        <v>22227</v>
      </c>
      <c r="E14" s="6">
        <f t="shared" si="0"/>
        <v>1457992</v>
      </c>
      <c r="F14" s="23" t="s">
        <v>146</v>
      </c>
    </row>
    <row r="15" spans="1:10" x14ac:dyDescent="0.25">
      <c r="A15" s="163">
        <v>2019</v>
      </c>
      <c r="B15" s="35">
        <f>1355662.76+95246.57</f>
        <v>1450909.33</v>
      </c>
      <c r="C15" s="34">
        <v>568</v>
      </c>
      <c r="D15" s="35">
        <v>21978.7</v>
      </c>
      <c r="E15" s="6">
        <f t="shared" si="0"/>
        <v>1473456.03</v>
      </c>
      <c r="F15" s="23" t="s">
        <v>146</v>
      </c>
    </row>
    <row r="16" spans="1:10" x14ac:dyDescent="0.25">
      <c r="A16" s="163">
        <v>2020</v>
      </c>
      <c r="B16" s="35">
        <v>1428136.72</v>
      </c>
      <c r="C16" s="34">
        <v>554.28999999999974</v>
      </c>
      <c r="D16" s="35">
        <v>21543.26</v>
      </c>
      <c r="E16" s="6">
        <f>SUM(B16:D16)</f>
        <v>1450234.27</v>
      </c>
      <c r="F16" s="23" t="s">
        <v>146</v>
      </c>
    </row>
    <row r="17" spans="1:10" x14ac:dyDescent="0.25">
      <c r="A17" s="163">
        <v>2021</v>
      </c>
      <c r="B17" s="26">
        <f>$B$33*'Rate Class Energy Model'!J84</f>
        <v>1317808.2277504546</v>
      </c>
      <c r="C17" s="26">
        <f>$C$33*'Rate Class Energy Model'!K84</f>
        <v>509.96507329783549</v>
      </c>
      <c r="D17" s="26">
        <f>$D$33*'Rate Class Energy Model'!L84+G17</f>
        <v>22103.207939749733</v>
      </c>
      <c r="E17" s="6">
        <f t="shared" si="0"/>
        <v>1340421.4007635021</v>
      </c>
      <c r="G17" s="201">
        <v>-435</v>
      </c>
    </row>
    <row r="18" spans="1:10" x14ac:dyDescent="0.25">
      <c r="A18" s="163">
        <v>2022</v>
      </c>
      <c r="B18" s="26">
        <f>$B$33*'Rate Class Energy Model'!J85</f>
        <v>1337288.3673442425</v>
      </c>
      <c r="C18" s="26">
        <f>$C$33*'Rate Class Energy Model'!K85</f>
        <v>462.46010571397261</v>
      </c>
      <c r="D18" s="26">
        <f>$D$33*'Rate Class Energy Model'!L85+G18</f>
        <v>22947.72530147756</v>
      </c>
      <c r="E18" s="6">
        <f t="shared" si="0"/>
        <v>1360698.552751434</v>
      </c>
      <c r="G18" s="201">
        <f>-435*2</f>
        <v>-870</v>
      </c>
    </row>
    <row r="19" spans="1:10" ht="13" x14ac:dyDescent="0.3">
      <c r="A19" s="16"/>
    </row>
    <row r="20" spans="1:10" ht="13" x14ac:dyDescent="0.3">
      <c r="A20" s="15" t="s">
        <v>55</v>
      </c>
      <c r="B20" s="5"/>
      <c r="C20" s="5"/>
      <c r="D20" s="5"/>
    </row>
    <row r="21" spans="1:10" x14ac:dyDescent="0.25">
      <c r="A21" s="4">
        <v>2010</v>
      </c>
      <c r="B21" s="155">
        <f>B6/'Rate Class Energy Model'!J7</f>
        <v>2.5367393647145425E-3</v>
      </c>
      <c r="C21" s="24">
        <f>C6/'Rate Class Energy Model'!K7</f>
        <v>3.1923889183650112E-3</v>
      </c>
      <c r="D21" s="24">
        <f>D6/'Rate Class Energy Model'!L7</f>
        <v>3.0566939217342225E-3</v>
      </c>
    </row>
    <row r="22" spans="1:10" x14ac:dyDescent="0.25">
      <c r="A22" s="4">
        <v>2011</v>
      </c>
      <c r="B22" s="155">
        <f>B7/'Rate Class Energy Model'!J8</f>
        <v>2.5875109408273634E-3</v>
      </c>
      <c r="C22" s="24">
        <f>C7/'Rate Class Energy Model'!K8</f>
        <v>3.1282194742831182E-3</v>
      </c>
      <c r="D22" s="24">
        <f>D7/'Rate Class Energy Model'!L8</f>
        <v>3.0594080070060281E-3</v>
      </c>
    </row>
    <row r="23" spans="1:10" x14ac:dyDescent="0.25">
      <c r="A23" s="4">
        <v>2012</v>
      </c>
      <c r="B23" s="155">
        <f>B8/'Rate Class Energy Model'!J9</f>
        <v>2.5926387713965985E-3</v>
      </c>
      <c r="C23" s="24">
        <f>C8/'Rate Class Energy Model'!K9</f>
        <v>3.0302311305763683E-3</v>
      </c>
      <c r="D23" s="24">
        <f>D8/'Rate Class Energy Model'!L9</f>
        <v>3.046904727198381E-3</v>
      </c>
    </row>
    <row r="24" spans="1:10" x14ac:dyDescent="0.25">
      <c r="A24" s="4">
        <v>2013</v>
      </c>
      <c r="B24" s="155">
        <f>B9/'Rate Class Energy Model'!J10</f>
        <v>2.6096018347677905E-3</v>
      </c>
      <c r="C24" s="24">
        <f>C9/'Rate Class Energy Model'!K10</f>
        <v>3.0861361296676748E-3</v>
      </c>
      <c r="D24" s="24">
        <f>D9/'Rate Class Energy Model'!L10</f>
        <v>3.0569737543755908E-3</v>
      </c>
    </row>
    <row r="25" spans="1:10" x14ac:dyDescent="0.25">
      <c r="A25" s="4">
        <v>2014</v>
      </c>
      <c r="B25" s="155">
        <f>B10/'Rate Class Energy Model'!J11</f>
        <v>2.7483766607446962E-3</v>
      </c>
      <c r="C25" s="24">
        <f>C10/'Rate Class Energy Model'!K11</f>
        <v>3.0574169880960671E-3</v>
      </c>
      <c r="D25" s="24">
        <f>D10/'Rate Class Energy Model'!L11</f>
        <v>3.0566831551996211E-3</v>
      </c>
    </row>
    <row r="26" spans="1:10" x14ac:dyDescent="0.25">
      <c r="A26" s="4">
        <v>2015</v>
      </c>
      <c r="B26" s="155">
        <f>B11/'Rate Class Energy Model'!J12</f>
        <v>2.7333673059924063E-3</v>
      </c>
      <c r="C26" s="24">
        <f>C11/'Rate Class Energy Model'!K12</f>
        <v>3.0550121345353583E-3</v>
      </c>
      <c r="D26" s="24">
        <f>D11/'Rate Class Energy Model'!L12</f>
        <v>3.0566993508839013E-3</v>
      </c>
    </row>
    <row r="27" spans="1:10" x14ac:dyDescent="0.25">
      <c r="A27" s="4">
        <v>2016</v>
      </c>
      <c r="B27" s="155">
        <f>B12/'Rate Class Energy Model'!J13</f>
        <v>2.7103529501072746E-3</v>
      </c>
      <c r="C27" s="24">
        <f>C12/'Rate Class Energy Model'!K13</f>
        <v>2.9381897822301595E-3</v>
      </c>
      <c r="D27" s="24">
        <f>D12/'Rate Class Energy Model'!L13</f>
        <v>3.0461070456086806E-3</v>
      </c>
    </row>
    <row r="28" spans="1:10" x14ac:dyDescent="0.25">
      <c r="A28" s="4">
        <v>2017</v>
      </c>
      <c r="B28" s="155">
        <f>B13/'Rate Class Energy Model'!J14</f>
        <v>2.7283113072927531E-3</v>
      </c>
      <c r="C28" s="24">
        <f>C13/'Rate Class Energy Model'!K14</f>
        <v>3.0562347188264061E-3</v>
      </c>
      <c r="D28" s="24">
        <f>D13/'Rate Class Energy Model'!L14</f>
        <v>3.0497024499057906E-3</v>
      </c>
    </row>
    <row r="29" spans="1:10" x14ac:dyDescent="0.25">
      <c r="A29" s="4">
        <v>2018</v>
      </c>
      <c r="B29" s="155">
        <f>B14/'Rate Class Energy Model'!J15</f>
        <v>2.710092625916601E-3</v>
      </c>
      <c r="C29" s="24">
        <f>C14/'Rate Class Energy Model'!K15</f>
        <v>2.7365108434242169E-3</v>
      </c>
      <c r="D29" s="24">
        <f>D14/'Rate Class Energy Model'!L15</f>
        <v>3.09069773262621E-3</v>
      </c>
    </row>
    <row r="30" spans="1:10" x14ac:dyDescent="0.25">
      <c r="A30" s="4">
        <v>2019</v>
      </c>
      <c r="B30" s="155">
        <f>B15/'Rate Class Energy Model'!J16</f>
        <v>2.6961033718966303E-3</v>
      </c>
      <c r="C30" s="24">
        <f>C15/'Rate Class Energy Model'!K16</f>
        <v>2.9134496360544611E-3</v>
      </c>
      <c r="D30" s="24">
        <f>D15/'Rate Class Energy Model'!L16</f>
        <v>3.0752161489997543E-3</v>
      </c>
      <c r="E30"/>
      <c r="F30"/>
      <c r="G30"/>
      <c r="H30"/>
      <c r="I30"/>
      <c r="J30"/>
    </row>
    <row r="31" spans="1:10" x14ac:dyDescent="0.25">
      <c r="A31" s="4">
        <v>2020</v>
      </c>
      <c r="B31" s="155">
        <f>B16/'Rate Class Energy Model'!J17</f>
        <v>2.7385931089906842E-3</v>
      </c>
      <c r="C31" s="24">
        <f>C16/'Rate Class Energy Model'!K17</f>
        <v>2.9524542455128711E-3</v>
      </c>
      <c r="D31" s="24">
        <f>D16/'Rate Class Energy Model'!L17</f>
        <v>3.0942658757377776E-3</v>
      </c>
      <c r="E31"/>
      <c r="F31"/>
      <c r="G31"/>
      <c r="H31"/>
      <c r="I31"/>
      <c r="J31"/>
    </row>
    <row r="32" spans="1:10" x14ac:dyDescent="0.25">
      <c r="A32" s="4"/>
      <c r="E32"/>
      <c r="F32"/>
      <c r="G32"/>
      <c r="H32"/>
      <c r="I32"/>
      <c r="J32"/>
    </row>
    <row r="33" spans="1:10" x14ac:dyDescent="0.25">
      <c r="A33" t="s">
        <v>10</v>
      </c>
      <c r="B33" s="24">
        <f>AVERAGE(B22:B31)</f>
        <v>2.6854948877932799E-3</v>
      </c>
      <c r="C33" s="24">
        <f>AVERAGE(C22:C31)</f>
        <v>2.99538550832067E-3</v>
      </c>
      <c r="D33" s="24">
        <f>AVERAGE(D22:D31)</f>
        <v>3.0632658247541733E-3</v>
      </c>
      <c r="E33"/>
      <c r="F33"/>
      <c r="G33"/>
      <c r="H33"/>
      <c r="I33"/>
      <c r="J33"/>
    </row>
    <row r="35" spans="1:10" x14ac:dyDescent="0.25">
      <c r="A35" s="175" t="s">
        <v>135</v>
      </c>
      <c r="B35" s="198">
        <f>AVERAGE(B27:B31)</f>
        <v>2.7166906728407882E-3</v>
      </c>
      <c r="C35" s="198">
        <f>AVERAGE(C27:C31)</f>
        <v>2.9193678452096227E-3</v>
      </c>
      <c r="D35" s="198">
        <f>AVERAGE(D27:D31)</f>
        <v>3.0711978505756428E-3</v>
      </c>
      <c r="E35"/>
      <c r="F35"/>
      <c r="G35"/>
      <c r="H35"/>
      <c r="I35"/>
      <c r="J35"/>
    </row>
    <row r="36" spans="1:10" x14ac:dyDescent="0.25">
      <c r="B36" s="22"/>
      <c r="D36" s="22"/>
      <c r="E36"/>
      <c r="F36"/>
      <c r="G36"/>
      <c r="H36"/>
      <c r="I36"/>
      <c r="J36"/>
    </row>
    <row r="37" spans="1:10" x14ac:dyDescent="0.25">
      <c r="B37" s="22"/>
      <c r="D37" s="22"/>
      <c r="E37"/>
      <c r="F37"/>
      <c r="G37"/>
      <c r="H37"/>
      <c r="I37"/>
      <c r="J37"/>
    </row>
    <row r="56" spans="2:10" x14ac:dyDescent="0.25">
      <c r="B56" s="13"/>
      <c r="C56" s="13"/>
      <c r="D56" s="13"/>
      <c r="E56"/>
      <c r="F56"/>
      <c r="G56"/>
      <c r="H56"/>
      <c r="I56"/>
      <c r="J56"/>
    </row>
    <row r="57" spans="2:10" x14ac:dyDescent="0.25">
      <c r="B57" s="13"/>
      <c r="C57" s="13"/>
      <c r="D57" s="13"/>
      <c r="E57"/>
      <c r="F57"/>
      <c r="G57"/>
      <c r="H57"/>
      <c r="I57"/>
      <c r="J57"/>
    </row>
  </sheetData>
  <phoneticPr fontId="0" type="noConversion"/>
  <pageMargins left="0.38" right="0.75" top="0.73" bottom="0.74" header="0.5" footer="0.5"/>
  <pageSetup scale="94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50"/>
  </sheetPr>
  <dimension ref="B1:AI218"/>
  <sheetViews>
    <sheetView view="pageBreakPreview" topLeftCell="A28" zoomScale="40" zoomScaleNormal="70" zoomScaleSheetLayoutView="40" workbookViewId="0">
      <selection activeCell="J38" sqref="J38"/>
    </sheetView>
  </sheetViews>
  <sheetFormatPr defaultColWidth="8.81640625" defaultRowHeight="12.5" x14ac:dyDescent="0.25"/>
  <cols>
    <col min="1" max="1" width="8.81640625" style="51"/>
    <col min="2" max="3" width="16.453125" style="168" customWidth="1"/>
    <col min="4" max="4" width="7.81640625" style="51" customWidth="1"/>
    <col min="5" max="5" width="20.7265625" style="67" customWidth="1"/>
    <col min="6" max="6" width="20.54296875" style="168" customWidth="1"/>
    <col min="7" max="7" width="29.81640625" style="168" customWidth="1"/>
    <col min="8" max="8" width="29.81640625" style="171" customWidth="1"/>
    <col min="9" max="9" width="30" style="168" customWidth="1"/>
    <col min="10" max="10" width="32.1796875" style="168" customWidth="1"/>
    <col min="11" max="11" width="8.81640625" style="168" customWidth="1"/>
    <col min="12" max="12" width="16.1796875" style="172" bestFit="1" customWidth="1"/>
    <col min="13" max="13" width="14.81640625" style="168" customWidth="1"/>
    <col min="14" max="14" width="20" style="168" customWidth="1"/>
    <col min="15" max="15" width="15.453125" style="172" customWidth="1"/>
    <col min="16" max="16" width="17" style="51" customWidth="1"/>
    <col min="17" max="17" width="17.81640625" style="51" hidden="1" customWidth="1"/>
    <col min="18" max="18" width="12.81640625" style="51" hidden="1" customWidth="1"/>
    <col min="19" max="19" width="13.81640625" style="51" hidden="1" customWidth="1"/>
    <col min="20" max="26" width="0" style="51" hidden="1" customWidth="1"/>
    <col min="27" max="27" width="30.54296875" style="51" bestFit="1" customWidth="1"/>
    <col min="28" max="28" width="18.453125" style="51" bestFit="1" customWidth="1"/>
    <col min="29" max="29" width="13.453125" style="51" bestFit="1" customWidth="1"/>
    <col min="30" max="16384" width="8.81640625" style="51"/>
  </cols>
  <sheetData>
    <row r="1" spans="4:35" x14ac:dyDescent="0.25">
      <c r="AA1" t="s">
        <v>15</v>
      </c>
      <c r="AB1"/>
      <c r="AC1"/>
      <c r="AD1"/>
      <c r="AE1"/>
      <c r="AF1"/>
      <c r="AG1"/>
      <c r="AH1"/>
      <c r="AI1"/>
    </row>
    <row r="2" spans="4:35" ht="42" customHeight="1" thickBot="1" x14ac:dyDescent="0.3">
      <c r="AA2"/>
      <c r="AB2"/>
      <c r="AC2"/>
      <c r="AD2"/>
      <c r="AE2"/>
      <c r="AF2"/>
      <c r="AG2"/>
      <c r="AH2"/>
      <c r="AI2"/>
    </row>
    <row r="3" spans="4:35" ht="13" x14ac:dyDescent="0.3">
      <c r="AA3" s="120" t="s">
        <v>16</v>
      </c>
      <c r="AB3" s="120"/>
      <c r="AC3"/>
      <c r="AD3"/>
      <c r="AE3"/>
      <c r="AF3"/>
      <c r="AG3"/>
      <c r="AH3"/>
      <c r="AI3"/>
    </row>
    <row r="4" spans="4:35" x14ac:dyDescent="0.25">
      <c r="AA4" s="117" t="s">
        <v>17</v>
      </c>
      <c r="AB4" s="117">
        <v>0.95023337091850368</v>
      </c>
      <c r="AC4"/>
      <c r="AD4"/>
      <c r="AE4"/>
      <c r="AF4"/>
      <c r="AG4"/>
      <c r="AH4"/>
      <c r="AI4"/>
    </row>
    <row r="5" spans="4:35" ht="15.5" x14ac:dyDescent="0.35">
      <c r="D5" s="207"/>
      <c r="E5" s="208" t="s">
        <v>151</v>
      </c>
      <c r="F5" s="209"/>
      <c r="G5" s="209"/>
      <c r="H5" s="209"/>
      <c r="I5" s="209"/>
      <c r="J5" s="210"/>
      <c r="AA5" s="117" t="s">
        <v>18</v>
      </c>
      <c r="AB5" s="117">
        <v>0.90294345920714258</v>
      </c>
      <c r="AC5"/>
      <c r="AD5"/>
      <c r="AE5"/>
      <c r="AF5"/>
      <c r="AG5"/>
      <c r="AH5"/>
      <c r="AI5"/>
    </row>
    <row r="6" spans="4:35" ht="15.5" x14ac:dyDescent="0.35">
      <c r="D6" s="208" t="s">
        <v>149</v>
      </c>
      <c r="E6" s="207" t="s">
        <v>153</v>
      </c>
      <c r="F6" s="211" t="s">
        <v>155</v>
      </c>
      <c r="G6" s="211" t="s">
        <v>159</v>
      </c>
      <c r="H6" s="211" t="s">
        <v>160</v>
      </c>
      <c r="I6" s="211" t="s">
        <v>154</v>
      </c>
      <c r="J6" s="212" t="s">
        <v>158</v>
      </c>
      <c r="AA6" s="117" t="s">
        <v>19</v>
      </c>
      <c r="AB6" s="117">
        <v>0.89500246950590878</v>
      </c>
      <c r="AC6"/>
      <c r="AD6"/>
      <c r="AE6"/>
      <c r="AF6"/>
      <c r="AG6"/>
      <c r="AH6"/>
      <c r="AI6"/>
    </row>
    <row r="7" spans="4:35" ht="15.5" x14ac:dyDescent="0.35">
      <c r="D7" s="207">
        <v>2010</v>
      </c>
      <c r="E7" s="213">
        <v>12</v>
      </c>
      <c r="F7" s="214">
        <v>950759112.65007687</v>
      </c>
      <c r="G7" s="214">
        <v>3500.8999999999996</v>
      </c>
      <c r="H7" s="224">
        <v>439.6</v>
      </c>
      <c r="I7" s="224">
        <v>960319810.41915989</v>
      </c>
      <c r="J7" s="215">
        <v>-9560697.7690829039</v>
      </c>
      <c r="K7" s="227">
        <f>J7/F7</f>
        <v>-1.0055857095530864E-2</v>
      </c>
      <c r="N7" s="172"/>
      <c r="AA7" s="117" t="s">
        <v>20</v>
      </c>
      <c r="AB7" s="117">
        <v>2068852.5407114995</v>
      </c>
      <c r="AC7"/>
      <c r="AD7"/>
      <c r="AE7"/>
      <c r="AF7"/>
      <c r="AG7"/>
      <c r="AH7"/>
      <c r="AI7"/>
    </row>
    <row r="8" spans="4:35" ht="16" thickBot="1" x14ac:dyDescent="0.4">
      <c r="D8" s="216">
        <v>2011</v>
      </c>
      <c r="E8" s="217">
        <v>12</v>
      </c>
      <c r="F8" s="218">
        <v>944902732.12384617</v>
      </c>
      <c r="G8" s="218">
        <v>3647.4999999999995</v>
      </c>
      <c r="H8" s="225">
        <v>427.99999999999994</v>
      </c>
      <c r="I8" s="225">
        <v>958844382.30784512</v>
      </c>
      <c r="J8" s="219">
        <v>-13941650.183998927</v>
      </c>
      <c r="K8" s="227">
        <f t="shared" ref="K8:K17" si="0">J8/F8</f>
        <v>-1.475458765227872E-2</v>
      </c>
      <c r="AA8" s="118" t="s">
        <v>21</v>
      </c>
      <c r="AB8" s="118">
        <v>120</v>
      </c>
      <c r="AC8"/>
      <c r="AD8"/>
      <c r="AE8"/>
      <c r="AF8"/>
      <c r="AG8"/>
      <c r="AH8"/>
      <c r="AI8"/>
    </row>
    <row r="9" spans="4:35" ht="15.5" x14ac:dyDescent="0.35">
      <c r="D9" s="216">
        <v>2012</v>
      </c>
      <c r="E9" s="217">
        <v>12</v>
      </c>
      <c r="F9" s="218">
        <v>964379230.70517492</v>
      </c>
      <c r="G9" s="218">
        <v>3215.4000000000005</v>
      </c>
      <c r="H9" s="225">
        <v>477.40000000000003</v>
      </c>
      <c r="I9" s="225">
        <v>950666119.44824326</v>
      </c>
      <c r="J9" s="219">
        <v>13713111.256931573</v>
      </c>
      <c r="K9" s="227">
        <f t="shared" si="0"/>
        <v>1.4219625247325422E-2</v>
      </c>
      <c r="AA9"/>
      <c r="AB9"/>
      <c r="AC9"/>
      <c r="AD9"/>
      <c r="AE9"/>
      <c r="AF9"/>
      <c r="AG9"/>
      <c r="AH9"/>
      <c r="AI9"/>
    </row>
    <row r="10" spans="4:35" ht="16" thickBot="1" x14ac:dyDescent="0.4">
      <c r="D10" s="216">
        <v>2013</v>
      </c>
      <c r="E10" s="217">
        <v>12</v>
      </c>
      <c r="F10" s="218">
        <v>961335479.00000012</v>
      </c>
      <c r="G10" s="218">
        <v>3774.7000000000003</v>
      </c>
      <c r="H10" s="225">
        <v>325.79999999999995</v>
      </c>
      <c r="I10" s="225">
        <v>927029805.31403124</v>
      </c>
      <c r="J10" s="219">
        <v>34305673.685968891</v>
      </c>
      <c r="K10" s="227">
        <f t="shared" si="0"/>
        <v>3.5685433894163898E-2</v>
      </c>
      <c r="AA10" t="s">
        <v>22</v>
      </c>
      <c r="AB10"/>
      <c r="AC10"/>
      <c r="AD10"/>
      <c r="AE10"/>
      <c r="AF10"/>
      <c r="AG10"/>
      <c r="AH10"/>
      <c r="AI10"/>
    </row>
    <row r="11" spans="4:35" ht="15.5" x14ac:dyDescent="0.35">
      <c r="D11" s="216">
        <v>2014</v>
      </c>
      <c r="E11" s="217">
        <v>12</v>
      </c>
      <c r="F11" s="218">
        <v>913546785.3566668</v>
      </c>
      <c r="G11" s="218">
        <v>4102.8999999999996</v>
      </c>
      <c r="H11" s="225">
        <v>264.2</v>
      </c>
      <c r="I11" s="225">
        <v>918015075.310835</v>
      </c>
      <c r="J11" s="219">
        <v>-4468289.9541683197</v>
      </c>
      <c r="K11" s="227">
        <f t="shared" si="0"/>
        <v>-4.891145178102521E-3</v>
      </c>
      <c r="AA11" s="119"/>
      <c r="AB11" s="119" t="s">
        <v>26</v>
      </c>
      <c r="AC11" s="119" t="s">
        <v>27</v>
      </c>
      <c r="AD11" s="119" t="s">
        <v>28</v>
      </c>
      <c r="AE11" s="119" t="s">
        <v>29</v>
      </c>
      <c r="AF11" s="119" t="s">
        <v>30</v>
      </c>
      <c r="AG11"/>
      <c r="AH11"/>
      <c r="AI11"/>
    </row>
    <row r="12" spans="4:35" ht="15.5" x14ac:dyDescent="0.35">
      <c r="D12" s="216">
        <v>2015</v>
      </c>
      <c r="E12" s="217">
        <v>12</v>
      </c>
      <c r="F12" s="218">
        <v>920489866.98307681</v>
      </c>
      <c r="G12" s="218">
        <v>3765.5</v>
      </c>
      <c r="H12" s="225">
        <v>351.19999999999993</v>
      </c>
      <c r="I12" s="225">
        <v>924465660.20835423</v>
      </c>
      <c r="J12" s="219">
        <v>-3975793.2252772748</v>
      </c>
      <c r="K12" s="227">
        <f t="shared" si="0"/>
        <v>-4.3192145485620751E-3</v>
      </c>
      <c r="AA12" s="117" t="s">
        <v>23</v>
      </c>
      <c r="AB12" s="117">
        <v>9</v>
      </c>
      <c r="AC12" s="117">
        <v>4380135111400384</v>
      </c>
      <c r="AD12" s="117">
        <v>486681679044487.12</v>
      </c>
      <c r="AE12" s="117">
        <v>113.70666543829584</v>
      </c>
      <c r="AF12" s="117">
        <v>1.6613093252871921E-51</v>
      </c>
      <c r="AG12"/>
      <c r="AH12"/>
      <c r="AI12"/>
    </row>
    <row r="13" spans="4:35" ht="15.5" x14ac:dyDescent="0.35">
      <c r="D13" s="216">
        <v>2016</v>
      </c>
      <c r="E13" s="217">
        <v>12</v>
      </c>
      <c r="F13" s="218">
        <v>928717584.78461564</v>
      </c>
      <c r="G13" s="218">
        <v>3462.2999999999997</v>
      </c>
      <c r="H13" s="225">
        <v>566.4</v>
      </c>
      <c r="I13" s="225">
        <v>950199934.43693376</v>
      </c>
      <c r="J13" s="219">
        <v>-21482349.652318329</v>
      </c>
      <c r="K13" s="227">
        <f t="shared" si="0"/>
        <v>-2.3131197259821917E-2</v>
      </c>
      <c r="AA13" s="117" t="s">
        <v>24</v>
      </c>
      <c r="AB13" s="117">
        <v>110</v>
      </c>
      <c r="AC13" s="117">
        <v>470816591872926.94</v>
      </c>
      <c r="AD13" s="117">
        <v>4280150835208.4268</v>
      </c>
      <c r="AE13" s="117"/>
      <c r="AF13" s="117"/>
      <c r="AG13"/>
      <c r="AH13"/>
      <c r="AI13"/>
    </row>
    <row r="14" spans="4:35" ht="16" thickBot="1" x14ac:dyDescent="0.4">
      <c r="D14" s="216">
        <v>2017</v>
      </c>
      <c r="E14" s="217">
        <v>12</v>
      </c>
      <c r="F14" s="218">
        <v>914942349.02142859</v>
      </c>
      <c r="G14" s="218">
        <v>3501.8999999999996</v>
      </c>
      <c r="H14" s="225">
        <v>348.5</v>
      </c>
      <c r="I14" s="225">
        <v>927473628.12682843</v>
      </c>
      <c r="J14" s="219">
        <v>-12531279.105399661</v>
      </c>
      <c r="K14" s="227">
        <f t="shared" si="0"/>
        <v>-1.369624995367459E-2</v>
      </c>
      <c r="AA14" s="118" t="s">
        <v>9</v>
      </c>
      <c r="AB14" s="118">
        <v>119</v>
      </c>
      <c r="AC14" s="118">
        <v>4850951703273311</v>
      </c>
      <c r="AD14" s="118"/>
      <c r="AE14" s="118"/>
      <c r="AF14" s="118"/>
      <c r="AG14"/>
      <c r="AH14"/>
      <c r="AI14"/>
    </row>
    <row r="15" spans="4:35" ht="16" thickBot="1" x14ac:dyDescent="0.4">
      <c r="D15" s="216">
        <v>2018</v>
      </c>
      <c r="E15" s="217">
        <v>12</v>
      </c>
      <c r="F15" s="218">
        <v>965883912.18000007</v>
      </c>
      <c r="G15" s="218">
        <v>3758.3</v>
      </c>
      <c r="H15" s="225">
        <v>518.70000000000005</v>
      </c>
      <c r="I15" s="225">
        <v>962401471.13637781</v>
      </c>
      <c r="J15" s="219">
        <v>3482441.0436221659</v>
      </c>
      <c r="K15" s="227">
        <f t="shared" si="0"/>
        <v>3.6054447120485692E-3</v>
      </c>
      <c r="AA15"/>
      <c r="AB15"/>
      <c r="AC15"/>
      <c r="AD15"/>
      <c r="AE15"/>
      <c r="AF15"/>
      <c r="AG15"/>
      <c r="AH15"/>
      <c r="AI15"/>
    </row>
    <row r="16" spans="4:35" ht="15.5" x14ac:dyDescent="0.35">
      <c r="D16" s="216">
        <v>2019</v>
      </c>
      <c r="E16" s="217">
        <v>12</v>
      </c>
      <c r="F16" s="218">
        <v>959330220.76954007</v>
      </c>
      <c r="G16" s="218">
        <v>3914.900000000001</v>
      </c>
      <c r="H16" s="225">
        <v>342.00000000000006</v>
      </c>
      <c r="I16" s="225">
        <v>944871386.86581624</v>
      </c>
      <c r="J16" s="219">
        <v>14458833.903723866</v>
      </c>
      <c r="K16" s="227">
        <f t="shared" si="0"/>
        <v>1.5071800711256142E-2</v>
      </c>
      <c r="AA16" s="119"/>
      <c r="AB16" s="119" t="s">
        <v>31</v>
      </c>
      <c r="AC16" s="119" t="s">
        <v>20</v>
      </c>
      <c r="AD16" s="119" t="s">
        <v>32</v>
      </c>
      <c r="AE16" s="119" t="s">
        <v>33</v>
      </c>
      <c r="AF16" s="119" t="s">
        <v>34</v>
      </c>
      <c r="AG16" s="119" t="s">
        <v>35</v>
      </c>
      <c r="AH16" s="119" t="s">
        <v>36</v>
      </c>
      <c r="AI16" s="119" t="s">
        <v>37</v>
      </c>
    </row>
    <row r="17" spans="4:35" ht="18" x14ac:dyDescent="0.4">
      <c r="D17" s="216">
        <v>2020</v>
      </c>
      <c r="E17" s="217">
        <v>12</v>
      </c>
      <c r="F17" s="218">
        <v>961031702.85464001</v>
      </c>
      <c r="G17" s="218">
        <v>3512.0000000000009</v>
      </c>
      <c r="H17" s="225">
        <v>497.6</v>
      </c>
      <c r="I17" s="225">
        <v>917239283.8450731</v>
      </c>
      <c r="J17" s="219">
        <v>43792419.009566665</v>
      </c>
      <c r="K17" s="227">
        <f t="shared" si="0"/>
        <v>4.5568131498145224E-2</v>
      </c>
      <c r="L17" s="182" t="s">
        <v>161</v>
      </c>
      <c r="M17" s="194"/>
      <c r="N17" s="194"/>
      <c r="O17" s="195"/>
      <c r="P17" s="196"/>
      <c r="Q17" s="196"/>
      <c r="AA17" s="228" t="s">
        <v>25</v>
      </c>
      <c r="AB17" s="228">
        <v>-59011249.233977541</v>
      </c>
      <c r="AC17" s="117">
        <v>17293553.957177151</v>
      </c>
      <c r="AD17" s="117">
        <v>-3.4123263141921596</v>
      </c>
      <c r="AE17" s="117">
        <v>9.0220516417604103E-4</v>
      </c>
      <c r="AF17" s="117">
        <v>-93283014.070994139</v>
      </c>
      <c r="AG17" s="117">
        <v>-24739484.396960944</v>
      </c>
      <c r="AH17" s="117">
        <v>-93283014.070994139</v>
      </c>
      <c r="AI17" s="117">
        <v>-24739484.396960944</v>
      </c>
    </row>
    <row r="18" spans="4:35" ht="18" x14ac:dyDescent="0.4">
      <c r="D18" s="216">
        <v>2021</v>
      </c>
      <c r="E18" s="217"/>
      <c r="F18" s="218"/>
      <c r="G18" s="218">
        <v>3681.61</v>
      </c>
      <c r="H18" s="225">
        <v>411.97999999999996</v>
      </c>
      <c r="I18" s="225">
        <v>881577393.12093174</v>
      </c>
      <c r="J18" s="219">
        <v>-881577393.12093174</v>
      </c>
      <c r="K18" s="227"/>
      <c r="L18" s="182" t="s">
        <v>156</v>
      </c>
      <c r="M18" s="194"/>
      <c r="N18" s="194"/>
      <c r="O18" s="195"/>
      <c r="P18" s="196"/>
      <c r="Q18" s="196"/>
      <c r="AA18" s="228" t="s">
        <v>3</v>
      </c>
      <c r="AB18" s="228">
        <v>14056.505221607167</v>
      </c>
      <c r="AC18" s="117">
        <v>1215.1342337079734</v>
      </c>
      <c r="AD18" s="117">
        <v>11.567862077849492</v>
      </c>
      <c r="AE18" s="117">
        <v>9.8999760590353287E-21</v>
      </c>
      <c r="AF18" s="117">
        <v>11648.394384114181</v>
      </c>
      <c r="AG18" s="117">
        <v>16464.616059100154</v>
      </c>
      <c r="AH18" s="117">
        <v>11648.394384114181</v>
      </c>
      <c r="AI18" s="117">
        <v>16464.616059100154</v>
      </c>
    </row>
    <row r="19" spans="4:35" ht="18" x14ac:dyDescent="0.4">
      <c r="D19" s="220">
        <v>2022</v>
      </c>
      <c r="E19" s="221"/>
      <c r="F19" s="222"/>
      <c r="G19" s="222">
        <v>3681.61</v>
      </c>
      <c r="H19" s="226">
        <v>411.97999999999996</v>
      </c>
      <c r="I19" s="226">
        <v>902766029.26516461</v>
      </c>
      <c r="J19" s="223">
        <v>-902766029.26516461</v>
      </c>
      <c r="L19" s="182" t="s">
        <v>156</v>
      </c>
      <c r="M19" s="194"/>
      <c r="N19" s="194"/>
      <c r="O19" s="195"/>
      <c r="P19" s="196"/>
      <c r="Q19" s="196"/>
      <c r="AA19" s="228" t="s">
        <v>4</v>
      </c>
      <c r="AB19" s="228">
        <v>123984.13891595755</v>
      </c>
      <c r="AC19" s="117">
        <v>6484.986386437371</v>
      </c>
      <c r="AD19" s="117">
        <v>19.118642897270625</v>
      </c>
      <c r="AE19" s="117">
        <v>9.2985298507326671E-37</v>
      </c>
      <c r="AF19" s="117">
        <v>111132.41804021489</v>
      </c>
      <c r="AG19" s="117">
        <v>136835.8597917002</v>
      </c>
      <c r="AH19" s="117">
        <v>111132.41804021489</v>
      </c>
      <c r="AI19" s="117">
        <v>136835.8597917002</v>
      </c>
    </row>
    <row r="20" spans="4:35" x14ac:dyDescent="0.25">
      <c r="D20"/>
      <c r="E20"/>
      <c r="F20"/>
      <c r="G20"/>
      <c r="H20" s="51"/>
      <c r="I20" s="51"/>
      <c r="J20" s="51"/>
      <c r="AA20" s="231" t="s">
        <v>165</v>
      </c>
      <c r="AB20" s="228">
        <v>519199.50880638621</v>
      </c>
      <c r="AC20" s="117">
        <v>118704.44979260441</v>
      </c>
      <c r="AD20" s="117">
        <v>4.3738841274569777</v>
      </c>
      <c r="AE20" s="117">
        <v>2.7850931766056404E-5</v>
      </c>
      <c r="AF20" s="117">
        <v>283955.15137277736</v>
      </c>
      <c r="AG20" s="117">
        <v>754443.866239995</v>
      </c>
      <c r="AH20" s="117">
        <v>283955.15137277736</v>
      </c>
      <c r="AI20" s="117">
        <v>754443.866239995</v>
      </c>
    </row>
    <row r="21" spans="4:35" x14ac:dyDescent="0.25">
      <c r="D21"/>
      <c r="E21"/>
      <c r="F21"/>
      <c r="G21" s="51"/>
      <c r="H21" s="51"/>
      <c r="I21" s="51"/>
      <c r="J21" s="51"/>
      <c r="K21" s="51"/>
      <c r="AA21" s="228" t="s">
        <v>5</v>
      </c>
      <c r="AB21" s="228">
        <v>2118055.3004018185</v>
      </c>
      <c r="AC21" s="117">
        <v>271653.75158599485</v>
      </c>
      <c r="AD21" s="117">
        <v>7.7968932438296399</v>
      </c>
      <c r="AE21" s="117">
        <v>3.8793383960566149E-12</v>
      </c>
      <c r="AF21" s="117">
        <v>1579701.3267476817</v>
      </c>
      <c r="AG21" s="117">
        <v>2656409.274055955</v>
      </c>
      <c r="AH21" s="117">
        <v>1579701.3267476817</v>
      </c>
      <c r="AI21" s="117">
        <v>2656409.274055955</v>
      </c>
    </row>
    <row r="22" spans="4:35" x14ac:dyDescent="0.25">
      <c r="D22"/>
      <c r="E22"/>
      <c r="F22"/>
      <c r="G22" s="51"/>
      <c r="H22" s="51"/>
      <c r="I22" s="51"/>
      <c r="J22" s="51"/>
      <c r="K22" s="51"/>
      <c r="AA22" s="228" t="s">
        <v>96</v>
      </c>
      <c r="AB22" s="228">
        <v>-1778951.7087120952</v>
      </c>
      <c r="AC22" s="117">
        <v>767877.26318570809</v>
      </c>
      <c r="AD22" s="117">
        <v>-2.3167136129695023</v>
      </c>
      <c r="AE22" s="117">
        <v>2.2371452757410756E-2</v>
      </c>
      <c r="AF22" s="117">
        <v>-3300704.2098323544</v>
      </c>
      <c r="AG22" s="117">
        <v>-257199.20759183564</v>
      </c>
      <c r="AH22" s="117">
        <v>-3300704.2098323544</v>
      </c>
      <c r="AI22" s="117">
        <v>-257199.20759183564</v>
      </c>
    </row>
    <row r="23" spans="4:35" x14ac:dyDescent="0.25">
      <c r="D23"/>
      <c r="E23"/>
      <c r="F23"/>
      <c r="G23" s="51"/>
      <c r="H23" s="51"/>
      <c r="I23" s="51"/>
      <c r="J23" s="51"/>
      <c r="K23" s="51"/>
      <c r="AA23" s="228" t="s">
        <v>97</v>
      </c>
      <c r="AB23" s="228">
        <v>-4190279.030240031</v>
      </c>
      <c r="AC23" s="117">
        <v>742714.21789638337</v>
      </c>
      <c r="AD23" s="117">
        <v>-5.6418457184087734</v>
      </c>
      <c r="AE23" s="117">
        <v>1.3227842352173607E-7</v>
      </c>
      <c r="AF23" s="117">
        <v>-5662164.2818131819</v>
      </c>
      <c r="AG23" s="117">
        <v>-2718393.77866688</v>
      </c>
      <c r="AH23" s="117">
        <v>-5662164.2818131819</v>
      </c>
      <c r="AI23" s="117">
        <v>-2718393.77866688</v>
      </c>
    </row>
    <row r="24" spans="4:35" x14ac:dyDescent="0.25">
      <c r="E24" s="51"/>
      <c r="F24" s="51"/>
      <c r="G24" s="51"/>
      <c r="H24" s="51"/>
      <c r="I24" s="51"/>
      <c r="J24" s="51"/>
      <c r="AA24" s="228" t="s">
        <v>84</v>
      </c>
      <c r="AB24" s="228">
        <v>-3150225.6767492034</v>
      </c>
      <c r="AC24" s="117">
        <v>814390.23501078214</v>
      </c>
      <c r="AD24" s="117">
        <v>-3.868201681847887</v>
      </c>
      <c r="AE24" s="117">
        <v>1.8613209593574254E-4</v>
      </c>
      <c r="AF24" s="117">
        <v>-4764155.9706011955</v>
      </c>
      <c r="AG24" s="117">
        <v>-1536295.3828972108</v>
      </c>
      <c r="AH24" s="117">
        <v>-4764155.9706011955</v>
      </c>
      <c r="AI24" s="117">
        <v>-1536295.3828972108</v>
      </c>
    </row>
    <row r="25" spans="4:35" x14ac:dyDescent="0.25">
      <c r="E25" s="51"/>
      <c r="F25" s="51"/>
      <c r="AA25" s="228" t="s">
        <v>102</v>
      </c>
      <c r="AB25" s="228">
        <v>-1930403.2172383599</v>
      </c>
      <c r="AC25" s="117">
        <v>831522.83198348235</v>
      </c>
      <c r="AD25" s="117">
        <v>-2.3215276153435869</v>
      </c>
      <c r="AE25" s="117">
        <v>2.2100520140623355E-2</v>
      </c>
      <c r="AF25" s="117">
        <v>-3578286.2969636158</v>
      </c>
      <c r="AG25" s="117">
        <v>-282520.13751310389</v>
      </c>
      <c r="AH25" s="117">
        <v>-3578286.2969636158</v>
      </c>
      <c r="AI25" s="117">
        <v>-282520.13751310389</v>
      </c>
    </row>
    <row r="26" spans="4:35" ht="13" thickBot="1" x14ac:dyDescent="0.3">
      <c r="E26" s="51"/>
      <c r="F26" s="51"/>
      <c r="AA26" s="229" t="s">
        <v>164</v>
      </c>
      <c r="AB26" s="230">
        <v>-147249.17197393018</v>
      </c>
      <c r="AC26" s="118">
        <v>32159.902718337878</v>
      </c>
      <c r="AD26" s="118">
        <v>-4.5786572572549264</v>
      </c>
      <c r="AE26" s="118">
        <v>1.2385244441754316E-5</v>
      </c>
      <c r="AF26" s="118">
        <v>-210982.55065788672</v>
      </c>
      <c r="AG26" s="118">
        <v>-83515.793289973633</v>
      </c>
      <c r="AH26" s="118">
        <v>-210982.55065788672</v>
      </c>
      <c r="AI26" s="118">
        <v>-83515.793289973633</v>
      </c>
    </row>
    <row r="27" spans="4:35" x14ac:dyDescent="0.25">
      <c r="E27" s="51"/>
      <c r="F27" s="51"/>
      <c r="AA27"/>
      <c r="AB27"/>
      <c r="AC27"/>
      <c r="AD27"/>
      <c r="AE27"/>
      <c r="AF27"/>
      <c r="AG27"/>
      <c r="AH27"/>
      <c r="AI27"/>
    </row>
    <row r="28" spans="4:35" x14ac:dyDescent="0.25">
      <c r="E28" s="51"/>
      <c r="F28" s="51"/>
      <c r="AA28"/>
      <c r="AB28"/>
      <c r="AC28"/>
      <c r="AD28"/>
      <c r="AE28"/>
      <c r="AF28"/>
      <c r="AG28"/>
      <c r="AH28"/>
      <c r="AI28"/>
    </row>
    <row r="29" spans="4:35" x14ac:dyDescent="0.25">
      <c r="E29" s="51"/>
      <c r="F29" s="51"/>
      <c r="AA29"/>
      <c r="AB29"/>
      <c r="AC29"/>
      <c r="AD29"/>
      <c r="AE29"/>
      <c r="AF29"/>
      <c r="AG29"/>
      <c r="AH29"/>
      <c r="AI29"/>
    </row>
    <row r="30" spans="4:35" x14ac:dyDescent="0.25">
      <c r="E30" s="51"/>
      <c r="F30" s="51"/>
      <c r="AA30"/>
      <c r="AB30"/>
      <c r="AC30"/>
      <c r="AD30"/>
      <c r="AE30"/>
      <c r="AF30"/>
      <c r="AG30"/>
      <c r="AH30"/>
      <c r="AI30"/>
    </row>
    <row r="31" spans="4:35" x14ac:dyDescent="0.25">
      <c r="E31" s="51"/>
      <c r="F31" s="51"/>
      <c r="AA31" s="117"/>
      <c r="AB31" s="117"/>
      <c r="AC31" s="117"/>
      <c r="AD31" s="117"/>
      <c r="AE31"/>
      <c r="AF31"/>
      <c r="AG31"/>
      <c r="AH31"/>
      <c r="AI31"/>
    </row>
    <row r="32" spans="4:35" x14ac:dyDescent="0.25">
      <c r="E32" s="51"/>
      <c r="F32" s="51"/>
      <c r="AA32" s="117"/>
      <c r="AB32" s="117"/>
      <c r="AC32" s="117"/>
      <c r="AD32" s="117"/>
      <c r="AE32"/>
      <c r="AF32"/>
      <c r="AG32"/>
      <c r="AH32"/>
      <c r="AI32"/>
    </row>
    <row r="33" spans="2:35" x14ac:dyDescent="0.25">
      <c r="E33" s="51"/>
      <c r="F33" s="51"/>
      <c r="O33" s="51"/>
      <c r="AA33" s="117"/>
      <c r="AB33" s="117"/>
      <c r="AC33" s="117"/>
      <c r="AD33" s="117"/>
      <c r="AE33"/>
      <c r="AF33"/>
      <c r="AG33"/>
      <c r="AH33"/>
      <c r="AI33"/>
    </row>
    <row r="34" spans="2:35" ht="50" customHeight="1" x14ac:dyDescent="0.35">
      <c r="B34" s="187" t="s">
        <v>152</v>
      </c>
      <c r="C34" s="187" t="s">
        <v>78</v>
      </c>
      <c r="D34" s="187" t="s">
        <v>149</v>
      </c>
      <c r="E34" s="187" t="s">
        <v>0</v>
      </c>
      <c r="F34" s="187" t="s">
        <v>3</v>
      </c>
      <c r="G34" s="187" t="s">
        <v>4</v>
      </c>
      <c r="H34" s="188" t="s">
        <v>166</v>
      </c>
      <c r="I34" s="187" t="s">
        <v>5</v>
      </c>
      <c r="J34" s="187" t="s">
        <v>96</v>
      </c>
      <c r="K34" s="187" t="s">
        <v>97</v>
      </c>
      <c r="L34" s="187" t="s">
        <v>84</v>
      </c>
      <c r="M34" s="187" t="s">
        <v>102</v>
      </c>
      <c r="N34" s="189" t="s">
        <v>164</v>
      </c>
      <c r="O34" s="189" t="s">
        <v>124</v>
      </c>
      <c r="P34" s="189" t="s">
        <v>157</v>
      </c>
      <c r="AA34" s="117"/>
      <c r="AB34" s="117"/>
      <c r="AC34" s="117"/>
      <c r="AD34" s="117"/>
      <c r="AE34"/>
      <c r="AF34"/>
      <c r="AG34"/>
      <c r="AH34"/>
      <c r="AI34"/>
    </row>
    <row r="35" spans="2:35" ht="14.5" x14ac:dyDescent="0.35">
      <c r="B35" s="191">
        <v>40179</v>
      </c>
      <c r="C35" s="168">
        <f>MONTH(B35)</f>
        <v>1</v>
      </c>
      <c r="D35" s="168">
        <v>2010</v>
      </c>
      <c r="E35" s="181">
        <v>85740317.673846155</v>
      </c>
      <c r="F35" s="167">
        <v>720</v>
      </c>
      <c r="G35" s="167">
        <v>0</v>
      </c>
      <c r="H35" s="237">
        <v>128.72733605771626</v>
      </c>
      <c r="I35" s="50">
        <v>31</v>
      </c>
      <c r="J35" s="50">
        <f>IF(MONTH($B35)=3,1,0)</f>
        <v>0</v>
      </c>
      <c r="K35" s="50">
        <f>IF(MONTH($B35)=4,1,0)</f>
        <v>0</v>
      </c>
      <c r="L35" s="50">
        <f>IF(MONTH($B35)=5,1,0)</f>
        <v>0</v>
      </c>
      <c r="M35" s="50">
        <f>IF(MONTH($B35)=10,1,0)</f>
        <v>0</v>
      </c>
      <c r="N35" s="179">
        <v>1</v>
      </c>
      <c r="O35" s="206">
        <f>$AB$17+MMULT(F35:N35,$AB$18:$AB$26)</f>
        <v>83457069.317182913</v>
      </c>
      <c r="P35" s="206">
        <f>E35-O35</f>
        <v>2283248.356663242</v>
      </c>
      <c r="Q35" s="206"/>
      <c r="R35" s="206"/>
      <c r="S35" s="105"/>
      <c r="AA35" s="117"/>
      <c r="AB35" s="117"/>
      <c r="AC35" s="117"/>
      <c r="AD35" s="117"/>
      <c r="AE35"/>
      <c r="AF35"/>
      <c r="AG35"/>
      <c r="AH35"/>
      <c r="AI35"/>
    </row>
    <row r="36" spans="2:35" ht="14.5" x14ac:dyDescent="0.35">
      <c r="B36" s="191">
        <v>40210</v>
      </c>
      <c r="C36" s="168">
        <f t="shared" ref="C36:C99" si="1">MONTH(B36)</f>
        <v>2</v>
      </c>
      <c r="D36" s="168">
        <v>2010</v>
      </c>
      <c r="E36" s="181">
        <v>76200452.517692298</v>
      </c>
      <c r="F36" s="167">
        <v>598.29999999999995</v>
      </c>
      <c r="G36" s="167">
        <v>0</v>
      </c>
      <c r="H36" s="237">
        <v>129.07908855613877</v>
      </c>
      <c r="I36" s="50">
        <v>28</v>
      </c>
      <c r="J36" s="50">
        <f t="shared" ref="J36:J99" si="2">IF(MONTH($B36)=3,1,0)</f>
        <v>0</v>
      </c>
      <c r="K36" s="50">
        <f t="shared" ref="K36:K99" si="3">IF(MONTH($B36)=4,1,0)</f>
        <v>0</v>
      </c>
      <c r="L36" s="50">
        <f t="shared" ref="L36:L99" si="4">IF(MONTH($B36)=5,1,0)</f>
        <v>0</v>
      </c>
      <c r="M36" s="50">
        <f t="shared" ref="M36:M99" si="5">IF(MONTH($B36)=10,1,0)</f>
        <v>0</v>
      </c>
      <c r="N36" s="179">
        <v>2</v>
      </c>
      <c r="O36" s="206">
        <f t="shared" ref="O36:O99" si="6">$AB$17+MMULT(F36:N36,$AB$18:$AB$26)</f>
        <v>75427607.282936379</v>
      </c>
      <c r="P36" s="206">
        <f t="shared" ref="P36:P99" si="7">E36-O36</f>
        <v>772845.23475591838</v>
      </c>
      <c r="Q36" s="206"/>
      <c r="AA36" s="117"/>
      <c r="AB36" s="117"/>
      <c r="AC36" s="117"/>
      <c r="AD36" s="117"/>
      <c r="AE36"/>
      <c r="AF36"/>
      <c r="AG36"/>
      <c r="AH36"/>
      <c r="AI36"/>
    </row>
    <row r="37" spans="2:35" ht="14.5" x14ac:dyDescent="0.35">
      <c r="B37" s="191">
        <v>40238</v>
      </c>
      <c r="C37" s="168">
        <f t="shared" si="1"/>
        <v>3</v>
      </c>
      <c r="D37" s="168">
        <v>2010</v>
      </c>
      <c r="E37" s="181">
        <v>78025070.524615392</v>
      </c>
      <c r="F37" s="167">
        <v>422.8</v>
      </c>
      <c r="G37" s="167">
        <v>0</v>
      </c>
      <c r="H37" s="237">
        <v>129.43180223206977</v>
      </c>
      <c r="I37" s="50">
        <v>31</v>
      </c>
      <c r="J37" s="50">
        <f t="shared" si="2"/>
        <v>1</v>
      </c>
      <c r="K37" s="50">
        <f t="shared" si="3"/>
        <v>0</v>
      </c>
      <c r="L37" s="50">
        <f t="shared" si="4"/>
        <v>0</v>
      </c>
      <c r="M37" s="50">
        <f t="shared" si="5"/>
        <v>0</v>
      </c>
      <c r="N37" s="179">
        <v>3</v>
      </c>
      <c r="O37" s="206">
        <f t="shared" si="6"/>
        <v>77571784.404356405</v>
      </c>
      <c r="P37" s="206">
        <f t="shared" si="7"/>
        <v>453286.12025898695</v>
      </c>
      <c r="Q37" s="206"/>
      <c r="AA37" s="117"/>
      <c r="AB37" s="117"/>
      <c r="AC37" s="117"/>
      <c r="AD37" s="117"/>
      <c r="AE37"/>
      <c r="AF37"/>
      <c r="AG37"/>
      <c r="AH37"/>
      <c r="AI37"/>
    </row>
    <row r="38" spans="2:35" ht="14.5" x14ac:dyDescent="0.35">
      <c r="B38" s="191">
        <v>40269</v>
      </c>
      <c r="C38" s="168">
        <f t="shared" si="1"/>
        <v>4</v>
      </c>
      <c r="D38" s="168">
        <v>2010</v>
      </c>
      <c r="E38" s="181">
        <v>69790833.687692314</v>
      </c>
      <c r="F38" s="167">
        <v>225.1</v>
      </c>
      <c r="G38" s="167">
        <v>0</v>
      </c>
      <c r="H38" s="237">
        <v>129.78547971196454</v>
      </c>
      <c r="I38" s="50">
        <v>30</v>
      </c>
      <c r="J38" s="50">
        <f t="shared" si="2"/>
        <v>0</v>
      </c>
      <c r="K38" s="50">
        <f t="shared" si="3"/>
        <v>1</v>
      </c>
      <c r="L38" s="50">
        <f t="shared" si="4"/>
        <v>0</v>
      </c>
      <c r="M38" s="50">
        <f t="shared" si="5"/>
        <v>0</v>
      </c>
      <c r="N38" s="179">
        <v>4</v>
      </c>
      <c r="O38" s="206">
        <f t="shared" si="6"/>
        <v>70299810.701978222</v>
      </c>
      <c r="P38" s="206">
        <f t="shared" si="7"/>
        <v>-508977.01428590715</v>
      </c>
      <c r="Q38" s="206"/>
      <c r="AA38" s="117"/>
      <c r="AB38" s="117"/>
      <c r="AC38" s="117"/>
      <c r="AD38" s="117"/>
      <c r="AE38"/>
      <c r="AF38"/>
      <c r="AG38"/>
      <c r="AH38"/>
      <c r="AI38"/>
    </row>
    <row r="39" spans="2:35" ht="14.5" x14ac:dyDescent="0.35">
      <c r="B39" s="191">
        <v>40299</v>
      </c>
      <c r="C39" s="168">
        <f t="shared" si="1"/>
        <v>5</v>
      </c>
      <c r="D39" s="168">
        <v>2010</v>
      </c>
      <c r="E39" s="181">
        <v>76066069.509230763</v>
      </c>
      <c r="F39" s="167">
        <v>107.9</v>
      </c>
      <c r="G39" s="167">
        <v>45.7</v>
      </c>
      <c r="H39" s="237">
        <v>130.14012362945522</v>
      </c>
      <c r="I39" s="50">
        <v>31</v>
      </c>
      <c r="J39" s="50">
        <f t="shared" si="2"/>
        <v>0</v>
      </c>
      <c r="K39" s="50">
        <f t="shared" si="3"/>
        <v>0</v>
      </c>
      <c r="L39" s="50">
        <f t="shared" si="4"/>
        <v>1</v>
      </c>
      <c r="M39" s="50">
        <f t="shared" si="5"/>
        <v>0</v>
      </c>
      <c r="N39" s="179">
        <v>5</v>
      </c>
      <c r="O39" s="206">
        <f t="shared" si="6"/>
        <v>77513453.868146166</v>
      </c>
      <c r="P39" s="206">
        <f t="shared" si="7"/>
        <v>-1447384.3589154035</v>
      </c>
      <c r="Q39" s="206"/>
      <c r="AA39" s="117"/>
      <c r="AB39" s="117"/>
      <c r="AC39" s="117"/>
      <c r="AD39" s="117"/>
      <c r="AE39"/>
      <c r="AF39"/>
      <c r="AG39"/>
      <c r="AH39"/>
      <c r="AI39"/>
    </row>
    <row r="40" spans="2:35" ht="14.5" x14ac:dyDescent="0.35">
      <c r="B40" s="191">
        <v>40330</v>
      </c>
      <c r="C40" s="168">
        <f t="shared" si="1"/>
        <v>6</v>
      </c>
      <c r="D40" s="168">
        <v>2010</v>
      </c>
      <c r="E40" s="181">
        <v>79225717.646153852</v>
      </c>
      <c r="F40" s="167">
        <v>21.7</v>
      </c>
      <c r="G40" s="167">
        <v>58.7</v>
      </c>
      <c r="H40" s="237">
        <v>130.49573662537048</v>
      </c>
      <c r="I40" s="50">
        <v>30</v>
      </c>
      <c r="J40" s="50">
        <f t="shared" si="2"/>
        <v>0</v>
      </c>
      <c r="K40" s="50">
        <f t="shared" si="3"/>
        <v>0</v>
      </c>
      <c r="L40" s="50">
        <f t="shared" si="4"/>
        <v>0</v>
      </c>
      <c r="M40" s="50">
        <f t="shared" si="5"/>
        <v>0</v>
      </c>
      <c r="N40" s="179">
        <v>6</v>
      </c>
      <c r="O40" s="206">
        <f t="shared" si="6"/>
        <v>78983132.221128926</v>
      </c>
      <c r="P40" s="206">
        <f t="shared" si="7"/>
        <v>242585.42502492666</v>
      </c>
      <c r="Q40" s="206"/>
      <c r="AA40" s="117"/>
      <c r="AB40" s="117"/>
      <c r="AC40" s="117"/>
      <c r="AD40" s="117"/>
      <c r="AE40"/>
      <c r="AF40"/>
      <c r="AG40"/>
      <c r="AH40"/>
      <c r="AI40"/>
    </row>
    <row r="41" spans="2:35" ht="14.5" x14ac:dyDescent="0.35">
      <c r="B41" s="191">
        <v>40360</v>
      </c>
      <c r="C41" s="168">
        <f t="shared" si="1"/>
        <v>7</v>
      </c>
      <c r="D41" s="168">
        <v>2010</v>
      </c>
      <c r="E41" s="181">
        <v>89977040.172307685</v>
      </c>
      <c r="F41" s="167">
        <v>1.8</v>
      </c>
      <c r="G41" s="167">
        <v>164.9</v>
      </c>
      <c r="H41" s="237">
        <v>130.85232134775515</v>
      </c>
      <c r="I41" s="50">
        <f>DAY(EOMONTH(B41,0))</f>
        <v>31</v>
      </c>
      <c r="J41" s="50">
        <f t="shared" si="2"/>
        <v>0</v>
      </c>
      <c r="K41" s="50">
        <f t="shared" si="3"/>
        <v>0</v>
      </c>
      <c r="L41" s="50">
        <f t="shared" si="4"/>
        <v>0</v>
      </c>
      <c r="M41" s="50">
        <f t="shared" si="5"/>
        <v>0</v>
      </c>
      <c r="N41" s="179">
        <v>7</v>
      </c>
      <c r="O41" s="206">
        <f t="shared" si="6"/>
        <v>94026468.061231479</v>
      </c>
      <c r="P41" s="206">
        <f t="shared" si="7"/>
        <v>-4049427.888923794</v>
      </c>
      <c r="Q41" s="206"/>
      <c r="AA41" s="117"/>
      <c r="AB41" s="117"/>
      <c r="AC41" s="117"/>
      <c r="AD41" s="117"/>
      <c r="AE41"/>
      <c r="AF41"/>
      <c r="AG41"/>
      <c r="AH41"/>
      <c r="AI41"/>
    </row>
    <row r="42" spans="2:35" ht="14.5" x14ac:dyDescent="0.35">
      <c r="B42" s="191">
        <v>40391</v>
      </c>
      <c r="C42" s="168">
        <f t="shared" si="1"/>
        <v>8</v>
      </c>
      <c r="D42" s="168">
        <v>2010</v>
      </c>
      <c r="E42" s="181">
        <v>88856918.292384624</v>
      </c>
      <c r="F42" s="167">
        <v>2.1</v>
      </c>
      <c r="G42" s="167">
        <v>138.80000000000001</v>
      </c>
      <c r="H42" s="237">
        <v>131.20988045188997</v>
      </c>
      <c r="I42" s="50">
        <f t="shared" ref="I42:I105" si="8">DAY(EOMONTH(B42,0))</f>
        <v>31</v>
      </c>
      <c r="J42" s="50">
        <f t="shared" si="2"/>
        <v>0</v>
      </c>
      <c r="K42" s="50">
        <f t="shared" si="3"/>
        <v>0</v>
      </c>
      <c r="L42" s="50">
        <f t="shared" si="4"/>
        <v>0</v>
      </c>
      <c r="M42" s="50">
        <f t="shared" si="5"/>
        <v>0</v>
      </c>
      <c r="N42" s="179">
        <v>8</v>
      </c>
      <c r="O42" s="206">
        <f t="shared" si="6"/>
        <v>90833094.326353624</v>
      </c>
      <c r="P42" s="206">
        <f t="shared" si="7"/>
        <v>-1976176.033969</v>
      </c>
      <c r="Q42" s="206"/>
      <c r="AA42" s="117"/>
      <c r="AB42" s="117"/>
      <c r="AC42" s="117"/>
      <c r="AD42" s="117"/>
      <c r="AE42"/>
      <c r="AF42"/>
      <c r="AG42"/>
      <c r="AH42"/>
      <c r="AI42"/>
    </row>
    <row r="43" spans="2:35" ht="14.5" x14ac:dyDescent="0.35">
      <c r="B43" s="191">
        <v>40422</v>
      </c>
      <c r="C43" s="168">
        <f t="shared" si="1"/>
        <v>9</v>
      </c>
      <c r="D43" s="168">
        <v>2010</v>
      </c>
      <c r="E43" s="181">
        <v>74349622.304615363</v>
      </c>
      <c r="F43" s="167">
        <v>78.099999999999994</v>
      </c>
      <c r="G43" s="167">
        <v>31.5</v>
      </c>
      <c r="H43" s="237">
        <v>131.56841660031131</v>
      </c>
      <c r="I43" s="50">
        <f t="shared" si="8"/>
        <v>30</v>
      </c>
      <c r="J43" s="50">
        <f t="shared" si="2"/>
        <v>0</v>
      </c>
      <c r="K43" s="50">
        <f t="shared" si="3"/>
        <v>0</v>
      </c>
      <c r="L43" s="50">
        <f t="shared" si="4"/>
        <v>0</v>
      </c>
      <c r="M43" s="50">
        <f t="shared" si="5"/>
        <v>0</v>
      </c>
      <c r="N43" s="179">
        <v>9</v>
      </c>
      <c r="O43" s="206">
        <f t="shared" si="6"/>
        <v>76518737.937287435</v>
      </c>
      <c r="P43" s="206">
        <f t="shared" si="7"/>
        <v>-2169115.6326720715</v>
      </c>
      <c r="Q43" s="206"/>
      <c r="AA43" s="117"/>
      <c r="AB43" s="117"/>
      <c r="AC43" s="117"/>
      <c r="AD43" s="117"/>
      <c r="AE43"/>
      <c r="AF43"/>
      <c r="AG43"/>
      <c r="AH43"/>
      <c r="AI43"/>
    </row>
    <row r="44" spans="2:35" ht="14.5" x14ac:dyDescent="0.35">
      <c r="B44" s="191">
        <v>40452</v>
      </c>
      <c r="C44" s="168">
        <f t="shared" si="1"/>
        <v>10</v>
      </c>
      <c r="D44" s="168">
        <v>2010</v>
      </c>
      <c r="E44" s="181">
        <v>73264038.258461535</v>
      </c>
      <c r="F44" s="167">
        <v>241.6</v>
      </c>
      <c r="G44" s="167">
        <v>0</v>
      </c>
      <c r="H44" s="237">
        <v>131.92793246283102</v>
      </c>
      <c r="I44" s="50">
        <f t="shared" si="8"/>
        <v>31</v>
      </c>
      <c r="J44" s="50">
        <f t="shared" si="2"/>
        <v>0</v>
      </c>
      <c r="K44" s="50">
        <f t="shared" si="3"/>
        <v>0</v>
      </c>
      <c r="L44" s="50">
        <f t="shared" si="4"/>
        <v>0</v>
      </c>
      <c r="M44" s="50">
        <f t="shared" si="5"/>
        <v>1</v>
      </c>
      <c r="N44" s="179">
        <v>10</v>
      </c>
      <c r="O44" s="206">
        <f t="shared" si="6"/>
        <v>75138539.535585403</v>
      </c>
      <c r="P44" s="206">
        <f t="shared" si="7"/>
        <v>-1874501.2771238685</v>
      </c>
      <c r="Q44" s="206"/>
      <c r="AA44" s="117"/>
      <c r="AB44" s="117"/>
      <c r="AC44" s="117"/>
      <c r="AD44" s="117"/>
      <c r="AE44"/>
      <c r="AF44"/>
      <c r="AG44"/>
      <c r="AH44"/>
      <c r="AI44"/>
    </row>
    <row r="45" spans="2:35" ht="14.5" x14ac:dyDescent="0.35">
      <c r="B45" s="191">
        <v>40483</v>
      </c>
      <c r="C45" s="168">
        <f t="shared" si="1"/>
        <v>11</v>
      </c>
      <c r="D45" s="168">
        <v>2010</v>
      </c>
      <c r="E45" s="181">
        <v>76397905.17076923</v>
      </c>
      <c r="F45" s="167">
        <v>405.3</v>
      </c>
      <c r="G45" s="167">
        <v>0</v>
      </c>
      <c r="H45" s="237">
        <v>132.28843071655632</v>
      </c>
      <c r="I45" s="50">
        <f t="shared" si="8"/>
        <v>30</v>
      </c>
      <c r="J45" s="50">
        <f t="shared" si="2"/>
        <v>0</v>
      </c>
      <c r="K45" s="50">
        <f t="shared" si="3"/>
        <v>0</v>
      </c>
      <c r="L45" s="50">
        <f t="shared" si="4"/>
        <v>0</v>
      </c>
      <c r="M45" s="50">
        <f t="shared" si="5"/>
        <v>0</v>
      </c>
      <c r="N45" s="179">
        <v>11</v>
      </c>
      <c r="O45" s="206">
        <f t="shared" si="6"/>
        <v>77291858.701484844</v>
      </c>
      <c r="P45" s="206">
        <f t="shared" si="7"/>
        <v>-893953.53071561456</v>
      </c>
      <c r="Q45" s="206"/>
      <c r="AA45" s="117"/>
      <c r="AB45" s="117"/>
      <c r="AC45" s="117"/>
      <c r="AD45" s="117"/>
      <c r="AE45"/>
      <c r="AF45"/>
      <c r="AG45"/>
      <c r="AH45"/>
      <c r="AI45"/>
    </row>
    <row r="46" spans="2:35" ht="14.5" x14ac:dyDescent="0.35">
      <c r="B46" s="191">
        <v>40513</v>
      </c>
      <c r="C46" s="168">
        <f t="shared" si="1"/>
        <v>12</v>
      </c>
      <c r="D46" s="168">
        <v>2010</v>
      </c>
      <c r="E46" s="181">
        <v>82865126.892307699</v>
      </c>
      <c r="F46" s="167">
        <v>676.2</v>
      </c>
      <c r="G46" s="167">
        <v>0</v>
      </c>
      <c r="H46" s="237">
        <v>132.64991404590961</v>
      </c>
      <c r="I46" s="50">
        <f t="shared" si="8"/>
        <v>31</v>
      </c>
      <c r="J46" s="50">
        <f t="shared" si="2"/>
        <v>0</v>
      </c>
      <c r="K46" s="50">
        <f t="shared" si="3"/>
        <v>0</v>
      </c>
      <c r="L46" s="50">
        <f t="shared" si="4"/>
        <v>0</v>
      </c>
      <c r="M46" s="50">
        <f t="shared" si="5"/>
        <v>0</v>
      </c>
      <c r="N46" s="179">
        <v>12</v>
      </c>
      <c r="O46" s="206">
        <f t="shared" si="6"/>
        <v>83258254.061488017</v>
      </c>
      <c r="P46" s="206">
        <f t="shared" si="7"/>
        <v>-393127.16918031871</v>
      </c>
      <c r="Q46" s="206"/>
      <c r="AA46" s="117"/>
      <c r="AB46" s="117"/>
      <c r="AC46" s="117"/>
      <c r="AD46" s="117"/>
      <c r="AE46"/>
      <c r="AF46"/>
      <c r="AG46"/>
      <c r="AH46"/>
      <c r="AI46"/>
    </row>
    <row r="47" spans="2:35" ht="14.5" x14ac:dyDescent="0.35">
      <c r="B47" s="191">
        <v>40544</v>
      </c>
      <c r="C47" s="168">
        <f t="shared" si="1"/>
        <v>1</v>
      </c>
      <c r="D47" s="168">
        <v>2011</v>
      </c>
      <c r="E47" s="181">
        <v>86054286.131538451</v>
      </c>
      <c r="F47" s="167">
        <v>775.3</v>
      </c>
      <c r="G47" s="167">
        <v>0</v>
      </c>
      <c r="H47" s="237">
        <v>132.81780450021679</v>
      </c>
      <c r="I47" s="50">
        <f t="shared" si="8"/>
        <v>31</v>
      </c>
      <c r="J47" s="50">
        <f t="shared" si="2"/>
        <v>0</v>
      </c>
      <c r="K47" s="50">
        <f t="shared" si="3"/>
        <v>0</v>
      </c>
      <c r="L47" s="50">
        <f t="shared" si="4"/>
        <v>0</v>
      </c>
      <c r="M47" s="50">
        <f t="shared" si="5"/>
        <v>0</v>
      </c>
      <c r="N47" s="179">
        <v>13</v>
      </c>
      <c r="O47" s="206">
        <f t="shared" si="6"/>
        <v>84591173.198384956</v>
      </c>
      <c r="P47" s="206">
        <f t="shared" si="7"/>
        <v>1463112.9331534952</v>
      </c>
      <c r="Q47" s="206"/>
      <c r="AA47" s="117"/>
      <c r="AB47" s="117"/>
      <c r="AC47" s="117"/>
      <c r="AD47" s="117"/>
      <c r="AE47"/>
      <c r="AF47"/>
      <c r="AG47"/>
      <c r="AH47"/>
      <c r="AI47"/>
    </row>
    <row r="48" spans="2:35" ht="14.5" x14ac:dyDescent="0.35">
      <c r="B48" s="191">
        <v>40575</v>
      </c>
      <c r="C48" s="168">
        <f t="shared" si="1"/>
        <v>2</v>
      </c>
      <c r="D48" s="168">
        <v>2011</v>
      </c>
      <c r="E48" s="181">
        <v>76331649.843846157</v>
      </c>
      <c r="F48" s="167">
        <v>654.20000000000005</v>
      </c>
      <c r="G48" s="167">
        <v>0</v>
      </c>
      <c r="H48" s="237">
        <v>132.98590744772346</v>
      </c>
      <c r="I48" s="50">
        <f t="shared" si="8"/>
        <v>28</v>
      </c>
      <c r="J48" s="50">
        <f t="shared" si="2"/>
        <v>0</v>
      </c>
      <c r="K48" s="50">
        <f t="shared" si="3"/>
        <v>0</v>
      </c>
      <c r="L48" s="50">
        <f t="shared" si="4"/>
        <v>0</v>
      </c>
      <c r="M48" s="50">
        <f t="shared" si="5"/>
        <v>0</v>
      </c>
      <c r="N48" s="179">
        <v>14</v>
      </c>
      <c r="O48" s="206">
        <f t="shared" si="6"/>
        <v>76474794.3106433</v>
      </c>
      <c r="P48" s="206">
        <f t="shared" si="7"/>
        <v>-143144.46679714322</v>
      </c>
      <c r="Q48" s="206"/>
      <c r="AA48" s="117"/>
      <c r="AB48" s="117"/>
      <c r="AC48" s="117"/>
      <c r="AD48" s="117"/>
      <c r="AE48"/>
      <c r="AF48"/>
      <c r="AG48"/>
      <c r="AH48"/>
      <c r="AI48"/>
    </row>
    <row r="49" spans="2:35" ht="14.5" x14ac:dyDescent="0.35">
      <c r="B49" s="191">
        <v>40603</v>
      </c>
      <c r="C49" s="168">
        <f t="shared" si="1"/>
        <v>3</v>
      </c>
      <c r="D49" s="168">
        <v>2011</v>
      </c>
      <c r="E49" s="181">
        <v>80293454.303076923</v>
      </c>
      <c r="F49" s="167">
        <v>572.79999999999995</v>
      </c>
      <c r="G49" s="167">
        <v>0</v>
      </c>
      <c r="H49" s="237">
        <v>133.15422315737499</v>
      </c>
      <c r="I49" s="50">
        <f t="shared" si="8"/>
        <v>31</v>
      </c>
      <c r="J49" s="50">
        <f t="shared" si="2"/>
        <v>1</v>
      </c>
      <c r="K49" s="50">
        <f t="shared" si="3"/>
        <v>0</v>
      </c>
      <c r="L49" s="50">
        <f t="shared" si="4"/>
        <v>0</v>
      </c>
      <c r="M49" s="50">
        <f t="shared" si="5"/>
        <v>0</v>
      </c>
      <c r="N49" s="179">
        <v>15</v>
      </c>
      <c r="O49" s="206">
        <f t="shared" si="6"/>
        <v>79845949.239899382</v>
      </c>
      <c r="P49" s="206">
        <f t="shared" si="7"/>
        <v>447505.0631775409</v>
      </c>
      <c r="Q49" s="206"/>
      <c r="AA49" s="117"/>
      <c r="AB49" s="117"/>
      <c r="AC49" s="117"/>
      <c r="AD49" s="117"/>
      <c r="AE49"/>
      <c r="AF49"/>
      <c r="AG49"/>
      <c r="AH49"/>
      <c r="AI49"/>
    </row>
    <row r="50" spans="2:35" ht="14.5" x14ac:dyDescent="0.35">
      <c r="B50" s="191">
        <v>40634</v>
      </c>
      <c r="C50" s="168">
        <f t="shared" si="1"/>
        <v>4</v>
      </c>
      <c r="D50" s="168">
        <v>2011</v>
      </c>
      <c r="E50" s="181">
        <v>71266777.976153851</v>
      </c>
      <c r="F50" s="167">
        <v>332.3</v>
      </c>
      <c r="G50" s="167">
        <v>0</v>
      </c>
      <c r="H50" s="237">
        <v>133.32275189845711</v>
      </c>
      <c r="I50" s="50">
        <f t="shared" si="8"/>
        <v>30</v>
      </c>
      <c r="J50" s="50">
        <f t="shared" si="2"/>
        <v>0</v>
      </c>
      <c r="K50" s="50">
        <f t="shared" si="3"/>
        <v>1</v>
      </c>
      <c r="L50" s="50">
        <f t="shared" si="4"/>
        <v>0</v>
      </c>
      <c r="M50" s="50">
        <f t="shared" si="5"/>
        <v>0</v>
      </c>
      <c r="N50" s="179">
        <v>16</v>
      </c>
      <c r="O50" s="206">
        <f t="shared" si="6"/>
        <v>71876227.97978878</v>
      </c>
      <c r="P50" s="206">
        <f t="shared" si="7"/>
        <v>-609450.00363492966</v>
      </c>
      <c r="Q50" s="206"/>
      <c r="AA50" s="117"/>
      <c r="AB50" s="117"/>
      <c r="AC50" s="117"/>
      <c r="AD50" s="117"/>
      <c r="AE50"/>
      <c r="AF50"/>
      <c r="AG50"/>
      <c r="AH50"/>
      <c r="AI50"/>
    </row>
    <row r="51" spans="2:35" ht="14.5" x14ac:dyDescent="0.35">
      <c r="B51" s="191">
        <v>40664</v>
      </c>
      <c r="C51" s="168">
        <f t="shared" si="1"/>
        <v>5</v>
      </c>
      <c r="D51" s="168">
        <v>2011</v>
      </c>
      <c r="E51" s="181">
        <v>72652305.789999992</v>
      </c>
      <c r="F51" s="167">
        <v>134.1</v>
      </c>
      <c r="G51" s="167">
        <v>13</v>
      </c>
      <c r="H51" s="237">
        <v>133.49149394059646</v>
      </c>
      <c r="I51" s="50">
        <f t="shared" si="8"/>
        <v>31</v>
      </c>
      <c r="J51" s="50">
        <f t="shared" si="2"/>
        <v>0</v>
      </c>
      <c r="K51" s="50">
        <f t="shared" si="3"/>
        <v>0</v>
      </c>
      <c r="L51" s="50">
        <f t="shared" si="4"/>
        <v>1</v>
      </c>
      <c r="M51" s="50">
        <f t="shared" si="5"/>
        <v>0</v>
      </c>
      <c r="N51" s="179">
        <v>17</v>
      </c>
      <c r="O51" s="206">
        <f t="shared" si="6"/>
        <v>73800492.718086153</v>
      </c>
      <c r="P51" s="206">
        <f t="shared" si="7"/>
        <v>-1148186.9280861616</v>
      </c>
      <c r="Q51" s="206"/>
      <c r="AA51" s="117"/>
      <c r="AB51" s="117"/>
      <c r="AC51" s="117"/>
      <c r="AD51" s="117"/>
      <c r="AE51"/>
      <c r="AF51"/>
      <c r="AG51"/>
      <c r="AH51"/>
      <c r="AI51"/>
    </row>
    <row r="52" spans="2:35" ht="14.5" x14ac:dyDescent="0.35">
      <c r="B52" s="191">
        <v>40695</v>
      </c>
      <c r="C52" s="168">
        <f t="shared" si="1"/>
        <v>6</v>
      </c>
      <c r="D52" s="168">
        <v>2011</v>
      </c>
      <c r="E52" s="181">
        <v>76886231.902307689</v>
      </c>
      <c r="F52" s="167">
        <v>19</v>
      </c>
      <c r="G52" s="167">
        <v>52.2</v>
      </c>
      <c r="H52" s="237">
        <v>133.66044955376086</v>
      </c>
      <c r="I52" s="50">
        <f t="shared" si="8"/>
        <v>30</v>
      </c>
      <c r="J52" s="50">
        <f t="shared" si="2"/>
        <v>0</v>
      </c>
      <c r="K52" s="50">
        <f t="shared" si="3"/>
        <v>0</v>
      </c>
      <c r="L52" s="50">
        <f t="shared" si="4"/>
        <v>0</v>
      </c>
      <c r="M52" s="50">
        <f t="shared" si="5"/>
        <v>0</v>
      </c>
      <c r="N52" s="179">
        <v>18</v>
      </c>
      <c r="O52" s="206">
        <f t="shared" si="6"/>
        <v>78015410.088323191</v>
      </c>
      <c r="P52" s="206">
        <f t="shared" si="7"/>
        <v>-1129178.1860155016</v>
      </c>
      <c r="Q52" s="206"/>
      <c r="AA52" s="117"/>
      <c r="AB52" s="117"/>
      <c r="AC52" s="117"/>
      <c r="AD52" s="117"/>
      <c r="AE52"/>
      <c r="AF52"/>
      <c r="AG52"/>
      <c r="AH52"/>
      <c r="AI52"/>
    </row>
    <row r="53" spans="2:35" ht="14.5" x14ac:dyDescent="0.35">
      <c r="B53" s="191">
        <v>40725</v>
      </c>
      <c r="C53" s="168">
        <f t="shared" si="1"/>
        <v>7</v>
      </c>
      <c r="D53" s="168">
        <v>2011</v>
      </c>
      <c r="E53" s="181">
        <v>93432707.71615386</v>
      </c>
      <c r="F53" s="167">
        <v>0</v>
      </c>
      <c r="G53" s="167">
        <v>198.5</v>
      </c>
      <c r="H53" s="237">
        <v>133.82961900825984</v>
      </c>
      <c r="I53" s="50">
        <f t="shared" si="8"/>
        <v>31</v>
      </c>
      <c r="J53" s="50">
        <f t="shared" si="2"/>
        <v>0</v>
      </c>
      <c r="K53" s="50">
        <f t="shared" si="3"/>
        <v>0</v>
      </c>
      <c r="L53" s="50">
        <f t="shared" si="4"/>
        <v>0</v>
      </c>
      <c r="M53" s="50">
        <f t="shared" si="5"/>
        <v>0</v>
      </c>
      <c r="N53" s="179">
        <v>19</v>
      </c>
      <c r="O53" s="206">
        <f t="shared" si="6"/>
        <v>97945854.838626042</v>
      </c>
      <c r="P53" s="206">
        <f t="shared" si="7"/>
        <v>-4513147.1224721819</v>
      </c>
      <c r="Q53" s="206"/>
      <c r="AA53" s="117"/>
      <c r="AB53" s="117"/>
      <c r="AC53" s="117"/>
      <c r="AD53" s="117"/>
      <c r="AE53"/>
      <c r="AF53"/>
      <c r="AG53"/>
      <c r="AH53"/>
      <c r="AI53"/>
    </row>
    <row r="54" spans="2:35" ht="14.5" x14ac:dyDescent="0.35">
      <c r="B54" s="191">
        <v>40756</v>
      </c>
      <c r="C54" s="168">
        <f t="shared" si="1"/>
        <v>8</v>
      </c>
      <c r="D54" s="168">
        <v>2011</v>
      </c>
      <c r="E54" s="181">
        <v>86792642.630769238</v>
      </c>
      <c r="F54" s="167">
        <v>0</v>
      </c>
      <c r="G54" s="167">
        <v>122.2</v>
      </c>
      <c r="H54" s="237">
        <v>133.99900257474505</v>
      </c>
      <c r="I54" s="50">
        <f t="shared" si="8"/>
        <v>31</v>
      </c>
      <c r="J54" s="50">
        <f t="shared" si="2"/>
        <v>0</v>
      </c>
      <c r="K54" s="50">
        <f t="shared" si="3"/>
        <v>0</v>
      </c>
      <c r="L54" s="50">
        <f t="shared" si="4"/>
        <v>0</v>
      </c>
      <c r="M54" s="50">
        <f t="shared" si="5"/>
        <v>0</v>
      </c>
      <c r="N54" s="179">
        <v>20</v>
      </c>
      <c r="O54" s="206">
        <f t="shared" si="6"/>
        <v>88426559.731883541</v>
      </c>
      <c r="P54" s="206">
        <f t="shared" si="7"/>
        <v>-1633917.1011143029</v>
      </c>
      <c r="Q54" s="206"/>
      <c r="AA54" s="117"/>
      <c r="AB54" s="117"/>
      <c r="AC54" s="117"/>
      <c r="AD54" s="117"/>
      <c r="AE54"/>
      <c r="AF54"/>
      <c r="AG54"/>
      <c r="AH54"/>
      <c r="AI54"/>
    </row>
    <row r="55" spans="2:35" ht="14.5" x14ac:dyDescent="0.35">
      <c r="B55" s="191">
        <v>40787</v>
      </c>
      <c r="C55" s="168">
        <f t="shared" si="1"/>
        <v>9</v>
      </c>
      <c r="D55" s="168">
        <v>2011</v>
      </c>
      <c r="E55" s="181">
        <v>75561450.664615378</v>
      </c>
      <c r="F55" s="167">
        <v>48.2</v>
      </c>
      <c r="G55" s="167">
        <v>39.700000000000003</v>
      </c>
      <c r="H55" s="237">
        <v>134.16860052421072</v>
      </c>
      <c r="I55" s="50">
        <f t="shared" si="8"/>
        <v>30</v>
      </c>
      <c r="J55" s="50">
        <f t="shared" si="2"/>
        <v>0</v>
      </c>
      <c r="K55" s="50">
        <f t="shared" si="3"/>
        <v>0</v>
      </c>
      <c r="L55" s="50">
        <f t="shared" si="4"/>
        <v>0</v>
      </c>
      <c r="M55" s="50">
        <f t="shared" si="5"/>
        <v>0</v>
      </c>
      <c r="N55" s="179">
        <v>21</v>
      </c>
      <c r="O55" s="206">
        <f t="shared" si="6"/>
        <v>76698142.52267994</v>
      </c>
      <c r="P55" s="206">
        <f t="shared" si="7"/>
        <v>-1136691.8580645621</v>
      </c>
      <c r="Q55" s="206"/>
      <c r="AA55" s="117"/>
      <c r="AB55" s="117"/>
      <c r="AC55" s="117"/>
      <c r="AD55" s="117"/>
      <c r="AE55"/>
      <c r="AF55"/>
      <c r="AG55"/>
      <c r="AH55"/>
      <c r="AI55"/>
    </row>
    <row r="56" spans="2:35" ht="14.5" x14ac:dyDescent="0.35">
      <c r="B56" s="191">
        <v>40817</v>
      </c>
      <c r="C56" s="168">
        <f t="shared" si="1"/>
        <v>10</v>
      </c>
      <c r="D56" s="168">
        <v>2011</v>
      </c>
      <c r="E56" s="181">
        <v>73210551.581538469</v>
      </c>
      <c r="F56" s="167">
        <v>235.5</v>
      </c>
      <c r="G56" s="167">
        <v>2.4</v>
      </c>
      <c r="H56" s="237">
        <v>134.33841312799402</v>
      </c>
      <c r="I56" s="50">
        <f t="shared" si="8"/>
        <v>31</v>
      </c>
      <c r="J56" s="50">
        <f t="shared" si="2"/>
        <v>0</v>
      </c>
      <c r="K56" s="50">
        <f t="shared" si="3"/>
        <v>0</v>
      </c>
      <c r="L56" s="50">
        <f t="shared" si="4"/>
        <v>0</v>
      </c>
      <c r="M56" s="50">
        <f t="shared" si="5"/>
        <v>1</v>
      </c>
      <c r="N56" s="179">
        <v>22</v>
      </c>
      <c r="O56" s="206">
        <f t="shared" si="6"/>
        <v>74834887.100784674</v>
      </c>
      <c r="P56" s="206">
        <f t="shared" si="7"/>
        <v>-1624335.5192462057</v>
      </c>
      <c r="Q56" s="206"/>
      <c r="AA56" s="117"/>
      <c r="AB56" s="117"/>
      <c r="AC56" s="117"/>
      <c r="AD56" s="117"/>
      <c r="AE56"/>
      <c r="AF56"/>
      <c r="AG56"/>
      <c r="AH56"/>
      <c r="AI56"/>
    </row>
    <row r="57" spans="2:35" ht="14.5" x14ac:dyDescent="0.35">
      <c r="B57" s="191">
        <v>40848</v>
      </c>
      <c r="C57" s="168">
        <f t="shared" si="1"/>
        <v>11</v>
      </c>
      <c r="D57" s="168">
        <v>2011</v>
      </c>
      <c r="E57" s="181">
        <v>74362594.600769222</v>
      </c>
      <c r="F57" s="167">
        <v>342.1</v>
      </c>
      <c r="G57" s="167">
        <v>0</v>
      </c>
      <c r="H57" s="237">
        <v>134.50844065777559</v>
      </c>
      <c r="I57" s="50">
        <f t="shared" si="8"/>
        <v>30</v>
      </c>
      <c r="J57" s="50">
        <f t="shared" si="2"/>
        <v>0</v>
      </c>
      <c r="K57" s="50">
        <f t="shared" si="3"/>
        <v>0</v>
      </c>
      <c r="L57" s="50">
        <f t="shared" si="4"/>
        <v>0</v>
      </c>
      <c r="M57" s="50">
        <f t="shared" si="5"/>
        <v>0</v>
      </c>
      <c r="N57" s="179">
        <v>23</v>
      </c>
      <c r="O57" s="206">
        <f t="shared" si="6"/>
        <v>75789125.578818455</v>
      </c>
      <c r="P57" s="206">
        <f t="shared" si="7"/>
        <v>-1426530.9780492336</v>
      </c>
      <c r="Q57" s="206"/>
      <c r="AA57" s="117"/>
      <c r="AB57" s="117"/>
      <c r="AC57" s="117"/>
      <c r="AD57" s="117"/>
      <c r="AE57"/>
      <c r="AF57"/>
      <c r="AG57"/>
      <c r="AH57"/>
      <c r="AI57"/>
    </row>
    <row r="58" spans="2:35" ht="14.5" x14ac:dyDescent="0.35">
      <c r="B58" s="191">
        <v>40878</v>
      </c>
      <c r="C58" s="168">
        <f t="shared" si="1"/>
        <v>12</v>
      </c>
      <c r="D58" s="168">
        <v>2011</v>
      </c>
      <c r="E58" s="181">
        <v>78058078.98307693</v>
      </c>
      <c r="F58" s="167">
        <v>534</v>
      </c>
      <c r="G58" s="167">
        <v>0</v>
      </c>
      <c r="H58" s="237">
        <v>134.67868338557994</v>
      </c>
      <c r="I58" s="50">
        <f t="shared" si="8"/>
        <v>31</v>
      </c>
      <c r="J58" s="50">
        <f t="shared" si="2"/>
        <v>0</v>
      </c>
      <c r="K58" s="50">
        <f t="shared" si="3"/>
        <v>0</v>
      </c>
      <c r="L58" s="50">
        <f t="shared" si="4"/>
        <v>0</v>
      </c>
      <c r="M58" s="50">
        <f t="shared" si="5"/>
        <v>0</v>
      </c>
      <c r="N58" s="179">
        <v>24</v>
      </c>
      <c r="O58" s="206">
        <f t="shared" si="6"/>
        <v>80545764.999926671</v>
      </c>
      <c r="P58" s="206">
        <f t="shared" si="7"/>
        <v>-2487686.0168497413</v>
      </c>
      <c r="Q58" s="206"/>
      <c r="AA58" s="117"/>
      <c r="AB58" s="117"/>
      <c r="AC58" s="117"/>
      <c r="AD58" s="117"/>
      <c r="AE58"/>
      <c r="AF58"/>
      <c r="AG58"/>
      <c r="AH58"/>
      <c r="AI58"/>
    </row>
    <row r="59" spans="2:35" ht="14.5" x14ac:dyDescent="0.35">
      <c r="B59" s="191">
        <v>40909</v>
      </c>
      <c r="C59" s="168">
        <f t="shared" si="1"/>
        <v>1</v>
      </c>
      <c r="D59" s="168">
        <v>2012</v>
      </c>
      <c r="E59" s="181">
        <v>83475292.246923089</v>
      </c>
      <c r="F59" s="167">
        <v>610.80000000000007</v>
      </c>
      <c r="G59" s="167">
        <v>0</v>
      </c>
      <c r="H59" s="237">
        <v>134.80289547341587</v>
      </c>
      <c r="I59" s="50">
        <f t="shared" si="8"/>
        <v>31</v>
      </c>
      <c r="J59" s="50">
        <f t="shared" si="2"/>
        <v>0</v>
      </c>
      <c r="K59" s="50">
        <f t="shared" si="3"/>
        <v>0</v>
      </c>
      <c r="L59" s="50">
        <f t="shared" si="4"/>
        <v>0</v>
      </c>
      <c r="M59" s="50">
        <f t="shared" si="5"/>
        <v>0</v>
      </c>
      <c r="N59" s="179">
        <v>25</v>
      </c>
      <c r="O59" s="206">
        <f t="shared" si="6"/>
        <v>81542546.283964381</v>
      </c>
      <c r="P59" s="206">
        <f t="shared" si="7"/>
        <v>1932745.9629587084</v>
      </c>
      <c r="Q59" s="206"/>
      <c r="AA59" s="117"/>
      <c r="AB59" s="117"/>
      <c r="AC59" s="117"/>
      <c r="AD59" s="117"/>
      <c r="AE59"/>
      <c r="AF59"/>
      <c r="AG59"/>
      <c r="AH59"/>
      <c r="AI59"/>
    </row>
    <row r="60" spans="2:35" ht="14.5" x14ac:dyDescent="0.35">
      <c r="B60" s="191">
        <v>40940</v>
      </c>
      <c r="C60" s="168">
        <f t="shared" si="1"/>
        <v>2</v>
      </c>
      <c r="D60" s="168">
        <v>2012</v>
      </c>
      <c r="E60" s="181">
        <v>76561559.599230751</v>
      </c>
      <c r="F60" s="167">
        <v>532</v>
      </c>
      <c r="G60" s="167">
        <v>0</v>
      </c>
      <c r="H60" s="237">
        <v>134.92722212015877</v>
      </c>
      <c r="I60" s="50">
        <f t="shared" si="8"/>
        <v>29</v>
      </c>
      <c r="J60" s="50">
        <f t="shared" si="2"/>
        <v>0</v>
      </c>
      <c r="K60" s="50">
        <f t="shared" si="3"/>
        <v>0</v>
      </c>
      <c r="L60" s="50">
        <f t="shared" si="4"/>
        <v>0</v>
      </c>
      <c r="M60" s="50">
        <f t="shared" si="5"/>
        <v>0</v>
      </c>
      <c r="N60" s="179">
        <v>26</v>
      </c>
      <c r="O60" s="206">
        <f t="shared" si="6"/>
        <v>76116084.233644649</v>
      </c>
      <c r="P60" s="206">
        <f t="shared" si="7"/>
        <v>445475.36558610201</v>
      </c>
      <c r="Q60" s="206"/>
      <c r="AA60" s="117"/>
      <c r="AB60" s="117"/>
      <c r="AC60" s="117"/>
      <c r="AD60" s="117"/>
      <c r="AE60"/>
      <c r="AF60"/>
      <c r="AG60"/>
      <c r="AH60"/>
      <c r="AI60"/>
    </row>
    <row r="61" spans="2:35" ht="14.5" x14ac:dyDescent="0.35">
      <c r="B61" s="191">
        <v>40969</v>
      </c>
      <c r="C61" s="168">
        <f t="shared" si="1"/>
        <v>3</v>
      </c>
      <c r="D61" s="168">
        <v>2012</v>
      </c>
      <c r="E61" s="181">
        <v>76020277.875384629</v>
      </c>
      <c r="F61" s="167">
        <v>349.40000000000009</v>
      </c>
      <c r="G61" s="167">
        <v>0.2</v>
      </c>
      <c r="H61" s="237">
        <v>135.05166343146462</v>
      </c>
      <c r="I61" s="50">
        <f t="shared" si="8"/>
        <v>31</v>
      </c>
      <c r="J61" s="50">
        <f t="shared" si="2"/>
        <v>1</v>
      </c>
      <c r="K61" s="50">
        <f t="shared" si="3"/>
        <v>0</v>
      </c>
      <c r="L61" s="50">
        <f t="shared" si="4"/>
        <v>0</v>
      </c>
      <c r="M61" s="50">
        <f t="shared" si="5"/>
        <v>0</v>
      </c>
      <c r="N61" s="179">
        <v>27</v>
      </c>
      <c r="O61" s="206">
        <f t="shared" si="6"/>
        <v>75948682.795785144</v>
      </c>
      <c r="P61" s="206">
        <f t="shared" si="7"/>
        <v>71595.079599484801</v>
      </c>
      <c r="Q61" s="206"/>
      <c r="AA61" s="117"/>
      <c r="AB61" s="117"/>
      <c r="AC61" s="117"/>
      <c r="AD61" s="117"/>
      <c r="AE61"/>
      <c r="AF61"/>
      <c r="AG61"/>
      <c r="AH61"/>
      <c r="AI61"/>
    </row>
    <row r="62" spans="2:35" ht="14.5" x14ac:dyDescent="0.35">
      <c r="B62" s="191">
        <v>41000</v>
      </c>
      <c r="C62" s="168">
        <f t="shared" si="1"/>
        <v>4</v>
      </c>
      <c r="D62" s="168">
        <v>2012</v>
      </c>
      <c r="E62" s="181">
        <v>69885111.659999996</v>
      </c>
      <c r="F62" s="167">
        <v>321.70000000000005</v>
      </c>
      <c r="G62" s="167">
        <v>0</v>
      </c>
      <c r="H62" s="237">
        <v>135.17621951308675</v>
      </c>
      <c r="I62" s="50">
        <f t="shared" si="8"/>
        <v>30</v>
      </c>
      <c r="J62" s="50">
        <f t="shared" si="2"/>
        <v>0</v>
      </c>
      <c r="K62" s="50">
        <f t="shared" si="3"/>
        <v>1</v>
      </c>
      <c r="L62" s="50">
        <f t="shared" si="4"/>
        <v>0</v>
      </c>
      <c r="M62" s="50">
        <f t="shared" si="5"/>
        <v>0</v>
      </c>
      <c r="N62" s="179">
        <v>28</v>
      </c>
      <c r="O62" s="206">
        <f t="shared" si="6"/>
        <v>70922558.435856849</v>
      </c>
      <c r="P62" s="206">
        <f t="shared" si="7"/>
        <v>-1037446.7758568525</v>
      </c>
      <c r="Q62" s="206"/>
      <c r="AA62" s="117"/>
      <c r="AB62" s="117"/>
      <c r="AC62" s="117"/>
      <c r="AD62" s="117"/>
      <c r="AE62"/>
      <c r="AF62"/>
      <c r="AG62"/>
      <c r="AH62"/>
      <c r="AI62"/>
    </row>
    <row r="63" spans="2:35" ht="14.5" x14ac:dyDescent="0.35">
      <c r="B63" s="191">
        <v>41030</v>
      </c>
      <c r="C63" s="168">
        <f t="shared" si="1"/>
        <v>5</v>
      </c>
      <c r="D63" s="168">
        <v>2012</v>
      </c>
      <c r="E63" s="181">
        <v>77152267.277272731</v>
      </c>
      <c r="F63" s="167">
        <v>81.300000000000011</v>
      </c>
      <c r="G63" s="167">
        <v>36.700000000000003</v>
      </c>
      <c r="H63" s="237">
        <v>135.30089047087608</v>
      </c>
      <c r="I63" s="50">
        <f t="shared" si="8"/>
        <v>31</v>
      </c>
      <c r="J63" s="50">
        <f t="shared" si="2"/>
        <v>0</v>
      </c>
      <c r="K63" s="50">
        <f t="shared" si="3"/>
        <v>0</v>
      </c>
      <c r="L63" s="50">
        <f t="shared" si="4"/>
        <v>1</v>
      </c>
      <c r="M63" s="50">
        <f t="shared" si="5"/>
        <v>0</v>
      </c>
      <c r="N63" s="179">
        <v>29</v>
      </c>
      <c r="O63" s="206">
        <f t="shared" si="6"/>
        <v>75169181.060763493</v>
      </c>
      <c r="P63" s="206">
        <f t="shared" si="7"/>
        <v>1983086.2165092379</v>
      </c>
      <c r="Q63" s="206"/>
      <c r="AA63" s="117"/>
      <c r="AB63" s="117"/>
      <c r="AC63" s="117"/>
      <c r="AD63" s="117"/>
      <c r="AE63"/>
      <c r="AF63"/>
      <c r="AG63"/>
      <c r="AH63"/>
      <c r="AI63"/>
    </row>
    <row r="64" spans="2:35" ht="14.5" x14ac:dyDescent="0.35">
      <c r="B64" s="191">
        <v>41061</v>
      </c>
      <c r="C64" s="168">
        <f t="shared" si="1"/>
        <v>6</v>
      </c>
      <c r="D64" s="168">
        <v>2012</v>
      </c>
      <c r="E64" s="181">
        <v>83683996.899090916</v>
      </c>
      <c r="F64" s="167">
        <v>23.2</v>
      </c>
      <c r="G64" s="167">
        <v>101.60000000000001</v>
      </c>
      <c r="H64" s="237">
        <v>135.42567641078114</v>
      </c>
      <c r="I64" s="50">
        <f t="shared" si="8"/>
        <v>30</v>
      </c>
      <c r="J64" s="50">
        <f t="shared" si="2"/>
        <v>0</v>
      </c>
      <c r="K64" s="50">
        <f t="shared" si="3"/>
        <v>0</v>
      </c>
      <c r="L64" s="50">
        <f t="shared" si="4"/>
        <v>0</v>
      </c>
      <c r="M64" s="50">
        <f t="shared" si="5"/>
        <v>0</v>
      </c>
      <c r="N64" s="179">
        <v>30</v>
      </c>
      <c r="O64" s="206">
        <f t="shared" si="6"/>
        <v>83348778.726111874</v>
      </c>
      <c r="P64" s="206">
        <f t="shared" si="7"/>
        <v>335218.17297904193</v>
      </c>
      <c r="Q64" s="206"/>
      <c r="AA64" s="117"/>
      <c r="AB64" s="117"/>
      <c r="AC64" s="117"/>
      <c r="AD64" s="117"/>
      <c r="AE64"/>
      <c r="AF64"/>
      <c r="AG64"/>
      <c r="AH64"/>
      <c r="AI64"/>
    </row>
    <row r="65" spans="2:35" ht="14.5" x14ac:dyDescent="0.35">
      <c r="B65" s="191">
        <v>41091</v>
      </c>
      <c r="C65" s="168">
        <f t="shared" si="1"/>
        <v>7</v>
      </c>
      <c r="D65" s="168">
        <v>2012</v>
      </c>
      <c r="E65" s="181">
        <v>97430291.178181812</v>
      </c>
      <c r="F65" s="167">
        <v>0</v>
      </c>
      <c r="G65" s="167">
        <v>190.09999999999997</v>
      </c>
      <c r="H65" s="237">
        <v>135.55057743884817</v>
      </c>
      <c r="I65" s="50">
        <f t="shared" si="8"/>
        <v>31</v>
      </c>
      <c r="J65" s="50">
        <f t="shared" si="2"/>
        <v>0</v>
      </c>
      <c r="K65" s="50">
        <f t="shared" si="3"/>
        <v>0</v>
      </c>
      <c r="L65" s="50">
        <f t="shared" si="4"/>
        <v>0</v>
      </c>
      <c r="M65" s="50">
        <f t="shared" si="5"/>
        <v>0</v>
      </c>
      <c r="N65" s="179">
        <v>31</v>
      </c>
      <c r="O65" s="206">
        <f t="shared" si="6"/>
        <v>96030918.779882506</v>
      </c>
      <c r="P65" s="206">
        <f t="shared" si="7"/>
        <v>1399372.3982993066</v>
      </c>
      <c r="Q65" s="206"/>
      <c r="AA65" s="117"/>
      <c r="AB65" s="117"/>
      <c r="AC65" s="117"/>
      <c r="AD65" s="117"/>
      <c r="AE65"/>
      <c r="AF65"/>
      <c r="AG65"/>
      <c r="AH65"/>
      <c r="AI65"/>
    </row>
    <row r="66" spans="2:35" ht="14.5" x14ac:dyDescent="0.35">
      <c r="B66" s="191">
        <v>41122</v>
      </c>
      <c r="C66" s="168">
        <f t="shared" si="1"/>
        <v>8</v>
      </c>
      <c r="D66" s="168">
        <v>2012</v>
      </c>
      <c r="E66" s="181">
        <v>90717698.745454535</v>
      </c>
      <c r="F66" s="167">
        <v>2</v>
      </c>
      <c r="G66" s="167">
        <v>112.10000000000001</v>
      </c>
      <c r="H66" s="237">
        <v>135.67559366122123</v>
      </c>
      <c r="I66" s="50">
        <f t="shared" si="8"/>
        <v>31</v>
      </c>
      <c r="J66" s="50">
        <f t="shared" si="2"/>
        <v>0</v>
      </c>
      <c r="K66" s="50">
        <f t="shared" si="3"/>
        <v>0</v>
      </c>
      <c r="L66" s="50">
        <f t="shared" si="4"/>
        <v>0</v>
      </c>
      <c r="M66" s="50">
        <f t="shared" si="5"/>
        <v>0</v>
      </c>
      <c r="N66" s="179">
        <v>32</v>
      </c>
      <c r="O66" s="206">
        <f t="shared" si="6"/>
        <v>86305928.144156024</v>
      </c>
      <c r="P66" s="206">
        <f t="shared" si="7"/>
        <v>4411770.601298511</v>
      </c>
      <c r="Q66" s="206"/>
      <c r="AA66" s="117"/>
      <c r="AB66" s="117"/>
      <c r="AC66" s="117"/>
      <c r="AD66" s="117"/>
      <c r="AE66"/>
      <c r="AF66"/>
      <c r="AG66"/>
      <c r="AH66"/>
      <c r="AI66"/>
    </row>
    <row r="67" spans="2:35" ht="14.5" x14ac:dyDescent="0.35">
      <c r="B67" s="191">
        <v>41153</v>
      </c>
      <c r="C67" s="168">
        <f t="shared" si="1"/>
        <v>9</v>
      </c>
      <c r="D67" s="168">
        <v>2012</v>
      </c>
      <c r="E67" s="181">
        <v>77862574.99090907</v>
      </c>
      <c r="F67" s="167">
        <v>85</v>
      </c>
      <c r="G67" s="167">
        <v>35.6</v>
      </c>
      <c r="H67" s="237">
        <v>135.80072518414227</v>
      </c>
      <c r="I67" s="50">
        <f t="shared" si="8"/>
        <v>30</v>
      </c>
      <c r="J67" s="50">
        <f t="shared" si="2"/>
        <v>0</v>
      </c>
      <c r="K67" s="50">
        <f t="shared" si="3"/>
        <v>0</v>
      </c>
      <c r="L67" s="50">
        <f t="shared" si="4"/>
        <v>0</v>
      </c>
      <c r="M67" s="50">
        <f t="shared" si="5"/>
        <v>0</v>
      </c>
      <c r="N67" s="179">
        <v>33</v>
      </c>
      <c r="O67" s="206">
        <f t="shared" si="6"/>
        <v>75787495.203339711</v>
      </c>
      <c r="P67" s="206">
        <f t="shared" si="7"/>
        <v>2075079.7875693589</v>
      </c>
      <c r="Q67" s="206"/>
      <c r="AA67" s="117"/>
      <c r="AB67" s="117"/>
      <c r="AC67" s="117"/>
      <c r="AD67" s="117"/>
      <c r="AE67"/>
      <c r="AF67"/>
      <c r="AG67"/>
      <c r="AH67"/>
      <c r="AI67"/>
    </row>
    <row r="68" spans="2:35" ht="14.5" x14ac:dyDescent="0.35">
      <c r="B68" s="191">
        <v>41183</v>
      </c>
      <c r="C68" s="168">
        <f t="shared" si="1"/>
        <v>10</v>
      </c>
      <c r="D68" s="168">
        <v>2012</v>
      </c>
      <c r="E68" s="181">
        <v>75966062.297272757</v>
      </c>
      <c r="F68" s="167">
        <v>242.50000000000003</v>
      </c>
      <c r="G68" s="167">
        <v>1.1000000000000001</v>
      </c>
      <c r="H68" s="237">
        <v>135.92597211395122</v>
      </c>
      <c r="I68" s="50">
        <f t="shared" si="8"/>
        <v>31</v>
      </c>
      <c r="J68" s="50">
        <f t="shared" si="2"/>
        <v>0</v>
      </c>
      <c r="K68" s="50">
        <f t="shared" si="3"/>
        <v>0</v>
      </c>
      <c r="L68" s="50">
        <f t="shared" si="4"/>
        <v>0</v>
      </c>
      <c r="M68" s="50">
        <f t="shared" si="5"/>
        <v>1</v>
      </c>
      <c r="N68" s="179">
        <v>34</v>
      </c>
      <c r="O68" s="206">
        <f t="shared" si="6"/>
        <v>73829373.038768142</v>
      </c>
      <c r="P68" s="206">
        <f t="shared" si="7"/>
        <v>2136689.2585046142</v>
      </c>
      <c r="Q68" s="206"/>
      <c r="AA68" s="117"/>
      <c r="AB68" s="117"/>
      <c r="AC68" s="117"/>
      <c r="AD68" s="117"/>
      <c r="AE68"/>
      <c r="AF68"/>
      <c r="AG68"/>
      <c r="AH68"/>
      <c r="AI68"/>
    </row>
    <row r="69" spans="2:35" ht="14.5" x14ac:dyDescent="0.35">
      <c r="B69" s="191">
        <v>41214</v>
      </c>
      <c r="C69" s="168">
        <f t="shared" si="1"/>
        <v>11</v>
      </c>
      <c r="D69" s="168">
        <v>2012</v>
      </c>
      <c r="E69" s="181">
        <v>77579680.941818193</v>
      </c>
      <c r="F69" s="167">
        <v>433.99999999999994</v>
      </c>
      <c r="G69" s="167">
        <v>0</v>
      </c>
      <c r="H69" s="237">
        <v>136.05133455708605</v>
      </c>
      <c r="I69" s="50">
        <f t="shared" si="8"/>
        <v>30</v>
      </c>
      <c r="J69" s="50">
        <f t="shared" si="2"/>
        <v>0</v>
      </c>
      <c r="K69" s="50">
        <f t="shared" si="3"/>
        <v>0</v>
      </c>
      <c r="L69" s="50">
        <f t="shared" si="4"/>
        <v>0</v>
      </c>
      <c r="M69" s="50">
        <f t="shared" si="5"/>
        <v>0</v>
      </c>
      <c r="N69" s="179">
        <v>35</v>
      </c>
      <c r="O69" s="206">
        <f t="shared" si="6"/>
        <v>76114998.099659368</v>
      </c>
      <c r="P69" s="206">
        <f t="shared" si="7"/>
        <v>1464682.8421588242</v>
      </c>
      <c r="Q69" s="206"/>
      <c r="AA69" s="117"/>
      <c r="AB69" s="117"/>
      <c r="AC69" s="117"/>
      <c r="AD69" s="117"/>
      <c r="AE69"/>
      <c r="AF69"/>
      <c r="AG69"/>
      <c r="AH69"/>
      <c r="AI69"/>
    </row>
    <row r="70" spans="2:35" ht="14.5" x14ac:dyDescent="0.35">
      <c r="B70" s="191">
        <v>41244</v>
      </c>
      <c r="C70" s="168">
        <f t="shared" si="1"/>
        <v>12</v>
      </c>
      <c r="D70" s="168">
        <v>2012</v>
      </c>
      <c r="E70" s="181">
        <v>78044416.993636355</v>
      </c>
      <c r="F70" s="167">
        <v>533.50000000000011</v>
      </c>
      <c r="G70" s="167">
        <v>0</v>
      </c>
      <c r="H70" s="237">
        <v>136.17681262008293</v>
      </c>
      <c r="I70" s="50">
        <f t="shared" si="8"/>
        <v>31</v>
      </c>
      <c r="J70" s="50">
        <f t="shared" si="2"/>
        <v>0</v>
      </c>
      <c r="K70" s="50">
        <f t="shared" si="3"/>
        <v>0</v>
      </c>
      <c r="L70" s="50">
        <f t="shared" si="4"/>
        <v>0</v>
      </c>
      <c r="M70" s="50">
        <f t="shared" si="5"/>
        <v>0</v>
      </c>
      <c r="N70" s="179">
        <v>36</v>
      </c>
      <c r="O70" s="206">
        <f t="shared" si="6"/>
        <v>79549574.646311119</v>
      </c>
      <c r="P70" s="206">
        <f t="shared" si="7"/>
        <v>-1505157.6526747644</v>
      </c>
      <c r="Q70" s="206"/>
      <c r="AA70" s="117"/>
      <c r="AB70" s="117"/>
      <c r="AC70" s="117"/>
      <c r="AD70" s="117"/>
      <c r="AE70"/>
      <c r="AF70"/>
      <c r="AG70"/>
      <c r="AH70"/>
      <c r="AI70"/>
    </row>
    <row r="71" spans="2:35" ht="14.5" x14ac:dyDescent="0.35">
      <c r="B71" s="191">
        <v>41275</v>
      </c>
      <c r="C71" s="168">
        <f t="shared" si="1"/>
        <v>1</v>
      </c>
      <c r="D71" s="168">
        <v>2013</v>
      </c>
      <c r="E71" s="181">
        <v>84721792.143333375</v>
      </c>
      <c r="F71" s="167">
        <v>624.40000000000009</v>
      </c>
      <c r="G71" s="167">
        <v>0</v>
      </c>
      <c r="H71" s="237">
        <v>136.33254285243484</v>
      </c>
      <c r="I71" s="50">
        <f t="shared" si="8"/>
        <v>31</v>
      </c>
      <c r="J71" s="50">
        <f t="shared" si="2"/>
        <v>0</v>
      </c>
      <c r="K71" s="50">
        <f t="shared" si="3"/>
        <v>0</v>
      </c>
      <c r="L71" s="50">
        <f t="shared" si="4"/>
        <v>0</v>
      </c>
      <c r="M71" s="50">
        <f t="shared" si="5"/>
        <v>0</v>
      </c>
      <c r="N71" s="179">
        <v>37</v>
      </c>
      <c r="O71" s="206">
        <f t="shared" si="6"/>
        <v>80760916.859124705</v>
      </c>
      <c r="P71" s="206">
        <f t="shared" si="7"/>
        <v>3960875.2842086703</v>
      </c>
      <c r="Q71" s="206"/>
      <c r="AA71" s="117"/>
      <c r="AB71" s="117"/>
      <c r="AC71" s="117"/>
      <c r="AD71" s="117"/>
      <c r="AE71"/>
      <c r="AF71"/>
      <c r="AG71"/>
      <c r="AH71"/>
      <c r="AI71"/>
    </row>
    <row r="72" spans="2:35" ht="14.5" x14ac:dyDescent="0.35">
      <c r="B72" s="191">
        <v>41306</v>
      </c>
      <c r="C72" s="168">
        <f t="shared" si="1"/>
        <v>2</v>
      </c>
      <c r="D72" s="168">
        <v>2013</v>
      </c>
      <c r="E72" s="181">
        <v>76515852.360000014</v>
      </c>
      <c r="F72" s="167">
        <v>631.49999999999989</v>
      </c>
      <c r="G72" s="167">
        <v>0</v>
      </c>
      <c r="H72" s="237">
        <v>136.4884511760844</v>
      </c>
      <c r="I72" s="50">
        <f t="shared" si="8"/>
        <v>28</v>
      </c>
      <c r="J72" s="50">
        <f t="shared" si="2"/>
        <v>0</v>
      </c>
      <c r="K72" s="50">
        <f t="shared" si="3"/>
        <v>0</v>
      </c>
      <c r="L72" s="50">
        <f t="shared" si="4"/>
        <v>0</v>
      </c>
      <c r="M72" s="50">
        <f t="shared" si="5"/>
        <v>0</v>
      </c>
      <c r="N72" s="179">
        <v>38</v>
      </c>
      <c r="O72" s="206">
        <f t="shared" si="6"/>
        <v>74440250.498076394</v>
      </c>
      <c r="P72" s="206">
        <f t="shared" si="7"/>
        <v>2075601.8619236201</v>
      </c>
      <c r="Q72" s="206"/>
      <c r="AA72" s="117"/>
      <c r="AB72" s="117"/>
      <c r="AC72" s="117"/>
      <c r="AD72" s="117"/>
      <c r="AE72"/>
      <c r="AF72"/>
      <c r="AG72"/>
      <c r="AH72"/>
      <c r="AI72"/>
    </row>
    <row r="73" spans="2:35" ht="14.5" x14ac:dyDescent="0.35">
      <c r="B73" s="191">
        <v>41334</v>
      </c>
      <c r="C73" s="168">
        <f t="shared" si="1"/>
        <v>3</v>
      </c>
      <c r="D73" s="168">
        <v>2013</v>
      </c>
      <c r="E73" s="181">
        <v>80320040.103333354</v>
      </c>
      <c r="F73" s="167">
        <v>554.79999999999995</v>
      </c>
      <c r="G73" s="167">
        <v>0</v>
      </c>
      <c r="H73" s="237">
        <v>136.64453779469474</v>
      </c>
      <c r="I73" s="50">
        <f t="shared" si="8"/>
        <v>31</v>
      </c>
      <c r="J73" s="50">
        <f t="shared" si="2"/>
        <v>1</v>
      </c>
      <c r="K73" s="50">
        <f t="shared" si="3"/>
        <v>0</v>
      </c>
      <c r="L73" s="50">
        <f t="shared" si="4"/>
        <v>0</v>
      </c>
      <c r="M73" s="50">
        <f t="shared" si="5"/>
        <v>0</v>
      </c>
      <c r="N73" s="179">
        <v>39</v>
      </c>
      <c r="O73" s="206">
        <f t="shared" si="6"/>
        <v>77871121.663812295</v>
      </c>
      <c r="P73" s="206">
        <f t="shared" si="7"/>
        <v>2448918.4395210594</v>
      </c>
      <c r="Q73" s="206"/>
      <c r="AA73" s="117"/>
      <c r="AB73" s="117"/>
      <c r="AC73" s="117"/>
      <c r="AD73" s="117"/>
      <c r="AE73"/>
      <c r="AF73"/>
      <c r="AG73"/>
      <c r="AH73"/>
      <c r="AI73"/>
    </row>
    <row r="74" spans="2:35" ht="14.5" x14ac:dyDescent="0.35">
      <c r="B74" s="191">
        <v>41365</v>
      </c>
      <c r="C74" s="168">
        <f t="shared" si="1"/>
        <v>4</v>
      </c>
      <c r="D74" s="168">
        <v>2013</v>
      </c>
      <c r="E74" s="181">
        <v>73854214.826666668</v>
      </c>
      <c r="F74" s="167">
        <v>358.6</v>
      </c>
      <c r="G74" s="167">
        <v>0</v>
      </c>
      <c r="H74" s="237">
        <v>136.80080291216194</v>
      </c>
      <c r="I74" s="50">
        <f t="shared" si="8"/>
        <v>30</v>
      </c>
      <c r="J74" s="50">
        <f t="shared" si="2"/>
        <v>0</v>
      </c>
      <c r="K74" s="50">
        <f t="shared" si="3"/>
        <v>1</v>
      </c>
      <c r="L74" s="50">
        <f t="shared" si="4"/>
        <v>0</v>
      </c>
      <c r="M74" s="50">
        <f t="shared" si="5"/>
        <v>0</v>
      </c>
      <c r="N74" s="179">
        <v>40</v>
      </c>
      <c r="O74" s="206">
        <f t="shared" si="6"/>
        <v>70517736.317661837</v>
      </c>
      <c r="P74" s="206">
        <f t="shared" si="7"/>
        <v>3336478.5090048313</v>
      </c>
      <c r="Q74" s="206"/>
      <c r="AA74" s="117"/>
      <c r="AB74" s="117"/>
      <c r="AC74" s="117"/>
      <c r="AD74" s="117"/>
      <c r="AE74"/>
      <c r="AF74"/>
      <c r="AG74"/>
      <c r="AH74"/>
      <c r="AI74"/>
    </row>
    <row r="75" spans="2:35" ht="14.5" x14ac:dyDescent="0.35">
      <c r="B75" s="191">
        <v>41395</v>
      </c>
      <c r="C75" s="168">
        <f t="shared" si="1"/>
        <v>5</v>
      </c>
      <c r="D75" s="168">
        <v>2013</v>
      </c>
      <c r="E75" s="181">
        <v>75766818.393333361</v>
      </c>
      <c r="F75" s="167">
        <v>109.10000000000001</v>
      </c>
      <c r="G75" s="167">
        <v>23.1</v>
      </c>
      <c r="H75" s="237">
        <v>136.95724673261523</v>
      </c>
      <c r="I75" s="50">
        <f t="shared" si="8"/>
        <v>31</v>
      </c>
      <c r="J75" s="50">
        <f t="shared" si="2"/>
        <v>0</v>
      </c>
      <c r="K75" s="50">
        <f t="shared" si="3"/>
        <v>0</v>
      </c>
      <c r="L75" s="50">
        <f t="shared" si="4"/>
        <v>1</v>
      </c>
      <c r="M75" s="50">
        <f t="shared" si="5"/>
        <v>0</v>
      </c>
      <c r="N75" s="179">
        <v>41</v>
      </c>
      <c r="O75" s="206">
        <f t="shared" si="6"/>
        <v>72966756.910483301</v>
      </c>
      <c r="P75" s="206">
        <f t="shared" si="7"/>
        <v>2800061.4828500599</v>
      </c>
      <c r="Q75" s="206"/>
      <c r="AA75" s="117"/>
      <c r="AB75" s="117"/>
      <c r="AC75" s="117"/>
      <c r="AD75" s="117"/>
      <c r="AE75"/>
      <c r="AF75"/>
      <c r="AG75"/>
      <c r="AH75"/>
      <c r="AI75"/>
    </row>
    <row r="76" spans="2:35" ht="14.5" x14ac:dyDescent="0.35">
      <c r="B76" s="191">
        <v>41426</v>
      </c>
      <c r="C76" s="168">
        <f t="shared" si="1"/>
        <v>6</v>
      </c>
      <c r="D76" s="168">
        <v>2013</v>
      </c>
      <c r="E76" s="181">
        <v>79605453.473333344</v>
      </c>
      <c r="F76" s="173">
        <v>33</v>
      </c>
      <c r="G76" s="173">
        <v>59.599999999999994</v>
      </c>
      <c r="H76" s="237">
        <v>137.11386946041728</v>
      </c>
      <c r="I76" s="50">
        <f t="shared" si="8"/>
        <v>30</v>
      </c>
      <c r="J76" s="50">
        <f t="shared" si="2"/>
        <v>0</v>
      </c>
      <c r="K76" s="50">
        <f t="shared" si="3"/>
        <v>0</v>
      </c>
      <c r="L76" s="50">
        <f t="shared" si="4"/>
        <v>0</v>
      </c>
      <c r="M76" s="50">
        <f t="shared" si="5"/>
        <v>0</v>
      </c>
      <c r="N76" s="179">
        <v>42</v>
      </c>
      <c r="O76" s="206">
        <f t="shared" si="6"/>
        <v>77388717.58126767</v>
      </c>
      <c r="P76" s="206">
        <f t="shared" si="7"/>
        <v>2216735.8920656741</v>
      </c>
      <c r="Q76" s="206"/>
      <c r="AA76" s="117"/>
      <c r="AB76" s="117"/>
      <c r="AC76" s="117"/>
      <c r="AD76" s="117"/>
      <c r="AE76"/>
      <c r="AF76"/>
      <c r="AG76"/>
      <c r="AH76"/>
      <c r="AI76"/>
    </row>
    <row r="77" spans="2:35" ht="14.5" x14ac:dyDescent="0.35">
      <c r="B77" s="191">
        <v>41456</v>
      </c>
      <c r="C77" s="168">
        <f t="shared" si="1"/>
        <v>7</v>
      </c>
      <c r="D77" s="168">
        <v>2013</v>
      </c>
      <c r="E77" s="181">
        <v>91347063.430000022</v>
      </c>
      <c r="F77" s="167">
        <v>1.2999999999999998</v>
      </c>
      <c r="G77" s="167">
        <v>120.80000000000003</v>
      </c>
      <c r="H77" s="237">
        <v>137.27067130016448</v>
      </c>
      <c r="I77" s="50">
        <f t="shared" si="8"/>
        <v>31</v>
      </c>
      <c r="J77" s="50">
        <f t="shared" si="2"/>
        <v>0</v>
      </c>
      <c r="K77" s="50">
        <f t="shared" si="3"/>
        <v>0</v>
      </c>
      <c r="L77" s="50">
        <f t="shared" si="4"/>
        <v>0</v>
      </c>
      <c r="M77" s="50">
        <f t="shared" si="5"/>
        <v>0</v>
      </c>
      <c r="N77" s="179">
        <v>43</v>
      </c>
      <c r="O77" s="206">
        <f t="shared" si="6"/>
        <v>86583173.234003916</v>
      </c>
      <c r="P77" s="206">
        <f t="shared" si="7"/>
        <v>4763890.1959961057</v>
      </c>
      <c r="Q77" s="206"/>
      <c r="AA77" s="117"/>
      <c r="AB77" s="117"/>
      <c r="AC77" s="117"/>
      <c r="AD77" s="117"/>
      <c r="AE77"/>
      <c r="AF77"/>
      <c r="AG77"/>
      <c r="AH77"/>
      <c r="AI77"/>
    </row>
    <row r="78" spans="2:35" ht="14.5" x14ac:dyDescent="0.35">
      <c r="B78" s="191">
        <v>41487</v>
      </c>
      <c r="C78" s="168">
        <f t="shared" si="1"/>
        <v>8</v>
      </c>
      <c r="D78" s="168">
        <v>2013</v>
      </c>
      <c r="E78" s="181">
        <v>86194913.580000013</v>
      </c>
      <c r="F78" s="167">
        <v>4.4000000000000004</v>
      </c>
      <c r="G78" s="167">
        <v>93.799999999999983</v>
      </c>
      <c r="H78" s="237">
        <v>137.42765245668718</v>
      </c>
      <c r="I78" s="50">
        <f t="shared" si="8"/>
        <v>31</v>
      </c>
      <c r="J78" s="50">
        <f t="shared" si="2"/>
        <v>0</v>
      </c>
      <c r="K78" s="50">
        <f t="shared" si="3"/>
        <v>0</v>
      </c>
      <c r="L78" s="50">
        <f t="shared" si="4"/>
        <v>0</v>
      </c>
      <c r="M78" s="50">
        <f t="shared" si="5"/>
        <v>0</v>
      </c>
      <c r="N78" s="179">
        <v>44</v>
      </c>
      <c r="O78" s="206">
        <f t="shared" si="6"/>
        <v>83213432.016844526</v>
      </c>
      <c r="P78" s="206">
        <f t="shared" si="7"/>
        <v>2981481.5631554872</v>
      </c>
      <c r="Q78" s="206"/>
      <c r="AA78" s="117"/>
      <c r="AB78" s="117"/>
      <c r="AC78" s="117"/>
      <c r="AD78" s="117"/>
      <c r="AE78"/>
      <c r="AF78"/>
      <c r="AG78"/>
      <c r="AH78"/>
      <c r="AI78"/>
    </row>
    <row r="79" spans="2:35" ht="14.5" x14ac:dyDescent="0.35">
      <c r="B79" s="191">
        <v>41518</v>
      </c>
      <c r="C79" s="168">
        <f t="shared" si="1"/>
        <v>9</v>
      </c>
      <c r="D79" s="168">
        <v>2013</v>
      </c>
      <c r="E79" s="181">
        <v>77473370.183333322</v>
      </c>
      <c r="F79" s="167">
        <v>82.999999999999986</v>
      </c>
      <c r="G79" s="167">
        <v>28.099999999999998</v>
      </c>
      <c r="H79" s="237">
        <v>137.58481313504998</v>
      </c>
      <c r="I79" s="50">
        <f t="shared" si="8"/>
        <v>30</v>
      </c>
      <c r="J79" s="50">
        <f t="shared" si="2"/>
        <v>0</v>
      </c>
      <c r="K79" s="50">
        <f t="shared" si="3"/>
        <v>0</v>
      </c>
      <c r="L79" s="50">
        <f t="shared" si="4"/>
        <v>0</v>
      </c>
      <c r="M79" s="50">
        <f t="shared" si="5"/>
        <v>0</v>
      </c>
      <c r="N79" s="179">
        <v>45</v>
      </c>
      <c r="O79" s="206">
        <f t="shared" si="6"/>
        <v>73988808.675118357</v>
      </c>
      <c r="P79" s="206">
        <f t="shared" si="7"/>
        <v>3484561.5082149655</v>
      </c>
      <c r="Q79" s="206"/>
      <c r="AA79" s="117"/>
      <c r="AB79" s="117"/>
      <c r="AC79" s="117"/>
      <c r="AD79" s="117"/>
      <c r="AE79"/>
      <c r="AF79"/>
      <c r="AG79"/>
      <c r="AH79"/>
      <c r="AI79"/>
    </row>
    <row r="80" spans="2:35" ht="14.5" x14ac:dyDescent="0.35">
      <c r="B80" s="191">
        <v>41548</v>
      </c>
      <c r="C80" s="168">
        <f t="shared" si="1"/>
        <v>10</v>
      </c>
      <c r="D80" s="168">
        <v>2013</v>
      </c>
      <c r="E80" s="181">
        <v>76800878.560000002</v>
      </c>
      <c r="F80" s="167">
        <v>208.5</v>
      </c>
      <c r="G80" s="167">
        <v>0.4</v>
      </c>
      <c r="H80" s="237">
        <v>137.74215354055198</v>
      </c>
      <c r="I80" s="50">
        <f t="shared" si="8"/>
        <v>31</v>
      </c>
      <c r="J80" s="50">
        <f t="shared" si="2"/>
        <v>0</v>
      </c>
      <c r="K80" s="50">
        <f t="shared" si="3"/>
        <v>0</v>
      </c>
      <c r="L80" s="50">
        <f t="shared" si="4"/>
        <v>0</v>
      </c>
      <c r="M80" s="50">
        <f t="shared" si="5"/>
        <v>1</v>
      </c>
      <c r="N80" s="179">
        <v>46</v>
      </c>
      <c r="O80" s="206">
        <f t="shared" si="6"/>
        <v>72440633.404899582</v>
      </c>
      <c r="P80" s="206">
        <f t="shared" si="7"/>
        <v>4360245.1551004201</v>
      </c>
      <c r="Q80" s="206"/>
      <c r="AA80" s="117"/>
      <c r="AB80" s="117"/>
      <c r="AC80" s="117"/>
      <c r="AD80" s="117"/>
      <c r="AE80"/>
      <c r="AF80"/>
      <c r="AG80"/>
      <c r="AH80"/>
      <c r="AI80"/>
    </row>
    <row r="81" spans="2:35" ht="14.5" x14ac:dyDescent="0.35">
      <c r="B81" s="191">
        <v>41579</v>
      </c>
      <c r="C81" s="168">
        <f t="shared" si="1"/>
        <v>11</v>
      </c>
      <c r="D81" s="168">
        <v>2013</v>
      </c>
      <c r="E81" s="181">
        <v>77253769.396666661</v>
      </c>
      <c r="F81" s="167">
        <v>478.20000000000005</v>
      </c>
      <c r="G81" s="167">
        <v>0</v>
      </c>
      <c r="H81" s="237">
        <v>137.89967387872707</v>
      </c>
      <c r="I81" s="50">
        <f t="shared" si="8"/>
        <v>30</v>
      </c>
      <c r="J81" s="50">
        <f t="shared" si="2"/>
        <v>0</v>
      </c>
      <c r="K81" s="50">
        <f t="shared" si="3"/>
        <v>0</v>
      </c>
      <c r="L81" s="50">
        <f t="shared" si="4"/>
        <v>0</v>
      </c>
      <c r="M81" s="50">
        <f t="shared" si="5"/>
        <v>0</v>
      </c>
      <c r="N81" s="179">
        <v>47</v>
      </c>
      <c r="O81" s="206">
        <f t="shared" si="6"/>
        <v>75928962.434670761</v>
      </c>
      <c r="P81" s="206">
        <f t="shared" si="7"/>
        <v>1324806.9619958997</v>
      </c>
      <c r="Q81" s="206"/>
      <c r="AA81" s="117"/>
      <c r="AB81" s="117"/>
      <c r="AC81" s="117"/>
      <c r="AD81" s="117"/>
      <c r="AE81"/>
      <c r="AF81"/>
      <c r="AG81"/>
      <c r="AH81"/>
      <c r="AI81"/>
    </row>
    <row r="82" spans="2:35" ht="14.5" x14ac:dyDescent="0.35">
      <c r="B82" s="191">
        <v>41609</v>
      </c>
      <c r="C82" s="168">
        <f t="shared" si="1"/>
        <v>12</v>
      </c>
      <c r="D82" s="168">
        <v>2013</v>
      </c>
      <c r="E82" s="181">
        <v>81481312.549999997</v>
      </c>
      <c r="F82" s="167">
        <v>687.9</v>
      </c>
      <c r="G82" s="167">
        <v>0</v>
      </c>
      <c r="H82" s="237">
        <v>138.05737435534434</v>
      </c>
      <c r="I82" s="50">
        <f t="shared" si="8"/>
        <v>31</v>
      </c>
      <c r="J82" s="50">
        <f t="shared" si="2"/>
        <v>0</v>
      </c>
      <c r="K82" s="50">
        <f t="shared" si="3"/>
        <v>0</v>
      </c>
      <c r="L82" s="50">
        <f t="shared" si="4"/>
        <v>0</v>
      </c>
      <c r="M82" s="50">
        <f t="shared" si="5"/>
        <v>0</v>
      </c>
      <c r="N82" s="179">
        <v>48</v>
      </c>
      <c r="O82" s="206">
        <f t="shared" si="6"/>
        <v>80929295.718067899</v>
      </c>
      <c r="P82" s="206">
        <f t="shared" si="7"/>
        <v>552016.83193209767</v>
      </c>
      <c r="Q82" s="206"/>
      <c r="AA82" s="117"/>
      <c r="AB82" s="117"/>
      <c r="AC82" s="117"/>
      <c r="AD82" s="117"/>
      <c r="AE82"/>
      <c r="AF82"/>
      <c r="AG82"/>
      <c r="AH82"/>
      <c r="AI82"/>
    </row>
    <row r="83" spans="2:35" ht="14.5" x14ac:dyDescent="0.35">
      <c r="B83" s="191">
        <v>41640</v>
      </c>
      <c r="C83" s="168">
        <f t="shared" si="1"/>
        <v>1</v>
      </c>
      <c r="D83" s="168">
        <v>2014</v>
      </c>
      <c r="E83" s="181">
        <v>87110628.419999987</v>
      </c>
      <c r="F83" s="167">
        <v>825.90000000000009</v>
      </c>
      <c r="G83" s="167">
        <v>0</v>
      </c>
      <c r="H83" s="237">
        <v>138.29854859030914</v>
      </c>
      <c r="I83" s="50">
        <f t="shared" si="8"/>
        <v>31</v>
      </c>
      <c r="J83" s="50">
        <f t="shared" si="2"/>
        <v>0</v>
      </c>
      <c r="K83" s="50">
        <f t="shared" si="3"/>
        <v>0</v>
      </c>
      <c r="L83" s="50">
        <f t="shared" si="4"/>
        <v>0</v>
      </c>
      <c r="M83" s="50">
        <f t="shared" si="5"/>
        <v>0</v>
      </c>
      <c r="N83" s="179">
        <v>49</v>
      </c>
      <c r="O83" s="206">
        <f t="shared" si="6"/>
        <v>82847061.811006233</v>
      </c>
      <c r="P83" s="206">
        <f t="shared" si="7"/>
        <v>4263566.6089937538</v>
      </c>
      <c r="Q83" s="206"/>
      <c r="AA83" s="117"/>
      <c r="AB83" s="117"/>
      <c r="AC83" s="117"/>
      <c r="AD83" s="117"/>
      <c r="AE83"/>
      <c r="AF83"/>
      <c r="AG83"/>
      <c r="AH83"/>
      <c r="AI83"/>
    </row>
    <row r="84" spans="2:35" ht="14.5" x14ac:dyDescent="0.35">
      <c r="B84" s="191">
        <v>41671</v>
      </c>
      <c r="C84" s="168">
        <f t="shared" si="1"/>
        <v>2</v>
      </c>
      <c r="D84" s="168">
        <v>2014</v>
      </c>
      <c r="E84" s="181">
        <v>75310896.296666682</v>
      </c>
      <c r="F84" s="167">
        <v>737.09999999999991</v>
      </c>
      <c r="G84" s="167">
        <v>0</v>
      </c>
      <c r="H84" s="237">
        <v>138.54014413570292</v>
      </c>
      <c r="I84" s="50">
        <f t="shared" si="8"/>
        <v>28</v>
      </c>
      <c r="J84" s="50">
        <f t="shared" si="2"/>
        <v>0</v>
      </c>
      <c r="K84" s="50">
        <f t="shared" si="3"/>
        <v>0</v>
      </c>
      <c r="L84" s="50">
        <f t="shared" si="4"/>
        <v>0</v>
      </c>
      <c r="M84" s="50">
        <f t="shared" si="5"/>
        <v>0</v>
      </c>
      <c r="N84" s="179">
        <v>50</v>
      </c>
      <c r="O84" s="206">
        <f t="shared" si="6"/>
        <v>75222865.362646416</v>
      </c>
      <c r="P84" s="206">
        <f t="shared" si="7"/>
        <v>88030.934020265937</v>
      </c>
      <c r="Q84" s="206"/>
      <c r="AA84" s="117"/>
      <c r="AB84" s="117"/>
      <c r="AC84" s="117"/>
      <c r="AD84" s="117"/>
      <c r="AE84"/>
      <c r="AF84"/>
      <c r="AG84"/>
      <c r="AH84"/>
      <c r="AI84"/>
    </row>
    <row r="85" spans="2:35" ht="14.5" x14ac:dyDescent="0.35">
      <c r="B85" s="191">
        <v>41699</v>
      </c>
      <c r="C85" s="168">
        <f t="shared" si="1"/>
        <v>3</v>
      </c>
      <c r="D85" s="168">
        <v>2014</v>
      </c>
      <c r="E85" s="181">
        <v>79598361.859999985</v>
      </c>
      <c r="F85" s="167">
        <v>690.6</v>
      </c>
      <c r="G85" s="167">
        <v>0</v>
      </c>
      <c r="H85" s="237">
        <v>138.78216172751834</v>
      </c>
      <c r="I85" s="50">
        <f t="shared" si="8"/>
        <v>31</v>
      </c>
      <c r="J85" s="50">
        <f t="shared" si="2"/>
        <v>1</v>
      </c>
      <c r="K85" s="50">
        <f t="shared" si="3"/>
        <v>0</v>
      </c>
      <c r="L85" s="50">
        <f t="shared" si="4"/>
        <v>0</v>
      </c>
      <c r="M85" s="50">
        <f t="shared" si="5"/>
        <v>0</v>
      </c>
      <c r="N85" s="179">
        <v>51</v>
      </c>
      <c r="O85" s="206">
        <f t="shared" si="6"/>
        <v>79122858.305154189</v>
      </c>
      <c r="P85" s="206">
        <f t="shared" si="7"/>
        <v>475503.55484579504</v>
      </c>
      <c r="Q85" s="206"/>
      <c r="AA85" s="117"/>
      <c r="AB85" s="117"/>
      <c r="AC85" s="117"/>
      <c r="AD85" s="117"/>
      <c r="AE85"/>
      <c r="AF85"/>
      <c r="AG85"/>
      <c r="AH85"/>
      <c r="AI85"/>
    </row>
    <row r="86" spans="2:35" ht="14.5" x14ac:dyDescent="0.35">
      <c r="B86" s="191">
        <v>41730</v>
      </c>
      <c r="C86" s="168">
        <f t="shared" si="1"/>
        <v>4</v>
      </c>
      <c r="D86" s="168">
        <v>2014</v>
      </c>
      <c r="E86" s="181">
        <v>69107663.240000024</v>
      </c>
      <c r="F86" s="167">
        <v>356.90000000000003</v>
      </c>
      <c r="G86" s="167">
        <v>0</v>
      </c>
      <c r="H86" s="237">
        <v>139.02460210303386</v>
      </c>
      <c r="I86" s="50">
        <f t="shared" si="8"/>
        <v>30</v>
      </c>
      <c r="J86" s="50">
        <f t="shared" si="2"/>
        <v>0</v>
      </c>
      <c r="K86" s="50">
        <f t="shared" si="3"/>
        <v>1</v>
      </c>
      <c r="L86" s="50">
        <f t="shared" si="4"/>
        <v>0</v>
      </c>
      <c r="M86" s="50">
        <f t="shared" si="5"/>
        <v>0</v>
      </c>
      <c r="N86" s="179">
        <v>52</v>
      </c>
      <c r="O86" s="206">
        <f t="shared" si="6"/>
        <v>69881445.642682672</v>
      </c>
      <c r="P86" s="206">
        <f t="shared" si="7"/>
        <v>-773782.40268264711</v>
      </c>
      <c r="Q86" s="206"/>
      <c r="AA86" s="117"/>
      <c r="AB86" s="117"/>
      <c r="AC86" s="117"/>
      <c r="AD86" s="117"/>
      <c r="AE86"/>
      <c r="AF86"/>
      <c r="AG86"/>
      <c r="AH86"/>
      <c r="AI86"/>
    </row>
    <row r="87" spans="2:35" ht="14.5" x14ac:dyDescent="0.35">
      <c r="B87" s="191">
        <v>41760</v>
      </c>
      <c r="C87" s="168">
        <f t="shared" si="1"/>
        <v>5</v>
      </c>
      <c r="D87" s="168">
        <v>2014</v>
      </c>
      <c r="E87" s="181">
        <v>69871028.140769228</v>
      </c>
      <c r="F87" s="167">
        <v>132.10000000000005</v>
      </c>
      <c r="G87" s="167">
        <v>11.9</v>
      </c>
      <c r="H87" s="237">
        <v>139.26746600081583</v>
      </c>
      <c r="I87" s="50">
        <f t="shared" si="8"/>
        <v>31</v>
      </c>
      <c r="J87" s="50">
        <f t="shared" si="2"/>
        <v>0</v>
      </c>
      <c r="K87" s="50">
        <f t="shared" si="3"/>
        <v>0</v>
      </c>
      <c r="L87" s="50">
        <f t="shared" si="4"/>
        <v>1</v>
      </c>
      <c r="M87" s="50">
        <f t="shared" si="5"/>
        <v>0</v>
      </c>
      <c r="N87" s="179">
        <v>53</v>
      </c>
      <c r="O87" s="206">
        <f t="shared" si="6"/>
        <v>71333908.820319191</v>
      </c>
      <c r="P87" s="206">
        <f t="shared" si="7"/>
        <v>-1462880.6795499623</v>
      </c>
      <c r="Q87" s="206"/>
      <c r="AA87" s="117"/>
      <c r="AB87" s="117"/>
      <c r="AC87" s="117"/>
      <c r="AD87" s="117"/>
      <c r="AE87"/>
      <c r="AF87"/>
      <c r="AG87"/>
      <c r="AH87"/>
      <c r="AI87"/>
    </row>
    <row r="88" spans="2:35" ht="14.5" x14ac:dyDescent="0.35">
      <c r="B88" s="191">
        <v>41791</v>
      </c>
      <c r="C88" s="168">
        <f t="shared" si="1"/>
        <v>6</v>
      </c>
      <c r="D88" s="168">
        <v>2014</v>
      </c>
      <c r="E88" s="181">
        <v>77517701.584615394</v>
      </c>
      <c r="F88" s="167">
        <v>14.1</v>
      </c>
      <c r="G88" s="167">
        <v>68.099999999999994</v>
      </c>
      <c r="H88" s="237">
        <v>139.51075416072086</v>
      </c>
      <c r="I88" s="50">
        <f t="shared" si="8"/>
        <v>30</v>
      </c>
      <c r="J88" s="50">
        <f t="shared" si="2"/>
        <v>0</v>
      </c>
      <c r="K88" s="50">
        <f t="shared" si="3"/>
        <v>0</v>
      </c>
      <c r="L88" s="50">
        <f t="shared" si="4"/>
        <v>0</v>
      </c>
      <c r="M88" s="50">
        <f t="shared" si="5"/>
        <v>0</v>
      </c>
      <c r="N88" s="179">
        <v>54</v>
      </c>
      <c r="O88" s="206">
        <f t="shared" si="6"/>
        <v>77654386.108740941</v>
      </c>
      <c r="P88" s="206">
        <f t="shared" si="7"/>
        <v>-136684.52412554622</v>
      </c>
      <c r="Q88" s="206"/>
      <c r="AA88" s="117"/>
      <c r="AB88" s="117"/>
      <c r="AC88" s="117"/>
      <c r="AD88" s="117"/>
      <c r="AE88"/>
      <c r="AF88"/>
      <c r="AG88"/>
      <c r="AH88"/>
      <c r="AI88"/>
    </row>
    <row r="89" spans="2:35" ht="14.5" x14ac:dyDescent="0.35">
      <c r="B89" s="191">
        <v>41821</v>
      </c>
      <c r="C89" s="168">
        <f t="shared" si="1"/>
        <v>7</v>
      </c>
      <c r="D89" s="168">
        <v>2014</v>
      </c>
      <c r="E89" s="181">
        <v>79980081.605384618</v>
      </c>
      <c r="F89" s="167">
        <v>4</v>
      </c>
      <c r="G89" s="167">
        <v>71</v>
      </c>
      <c r="H89" s="237">
        <v>139.75446732389804</v>
      </c>
      <c r="I89" s="50">
        <f t="shared" si="8"/>
        <v>31</v>
      </c>
      <c r="J89" s="50">
        <f t="shared" si="2"/>
        <v>0</v>
      </c>
      <c r="K89" s="50">
        <f t="shared" si="3"/>
        <v>0</v>
      </c>
      <c r="L89" s="50">
        <f t="shared" si="4"/>
        <v>0</v>
      </c>
      <c r="M89" s="50">
        <f t="shared" si="5"/>
        <v>0</v>
      </c>
      <c r="N89" s="179">
        <v>55</v>
      </c>
      <c r="O89" s="206">
        <f t="shared" si="6"/>
        <v>79969311.291898116</v>
      </c>
      <c r="P89" s="206">
        <f t="shared" si="7"/>
        <v>10770.313486501575</v>
      </c>
      <c r="Q89" s="206"/>
      <c r="AA89" s="117"/>
      <c r="AB89" s="117"/>
      <c r="AC89" s="117"/>
      <c r="AD89" s="117"/>
      <c r="AE89"/>
      <c r="AF89"/>
      <c r="AG89"/>
      <c r="AH89"/>
      <c r="AI89"/>
    </row>
    <row r="90" spans="2:35" ht="14.5" x14ac:dyDescent="0.35">
      <c r="B90" s="191">
        <v>41852</v>
      </c>
      <c r="C90" s="168">
        <f t="shared" si="1"/>
        <v>8</v>
      </c>
      <c r="D90" s="168">
        <v>2014</v>
      </c>
      <c r="E90" s="181">
        <v>78148911.668461546</v>
      </c>
      <c r="F90" s="167">
        <v>8.7999999999999989</v>
      </c>
      <c r="G90" s="167">
        <v>81.799999999999983</v>
      </c>
      <c r="H90" s="237">
        <v>139.9986062327911</v>
      </c>
      <c r="I90" s="50">
        <f t="shared" si="8"/>
        <v>31</v>
      </c>
      <c r="J90" s="50">
        <f t="shared" si="2"/>
        <v>0</v>
      </c>
      <c r="K90" s="50">
        <f t="shared" si="3"/>
        <v>0</v>
      </c>
      <c r="L90" s="50">
        <f t="shared" si="4"/>
        <v>0</v>
      </c>
      <c r="M90" s="50">
        <f t="shared" si="5"/>
        <v>0</v>
      </c>
      <c r="N90" s="179">
        <v>56</v>
      </c>
      <c r="O90" s="206">
        <f t="shared" si="6"/>
        <v>81355318.84685801</v>
      </c>
      <c r="P90" s="206">
        <f t="shared" si="7"/>
        <v>-3206407.1783964634</v>
      </c>
      <c r="Q90" s="206"/>
      <c r="AA90" s="117"/>
      <c r="AB90" s="117"/>
      <c r="AC90" s="117"/>
      <c r="AD90" s="117"/>
      <c r="AE90"/>
      <c r="AF90"/>
      <c r="AG90"/>
      <c r="AH90"/>
      <c r="AI90"/>
    </row>
    <row r="91" spans="2:35" ht="14.5" x14ac:dyDescent="0.35">
      <c r="B91" s="191">
        <v>41883</v>
      </c>
      <c r="C91" s="168">
        <f t="shared" si="1"/>
        <v>9</v>
      </c>
      <c r="D91" s="168">
        <v>2014</v>
      </c>
      <c r="E91" s="181">
        <v>73189575.230769232</v>
      </c>
      <c r="F91" s="167">
        <v>69.700000000000017</v>
      </c>
      <c r="G91" s="167">
        <v>30.099999999999998</v>
      </c>
      <c r="H91" s="237">
        <v>140.24317163114083</v>
      </c>
      <c r="I91" s="50">
        <f t="shared" si="8"/>
        <v>30</v>
      </c>
      <c r="J91" s="50">
        <f t="shared" si="2"/>
        <v>0</v>
      </c>
      <c r="K91" s="50">
        <f t="shared" si="3"/>
        <v>0</v>
      </c>
      <c r="L91" s="50">
        <f t="shared" si="4"/>
        <v>0</v>
      </c>
      <c r="M91" s="50">
        <f t="shared" si="5"/>
        <v>0</v>
      </c>
      <c r="N91" s="179">
        <v>57</v>
      </c>
      <c r="O91" s="206">
        <f t="shared" si="6"/>
        <v>73663053.79521738</v>
      </c>
      <c r="P91" s="206">
        <f t="shared" si="7"/>
        <v>-473478.56444814801</v>
      </c>
      <c r="Q91" s="206"/>
      <c r="AA91" s="117"/>
      <c r="AB91" s="117"/>
      <c r="AC91" s="117"/>
      <c r="AD91" s="117"/>
      <c r="AE91"/>
      <c r="AF91"/>
      <c r="AG91"/>
      <c r="AH91"/>
      <c r="AI91"/>
    </row>
    <row r="92" spans="2:35" ht="14.5" x14ac:dyDescent="0.35">
      <c r="B92" s="191">
        <v>41913</v>
      </c>
      <c r="C92" s="168">
        <f t="shared" si="1"/>
        <v>10</v>
      </c>
      <c r="D92" s="168">
        <v>2014</v>
      </c>
      <c r="E92" s="181">
        <v>72005492.011538461</v>
      </c>
      <c r="F92" s="167">
        <v>224.30000000000004</v>
      </c>
      <c r="G92" s="167">
        <v>1.3</v>
      </c>
      <c r="H92" s="237">
        <v>140.48816426398724</v>
      </c>
      <c r="I92" s="50">
        <f t="shared" si="8"/>
        <v>31</v>
      </c>
      <c r="J92" s="50">
        <f t="shared" si="2"/>
        <v>0</v>
      </c>
      <c r="K92" s="50">
        <f t="shared" si="3"/>
        <v>0</v>
      </c>
      <c r="L92" s="50">
        <f t="shared" si="4"/>
        <v>0</v>
      </c>
      <c r="M92" s="50">
        <f t="shared" si="5"/>
        <v>1</v>
      </c>
      <c r="N92" s="179">
        <v>58</v>
      </c>
      <c r="O92" s="206">
        <f t="shared" si="6"/>
        <v>72433049.267522842</v>
      </c>
      <c r="P92" s="206">
        <f t="shared" si="7"/>
        <v>-427557.25598438084</v>
      </c>
      <c r="Q92" s="206"/>
      <c r="AA92" s="117"/>
      <c r="AB92" s="117"/>
      <c r="AC92" s="117"/>
      <c r="AD92" s="117"/>
      <c r="AE92"/>
      <c r="AF92"/>
      <c r="AG92"/>
      <c r="AH92"/>
      <c r="AI92"/>
    </row>
    <row r="93" spans="2:35" ht="14.5" x14ac:dyDescent="0.35">
      <c r="B93" s="191">
        <v>41944</v>
      </c>
      <c r="C93" s="168">
        <f t="shared" si="1"/>
        <v>11</v>
      </c>
      <c r="D93" s="168">
        <v>2014</v>
      </c>
      <c r="E93" s="181">
        <v>74401960.572307676</v>
      </c>
      <c r="F93" s="167">
        <v>482.1</v>
      </c>
      <c r="G93" s="167">
        <v>0</v>
      </c>
      <c r="H93" s="237">
        <v>140.73358487767186</v>
      </c>
      <c r="I93" s="50">
        <f t="shared" si="8"/>
        <v>30</v>
      </c>
      <c r="J93" s="50">
        <f t="shared" si="2"/>
        <v>0</v>
      </c>
      <c r="K93" s="50">
        <f t="shared" si="3"/>
        <v>0</v>
      </c>
      <c r="L93" s="50">
        <f t="shared" si="4"/>
        <v>0</v>
      </c>
      <c r="M93" s="50">
        <f t="shared" si="5"/>
        <v>0</v>
      </c>
      <c r="N93" s="179">
        <v>59</v>
      </c>
      <c r="O93" s="206">
        <f t="shared" si="6"/>
        <v>75688157.940001056</v>
      </c>
      <c r="P93" s="206">
        <f t="shared" si="7"/>
        <v>-1286197.3676933795</v>
      </c>
      <c r="Q93" s="206"/>
      <c r="AA93" s="117"/>
      <c r="AB93" s="117"/>
      <c r="AC93" s="117"/>
      <c r="AD93" s="117"/>
      <c r="AE93"/>
      <c r="AF93"/>
      <c r="AG93"/>
      <c r="AH93"/>
      <c r="AI93"/>
    </row>
    <row r="94" spans="2:35" ht="14.5" x14ac:dyDescent="0.35">
      <c r="B94" s="191">
        <v>41974</v>
      </c>
      <c r="C94" s="168">
        <f t="shared" si="1"/>
        <v>12</v>
      </c>
      <c r="D94" s="168">
        <v>2014</v>
      </c>
      <c r="E94" s="181">
        <v>77304484.726153851</v>
      </c>
      <c r="F94" s="167">
        <v>557.29999999999995</v>
      </c>
      <c r="G94" s="167">
        <v>0</v>
      </c>
      <c r="H94" s="237">
        <v>140.97943421984021</v>
      </c>
      <c r="I94" s="50">
        <f t="shared" si="8"/>
        <v>31</v>
      </c>
      <c r="J94" s="50">
        <f t="shared" si="2"/>
        <v>0</v>
      </c>
      <c r="K94" s="50">
        <f t="shared" si="3"/>
        <v>0</v>
      </c>
      <c r="L94" s="50">
        <f t="shared" si="4"/>
        <v>0</v>
      </c>
      <c r="M94" s="50">
        <f t="shared" si="5"/>
        <v>0</v>
      </c>
      <c r="N94" s="179">
        <v>60</v>
      </c>
      <c r="O94" s="206">
        <f t="shared" si="6"/>
        <v>78843658.118787959</v>
      </c>
      <c r="P94" s="206">
        <f t="shared" si="7"/>
        <v>-1539173.3926341087</v>
      </c>
      <c r="Q94" s="206"/>
      <c r="AA94" s="117"/>
      <c r="AB94" s="117"/>
      <c r="AC94" s="117"/>
      <c r="AD94" s="117"/>
      <c r="AE94"/>
      <c r="AF94"/>
      <c r="AG94"/>
      <c r="AH94"/>
      <c r="AI94"/>
    </row>
    <row r="95" spans="2:35" ht="14.5" x14ac:dyDescent="0.35">
      <c r="B95" s="191">
        <v>42005</v>
      </c>
      <c r="C95" s="168">
        <f t="shared" si="1"/>
        <v>1</v>
      </c>
      <c r="D95" s="168">
        <v>2015</v>
      </c>
      <c r="E95" s="181">
        <v>84626740.919999987</v>
      </c>
      <c r="F95" s="167">
        <v>792.39999999999975</v>
      </c>
      <c r="G95" s="167">
        <v>0</v>
      </c>
      <c r="H95" s="237">
        <v>141.3034903565966</v>
      </c>
      <c r="I95" s="50">
        <f t="shared" si="8"/>
        <v>31</v>
      </c>
      <c r="J95" s="50">
        <f t="shared" si="2"/>
        <v>0</v>
      </c>
      <c r="K95" s="50">
        <f t="shared" si="3"/>
        <v>0</v>
      </c>
      <c r="L95" s="50">
        <f t="shared" si="4"/>
        <v>0</v>
      </c>
      <c r="M95" s="50">
        <f t="shared" si="5"/>
        <v>0</v>
      </c>
      <c r="N95" s="179">
        <v>61</v>
      </c>
      <c r="O95" s="206">
        <f t="shared" si="6"/>
        <v>82169343.111443505</v>
      </c>
      <c r="P95" s="206">
        <f t="shared" si="7"/>
        <v>2457397.8085564822</v>
      </c>
      <c r="Q95" s="206"/>
      <c r="AA95" s="117"/>
      <c r="AB95" s="117"/>
      <c r="AC95" s="117"/>
      <c r="AD95" s="117"/>
      <c r="AE95"/>
      <c r="AF95"/>
      <c r="AG95"/>
      <c r="AH95"/>
      <c r="AI95"/>
    </row>
    <row r="96" spans="2:35" ht="14.5" x14ac:dyDescent="0.35">
      <c r="B96" s="191">
        <v>42036</v>
      </c>
      <c r="C96" s="168">
        <f t="shared" si="1"/>
        <v>2</v>
      </c>
      <c r="D96" s="168">
        <v>2015</v>
      </c>
      <c r="E96" s="181">
        <v>77436620.475384608</v>
      </c>
      <c r="F96" s="167">
        <v>856.8</v>
      </c>
      <c r="G96" s="167">
        <v>0</v>
      </c>
      <c r="H96" s="237">
        <v>141.62829137064909</v>
      </c>
      <c r="I96" s="50">
        <f t="shared" si="8"/>
        <v>28</v>
      </c>
      <c r="J96" s="50">
        <f t="shared" si="2"/>
        <v>0</v>
      </c>
      <c r="K96" s="50">
        <f t="shared" si="3"/>
        <v>0</v>
      </c>
      <c r="L96" s="50">
        <f t="shared" si="4"/>
        <v>0</v>
      </c>
      <c r="M96" s="50">
        <f t="shared" si="5"/>
        <v>0</v>
      </c>
      <c r="N96" s="179">
        <v>62</v>
      </c>
      <c r="O96" s="206">
        <f t="shared" si="6"/>
        <v>76741803.501491502</v>
      </c>
      <c r="P96" s="206">
        <f t="shared" si="7"/>
        <v>694816.97389310598</v>
      </c>
      <c r="Q96" s="206"/>
      <c r="AA96" s="117"/>
      <c r="AB96" s="117"/>
      <c r="AC96" s="117"/>
      <c r="AD96" s="117"/>
      <c r="AE96"/>
      <c r="AF96"/>
      <c r="AG96"/>
      <c r="AH96"/>
      <c r="AI96"/>
    </row>
    <row r="97" spans="2:35" ht="14.5" x14ac:dyDescent="0.35">
      <c r="B97" s="191">
        <v>42064</v>
      </c>
      <c r="C97" s="168">
        <f t="shared" si="1"/>
        <v>3</v>
      </c>
      <c r="D97" s="168">
        <v>2015</v>
      </c>
      <c r="E97" s="181">
        <v>78097659.106923103</v>
      </c>
      <c r="F97" s="167">
        <v>615.49999999999989</v>
      </c>
      <c r="G97" s="167">
        <v>0</v>
      </c>
      <c r="H97" s="237">
        <v>141.95383897417693</v>
      </c>
      <c r="I97" s="50">
        <f t="shared" si="8"/>
        <v>31</v>
      </c>
      <c r="J97" s="50">
        <f t="shared" si="2"/>
        <v>1</v>
      </c>
      <c r="K97" s="50">
        <f t="shared" si="3"/>
        <v>0</v>
      </c>
      <c r="L97" s="50">
        <f t="shared" si="4"/>
        <v>0</v>
      </c>
      <c r="M97" s="50">
        <f t="shared" si="5"/>
        <v>0</v>
      </c>
      <c r="N97" s="179">
        <v>63</v>
      </c>
      <c r="O97" s="206">
        <f t="shared" si="6"/>
        <v>77946957.967881843</v>
      </c>
      <c r="P97" s="206">
        <f t="shared" si="7"/>
        <v>150701.13904125988</v>
      </c>
      <c r="Q97" s="206"/>
      <c r="AA97" s="117"/>
      <c r="AB97" s="117"/>
      <c r="AC97" s="117"/>
      <c r="AD97" s="117"/>
      <c r="AE97"/>
      <c r="AF97"/>
      <c r="AG97"/>
      <c r="AH97"/>
      <c r="AI97"/>
    </row>
    <row r="98" spans="2:35" ht="14.5" x14ac:dyDescent="0.35">
      <c r="B98" s="191">
        <v>42095</v>
      </c>
      <c r="C98" s="168">
        <f t="shared" si="1"/>
        <v>4</v>
      </c>
      <c r="D98" s="168">
        <v>2015</v>
      </c>
      <c r="E98" s="181">
        <v>68989289.843076915</v>
      </c>
      <c r="F98" s="167">
        <v>313.7</v>
      </c>
      <c r="G98" s="167">
        <v>0</v>
      </c>
      <c r="H98" s="237">
        <v>142.28013488329495</v>
      </c>
      <c r="I98" s="50">
        <f t="shared" si="8"/>
        <v>30</v>
      </c>
      <c r="J98" s="50">
        <f t="shared" si="2"/>
        <v>0</v>
      </c>
      <c r="K98" s="50">
        <f t="shared" si="3"/>
        <v>1</v>
      </c>
      <c r="L98" s="50">
        <f t="shared" si="4"/>
        <v>0</v>
      </c>
      <c r="M98" s="50">
        <f t="shared" si="5"/>
        <v>0</v>
      </c>
      <c r="N98" s="179">
        <v>64</v>
      </c>
      <c r="O98" s="206">
        <f t="shared" si="6"/>
        <v>69197485.573836729</v>
      </c>
      <c r="P98" s="206">
        <f t="shared" si="7"/>
        <v>-208195.73075981438</v>
      </c>
      <c r="Q98" s="206"/>
      <c r="AA98" s="117"/>
      <c r="AB98" s="117"/>
      <c r="AC98" s="117"/>
      <c r="AD98" s="117"/>
      <c r="AE98"/>
      <c r="AF98"/>
      <c r="AG98"/>
      <c r="AH98"/>
      <c r="AI98"/>
    </row>
    <row r="99" spans="2:35" ht="14.5" x14ac:dyDescent="0.35">
      <c r="B99" s="191">
        <v>42125</v>
      </c>
      <c r="C99" s="168">
        <f t="shared" si="1"/>
        <v>5</v>
      </c>
      <c r="D99" s="168">
        <v>2015</v>
      </c>
      <c r="E99" s="181">
        <v>73375077.214615405</v>
      </c>
      <c r="F99" s="167">
        <v>89.3</v>
      </c>
      <c r="G99" s="167">
        <v>34.1</v>
      </c>
      <c r="H99" s="237">
        <v>142.60718081806269</v>
      </c>
      <c r="I99" s="50">
        <f t="shared" si="8"/>
        <v>31</v>
      </c>
      <c r="J99" s="50">
        <f t="shared" si="2"/>
        <v>0</v>
      </c>
      <c r="K99" s="50">
        <f t="shared" si="3"/>
        <v>0</v>
      </c>
      <c r="L99" s="50">
        <f t="shared" si="4"/>
        <v>1</v>
      </c>
      <c r="M99" s="50">
        <f t="shared" si="5"/>
        <v>0</v>
      </c>
      <c r="N99" s="179">
        <v>65</v>
      </c>
      <c r="O99" s="206">
        <f t="shared" si="6"/>
        <v>73451726.509749502</v>
      </c>
      <c r="P99" s="206">
        <f t="shared" si="7"/>
        <v>-76649.295134097338</v>
      </c>
      <c r="Q99" s="206"/>
      <c r="AA99" s="117"/>
      <c r="AB99" s="117"/>
      <c r="AC99" s="117"/>
      <c r="AD99" s="117"/>
      <c r="AE99"/>
      <c r="AF99"/>
      <c r="AG99"/>
      <c r="AH99"/>
      <c r="AI99"/>
    </row>
    <row r="100" spans="2:35" ht="14.5" x14ac:dyDescent="0.35">
      <c r="B100" s="191">
        <v>42156</v>
      </c>
      <c r="C100" s="168">
        <f t="shared" ref="C100:C163" si="9">MONTH(B100)</f>
        <v>6</v>
      </c>
      <c r="D100" s="168">
        <v>2015</v>
      </c>
      <c r="E100" s="181">
        <v>75340519.323076934</v>
      </c>
      <c r="F100" s="167">
        <v>33.800000000000004</v>
      </c>
      <c r="G100" s="167">
        <v>32.299999999999997</v>
      </c>
      <c r="H100" s="237">
        <v>142.93497850249344</v>
      </c>
      <c r="I100" s="50">
        <f t="shared" si="8"/>
        <v>30</v>
      </c>
      <c r="J100" s="50">
        <f t="shared" ref="J100:J163" si="10">IF(MONTH($B100)=3,1,0)</f>
        <v>0</v>
      </c>
      <c r="K100" s="50">
        <f t="shared" ref="K100:K163" si="11">IF(MONTH($B100)=4,1,0)</f>
        <v>0</v>
      </c>
      <c r="L100" s="50">
        <f t="shared" ref="L100:L163" si="12">IF(MONTH($B100)=5,1,0)</f>
        <v>0</v>
      </c>
      <c r="M100" s="50">
        <f t="shared" ref="M100:M163" si="13">IF(MONTH($B100)=10,1,0)</f>
        <v>0</v>
      </c>
      <c r="N100" s="179">
        <v>66</v>
      </c>
      <c r="O100" s="206">
        <f t="shared" ref="O100:O163" si="14">$AB$17+MMULT(F100:N100,$AB$18:$AB$26)</f>
        <v>73503532.621019349</v>
      </c>
      <c r="P100" s="206">
        <f t="shared" ref="P100:P163" si="15">E100-O100</f>
        <v>1836986.7020575851</v>
      </c>
      <c r="Q100" s="206"/>
      <c r="AA100" s="117"/>
      <c r="AB100" s="117"/>
      <c r="AC100" s="117"/>
      <c r="AD100" s="117"/>
      <c r="AE100"/>
      <c r="AF100"/>
      <c r="AG100"/>
      <c r="AH100"/>
      <c r="AI100"/>
    </row>
    <row r="101" spans="2:35" ht="14.5" x14ac:dyDescent="0.35">
      <c r="B101" s="191">
        <v>42186</v>
      </c>
      <c r="C101" s="168">
        <f t="shared" si="9"/>
        <v>7</v>
      </c>
      <c r="D101" s="168">
        <v>2015</v>
      </c>
      <c r="E101" s="181">
        <v>85365000.161538452</v>
      </c>
      <c r="F101" s="167">
        <v>4</v>
      </c>
      <c r="G101" s="167">
        <v>114.29999999999998</v>
      </c>
      <c r="H101" s="237">
        <v>143.26352966456326</v>
      </c>
      <c r="I101" s="50">
        <f t="shared" si="8"/>
        <v>31</v>
      </c>
      <c r="J101" s="50">
        <f t="shared" si="10"/>
        <v>0</v>
      </c>
      <c r="K101" s="50">
        <f t="shared" si="11"/>
        <v>0</v>
      </c>
      <c r="L101" s="50">
        <f t="shared" si="12"/>
        <v>0</v>
      </c>
      <c r="M101" s="50">
        <f t="shared" si="13"/>
        <v>0</v>
      </c>
      <c r="N101" s="179">
        <v>67</v>
      </c>
      <c r="O101" s="206">
        <f t="shared" si="14"/>
        <v>85392737.886916265</v>
      </c>
      <c r="P101" s="206">
        <f t="shared" si="15"/>
        <v>-27737.725377812982</v>
      </c>
      <c r="Q101" s="206"/>
      <c r="AA101" s="117"/>
      <c r="AB101" s="117"/>
      <c r="AC101" s="117"/>
      <c r="AD101" s="117"/>
      <c r="AE101"/>
      <c r="AF101"/>
      <c r="AG101"/>
      <c r="AH101"/>
      <c r="AI101"/>
    </row>
    <row r="102" spans="2:35" ht="14.5" x14ac:dyDescent="0.35">
      <c r="B102" s="191">
        <v>42217</v>
      </c>
      <c r="C102" s="168">
        <f t="shared" si="9"/>
        <v>8</v>
      </c>
      <c r="D102" s="168">
        <v>2015</v>
      </c>
      <c r="E102" s="181">
        <v>81751305.839230776</v>
      </c>
      <c r="F102" s="167">
        <v>4.4000000000000004</v>
      </c>
      <c r="G102" s="167">
        <v>88.6</v>
      </c>
      <c r="H102" s="237">
        <v>143.59283603622018</v>
      </c>
      <c r="I102" s="50">
        <f t="shared" si="8"/>
        <v>31</v>
      </c>
      <c r="J102" s="50">
        <f t="shared" si="10"/>
        <v>0</v>
      </c>
      <c r="K102" s="50">
        <f t="shared" si="11"/>
        <v>0</v>
      </c>
      <c r="L102" s="50">
        <f t="shared" si="12"/>
        <v>0</v>
      </c>
      <c r="M102" s="50">
        <f t="shared" si="13"/>
        <v>0</v>
      </c>
      <c r="N102" s="179">
        <v>68</v>
      </c>
      <c r="O102" s="206">
        <f t="shared" si="14"/>
        <v>82235694.653301939</v>
      </c>
      <c r="P102" s="206">
        <f t="shared" si="15"/>
        <v>-484388.81407116354</v>
      </c>
      <c r="Q102" s="206"/>
      <c r="AA102" s="117"/>
      <c r="AB102" s="117"/>
      <c r="AC102" s="117"/>
      <c r="AD102" s="117"/>
      <c r="AE102"/>
      <c r="AF102"/>
      <c r="AG102"/>
      <c r="AH102"/>
      <c r="AI102"/>
    </row>
    <row r="103" spans="2:35" ht="14.5" x14ac:dyDescent="0.35">
      <c r="B103" s="191">
        <v>42248</v>
      </c>
      <c r="C103" s="168">
        <f t="shared" si="9"/>
        <v>9</v>
      </c>
      <c r="D103" s="168">
        <v>2015</v>
      </c>
      <c r="E103" s="181">
        <v>79343691.187692299</v>
      </c>
      <c r="F103" s="167">
        <v>31.099999999999994</v>
      </c>
      <c r="G103" s="167">
        <v>81.900000000000006</v>
      </c>
      <c r="H103" s="237">
        <v>143.92289935339329</v>
      </c>
      <c r="I103" s="50">
        <f t="shared" si="8"/>
        <v>30</v>
      </c>
      <c r="J103" s="50">
        <f t="shared" si="10"/>
        <v>0</v>
      </c>
      <c r="K103" s="50">
        <f t="shared" si="11"/>
        <v>0</v>
      </c>
      <c r="L103" s="50">
        <f t="shared" si="12"/>
        <v>0</v>
      </c>
      <c r="M103" s="50">
        <f t="shared" si="13"/>
        <v>0</v>
      </c>
      <c r="N103" s="179">
        <v>69</v>
      </c>
      <c r="O103" s="206">
        <f t="shared" si="14"/>
        <v>79686373.851757482</v>
      </c>
      <c r="P103" s="206">
        <f t="shared" si="15"/>
        <v>-342682.66406518221</v>
      </c>
      <c r="Q103" s="206"/>
      <c r="AA103" s="117"/>
      <c r="AB103" s="117"/>
      <c r="AC103" s="117"/>
      <c r="AD103" s="117"/>
      <c r="AE103"/>
      <c r="AF103"/>
      <c r="AG103"/>
      <c r="AH103"/>
      <c r="AI103"/>
    </row>
    <row r="104" spans="2:35" ht="14.5" x14ac:dyDescent="0.35">
      <c r="B104" s="191">
        <v>42278</v>
      </c>
      <c r="C104" s="168">
        <f t="shared" si="9"/>
        <v>10</v>
      </c>
      <c r="D104" s="168">
        <v>2015</v>
      </c>
      <c r="E104" s="181">
        <v>71236445.923076928</v>
      </c>
      <c r="F104" s="167">
        <v>249.8</v>
      </c>
      <c r="G104" s="167">
        <v>0</v>
      </c>
      <c r="H104" s="237">
        <v>144.2537213560019</v>
      </c>
      <c r="I104" s="50">
        <f t="shared" si="8"/>
        <v>31</v>
      </c>
      <c r="J104" s="50">
        <f t="shared" si="10"/>
        <v>0</v>
      </c>
      <c r="K104" s="50">
        <f t="shared" si="11"/>
        <v>0</v>
      </c>
      <c r="L104" s="50">
        <f t="shared" si="12"/>
        <v>0</v>
      </c>
      <c r="M104" s="50">
        <f t="shared" si="13"/>
        <v>1</v>
      </c>
      <c r="N104" s="179">
        <v>70</v>
      </c>
      <c r="O104" s="206">
        <f t="shared" si="14"/>
        <v>72818396.098952308</v>
      </c>
      <c r="P104" s="206">
        <f t="shared" si="15"/>
        <v>-1581950.1758753806</v>
      </c>
      <c r="Q104" s="206"/>
      <c r="AA104" s="117"/>
      <c r="AB104" s="117"/>
      <c r="AC104" s="117"/>
      <c r="AD104" s="117"/>
      <c r="AE104"/>
      <c r="AF104"/>
      <c r="AG104"/>
      <c r="AH104"/>
      <c r="AI104"/>
    </row>
    <row r="105" spans="2:35" ht="14.5" x14ac:dyDescent="0.35">
      <c r="B105" s="191">
        <v>42309</v>
      </c>
      <c r="C105" s="168">
        <f t="shared" si="9"/>
        <v>11</v>
      </c>
      <c r="D105" s="168">
        <v>2015</v>
      </c>
      <c r="E105" s="181">
        <v>71636023.820769221</v>
      </c>
      <c r="F105" s="167">
        <v>345</v>
      </c>
      <c r="G105" s="167">
        <v>0</v>
      </c>
      <c r="H105" s="237">
        <v>144.58530378796473</v>
      </c>
      <c r="I105" s="50">
        <f t="shared" si="8"/>
        <v>30</v>
      </c>
      <c r="J105" s="50">
        <f t="shared" si="10"/>
        <v>0</v>
      </c>
      <c r="K105" s="50">
        <f t="shared" si="11"/>
        <v>0</v>
      </c>
      <c r="L105" s="50">
        <f t="shared" si="12"/>
        <v>0</v>
      </c>
      <c r="M105" s="50">
        <f t="shared" si="13"/>
        <v>0</v>
      </c>
      <c r="N105" s="179">
        <v>71</v>
      </c>
      <c r="O105" s="206">
        <f t="shared" si="14"/>
        <v>73993831.576715842</v>
      </c>
      <c r="P105" s="206">
        <f t="shared" si="15"/>
        <v>-2357807.7559466213</v>
      </c>
      <c r="Q105" s="206"/>
      <c r="AA105" s="117"/>
      <c r="AB105" s="117"/>
      <c r="AC105" s="117"/>
      <c r="AD105" s="117"/>
      <c r="AE105"/>
      <c r="AF105"/>
      <c r="AG105"/>
      <c r="AH105"/>
      <c r="AI105"/>
    </row>
    <row r="106" spans="2:35" ht="14.5" x14ac:dyDescent="0.35">
      <c r="B106" s="191">
        <v>42339</v>
      </c>
      <c r="C106" s="168">
        <f t="shared" si="9"/>
        <v>12</v>
      </c>
      <c r="D106" s="168">
        <v>2015</v>
      </c>
      <c r="E106" s="181">
        <v>73291493.167692319</v>
      </c>
      <c r="F106" s="167">
        <v>429.70000000000005</v>
      </c>
      <c r="G106" s="167">
        <v>0</v>
      </c>
      <c r="H106" s="237">
        <v>144.91764839720901</v>
      </c>
      <c r="I106" s="50">
        <f t="shared" ref="I106:I169" si="16">DAY(EOMONTH(B106,0))</f>
        <v>31</v>
      </c>
      <c r="J106" s="50">
        <f t="shared" si="10"/>
        <v>0</v>
      </c>
      <c r="K106" s="50">
        <f t="shared" si="11"/>
        <v>0</v>
      </c>
      <c r="L106" s="50">
        <f t="shared" si="12"/>
        <v>0</v>
      </c>
      <c r="M106" s="50">
        <f t="shared" si="13"/>
        <v>0</v>
      </c>
      <c r="N106" s="179">
        <v>72</v>
      </c>
      <c r="O106" s="206">
        <f t="shared" si="14"/>
        <v>77327776.855287954</v>
      </c>
      <c r="P106" s="206">
        <f t="shared" si="15"/>
        <v>-4036283.6875956357</v>
      </c>
      <c r="Q106" s="206"/>
      <c r="AA106" s="117"/>
      <c r="AB106" s="117"/>
      <c r="AC106" s="117"/>
      <c r="AD106" s="117"/>
      <c r="AE106"/>
      <c r="AF106"/>
      <c r="AG106"/>
      <c r="AH106"/>
      <c r="AI106"/>
    </row>
    <row r="107" spans="2:35" ht="14.5" x14ac:dyDescent="0.35">
      <c r="B107" s="191">
        <v>42370</v>
      </c>
      <c r="C107" s="168">
        <f t="shared" si="9"/>
        <v>1</v>
      </c>
      <c r="D107" s="168">
        <v>2016</v>
      </c>
      <c r="E107" s="181">
        <v>79986061.065384641</v>
      </c>
      <c r="F107" s="167">
        <v>670.4</v>
      </c>
      <c r="G107" s="167">
        <v>0</v>
      </c>
      <c r="H107" s="237">
        <v>145.18982487994964</v>
      </c>
      <c r="I107" s="50">
        <f t="shared" si="16"/>
        <v>31</v>
      </c>
      <c r="J107" s="50">
        <f t="shared" si="10"/>
        <v>0</v>
      </c>
      <c r="K107" s="50">
        <f t="shared" si="11"/>
        <v>0</v>
      </c>
      <c r="L107" s="50">
        <f t="shared" si="12"/>
        <v>0</v>
      </c>
      <c r="M107" s="50">
        <f t="shared" si="13"/>
        <v>0</v>
      </c>
      <c r="N107" s="179">
        <v>73</v>
      </c>
      <c r="O107" s="206">
        <f t="shared" si="14"/>
        <v>80705242.386302456</v>
      </c>
      <c r="P107" s="206">
        <f t="shared" si="15"/>
        <v>-719181.32091781497</v>
      </c>
      <c r="Q107" s="206"/>
      <c r="AA107" s="117"/>
      <c r="AB107" s="117"/>
      <c r="AC107" s="117"/>
      <c r="AD107" s="117"/>
      <c r="AE107"/>
      <c r="AF107"/>
      <c r="AG107"/>
      <c r="AH107"/>
      <c r="AI107"/>
    </row>
    <row r="108" spans="2:35" ht="14.5" x14ac:dyDescent="0.35">
      <c r="B108" s="191">
        <v>42401</v>
      </c>
      <c r="C108" s="168">
        <f t="shared" si="9"/>
        <v>2</v>
      </c>
      <c r="D108" s="168">
        <v>2016</v>
      </c>
      <c r="E108" s="181">
        <v>73679442.001538455</v>
      </c>
      <c r="F108" s="167">
        <v>588.4</v>
      </c>
      <c r="G108" s="167">
        <v>0</v>
      </c>
      <c r="H108" s="237">
        <v>145.46251254982707</v>
      </c>
      <c r="I108" s="50">
        <f t="shared" si="16"/>
        <v>29</v>
      </c>
      <c r="J108" s="50">
        <f t="shared" si="10"/>
        <v>0</v>
      </c>
      <c r="K108" s="50">
        <f t="shared" si="11"/>
        <v>0</v>
      </c>
      <c r="L108" s="50">
        <f t="shared" si="12"/>
        <v>0</v>
      </c>
      <c r="M108" s="50">
        <f t="shared" si="13"/>
        <v>0</v>
      </c>
      <c r="N108" s="179">
        <v>74</v>
      </c>
      <c r="O108" s="206">
        <f t="shared" si="14"/>
        <v>75310828.489611015</v>
      </c>
      <c r="P108" s="206">
        <f t="shared" si="15"/>
        <v>-1631386.4880725592</v>
      </c>
      <c r="Q108" s="206"/>
      <c r="AA108" s="117"/>
      <c r="AB108" s="117"/>
      <c r="AC108" s="117"/>
      <c r="AD108" s="117"/>
      <c r="AE108"/>
      <c r="AF108"/>
      <c r="AG108"/>
      <c r="AH108"/>
      <c r="AI108"/>
    </row>
    <row r="109" spans="2:35" ht="14.5" x14ac:dyDescent="0.35">
      <c r="B109" s="191">
        <v>42430</v>
      </c>
      <c r="C109" s="168">
        <f t="shared" si="9"/>
        <v>3</v>
      </c>
      <c r="D109" s="168">
        <v>2016</v>
      </c>
      <c r="E109" s="181">
        <v>73829400.356153846</v>
      </c>
      <c r="F109" s="167">
        <v>476.0999999999998</v>
      </c>
      <c r="G109" s="167">
        <v>0</v>
      </c>
      <c r="H109" s="237">
        <v>145.73571236692533</v>
      </c>
      <c r="I109" s="50">
        <f t="shared" si="16"/>
        <v>31</v>
      </c>
      <c r="J109" s="50">
        <f t="shared" si="10"/>
        <v>1</v>
      </c>
      <c r="K109" s="50">
        <f t="shared" si="11"/>
        <v>0</v>
      </c>
      <c r="L109" s="50">
        <f t="shared" si="12"/>
        <v>0</v>
      </c>
      <c r="M109" s="50">
        <f t="shared" si="13"/>
        <v>0</v>
      </c>
      <c r="N109" s="179">
        <v>75</v>
      </c>
      <c r="O109" s="206">
        <f t="shared" si="14"/>
        <v>76184037.884185567</v>
      </c>
      <c r="P109" s="206">
        <f t="shared" si="15"/>
        <v>-2354637.5280317217</v>
      </c>
      <c r="Q109" s="206"/>
      <c r="AA109" s="117"/>
      <c r="AB109" s="117"/>
      <c r="AC109" s="117"/>
      <c r="AD109" s="117"/>
      <c r="AE109"/>
      <c r="AF109"/>
      <c r="AG109"/>
      <c r="AH109"/>
      <c r="AI109"/>
    </row>
    <row r="110" spans="2:35" ht="14.5" x14ac:dyDescent="0.35">
      <c r="B110" s="191">
        <v>42461</v>
      </c>
      <c r="C110" s="168">
        <f t="shared" si="9"/>
        <v>4</v>
      </c>
      <c r="D110" s="168">
        <v>2016</v>
      </c>
      <c r="E110" s="181">
        <v>69308215.465384632</v>
      </c>
      <c r="F110" s="167">
        <v>394.8</v>
      </c>
      <c r="G110" s="167">
        <v>0</v>
      </c>
      <c r="H110" s="237">
        <v>146.00942529313159</v>
      </c>
      <c r="I110" s="50">
        <f t="shared" si="16"/>
        <v>30</v>
      </c>
      <c r="J110" s="50">
        <f t="shared" si="10"/>
        <v>0</v>
      </c>
      <c r="K110" s="50">
        <f t="shared" si="11"/>
        <v>1</v>
      </c>
      <c r="L110" s="50">
        <f t="shared" si="12"/>
        <v>0</v>
      </c>
      <c r="M110" s="50">
        <f t="shared" si="13"/>
        <v>0</v>
      </c>
      <c r="N110" s="179">
        <v>76</v>
      </c>
      <c r="O110" s="206">
        <f t="shared" si="14"/>
        <v>70506723.832605451</v>
      </c>
      <c r="P110" s="206">
        <f t="shared" si="15"/>
        <v>-1198508.367220819</v>
      </c>
      <c r="Q110" s="206"/>
      <c r="AA110" s="117"/>
      <c r="AB110" s="117"/>
      <c r="AC110" s="117"/>
      <c r="AD110" s="117"/>
      <c r="AE110"/>
      <c r="AF110"/>
      <c r="AG110"/>
      <c r="AH110"/>
      <c r="AI110"/>
    </row>
    <row r="111" spans="2:35" ht="14.5" x14ac:dyDescent="0.35">
      <c r="B111" s="191">
        <v>42491</v>
      </c>
      <c r="C111" s="168">
        <f t="shared" si="9"/>
        <v>5</v>
      </c>
      <c r="D111" s="168">
        <v>2016</v>
      </c>
      <c r="E111" s="181">
        <v>72726898.225384623</v>
      </c>
      <c r="F111" s="167">
        <v>142.50000000000003</v>
      </c>
      <c r="G111" s="167">
        <v>36.9</v>
      </c>
      <c r="H111" s="237">
        <v>146.28365229213961</v>
      </c>
      <c r="I111" s="50">
        <f t="shared" si="16"/>
        <v>31</v>
      </c>
      <c r="J111" s="50">
        <f t="shared" si="10"/>
        <v>0</v>
      </c>
      <c r="K111" s="50">
        <f t="shared" si="11"/>
        <v>0</v>
      </c>
      <c r="L111" s="50">
        <f t="shared" si="12"/>
        <v>1</v>
      </c>
      <c r="M111" s="50">
        <f t="shared" si="13"/>
        <v>0</v>
      </c>
      <c r="N111" s="179">
        <v>77</v>
      </c>
      <c r="O111" s="206">
        <f t="shared" si="14"/>
        <v>74688520.296297923</v>
      </c>
      <c r="P111" s="206">
        <f t="shared" si="15"/>
        <v>-1961622.0709132999</v>
      </c>
      <c r="Q111" s="206"/>
      <c r="AA111" s="117"/>
      <c r="AB111" s="117"/>
      <c r="AC111" s="117"/>
      <c r="AD111" s="117"/>
      <c r="AE111"/>
      <c r="AF111"/>
      <c r="AG111"/>
      <c r="AH111"/>
      <c r="AI111"/>
    </row>
    <row r="112" spans="2:35" ht="14.5" x14ac:dyDescent="0.35">
      <c r="B112" s="191">
        <v>42522</v>
      </c>
      <c r="C112" s="168">
        <f t="shared" si="9"/>
        <v>6</v>
      </c>
      <c r="D112" s="168">
        <v>2016</v>
      </c>
      <c r="E112" s="181">
        <v>79069060.420000032</v>
      </c>
      <c r="F112" s="167">
        <v>24.200000000000003</v>
      </c>
      <c r="G112" s="167">
        <v>83.7</v>
      </c>
      <c r="H112" s="237">
        <v>146.55839432945308</v>
      </c>
      <c r="I112" s="50">
        <f t="shared" si="16"/>
        <v>30</v>
      </c>
      <c r="J112" s="50">
        <f t="shared" si="10"/>
        <v>0</v>
      </c>
      <c r="K112" s="50">
        <f t="shared" si="11"/>
        <v>0</v>
      </c>
      <c r="L112" s="50">
        <f t="shared" si="12"/>
        <v>0</v>
      </c>
      <c r="M112" s="50">
        <f t="shared" si="13"/>
        <v>0</v>
      </c>
      <c r="N112" s="179">
        <v>78</v>
      </c>
      <c r="O112" s="206">
        <f t="shared" si="14"/>
        <v>79855660.565043703</v>
      </c>
      <c r="P112" s="206">
        <f t="shared" si="15"/>
        <v>-786600.14504367113</v>
      </c>
      <c r="Q112" s="206"/>
      <c r="AA112" s="117"/>
      <c r="AB112" s="117"/>
      <c r="AC112" s="117"/>
      <c r="AD112" s="117"/>
      <c r="AE112"/>
      <c r="AF112"/>
      <c r="AG112"/>
      <c r="AH112"/>
      <c r="AI112"/>
    </row>
    <row r="113" spans="2:35" ht="14.5" x14ac:dyDescent="0.35">
      <c r="B113" s="191">
        <v>42552</v>
      </c>
      <c r="C113" s="168">
        <f t="shared" si="9"/>
        <v>7</v>
      </c>
      <c r="D113" s="168">
        <v>2016</v>
      </c>
      <c r="E113" s="181">
        <v>90249922.476153865</v>
      </c>
      <c r="F113" s="167">
        <v>0</v>
      </c>
      <c r="G113" s="167">
        <v>176.89999999999998</v>
      </c>
      <c r="H113" s="237">
        <v>146.83365237238908</v>
      </c>
      <c r="I113" s="50">
        <f t="shared" si="16"/>
        <v>31</v>
      </c>
      <c r="J113" s="50">
        <f t="shared" si="10"/>
        <v>0</v>
      </c>
      <c r="K113" s="50">
        <f t="shared" si="11"/>
        <v>0</v>
      </c>
      <c r="L113" s="50">
        <f t="shared" si="12"/>
        <v>0</v>
      </c>
      <c r="M113" s="50">
        <f t="shared" si="13"/>
        <v>0</v>
      </c>
      <c r="N113" s="179">
        <v>79</v>
      </c>
      <c r="O113" s="206">
        <f t="shared" si="14"/>
        <v>93184534.854763314</v>
      </c>
      <c r="P113" s="206">
        <f t="shared" si="15"/>
        <v>-2934612.3786094487</v>
      </c>
      <c r="Q113" s="206"/>
      <c r="AA113" s="117"/>
      <c r="AB113" s="117"/>
      <c r="AC113" s="117"/>
      <c r="AD113" s="117"/>
      <c r="AE113"/>
      <c r="AF113"/>
      <c r="AG113"/>
      <c r="AH113"/>
      <c r="AI113"/>
    </row>
    <row r="114" spans="2:35" ht="14.5" x14ac:dyDescent="0.35">
      <c r="B114" s="191">
        <v>42583</v>
      </c>
      <c r="C114" s="168">
        <f t="shared" si="9"/>
        <v>8</v>
      </c>
      <c r="D114" s="168">
        <v>2016</v>
      </c>
      <c r="E114" s="181">
        <v>94016713.441538468</v>
      </c>
      <c r="F114" s="167">
        <v>0</v>
      </c>
      <c r="G114" s="167">
        <v>195.4</v>
      </c>
      <c r="H114" s="237">
        <v>147.10942739008146</v>
      </c>
      <c r="I114" s="50">
        <f t="shared" si="16"/>
        <v>31</v>
      </c>
      <c r="J114" s="50">
        <f t="shared" si="10"/>
        <v>0</v>
      </c>
      <c r="K114" s="50">
        <f t="shared" si="11"/>
        <v>0</v>
      </c>
      <c r="L114" s="50">
        <f t="shared" si="12"/>
        <v>0</v>
      </c>
      <c r="M114" s="50">
        <f t="shared" si="13"/>
        <v>0</v>
      </c>
      <c r="N114" s="179">
        <v>80</v>
      </c>
      <c r="O114" s="206">
        <f t="shared" si="14"/>
        <v>95474174.506461546</v>
      </c>
      <c r="P114" s="206">
        <f t="shared" si="15"/>
        <v>-1457461.0649230778</v>
      </c>
      <c r="Q114" s="206"/>
      <c r="AA114" s="117"/>
      <c r="AB114" s="117"/>
      <c r="AC114" s="117"/>
      <c r="AD114" s="117"/>
      <c r="AE114"/>
      <c r="AF114"/>
      <c r="AG114"/>
      <c r="AH114"/>
      <c r="AI114"/>
    </row>
    <row r="115" spans="2:35" ht="14.5" x14ac:dyDescent="0.35">
      <c r="B115" s="191">
        <v>42614</v>
      </c>
      <c r="C115" s="168">
        <f t="shared" si="9"/>
        <v>9</v>
      </c>
      <c r="D115" s="168">
        <v>2016</v>
      </c>
      <c r="E115" s="181">
        <v>77678226.287692308</v>
      </c>
      <c r="F115" s="167">
        <v>25.900000000000006</v>
      </c>
      <c r="G115" s="167">
        <v>69.400000000000006</v>
      </c>
      <c r="H115" s="237">
        <v>147.3857203534842</v>
      </c>
      <c r="I115" s="50">
        <f t="shared" si="16"/>
        <v>30</v>
      </c>
      <c r="J115" s="50">
        <f t="shared" si="10"/>
        <v>0</v>
      </c>
      <c r="K115" s="50">
        <f t="shared" si="11"/>
        <v>0</v>
      </c>
      <c r="L115" s="50">
        <f t="shared" si="12"/>
        <v>0</v>
      </c>
      <c r="M115" s="50">
        <f t="shared" si="13"/>
        <v>0</v>
      </c>
      <c r="N115" s="179">
        <v>81</v>
      </c>
      <c r="O115" s="206">
        <f t="shared" si="14"/>
        <v>78094383.186800137</v>
      </c>
      <c r="P115" s="206">
        <f t="shared" si="15"/>
        <v>-416156.89910782874</v>
      </c>
      <c r="Q115" s="206"/>
      <c r="AA115" s="117"/>
      <c r="AB115" s="117"/>
      <c r="AC115" s="117"/>
      <c r="AD115" s="117"/>
      <c r="AE115"/>
      <c r="AF115"/>
      <c r="AG115"/>
      <c r="AH115"/>
      <c r="AI115"/>
    </row>
    <row r="116" spans="2:35" ht="14.5" x14ac:dyDescent="0.35">
      <c r="B116" s="191">
        <v>42644</v>
      </c>
      <c r="C116" s="168">
        <f t="shared" si="9"/>
        <v>10</v>
      </c>
      <c r="D116" s="168">
        <v>2016</v>
      </c>
      <c r="E116" s="181">
        <v>71025278.580769241</v>
      </c>
      <c r="F116" s="167">
        <v>194.20000000000002</v>
      </c>
      <c r="G116" s="167">
        <v>4.0999999999999996</v>
      </c>
      <c r="H116" s="237">
        <v>147.6625322353749</v>
      </c>
      <c r="I116" s="50">
        <f t="shared" si="16"/>
        <v>31</v>
      </c>
      <c r="J116" s="50">
        <f t="shared" si="10"/>
        <v>0</v>
      </c>
      <c r="K116" s="50">
        <f t="shared" si="11"/>
        <v>0</v>
      </c>
      <c r="L116" s="50">
        <f t="shared" si="12"/>
        <v>0</v>
      </c>
      <c r="M116" s="50">
        <f t="shared" si="13"/>
        <v>1</v>
      </c>
      <c r="N116" s="179">
        <v>82</v>
      </c>
      <c r="O116" s="206">
        <f t="shared" si="14"/>
        <v>72548052.248683527</v>
      </c>
      <c r="P116" s="206">
        <f t="shared" si="15"/>
        <v>-1522773.6679142863</v>
      </c>
      <c r="Q116" s="206"/>
      <c r="AA116" s="117"/>
      <c r="AB116" s="117"/>
      <c r="AC116" s="117"/>
      <c r="AD116" s="117"/>
      <c r="AE116"/>
      <c r="AF116"/>
      <c r="AG116"/>
      <c r="AH116"/>
      <c r="AI116"/>
    </row>
    <row r="117" spans="2:35" ht="14.5" x14ac:dyDescent="0.35">
      <c r="B117" s="191">
        <v>42675</v>
      </c>
      <c r="C117" s="168">
        <f t="shared" si="9"/>
        <v>11</v>
      </c>
      <c r="D117" s="168">
        <v>2016</v>
      </c>
      <c r="E117" s="181">
        <v>71123495.761538461</v>
      </c>
      <c r="F117" s="167">
        <v>337.80000000000007</v>
      </c>
      <c r="G117" s="167">
        <v>0</v>
      </c>
      <c r="H117" s="237">
        <v>147.93986401035815</v>
      </c>
      <c r="I117" s="50">
        <f t="shared" si="16"/>
        <v>30</v>
      </c>
      <c r="J117" s="50">
        <f t="shared" si="10"/>
        <v>0</v>
      </c>
      <c r="K117" s="50">
        <f t="shared" si="11"/>
        <v>0</v>
      </c>
      <c r="L117" s="50">
        <f t="shared" si="12"/>
        <v>0</v>
      </c>
      <c r="M117" s="50">
        <f t="shared" si="13"/>
        <v>0</v>
      </c>
      <c r="N117" s="179">
        <v>83</v>
      </c>
      <c r="O117" s="206">
        <f t="shared" si="14"/>
        <v>73867320.695161223</v>
      </c>
      <c r="P117" s="206">
        <f t="shared" si="15"/>
        <v>-2743824.9336227626</v>
      </c>
      <c r="Q117" s="206"/>
      <c r="AA117" s="117"/>
      <c r="AB117" s="117"/>
      <c r="AC117" s="117"/>
      <c r="AD117" s="117"/>
      <c r="AE117"/>
      <c r="AF117"/>
      <c r="AG117"/>
      <c r="AH117"/>
      <c r="AI117"/>
    </row>
    <row r="118" spans="2:35" ht="14.5" x14ac:dyDescent="0.35">
      <c r="B118" s="191">
        <v>42705</v>
      </c>
      <c r="C118" s="168">
        <f t="shared" si="9"/>
        <v>12</v>
      </c>
      <c r="D118" s="168">
        <v>2016</v>
      </c>
      <c r="E118" s="181">
        <v>76024870.703076944</v>
      </c>
      <c r="F118" s="167">
        <v>607.99999999999989</v>
      </c>
      <c r="G118" s="167">
        <v>0</v>
      </c>
      <c r="H118" s="237">
        <v>148.21771665486904</v>
      </c>
      <c r="I118" s="50">
        <f t="shared" si="16"/>
        <v>31</v>
      </c>
      <c r="J118" s="50">
        <f t="shared" si="10"/>
        <v>0</v>
      </c>
      <c r="K118" s="50">
        <f t="shared" si="11"/>
        <v>0</v>
      </c>
      <c r="L118" s="50">
        <f t="shared" si="12"/>
        <v>0</v>
      </c>
      <c r="M118" s="50">
        <f t="shared" si="13"/>
        <v>0</v>
      </c>
      <c r="N118" s="179">
        <v>84</v>
      </c>
      <c r="O118" s="206">
        <f t="shared" si="14"/>
        <v>79780455.491017982</v>
      </c>
      <c r="P118" s="206">
        <f t="shared" si="15"/>
        <v>-3755584.7879410386</v>
      </c>
      <c r="Q118" s="206"/>
      <c r="AA118" s="117"/>
      <c r="AB118" s="117"/>
      <c r="AC118" s="117"/>
      <c r="AD118" s="117"/>
      <c r="AE118"/>
      <c r="AF118"/>
      <c r="AG118"/>
      <c r="AH118"/>
      <c r="AI118"/>
    </row>
    <row r="119" spans="2:35" ht="14.5" x14ac:dyDescent="0.35">
      <c r="B119" s="191">
        <v>42736</v>
      </c>
      <c r="C119" s="168">
        <f t="shared" si="9"/>
        <v>1</v>
      </c>
      <c r="D119" s="168">
        <v>2017</v>
      </c>
      <c r="E119" s="181">
        <v>78997942.227619052</v>
      </c>
      <c r="F119" s="167">
        <v>608.9</v>
      </c>
      <c r="G119" s="167">
        <v>0</v>
      </c>
      <c r="H119" s="237">
        <v>148.6475381454095</v>
      </c>
      <c r="I119" s="50">
        <f t="shared" si="16"/>
        <v>31</v>
      </c>
      <c r="J119" s="50">
        <f t="shared" si="10"/>
        <v>0</v>
      </c>
      <c r="K119" s="50">
        <f t="shared" si="11"/>
        <v>0</v>
      </c>
      <c r="L119" s="50">
        <f t="shared" si="12"/>
        <v>0</v>
      </c>
      <c r="M119" s="50">
        <f t="shared" si="13"/>
        <v>0</v>
      </c>
      <c r="N119" s="179">
        <v>85</v>
      </c>
      <c r="O119" s="206">
        <f t="shared" si="14"/>
        <v>79869020.280506536</v>
      </c>
      <c r="P119" s="206">
        <f t="shared" si="15"/>
        <v>-871078.05288748443</v>
      </c>
      <c r="Q119" s="206"/>
      <c r="AA119" s="117"/>
      <c r="AB119" s="117"/>
      <c r="AC119" s="117"/>
      <c r="AD119" s="117"/>
      <c r="AE119"/>
      <c r="AF119"/>
      <c r="AG119"/>
      <c r="AH119"/>
      <c r="AI119"/>
    </row>
    <row r="120" spans="2:35" ht="14.5" x14ac:dyDescent="0.35">
      <c r="B120" s="191">
        <v>42767</v>
      </c>
      <c r="C120" s="168">
        <f t="shared" si="9"/>
        <v>2</v>
      </c>
      <c r="D120" s="168">
        <v>2017</v>
      </c>
      <c r="E120" s="181">
        <v>69829356.909999996</v>
      </c>
      <c r="F120" s="167">
        <v>510.4</v>
      </c>
      <c r="G120" s="167">
        <v>0</v>
      </c>
      <c r="H120" s="237">
        <v>149.07860608959868</v>
      </c>
      <c r="I120" s="50">
        <f t="shared" si="16"/>
        <v>28</v>
      </c>
      <c r="J120" s="50">
        <f t="shared" si="10"/>
        <v>0</v>
      </c>
      <c r="K120" s="50">
        <f t="shared" si="11"/>
        <v>0</v>
      </c>
      <c r="L120" s="50">
        <f t="shared" si="12"/>
        <v>0</v>
      </c>
      <c r="M120" s="50">
        <f t="shared" si="13"/>
        <v>0</v>
      </c>
      <c r="N120" s="179">
        <v>86</v>
      </c>
      <c r="O120" s="206">
        <f t="shared" si="14"/>
        <v>72206849.707884058</v>
      </c>
      <c r="P120" s="206">
        <f t="shared" si="15"/>
        <v>-2377492.7978840619</v>
      </c>
      <c r="Q120" s="206"/>
      <c r="AA120" s="117"/>
      <c r="AB120" s="117"/>
      <c r="AC120" s="117"/>
      <c r="AD120" s="117"/>
      <c r="AE120"/>
      <c r="AF120"/>
      <c r="AG120"/>
      <c r="AH120"/>
      <c r="AI120"/>
    </row>
    <row r="121" spans="2:35" ht="14.5" x14ac:dyDescent="0.35">
      <c r="B121" s="191">
        <v>42795</v>
      </c>
      <c r="C121" s="168">
        <f t="shared" si="9"/>
        <v>3</v>
      </c>
      <c r="D121" s="168">
        <v>2017</v>
      </c>
      <c r="E121" s="181">
        <v>76565564.916190505</v>
      </c>
      <c r="F121" s="167">
        <v>574</v>
      </c>
      <c r="G121" s="167">
        <v>0</v>
      </c>
      <c r="H121" s="237">
        <v>149.51092410206903</v>
      </c>
      <c r="I121" s="50">
        <f t="shared" si="16"/>
        <v>31</v>
      </c>
      <c r="J121" s="50">
        <f t="shared" si="10"/>
        <v>1</v>
      </c>
      <c r="K121" s="50">
        <f t="shared" si="11"/>
        <v>0</v>
      </c>
      <c r="L121" s="50">
        <f t="shared" si="12"/>
        <v>0</v>
      </c>
      <c r="M121" s="50">
        <f t="shared" si="13"/>
        <v>0</v>
      </c>
      <c r="N121" s="179">
        <v>87</v>
      </c>
      <c r="O121" s="206">
        <f t="shared" si="14"/>
        <v>77753267.760220423</v>
      </c>
      <c r="P121" s="206">
        <f t="shared" si="15"/>
        <v>-1187702.8440299183</v>
      </c>
      <c r="Q121" s="206"/>
      <c r="AA121" s="117"/>
      <c r="AB121" s="117"/>
      <c r="AC121" s="117"/>
      <c r="AD121" s="117"/>
      <c r="AE121"/>
      <c r="AF121"/>
      <c r="AG121"/>
      <c r="AH121"/>
      <c r="AI121"/>
    </row>
    <row r="122" spans="2:35" ht="14.5" x14ac:dyDescent="0.35">
      <c r="B122" s="191">
        <v>42826</v>
      </c>
      <c r="C122" s="168">
        <f t="shared" si="9"/>
        <v>4</v>
      </c>
      <c r="D122" s="168">
        <v>2017</v>
      </c>
      <c r="E122" s="181">
        <v>66644954.449523814</v>
      </c>
      <c r="F122" s="167">
        <v>257.49999999999994</v>
      </c>
      <c r="G122" s="167">
        <v>0</v>
      </c>
      <c r="H122" s="237">
        <v>149.94449580793514</v>
      </c>
      <c r="I122" s="50">
        <f t="shared" si="16"/>
        <v>30</v>
      </c>
      <c r="J122" s="50">
        <f t="shared" si="10"/>
        <v>0</v>
      </c>
      <c r="K122" s="50">
        <f t="shared" si="11"/>
        <v>1</v>
      </c>
      <c r="L122" s="50">
        <f t="shared" si="12"/>
        <v>0</v>
      </c>
      <c r="M122" s="50">
        <f t="shared" si="13"/>
        <v>0</v>
      </c>
      <c r="N122" s="179">
        <v>88</v>
      </c>
      <c r="O122" s="206">
        <f t="shared" si="14"/>
        <v>68852862.280396119</v>
      </c>
      <c r="P122" s="206">
        <f t="shared" si="15"/>
        <v>-2207907.8308723047</v>
      </c>
      <c r="Q122" s="206"/>
      <c r="AA122" s="117"/>
      <c r="AB122" s="117"/>
      <c r="AC122" s="117"/>
      <c r="AD122" s="117"/>
      <c r="AE122"/>
      <c r="AF122"/>
      <c r="AG122"/>
      <c r="AH122"/>
      <c r="AI122"/>
    </row>
    <row r="123" spans="2:35" ht="14.5" x14ac:dyDescent="0.35">
      <c r="B123" s="191">
        <v>42856</v>
      </c>
      <c r="C123" s="168">
        <f t="shared" si="9"/>
        <v>5</v>
      </c>
      <c r="D123" s="168">
        <v>2017</v>
      </c>
      <c r="E123" s="181">
        <v>70677545.254761904</v>
      </c>
      <c r="F123" s="167">
        <v>177</v>
      </c>
      <c r="G123" s="167">
        <v>9</v>
      </c>
      <c r="H123" s="237">
        <v>150.37932484282425</v>
      </c>
      <c r="I123" s="50">
        <f t="shared" si="16"/>
        <v>31</v>
      </c>
      <c r="J123" s="50">
        <f t="shared" si="10"/>
        <v>0</v>
      </c>
      <c r="K123" s="50">
        <f t="shared" si="11"/>
        <v>0</v>
      </c>
      <c r="L123" s="50">
        <f t="shared" si="12"/>
        <v>1</v>
      </c>
      <c r="M123" s="50">
        <f t="shared" si="13"/>
        <v>0</v>
      </c>
      <c r="N123" s="179">
        <v>89</v>
      </c>
      <c r="O123" s="206">
        <f t="shared" si="14"/>
        <v>72073793.363548279</v>
      </c>
      <c r="P123" s="206">
        <f t="shared" si="15"/>
        <v>-1396248.1087863743</v>
      </c>
      <c r="Q123" s="206"/>
      <c r="AA123" s="117"/>
      <c r="AB123" s="117"/>
      <c r="AC123" s="117"/>
      <c r="AD123" s="117"/>
      <c r="AE123"/>
      <c r="AF123"/>
      <c r="AG123"/>
      <c r="AH123"/>
      <c r="AI123"/>
    </row>
    <row r="124" spans="2:35" ht="14.5" x14ac:dyDescent="0.35">
      <c r="B124" s="191">
        <v>42887</v>
      </c>
      <c r="C124" s="168">
        <f t="shared" si="9"/>
        <v>6</v>
      </c>
      <c r="D124" s="168">
        <v>2017</v>
      </c>
      <c r="E124" s="181">
        <v>78699725.353333339</v>
      </c>
      <c r="F124" s="167">
        <v>26.699999999999996</v>
      </c>
      <c r="G124" s="167">
        <v>68.2</v>
      </c>
      <c r="H124" s="237">
        <v>150.81541485290663</v>
      </c>
      <c r="I124" s="50">
        <f t="shared" si="16"/>
        <v>30</v>
      </c>
      <c r="J124" s="50">
        <f t="shared" si="10"/>
        <v>0</v>
      </c>
      <c r="K124" s="50">
        <f t="shared" si="11"/>
        <v>0</v>
      </c>
      <c r="L124" s="50">
        <f t="shared" si="12"/>
        <v>0</v>
      </c>
      <c r="M124" s="50">
        <f t="shared" si="13"/>
        <v>0</v>
      </c>
      <c r="N124" s="179">
        <v>90</v>
      </c>
      <c r="O124" s="206">
        <f t="shared" si="14"/>
        <v>78412300.575968996</v>
      </c>
      <c r="P124" s="206">
        <f t="shared" si="15"/>
        <v>287424.7773643434</v>
      </c>
      <c r="Q124" s="206"/>
      <c r="AA124" s="117"/>
      <c r="AB124" s="117"/>
      <c r="AC124" s="117"/>
      <c r="AD124" s="117"/>
      <c r="AE124"/>
      <c r="AF124"/>
      <c r="AG124"/>
      <c r="AH124"/>
      <c r="AI124"/>
    </row>
    <row r="125" spans="2:35" ht="14.5" x14ac:dyDescent="0.35">
      <c r="B125" s="191">
        <v>42917</v>
      </c>
      <c r="C125" s="168">
        <f t="shared" si="9"/>
        <v>7</v>
      </c>
      <c r="D125" s="168">
        <v>2017</v>
      </c>
      <c r="E125" s="181">
        <v>85577695.760000005</v>
      </c>
      <c r="F125" s="167">
        <v>0</v>
      </c>
      <c r="G125" s="167">
        <v>116.49999999999999</v>
      </c>
      <c r="H125" s="237">
        <v>151.25276949492624</v>
      </c>
      <c r="I125" s="50">
        <f t="shared" si="16"/>
        <v>31</v>
      </c>
      <c r="J125" s="50">
        <f t="shared" si="10"/>
        <v>0</v>
      </c>
      <c r="K125" s="50">
        <f t="shared" si="11"/>
        <v>0</v>
      </c>
      <c r="L125" s="50">
        <f t="shared" si="12"/>
        <v>0</v>
      </c>
      <c r="M125" s="50">
        <f t="shared" si="13"/>
        <v>0</v>
      </c>
      <c r="N125" s="179">
        <v>91</v>
      </c>
      <c r="O125" s="206">
        <f t="shared" si="14"/>
        <v>86223306.239931509</v>
      </c>
      <c r="P125" s="206">
        <f t="shared" si="15"/>
        <v>-645610.47993150353</v>
      </c>
      <c r="Q125" s="206"/>
      <c r="AA125" s="117"/>
      <c r="AB125" s="117"/>
      <c r="AC125" s="117"/>
      <c r="AD125" s="117"/>
      <c r="AE125"/>
      <c r="AF125"/>
      <c r="AG125"/>
      <c r="AH125"/>
      <c r="AI125"/>
    </row>
    <row r="126" spans="2:35" ht="14.5" x14ac:dyDescent="0.35">
      <c r="B126" s="191">
        <v>42948</v>
      </c>
      <c r="C126" s="168">
        <f t="shared" si="9"/>
        <v>8</v>
      </c>
      <c r="D126" s="168">
        <v>2017</v>
      </c>
      <c r="E126" s="181">
        <v>83019509.650000006</v>
      </c>
      <c r="F126" s="167">
        <v>11.6</v>
      </c>
      <c r="G126" s="167">
        <v>75.2</v>
      </c>
      <c r="H126" s="237">
        <v>151.69139243623133</v>
      </c>
      <c r="I126" s="50">
        <f t="shared" si="16"/>
        <v>31</v>
      </c>
      <c r="J126" s="50">
        <f t="shared" si="10"/>
        <v>0</v>
      </c>
      <c r="K126" s="50">
        <f t="shared" si="11"/>
        <v>0</v>
      </c>
      <c r="L126" s="50">
        <f t="shared" si="12"/>
        <v>0</v>
      </c>
      <c r="M126" s="50">
        <f t="shared" si="13"/>
        <v>0</v>
      </c>
      <c r="N126" s="179">
        <v>92</v>
      </c>
      <c r="O126" s="206">
        <f t="shared" si="14"/>
        <v>81346300.406975999</v>
      </c>
      <c r="P126" s="206">
        <f t="shared" si="15"/>
        <v>1673209.2430240065</v>
      </c>
      <c r="Q126" s="206"/>
      <c r="AA126" s="117"/>
      <c r="AB126" s="117"/>
      <c r="AC126" s="117"/>
      <c r="AD126" s="117"/>
      <c r="AE126"/>
      <c r="AF126"/>
      <c r="AG126"/>
      <c r="AH126"/>
      <c r="AI126"/>
    </row>
    <row r="127" spans="2:35" ht="14.5" x14ac:dyDescent="0.35">
      <c r="B127" s="191">
        <v>42979</v>
      </c>
      <c r="C127" s="168">
        <f t="shared" si="9"/>
        <v>9</v>
      </c>
      <c r="D127" s="168">
        <v>2017</v>
      </c>
      <c r="E127" s="181">
        <v>77334131.13666667</v>
      </c>
      <c r="F127" s="167">
        <v>49.1</v>
      </c>
      <c r="G127" s="167">
        <v>71.499999999999986</v>
      </c>
      <c r="H127" s="237">
        <v>152.13128735480518</v>
      </c>
      <c r="I127" s="50">
        <f t="shared" si="16"/>
        <v>30</v>
      </c>
      <c r="J127" s="50">
        <f t="shared" si="10"/>
        <v>0</v>
      </c>
      <c r="K127" s="50">
        <f t="shared" si="11"/>
        <v>0</v>
      </c>
      <c r="L127" s="50">
        <f t="shared" si="12"/>
        <v>0</v>
      </c>
      <c r="M127" s="50">
        <f t="shared" si="13"/>
        <v>0</v>
      </c>
      <c r="N127" s="179">
        <v>93</v>
      </c>
      <c r="O127" s="206">
        <f t="shared" si="14"/>
        <v>79377766.792071417</v>
      </c>
      <c r="P127" s="206">
        <f t="shared" si="15"/>
        <v>-2043635.6554047465</v>
      </c>
      <c r="Q127" s="206"/>
      <c r="AA127" s="117"/>
      <c r="AB127" s="117"/>
      <c r="AC127" s="117"/>
      <c r="AD127" s="117"/>
      <c r="AE127"/>
      <c r="AF127"/>
      <c r="AG127"/>
      <c r="AH127"/>
      <c r="AI127"/>
    </row>
    <row r="128" spans="2:35" ht="14.5" x14ac:dyDescent="0.35">
      <c r="B128" s="191">
        <v>43009</v>
      </c>
      <c r="C128" s="168">
        <f t="shared" si="9"/>
        <v>10</v>
      </c>
      <c r="D128" s="168">
        <v>2017</v>
      </c>
      <c r="E128" s="181">
        <v>73469057.820000008</v>
      </c>
      <c r="F128" s="167">
        <v>153.99999999999997</v>
      </c>
      <c r="G128" s="167">
        <v>8.1</v>
      </c>
      <c r="H128" s="237">
        <v>152.57245793929707</v>
      </c>
      <c r="I128" s="50">
        <f t="shared" si="16"/>
        <v>31</v>
      </c>
      <c r="J128" s="50">
        <f t="shared" si="10"/>
        <v>0</v>
      </c>
      <c r="K128" s="50">
        <f t="shared" si="11"/>
        <v>0</v>
      </c>
      <c r="L128" s="50">
        <f t="shared" si="12"/>
        <v>0</v>
      </c>
      <c r="M128" s="50">
        <f t="shared" si="13"/>
        <v>1</v>
      </c>
      <c r="N128" s="179">
        <v>94</v>
      </c>
      <c r="O128" s="206">
        <f t="shared" si="14"/>
        <v>73261158.244503826</v>
      </c>
      <c r="P128" s="206">
        <f t="shared" si="15"/>
        <v>207899.57549618185</v>
      </c>
      <c r="Q128" s="206"/>
      <c r="AA128" s="117"/>
      <c r="AB128" s="117"/>
      <c r="AC128" s="117"/>
      <c r="AD128" s="117"/>
      <c r="AE128"/>
      <c r="AF128"/>
      <c r="AG128"/>
      <c r="AH128"/>
      <c r="AI128"/>
    </row>
    <row r="129" spans="2:35" ht="14.5" x14ac:dyDescent="0.35">
      <c r="B129" s="191">
        <v>43040</v>
      </c>
      <c r="C129" s="168">
        <f t="shared" si="9"/>
        <v>11</v>
      </c>
      <c r="D129" s="168">
        <v>2017</v>
      </c>
      <c r="E129" s="181">
        <v>74459348.126666665</v>
      </c>
      <c r="F129" s="167">
        <v>414.2</v>
      </c>
      <c r="G129" s="167">
        <v>0</v>
      </c>
      <c r="H129" s="237">
        <v>153.01490788905303</v>
      </c>
      <c r="I129" s="50">
        <f t="shared" si="16"/>
        <v>30</v>
      </c>
      <c r="J129" s="50">
        <f t="shared" si="10"/>
        <v>0</v>
      </c>
      <c r="K129" s="50">
        <f t="shared" si="11"/>
        <v>0</v>
      </c>
      <c r="L129" s="50">
        <f t="shared" si="12"/>
        <v>0</v>
      </c>
      <c r="M129" s="50">
        <f t="shared" si="13"/>
        <v>0</v>
      </c>
      <c r="N129" s="179">
        <v>95</v>
      </c>
      <c r="O129" s="206">
        <f t="shared" si="14"/>
        <v>75809207.919394091</v>
      </c>
      <c r="P129" s="206">
        <f t="shared" si="15"/>
        <v>-1349859.7927274257</v>
      </c>
      <c r="Q129" s="206"/>
      <c r="AA129" s="117"/>
      <c r="AB129" s="117"/>
      <c r="AC129" s="117"/>
      <c r="AD129" s="117"/>
      <c r="AE129"/>
      <c r="AF129"/>
      <c r="AG129"/>
      <c r="AH129"/>
      <c r="AI129"/>
    </row>
    <row r="130" spans="2:35" ht="14.5" x14ac:dyDescent="0.35">
      <c r="B130" s="191">
        <v>43070</v>
      </c>
      <c r="C130" s="168">
        <f t="shared" si="9"/>
        <v>12</v>
      </c>
      <c r="D130" s="168">
        <v>2017</v>
      </c>
      <c r="E130" s="181">
        <v>79667517.416666657</v>
      </c>
      <c r="F130" s="167">
        <v>718.49999999999989</v>
      </c>
      <c r="G130" s="167">
        <v>0</v>
      </c>
      <c r="H130" s="237">
        <v>153.45864091414703</v>
      </c>
      <c r="I130" s="50">
        <f t="shared" si="16"/>
        <v>31</v>
      </c>
      <c r="J130" s="50">
        <f t="shared" si="10"/>
        <v>0</v>
      </c>
      <c r="K130" s="50">
        <f t="shared" si="11"/>
        <v>0</v>
      </c>
      <c r="L130" s="50">
        <f t="shared" si="12"/>
        <v>0</v>
      </c>
      <c r="M130" s="50">
        <f t="shared" si="13"/>
        <v>0</v>
      </c>
      <c r="N130" s="179">
        <v>96</v>
      </c>
      <c r="O130" s="206">
        <f t="shared" si="14"/>
        <v>82287794.55542703</v>
      </c>
      <c r="P130" s="206">
        <f t="shared" si="15"/>
        <v>-2620277.138760373</v>
      </c>
      <c r="Q130" s="206"/>
      <c r="AA130" s="117"/>
      <c r="AB130" s="117"/>
      <c r="AC130" s="117"/>
      <c r="AD130" s="117"/>
      <c r="AE130"/>
      <c r="AF130"/>
      <c r="AG130"/>
      <c r="AH130"/>
      <c r="AI130"/>
    </row>
    <row r="131" spans="2:35" ht="14.5" x14ac:dyDescent="0.35">
      <c r="B131" s="191">
        <v>43101</v>
      </c>
      <c r="C131" s="168">
        <f t="shared" si="9"/>
        <v>1</v>
      </c>
      <c r="D131" s="168">
        <v>2018</v>
      </c>
      <c r="E131" s="181">
        <v>84752511.140000001</v>
      </c>
      <c r="F131" s="167">
        <v>732.29999999999984</v>
      </c>
      <c r="G131" s="167">
        <v>0</v>
      </c>
      <c r="H131" s="237">
        <v>153.85890281731997</v>
      </c>
      <c r="I131" s="50">
        <f t="shared" si="16"/>
        <v>31</v>
      </c>
      <c r="J131" s="50">
        <f t="shared" si="10"/>
        <v>0</v>
      </c>
      <c r="K131" s="50">
        <f t="shared" si="11"/>
        <v>0</v>
      </c>
      <c r="L131" s="50">
        <f t="shared" si="12"/>
        <v>0</v>
      </c>
      <c r="M131" s="50">
        <f t="shared" si="13"/>
        <v>0</v>
      </c>
      <c r="N131" s="179">
        <v>97</v>
      </c>
      <c r="O131" s="206">
        <f t="shared" si="14"/>
        <v>82542340.93903257</v>
      </c>
      <c r="P131" s="206">
        <f t="shared" si="15"/>
        <v>2210170.2009674311</v>
      </c>
      <c r="Q131" s="206"/>
      <c r="AA131" s="117"/>
      <c r="AB131" s="117"/>
      <c r="AC131" s="117"/>
      <c r="AD131" s="117"/>
      <c r="AE131"/>
      <c r="AF131"/>
      <c r="AG131"/>
      <c r="AH131"/>
      <c r="AI131"/>
    </row>
    <row r="132" spans="2:35" ht="14.5" x14ac:dyDescent="0.35">
      <c r="B132" s="191">
        <v>43132</v>
      </c>
      <c r="C132" s="168">
        <f t="shared" si="9"/>
        <v>2</v>
      </c>
      <c r="D132" s="168">
        <v>2018</v>
      </c>
      <c r="E132" s="181">
        <v>72631313.480000004</v>
      </c>
      <c r="F132" s="167">
        <v>555.00000000000023</v>
      </c>
      <c r="G132" s="167">
        <v>0</v>
      </c>
      <c r="H132" s="237">
        <v>154.26020871247783</v>
      </c>
      <c r="I132" s="50">
        <f t="shared" si="16"/>
        <v>28</v>
      </c>
      <c r="J132" s="50">
        <f t="shared" si="10"/>
        <v>0</v>
      </c>
      <c r="K132" s="50">
        <f t="shared" si="11"/>
        <v>0</v>
      </c>
      <c r="L132" s="50">
        <f t="shared" si="12"/>
        <v>0</v>
      </c>
      <c r="M132" s="50">
        <f t="shared" si="13"/>
        <v>0</v>
      </c>
      <c r="N132" s="179">
        <v>98</v>
      </c>
      <c r="O132" s="206">
        <f t="shared" si="14"/>
        <v>73757065.313709319</v>
      </c>
      <c r="P132" s="206">
        <f t="shared" si="15"/>
        <v>-1125751.8337093145</v>
      </c>
      <c r="Q132" s="206"/>
      <c r="AA132" s="117"/>
      <c r="AB132" s="117"/>
      <c r="AC132" s="117"/>
      <c r="AD132" s="117"/>
      <c r="AE132"/>
      <c r="AF132"/>
      <c r="AG132"/>
      <c r="AH132"/>
      <c r="AI132"/>
    </row>
    <row r="133" spans="2:35" ht="14.5" x14ac:dyDescent="0.35">
      <c r="B133" s="191">
        <v>43160</v>
      </c>
      <c r="C133" s="168">
        <f t="shared" si="9"/>
        <v>3</v>
      </c>
      <c r="D133" s="168">
        <v>2018</v>
      </c>
      <c r="E133" s="181">
        <v>77931843.100000009</v>
      </c>
      <c r="F133" s="167">
        <v>553.99999999999989</v>
      </c>
      <c r="G133" s="167">
        <v>0</v>
      </c>
      <c r="H133" s="237">
        <v>154.66256132263587</v>
      </c>
      <c r="I133" s="50">
        <f t="shared" si="16"/>
        <v>31</v>
      </c>
      <c r="J133" s="50">
        <f t="shared" si="10"/>
        <v>1</v>
      </c>
      <c r="K133" s="50">
        <f t="shared" si="11"/>
        <v>0</v>
      </c>
      <c r="L133" s="50">
        <f t="shared" si="12"/>
        <v>0</v>
      </c>
      <c r="M133" s="50">
        <f t="shared" si="13"/>
        <v>0</v>
      </c>
      <c r="N133" s="179">
        <v>99</v>
      </c>
      <c r="O133" s="206">
        <f t="shared" si="14"/>
        <v>78379875.106568143</v>
      </c>
      <c r="P133" s="206">
        <f t="shared" si="15"/>
        <v>-448032.00656813383</v>
      </c>
      <c r="Q133" s="206"/>
      <c r="AA133" s="117"/>
      <c r="AB133" s="117"/>
      <c r="AC133" s="117"/>
      <c r="AD133" s="117"/>
      <c r="AE133"/>
      <c r="AF133"/>
      <c r="AG133"/>
      <c r="AH133"/>
      <c r="AI133"/>
    </row>
    <row r="134" spans="2:35" ht="14.5" x14ac:dyDescent="0.35">
      <c r="B134" s="191">
        <v>43191</v>
      </c>
      <c r="C134" s="168">
        <f t="shared" si="9"/>
        <v>4</v>
      </c>
      <c r="D134" s="168">
        <v>2018</v>
      </c>
      <c r="E134" s="181">
        <v>72888274.790000007</v>
      </c>
      <c r="F134" s="167">
        <v>437.20000000000005</v>
      </c>
      <c r="G134" s="167">
        <v>0</v>
      </c>
      <c r="H134" s="237">
        <v>155.06596337791169</v>
      </c>
      <c r="I134" s="50">
        <f t="shared" si="16"/>
        <v>30</v>
      </c>
      <c r="J134" s="50">
        <f t="shared" si="10"/>
        <v>0</v>
      </c>
      <c r="K134" s="50">
        <f t="shared" si="11"/>
        <v>1</v>
      </c>
      <c r="L134" s="50">
        <f t="shared" si="12"/>
        <v>0</v>
      </c>
      <c r="M134" s="50">
        <f t="shared" si="13"/>
        <v>0</v>
      </c>
      <c r="N134" s="179">
        <v>100</v>
      </c>
      <c r="O134" s="206">
        <f t="shared" si="14"/>
        <v>72270889.651731431</v>
      </c>
      <c r="P134" s="206">
        <f t="shared" si="15"/>
        <v>617385.13826857507</v>
      </c>
      <c r="Q134" s="206"/>
      <c r="AA134" s="117"/>
      <c r="AB134" s="117"/>
      <c r="AC134" s="117"/>
      <c r="AD134" s="117"/>
      <c r="AE134"/>
      <c r="AF134"/>
      <c r="AG134"/>
      <c r="AH134"/>
      <c r="AI134"/>
    </row>
    <row r="135" spans="2:35" ht="14.5" x14ac:dyDescent="0.35">
      <c r="B135" s="191">
        <v>43221</v>
      </c>
      <c r="C135" s="168">
        <f t="shared" si="9"/>
        <v>5</v>
      </c>
      <c r="D135" s="168">
        <v>2018</v>
      </c>
      <c r="E135" s="181">
        <v>76624694.199999973</v>
      </c>
      <c r="F135" s="167">
        <v>75.3</v>
      </c>
      <c r="G135" s="167">
        <v>43.4</v>
      </c>
      <c r="H135" s="237">
        <v>155.47041761554377</v>
      </c>
      <c r="I135" s="50">
        <f t="shared" si="16"/>
        <v>31</v>
      </c>
      <c r="J135" s="50">
        <f t="shared" si="10"/>
        <v>0</v>
      </c>
      <c r="K135" s="50">
        <f t="shared" si="11"/>
        <v>0</v>
      </c>
      <c r="L135" s="50">
        <f t="shared" si="12"/>
        <v>1</v>
      </c>
      <c r="M135" s="50">
        <f t="shared" si="13"/>
        <v>0</v>
      </c>
      <c r="N135" s="179">
        <v>101</v>
      </c>
      <c r="O135" s="206">
        <f t="shared" si="14"/>
        <v>75785603.96441631</v>
      </c>
      <c r="P135" s="206">
        <f t="shared" si="15"/>
        <v>839090.23558366299</v>
      </c>
      <c r="Q135" s="206"/>
      <c r="AA135" s="117"/>
      <c r="AB135" s="117"/>
      <c r="AC135" s="117"/>
      <c r="AD135" s="117"/>
      <c r="AE135"/>
      <c r="AF135"/>
      <c r="AG135"/>
      <c r="AH135"/>
      <c r="AI135"/>
    </row>
    <row r="136" spans="2:35" ht="14.5" x14ac:dyDescent="0.35">
      <c r="B136" s="191">
        <v>43252</v>
      </c>
      <c r="C136" s="168">
        <f t="shared" si="9"/>
        <v>6</v>
      </c>
      <c r="D136" s="168">
        <v>2018</v>
      </c>
      <c r="E136" s="181">
        <v>80769043.830000013</v>
      </c>
      <c r="F136" s="167">
        <v>14.799999999999999</v>
      </c>
      <c r="G136" s="167">
        <v>60.5</v>
      </c>
      <c r="H136" s="237">
        <v>155.87592677991009</v>
      </c>
      <c r="I136" s="50">
        <f t="shared" si="16"/>
        <v>30</v>
      </c>
      <c r="J136" s="50">
        <f t="shared" si="10"/>
        <v>0</v>
      </c>
      <c r="K136" s="50">
        <f t="shared" si="11"/>
        <v>0</v>
      </c>
      <c r="L136" s="50">
        <f t="shared" si="12"/>
        <v>0</v>
      </c>
      <c r="M136" s="50">
        <f t="shared" si="13"/>
        <v>0</v>
      </c>
      <c r="N136" s="179">
        <v>102</v>
      </c>
      <c r="O136" s="206">
        <f t="shared" si="14"/>
        <v>78150775.5373009</v>
      </c>
      <c r="P136" s="206">
        <f t="shared" si="15"/>
        <v>2618268.2926991135</v>
      </c>
      <c r="Q136" s="206"/>
      <c r="AA136" s="117"/>
      <c r="AB136" s="117"/>
      <c r="AC136" s="117"/>
      <c r="AD136" s="117"/>
      <c r="AE136"/>
      <c r="AF136"/>
      <c r="AG136"/>
      <c r="AH136"/>
      <c r="AI136"/>
    </row>
    <row r="137" spans="2:35" ht="14.5" x14ac:dyDescent="0.35">
      <c r="B137" s="191">
        <v>43282</v>
      </c>
      <c r="C137" s="168">
        <f t="shared" si="9"/>
        <v>7</v>
      </c>
      <c r="D137" s="168">
        <v>2018</v>
      </c>
      <c r="E137" s="181">
        <v>95230727.25999999</v>
      </c>
      <c r="F137" s="167">
        <v>0</v>
      </c>
      <c r="G137" s="167">
        <v>167.8</v>
      </c>
      <c r="H137" s="237">
        <v>156.2824936225467</v>
      </c>
      <c r="I137" s="50">
        <f t="shared" si="16"/>
        <v>31</v>
      </c>
      <c r="J137" s="50">
        <f t="shared" si="10"/>
        <v>0</v>
      </c>
      <c r="K137" s="50">
        <f t="shared" si="11"/>
        <v>0</v>
      </c>
      <c r="L137" s="50">
        <f t="shared" si="12"/>
        <v>0</v>
      </c>
      <c r="M137" s="50">
        <f t="shared" si="13"/>
        <v>0</v>
      </c>
      <c r="N137" s="179">
        <v>103</v>
      </c>
      <c r="O137" s="206">
        <f t="shared" si="14"/>
        <v>93428132.79912512</v>
      </c>
      <c r="P137" s="206">
        <f t="shared" si="15"/>
        <v>1802594.4608748704</v>
      </c>
      <c r="Q137" s="206"/>
      <c r="AA137" s="117"/>
      <c r="AB137" s="117"/>
      <c r="AC137" s="117"/>
      <c r="AD137" s="117"/>
      <c r="AE137"/>
      <c r="AF137"/>
      <c r="AG137"/>
      <c r="AH137"/>
      <c r="AI137"/>
    </row>
    <row r="138" spans="2:35" ht="14.5" x14ac:dyDescent="0.35">
      <c r="B138" s="191">
        <v>43313</v>
      </c>
      <c r="C138" s="168">
        <f t="shared" si="9"/>
        <v>8</v>
      </c>
      <c r="D138" s="168">
        <v>2018</v>
      </c>
      <c r="E138" s="181">
        <v>93580216.839999989</v>
      </c>
      <c r="F138" s="167">
        <v>1.2</v>
      </c>
      <c r="G138" s="167">
        <v>162.4</v>
      </c>
      <c r="H138" s="237">
        <v>156.6901209021664</v>
      </c>
      <c r="I138" s="50">
        <f t="shared" si="16"/>
        <v>31</v>
      </c>
      <c r="J138" s="50">
        <f t="shared" si="10"/>
        <v>0</v>
      </c>
      <c r="K138" s="50">
        <f t="shared" si="11"/>
        <v>0</v>
      </c>
      <c r="L138" s="50">
        <f t="shared" si="12"/>
        <v>0</v>
      </c>
      <c r="M138" s="50">
        <f t="shared" si="13"/>
        <v>0</v>
      </c>
      <c r="N138" s="179">
        <v>104</v>
      </c>
      <c r="O138" s="206">
        <f t="shared" si="14"/>
        <v>92839876.966625586</v>
      </c>
      <c r="P138" s="206">
        <f t="shared" si="15"/>
        <v>740339.87337440252</v>
      </c>
      <c r="Q138" s="206"/>
      <c r="AA138" s="117"/>
      <c r="AB138" s="117"/>
      <c r="AC138" s="117"/>
      <c r="AD138" s="117"/>
      <c r="AE138"/>
      <c r="AF138"/>
      <c r="AG138"/>
      <c r="AH138"/>
      <c r="AI138"/>
    </row>
    <row r="139" spans="2:35" ht="14.5" x14ac:dyDescent="0.35">
      <c r="B139" s="191">
        <v>43344</v>
      </c>
      <c r="C139" s="168">
        <f t="shared" si="9"/>
        <v>9</v>
      </c>
      <c r="D139" s="168">
        <v>2018</v>
      </c>
      <c r="E139" s="181">
        <v>79916023.120000005</v>
      </c>
      <c r="F139" s="167">
        <v>41.399999999999991</v>
      </c>
      <c r="G139" s="167">
        <v>76.399999999999977</v>
      </c>
      <c r="H139" s="237">
        <v>157.09881138467748</v>
      </c>
      <c r="I139" s="50">
        <f t="shared" si="16"/>
        <v>30</v>
      </c>
      <c r="J139" s="50">
        <f t="shared" si="10"/>
        <v>0</v>
      </c>
      <c r="K139" s="50">
        <f t="shared" si="11"/>
        <v>0</v>
      </c>
      <c r="L139" s="50">
        <f t="shared" si="12"/>
        <v>0</v>
      </c>
      <c r="M139" s="50">
        <f t="shared" si="13"/>
        <v>0</v>
      </c>
      <c r="N139" s="179">
        <v>105</v>
      </c>
      <c r="O139" s="206">
        <f t="shared" si="14"/>
        <v>80689199.955159709</v>
      </c>
      <c r="P139" s="206">
        <f t="shared" si="15"/>
        <v>-773176.83515970409</v>
      </c>
      <c r="Q139" s="206"/>
      <c r="AA139" s="117"/>
      <c r="AB139" s="117"/>
      <c r="AC139" s="117"/>
      <c r="AD139" s="117"/>
      <c r="AE139"/>
      <c r="AF139"/>
      <c r="AG139"/>
      <c r="AH139"/>
      <c r="AI139"/>
    </row>
    <row r="140" spans="2:35" ht="14.5" x14ac:dyDescent="0.35">
      <c r="B140" s="191">
        <v>43374</v>
      </c>
      <c r="C140" s="168">
        <f t="shared" si="9"/>
        <v>10</v>
      </c>
      <c r="D140" s="168">
        <v>2018</v>
      </c>
      <c r="E140" s="181">
        <v>75870343.00999999</v>
      </c>
      <c r="F140" s="167">
        <v>289.40000000000003</v>
      </c>
      <c r="G140" s="167">
        <v>8.1999999999999993</v>
      </c>
      <c r="H140" s="237">
        <v>157.50856784320246</v>
      </c>
      <c r="I140" s="50">
        <f t="shared" si="16"/>
        <v>31</v>
      </c>
      <c r="J140" s="50">
        <f t="shared" si="10"/>
        <v>0</v>
      </c>
      <c r="K140" s="50">
        <f t="shared" si="11"/>
        <v>0</v>
      </c>
      <c r="L140" s="50">
        <f t="shared" si="12"/>
        <v>0</v>
      </c>
      <c r="M140" s="50">
        <f t="shared" si="13"/>
        <v>1</v>
      </c>
      <c r="N140" s="179">
        <v>106</v>
      </c>
      <c r="O140" s="206">
        <f t="shared" si="14"/>
        <v>75972643.239235893</v>
      </c>
      <c r="P140" s="206">
        <f t="shared" si="15"/>
        <v>-102300.22923590243</v>
      </c>
      <c r="Q140" s="206"/>
      <c r="AA140" s="117"/>
      <c r="AB140" s="117"/>
      <c r="AC140" s="117"/>
      <c r="AD140" s="117"/>
      <c r="AE140"/>
      <c r="AF140"/>
      <c r="AG140"/>
      <c r="AH140"/>
      <c r="AI140"/>
    </row>
    <row r="141" spans="2:35" ht="14.5" x14ac:dyDescent="0.35">
      <c r="B141" s="191">
        <v>43405</v>
      </c>
      <c r="C141" s="168">
        <f t="shared" si="9"/>
        <v>11</v>
      </c>
      <c r="D141" s="168">
        <v>2018</v>
      </c>
      <c r="E141" s="181">
        <v>77972578.930000007</v>
      </c>
      <c r="F141" s="167">
        <v>494.1</v>
      </c>
      <c r="G141" s="167">
        <v>0</v>
      </c>
      <c r="H141" s="237">
        <v>157.91939305809689</v>
      </c>
      <c r="I141" s="50">
        <f t="shared" si="16"/>
        <v>30</v>
      </c>
      <c r="J141" s="50">
        <f t="shared" si="10"/>
        <v>0</v>
      </c>
      <c r="K141" s="50">
        <f t="shared" si="11"/>
        <v>0</v>
      </c>
      <c r="L141" s="50">
        <f t="shared" si="12"/>
        <v>0</v>
      </c>
      <c r="M141" s="50">
        <f t="shared" si="13"/>
        <v>0</v>
      </c>
      <c r="N141" s="179">
        <v>107</v>
      </c>
      <c r="O141" s="206">
        <f t="shared" si="14"/>
        <v>77711738.91362913</v>
      </c>
      <c r="P141" s="206">
        <f t="shared" si="15"/>
        <v>260840.01637087762</v>
      </c>
      <c r="Q141" s="206"/>
      <c r="AA141" s="117"/>
      <c r="AB141" s="117"/>
      <c r="AC141" s="117"/>
      <c r="AD141" s="117"/>
      <c r="AE141"/>
      <c r="AF141"/>
      <c r="AG141"/>
      <c r="AH141"/>
      <c r="AI141"/>
    </row>
    <row r="142" spans="2:35" ht="14.5" x14ac:dyDescent="0.35">
      <c r="B142" s="191">
        <v>43435</v>
      </c>
      <c r="C142" s="168">
        <f t="shared" si="9"/>
        <v>12</v>
      </c>
      <c r="D142" s="168">
        <v>2018</v>
      </c>
      <c r="E142" s="181">
        <v>77716342.479999989</v>
      </c>
      <c r="F142" s="167">
        <v>563.60000000000014</v>
      </c>
      <c r="G142" s="167">
        <v>0</v>
      </c>
      <c r="H142" s="237">
        <v>158.33128981696836</v>
      </c>
      <c r="I142" s="50">
        <f t="shared" si="16"/>
        <v>31</v>
      </c>
      <c r="J142" s="50">
        <f t="shared" si="10"/>
        <v>0</v>
      </c>
      <c r="K142" s="50">
        <f t="shared" si="11"/>
        <v>0</v>
      </c>
      <c r="L142" s="50">
        <f t="shared" si="12"/>
        <v>0</v>
      </c>
      <c r="M142" s="50">
        <f t="shared" si="13"/>
        <v>0</v>
      </c>
      <c r="N142" s="179">
        <v>108</v>
      </c>
      <c r="O142" s="206">
        <f t="shared" si="14"/>
        <v>80873328.749843702</v>
      </c>
      <c r="P142" s="206">
        <f t="shared" si="15"/>
        <v>-3156986.2698437124</v>
      </c>
      <c r="Q142" s="206"/>
      <c r="AA142" s="117"/>
      <c r="AB142" s="117"/>
      <c r="AC142" s="117"/>
      <c r="AD142" s="117"/>
      <c r="AE142"/>
      <c r="AF142"/>
      <c r="AG142"/>
      <c r="AH142"/>
      <c r="AI142"/>
    </row>
    <row r="143" spans="2:35" ht="14.5" x14ac:dyDescent="0.35">
      <c r="B143" s="191">
        <v>43466</v>
      </c>
      <c r="C143" s="168">
        <f t="shared" si="9"/>
        <v>1</v>
      </c>
      <c r="D143" s="168">
        <v>2019</v>
      </c>
      <c r="E143" s="181">
        <v>85029523.596500009</v>
      </c>
      <c r="F143" s="167">
        <v>764.5</v>
      </c>
      <c r="G143" s="167">
        <v>0</v>
      </c>
      <c r="H143" s="237">
        <v>158.56186296962741</v>
      </c>
      <c r="I143" s="50">
        <f t="shared" si="16"/>
        <v>31</v>
      </c>
      <c r="J143" s="50">
        <f t="shared" si="10"/>
        <v>0</v>
      </c>
      <c r="K143" s="50">
        <f t="shared" si="11"/>
        <v>0</v>
      </c>
      <c r="L143" s="50">
        <f t="shared" si="12"/>
        <v>0</v>
      </c>
      <c r="M143" s="50">
        <f t="shared" si="13"/>
        <v>0</v>
      </c>
      <c r="N143" s="179">
        <v>109</v>
      </c>
      <c r="O143" s="206">
        <f t="shared" si="14"/>
        <v>83669744.944495216</v>
      </c>
      <c r="P143" s="206">
        <f t="shared" si="15"/>
        <v>1359778.6520047933</v>
      </c>
      <c r="Q143" s="206"/>
      <c r="AA143" s="117"/>
      <c r="AB143" s="117"/>
      <c r="AC143" s="117"/>
      <c r="AD143" s="117"/>
      <c r="AE143"/>
      <c r="AF143"/>
      <c r="AG143"/>
      <c r="AH143"/>
      <c r="AI143"/>
    </row>
    <row r="144" spans="2:35" ht="14.5" x14ac:dyDescent="0.35">
      <c r="B144" s="191">
        <v>43497</v>
      </c>
      <c r="C144" s="168">
        <f t="shared" si="9"/>
        <v>2</v>
      </c>
      <c r="D144" s="168">
        <v>2019</v>
      </c>
      <c r="E144" s="181">
        <v>75571374.736000016</v>
      </c>
      <c r="F144" s="167">
        <v>621.70000000000016</v>
      </c>
      <c r="G144" s="167">
        <v>0</v>
      </c>
      <c r="H144" s="237">
        <v>158.79277189911735</v>
      </c>
      <c r="I144" s="50">
        <f t="shared" si="16"/>
        <v>28</v>
      </c>
      <c r="J144" s="50">
        <f t="shared" si="10"/>
        <v>0</v>
      </c>
      <c r="K144" s="50">
        <f t="shared" si="11"/>
        <v>0</v>
      </c>
      <c r="L144" s="50">
        <f t="shared" si="12"/>
        <v>0</v>
      </c>
      <c r="M144" s="50">
        <f t="shared" si="13"/>
        <v>0</v>
      </c>
      <c r="N144" s="179">
        <v>110</v>
      </c>
      <c r="O144" s="206">
        <f t="shared" si="14"/>
        <v>75280948.728440478</v>
      </c>
      <c r="P144" s="206">
        <f t="shared" si="15"/>
        <v>290426.00755953789</v>
      </c>
      <c r="Q144" s="206"/>
      <c r="AA144" s="117"/>
      <c r="AB144" s="117"/>
      <c r="AC144" s="117"/>
      <c r="AD144" s="117"/>
      <c r="AE144"/>
      <c r="AF144"/>
      <c r="AG144"/>
      <c r="AH144"/>
      <c r="AI144"/>
    </row>
    <row r="145" spans="2:35" ht="14.5" x14ac:dyDescent="0.35">
      <c r="B145" s="191">
        <v>43525</v>
      </c>
      <c r="C145" s="168">
        <f t="shared" si="9"/>
        <v>3</v>
      </c>
      <c r="D145" s="168">
        <v>2019</v>
      </c>
      <c r="E145" s="181">
        <v>79381068.277800009</v>
      </c>
      <c r="F145" s="167">
        <v>593.90000000000009</v>
      </c>
      <c r="G145" s="167">
        <v>0</v>
      </c>
      <c r="H145" s="237">
        <v>159.02401709442</v>
      </c>
      <c r="I145" s="50">
        <f t="shared" si="16"/>
        <v>31</v>
      </c>
      <c r="J145" s="50">
        <f t="shared" si="10"/>
        <v>1</v>
      </c>
      <c r="K145" s="50">
        <f t="shared" si="11"/>
        <v>0</v>
      </c>
      <c r="L145" s="50">
        <f t="shared" si="12"/>
        <v>0</v>
      </c>
      <c r="M145" s="50">
        <f t="shared" si="13"/>
        <v>0</v>
      </c>
      <c r="N145" s="179">
        <v>111</v>
      </c>
      <c r="O145" s="206">
        <f t="shared" si="14"/>
        <v>79438205.295614198</v>
      </c>
      <c r="P145" s="206">
        <f t="shared" si="15"/>
        <v>-57137.017814189196</v>
      </c>
      <c r="Q145" s="206"/>
      <c r="AA145" s="117"/>
      <c r="AB145" s="117"/>
      <c r="AC145" s="117"/>
      <c r="AD145" s="117"/>
      <c r="AE145"/>
      <c r="AF145"/>
      <c r="AG145"/>
      <c r="AH145"/>
      <c r="AI145"/>
    </row>
    <row r="146" spans="2:35" ht="14.5" x14ac:dyDescent="0.35">
      <c r="B146" s="191">
        <v>43556</v>
      </c>
      <c r="C146" s="168">
        <f t="shared" si="9"/>
        <v>4</v>
      </c>
      <c r="D146" s="168">
        <v>2019</v>
      </c>
      <c r="E146" s="181">
        <v>73998852.774599999</v>
      </c>
      <c r="F146" s="167">
        <v>346.8</v>
      </c>
      <c r="G146" s="167">
        <v>0</v>
      </c>
      <c r="H146" s="237">
        <v>159.2555990452293</v>
      </c>
      <c r="I146" s="50">
        <f t="shared" si="16"/>
        <v>30</v>
      </c>
      <c r="J146" s="50">
        <f t="shared" si="10"/>
        <v>0</v>
      </c>
      <c r="K146" s="50">
        <f t="shared" si="11"/>
        <v>1</v>
      </c>
      <c r="L146" s="50">
        <f t="shared" si="12"/>
        <v>0</v>
      </c>
      <c r="M146" s="50">
        <f t="shared" si="13"/>
        <v>0</v>
      </c>
      <c r="N146" s="179">
        <v>112</v>
      </c>
      <c r="O146" s="206">
        <f t="shared" si="14"/>
        <v>71408448.296560004</v>
      </c>
      <c r="P146" s="206">
        <f t="shared" si="15"/>
        <v>2590404.4780399948</v>
      </c>
      <c r="Q146" s="206"/>
      <c r="AA146" s="117"/>
      <c r="AB146" s="117"/>
      <c r="AC146" s="117"/>
      <c r="AD146" s="117"/>
      <c r="AE146"/>
      <c r="AF146"/>
      <c r="AG146"/>
      <c r="AH146"/>
      <c r="AI146"/>
    </row>
    <row r="147" spans="2:35" ht="14.5" x14ac:dyDescent="0.35">
      <c r="B147" s="191">
        <v>43586</v>
      </c>
      <c r="C147" s="168">
        <f t="shared" si="9"/>
        <v>5</v>
      </c>
      <c r="D147" s="168">
        <v>2019</v>
      </c>
      <c r="E147" s="181">
        <v>74079885.052200004</v>
      </c>
      <c r="F147" s="167">
        <v>180.99999999999997</v>
      </c>
      <c r="G147" s="167">
        <v>0</v>
      </c>
      <c r="H147" s="237">
        <v>159.48751824195227</v>
      </c>
      <c r="I147" s="50">
        <f t="shared" si="16"/>
        <v>31</v>
      </c>
      <c r="J147" s="50">
        <f t="shared" si="10"/>
        <v>0</v>
      </c>
      <c r="K147" s="50">
        <f t="shared" si="11"/>
        <v>0</v>
      </c>
      <c r="L147" s="50">
        <f t="shared" si="12"/>
        <v>1</v>
      </c>
      <c r="M147" s="50">
        <f t="shared" si="13"/>
        <v>0</v>
      </c>
      <c r="N147" s="179">
        <v>113</v>
      </c>
      <c r="O147" s="206">
        <f t="shared" si="14"/>
        <v>72209151.545757622</v>
      </c>
      <c r="P147" s="206">
        <f t="shared" si="15"/>
        <v>1870733.5064423829</v>
      </c>
      <c r="Q147" s="206"/>
      <c r="AA147" s="117"/>
      <c r="AB147" s="117"/>
      <c r="AC147" s="117"/>
      <c r="AD147" s="117"/>
      <c r="AE147"/>
      <c r="AF147"/>
      <c r="AG147"/>
      <c r="AH147"/>
      <c r="AI147"/>
    </row>
    <row r="148" spans="2:35" ht="14.5" x14ac:dyDescent="0.35">
      <c r="B148" s="191">
        <v>43617</v>
      </c>
      <c r="C148" s="168">
        <f t="shared" si="9"/>
        <v>6</v>
      </c>
      <c r="D148" s="168">
        <v>2019</v>
      </c>
      <c r="E148" s="181">
        <v>77200774.899399996</v>
      </c>
      <c r="F148" s="167">
        <v>35.5</v>
      </c>
      <c r="G148" s="167">
        <v>41.300000000000004</v>
      </c>
      <c r="H148" s="237">
        <v>159.71977517571011</v>
      </c>
      <c r="I148" s="50">
        <f t="shared" si="16"/>
        <v>30</v>
      </c>
      <c r="J148" s="50">
        <f t="shared" si="10"/>
        <v>0</v>
      </c>
      <c r="K148" s="50">
        <f t="shared" si="11"/>
        <v>0</v>
      </c>
      <c r="L148" s="50">
        <f t="shared" si="12"/>
        <v>0</v>
      </c>
      <c r="M148" s="50">
        <f t="shared" si="13"/>
        <v>0</v>
      </c>
      <c r="N148" s="179">
        <v>114</v>
      </c>
      <c r="O148" s="206">
        <f t="shared" si="14"/>
        <v>76289983.863540217</v>
      </c>
      <c r="P148" s="206">
        <f t="shared" si="15"/>
        <v>910791.03585977852</v>
      </c>
      <c r="Q148" s="206"/>
      <c r="AA148" s="117"/>
      <c r="AB148" s="117"/>
      <c r="AC148" s="117"/>
      <c r="AD148" s="117"/>
      <c r="AE148"/>
      <c r="AF148"/>
      <c r="AG148"/>
      <c r="AH148"/>
      <c r="AI148"/>
    </row>
    <row r="149" spans="2:35" ht="14.5" x14ac:dyDescent="0.35">
      <c r="B149" s="191">
        <v>43647</v>
      </c>
      <c r="C149" s="168">
        <f t="shared" si="9"/>
        <v>7</v>
      </c>
      <c r="D149" s="168">
        <v>2019</v>
      </c>
      <c r="E149" s="181">
        <v>97266632.718700007</v>
      </c>
      <c r="F149" s="167">
        <v>0</v>
      </c>
      <c r="G149" s="167">
        <v>166.90000000000003</v>
      </c>
      <c r="H149" s="237">
        <v>159.95237033833922</v>
      </c>
      <c r="I149" s="50">
        <f t="shared" si="16"/>
        <v>31</v>
      </c>
      <c r="J149" s="50">
        <f t="shared" si="10"/>
        <v>0</v>
      </c>
      <c r="K149" s="50">
        <f t="shared" si="11"/>
        <v>0</v>
      </c>
      <c r="L149" s="50">
        <f t="shared" si="12"/>
        <v>0</v>
      </c>
      <c r="M149" s="50">
        <f t="shared" si="13"/>
        <v>0</v>
      </c>
      <c r="N149" s="179">
        <v>115</v>
      </c>
      <c r="O149" s="206">
        <f t="shared" si="14"/>
        <v>93454955.19863306</v>
      </c>
      <c r="P149" s="206">
        <f t="shared" si="15"/>
        <v>3811677.5200669467</v>
      </c>
      <c r="Q149" s="206"/>
      <c r="AA149" s="117"/>
      <c r="AB149" s="117"/>
      <c r="AC149" s="117"/>
      <c r="AD149" s="117"/>
      <c r="AE149"/>
      <c r="AF149"/>
      <c r="AG149"/>
      <c r="AH149"/>
      <c r="AI149"/>
    </row>
    <row r="150" spans="2:35" ht="14.5" x14ac:dyDescent="0.35">
      <c r="B150" s="191">
        <v>43678</v>
      </c>
      <c r="C150" s="168">
        <f t="shared" si="9"/>
        <v>8</v>
      </c>
      <c r="D150" s="168">
        <v>2019</v>
      </c>
      <c r="E150" s="181">
        <v>88226114.621299982</v>
      </c>
      <c r="F150" s="167">
        <v>0.89999999999999991</v>
      </c>
      <c r="G150" s="167">
        <v>103.30000000000003</v>
      </c>
      <c r="H150" s="237">
        <v>160.18530422239229</v>
      </c>
      <c r="I150" s="50">
        <f t="shared" si="16"/>
        <v>31</v>
      </c>
      <c r="J150" s="50">
        <f t="shared" si="10"/>
        <v>0</v>
      </c>
      <c r="K150" s="50">
        <f t="shared" si="11"/>
        <v>0</v>
      </c>
      <c r="L150" s="50">
        <f t="shared" si="12"/>
        <v>0</v>
      </c>
      <c r="M150" s="50">
        <f t="shared" si="13"/>
        <v>0</v>
      </c>
      <c r="N150" s="179">
        <v>116</v>
      </c>
      <c r="O150" s="206">
        <f t="shared" si="14"/>
        <v>85555904.804488406</v>
      </c>
      <c r="P150" s="206">
        <f t="shared" si="15"/>
        <v>2670209.8168115765</v>
      </c>
      <c r="Q150" s="206"/>
      <c r="AA150" s="117"/>
      <c r="AB150" s="239"/>
      <c r="AC150" s="239"/>
      <c r="AD150" s="239"/>
      <c r="AE150" s="239"/>
      <c r="AF150"/>
      <c r="AG150"/>
      <c r="AH150"/>
      <c r="AI150"/>
    </row>
    <row r="151" spans="2:35" ht="14.5" x14ac:dyDescent="0.35">
      <c r="B151" s="191">
        <v>43709</v>
      </c>
      <c r="C151" s="168">
        <f t="shared" si="9"/>
        <v>9</v>
      </c>
      <c r="D151" s="168">
        <v>2019</v>
      </c>
      <c r="E151" s="181">
        <v>76664331.356100008</v>
      </c>
      <c r="F151" s="167">
        <v>38.400000000000006</v>
      </c>
      <c r="G151" s="167">
        <v>25.400000000000002</v>
      </c>
      <c r="H151" s="237">
        <v>160.41857732113922</v>
      </c>
      <c r="I151" s="50">
        <f t="shared" si="16"/>
        <v>30</v>
      </c>
      <c r="J151" s="50">
        <f t="shared" si="10"/>
        <v>0</v>
      </c>
      <c r="K151" s="50">
        <f t="shared" si="11"/>
        <v>0</v>
      </c>
      <c r="L151" s="50">
        <f t="shared" si="12"/>
        <v>0</v>
      </c>
      <c r="M151" s="50">
        <f t="shared" si="13"/>
        <v>0</v>
      </c>
      <c r="N151" s="179">
        <v>117</v>
      </c>
      <c r="O151" s="206">
        <f t="shared" si="14"/>
        <v>74280470.134656981</v>
      </c>
      <c r="P151" s="206">
        <f t="shared" si="15"/>
        <v>2383861.2214430273</v>
      </c>
      <c r="Q151" s="206"/>
      <c r="AA151" s="239"/>
      <c r="AB151" s="239"/>
      <c r="AC151" s="239"/>
      <c r="AD151" s="239"/>
      <c r="AE151" s="239"/>
      <c r="AF151"/>
      <c r="AG151"/>
      <c r="AH151"/>
      <c r="AI151"/>
    </row>
    <row r="152" spans="2:35" ht="14.5" x14ac:dyDescent="0.35">
      <c r="B152" s="191">
        <v>43739</v>
      </c>
      <c r="C152" s="168">
        <f t="shared" si="9"/>
        <v>10</v>
      </c>
      <c r="D152" s="168">
        <v>2019</v>
      </c>
      <c r="E152" s="181">
        <v>75138464.501400009</v>
      </c>
      <c r="F152" s="167">
        <v>236.5</v>
      </c>
      <c r="G152" s="167">
        <v>5.0999999999999996</v>
      </c>
      <c r="H152" s="237">
        <v>160.65219012856832</v>
      </c>
      <c r="I152" s="50">
        <f t="shared" si="16"/>
        <v>31</v>
      </c>
      <c r="J152" s="50">
        <f t="shared" si="10"/>
        <v>0</v>
      </c>
      <c r="K152" s="50">
        <f t="shared" si="11"/>
        <v>0</v>
      </c>
      <c r="L152" s="50">
        <f t="shared" si="12"/>
        <v>0</v>
      </c>
      <c r="M152" s="50">
        <f t="shared" si="13"/>
        <v>1</v>
      </c>
      <c r="N152" s="179">
        <v>118</v>
      </c>
      <c r="O152" s="206">
        <f t="shared" si="14"/>
        <v>74709880.365121007</v>
      </c>
      <c r="P152" s="206">
        <f t="shared" si="15"/>
        <v>428584.13627900183</v>
      </c>
      <c r="Q152" s="206"/>
      <c r="AA152" s="239"/>
      <c r="AB152" s="239"/>
      <c r="AC152" s="239"/>
      <c r="AD152" s="239"/>
      <c r="AE152" s="239"/>
      <c r="AF152"/>
      <c r="AG152"/>
      <c r="AH152"/>
      <c r="AI152"/>
    </row>
    <row r="153" spans="2:35" ht="14.5" x14ac:dyDescent="0.35">
      <c r="B153" s="191">
        <v>43770</v>
      </c>
      <c r="C153" s="168">
        <f t="shared" si="9"/>
        <v>11</v>
      </c>
      <c r="D153" s="168">
        <v>2019</v>
      </c>
      <c r="E153" s="181">
        <v>79324528.1259</v>
      </c>
      <c r="F153" s="167">
        <v>513.30000000000007</v>
      </c>
      <c r="G153" s="167">
        <v>0</v>
      </c>
      <c r="H153" s="237">
        <v>160.88614313938723</v>
      </c>
      <c r="I153" s="50">
        <f t="shared" si="16"/>
        <v>30</v>
      </c>
      <c r="J153" s="50">
        <f t="shared" si="10"/>
        <v>0</v>
      </c>
      <c r="K153" s="50">
        <f t="shared" si="11"/>
        <v>0</v>
      </c>
      <c r="L153" s="50">
        <f t="shared" si="12"/>
        <v>0</v>
      </c>
      <c r="M153" s="50">
        <f t="shared" si="13"/>
        <v>0</v>
      </c>
      <c r="N153" s="179">
        <v>119</v>
      </c>
      <c r="O153" s="206">
        <f t="shared" si="14"/>
        <v>77754968.935154065</v>
      </c>
      <c r="P153" s="206">
        <f t="shared" si="15"/>
        <v>1569559.1907459348</v>
      </c>
      <c r="Q153" s="206"/>
      <c r="AA153" s="239"/>
      <c r="AB153" s="239"/>
      <c r="AC153" s="239"/>
      <c r="AD153" s="239"/>
      <c r="AE153" s="239"/>
    </row>
    <row r="154" spans="2:35" ht="14.5" x14ac:dyDescent="0.35">
      <c r="B154" s="191">
        <v>43800</v>
      </c>
      <c r="C154" s="168">
        <f t="shared" si="9"/>
        <v>12</v>
      </c>
      <c r="D154" s="168">
        <v>2019</v>
      </c>
      <c r="E154" s="181">
        <v>77448670.109640002</v>
      </c>
      <c r="F154" s="167">
        <v>582.4</v>
      </c>
      <c r="G154" s="167">
        <v>0</v>
      </c>
      <c r="H154" s="237">
        <v>161.12043684902417</v>
      </c>
      <c r="I154" s="50">
        <f t="shared" si="16"/>
        <v>31</v>
      </c>
      <c r="J154" s="50">
        <f t="shared" si="10"/>
        <v>0</v>
      </c>
      <c r="K154" s="50">
        <f t="shared" si="11"/>
        <v>0</v>
      </c>
      <c r="L154" s="50">
        <f t="shared" si="12"/>
        <v>0</v>
      </c>
      <c r="M154" s="50">
        <f t="shared" si="13"/>
        <v>0</v>
      </c>
      <c r="N154" s="179">
        <v>120</v>
      </c>
      <c r="O154" s="206">
        <f t="shared" si="14"/>
        <v>80818724.753354922</v>
      </c>
      <c r="P154" s="206">
        <f t="shared" si="15"/>
        <v>-3370054.6437149197</v>
      </c>
      <c r="Q154" s="206"/>
      <c r="AA154" s="239"/>
      <c r="AB154" s="239"/>
      <c r="AC154" s="239"/>
      <c r="AD154" s="239"/>
      <c r="AE154" s="239"/>
    </row>
    <row r="155" spans="2:35" ht="14.5" x14ac:dyDescent="0.35">
      <c r="B155" s="191">
        <v>43831</v>
      </c>
      <c r="C155" s="168">
        <f t="shared" si="9"/>
        <v>1</v>
      </c>
      <c r="D155" s="168">
        <v>2020</v>
      </c>
      <c r="E155" s="181">
        <v>81251440.013279989</v>
      </c>
      <c r="F155" s="167">
        <v>605</v>
      </c>
      <c r="G155" s="167">
        <v>0</v>
      </c>
      <c r="H155" s="237">
        <v>160.36267106853012</v>
      </c>
      <c r="I155" s="50">
        <f t="shared" si="16"/>
        <v>31</v>
      </c>
      <c r="J155" s="50">
        <f t="shared" si="10"/>
        <v>0</v>
      </c>
      <c r="K155" s="50">
        <f t="shared" si="11"/>
        <v>0</v>
      </c>
      <c r="L155" s="50">
        <f t="shared" si="12"/>
        <v>0</v>
      </c>
      <c r="M155" s="50">
        <f t="shared" si="13"/>
        <v>0</v>
      </c>
      <c r="N155" s="179">
        <v>121</v>
      </c>
      <c r="O155" s="206">
        <f t="shared" si="14"/>
        <v>80595720.978366539</v>
      </c>
      <c r="P155" s="206">
        <f t="shared" si="15"/>
        <v>655719.03491345048</v>
      </c>
      <c r="Q155" s="206"/>
      <c r="AA155" s="239"/>
      <c r="AB155" s="239"/>
      <c r="AC155" s="239"/>
      <c r="AD155" s="239"/>
      <c r="AE155" s="239"/>
    </row>
    <row r="156" spans="2:35" ht="14.5" x14ac:dyDescent="0.35">
      <c r="B156" s="191">
        <v>43862</v>
      </c>
      <c r="C156" s="168">
        <f t="shared" si="9"/>
        <v>2</v>
      </c>
      <c r="D156" s="168">
        <v>2020</v>
      </c>
      <c r="E156" s="181">
        <v>75883614.011019975</v>
      </c>
      <c r="F156" s="167">
        <v>611.79999999999995</v>
      </c>
      <c r="G156" s="167">
        <v>0</v>
      </c>
      <c r="H156" s="237">
        <v>159.60846913747267</v>
      </c>
      <c r="I156" s="50">
        <f t="shared" si="16"/>
        <v>29</v>
      </c>
      <c r="J156" s="50">
        <f t="shared" si="10"/>
        <v>0</v>
      </c>
      <c r="K156" s="50">
        <f t="shared" si="11"/>
        <v>0</v>
      </c>
      <c r="L156" s="50">
        <f t="shared" si="12"/>
        <v>0</v>
      </c>
      <c r="M156" s="50">
        <f t="shared" si="13"/>
        <v>0</v>
      </c>
      <c r="N156" s="179">
        <v>122</v>
      </c>
      <c r="O156" s="206">
        <f t="shared" si="14"/>
        <v>75916364.168950006</v>
      </c>
      <c r="P156" s="206">
        <f t="shared" si="15"/>
        <v>-32750.157930031419</v>
      </c>
      <c r="Q156" s="206"/>
      <c r="AA156" s="239"/>
      <c r="AB156" s="239"/>
      <c r="AC156" s="239"/>
      <c r="AD156" s="239"/>
      <c r="AE156" s="239"/>
    </row>
    <row r="157" spans="2:35" ht="14.5" x14ac:dyDescent="0.35">
      <c r="B157" s="191">
        <v>43891</v>
      </c>
      <c r="C157" s="168">
        <f t="shared" si="9"/>
        <v>3</v>
      </c>
      <c r="D157" s="168">
        <v>2020</v>
      </c>
      <c r="E157" s="181">
        <v>75425735.247120008</v>
      </c>
      <c r="F157" s="167">
        <v>458.69999999999993</v>
      </c>
      <c r="G157" s="167">
        <v>0</v>
      </c>
      <c r="H157" s="237">
        <v>158.85781429470592</v>
      </c>
      <c r="I157" s="50">
        <f t="shared" si="16"/>
        <v>31</v>
      </c>
      <c r="J157" s="50">
        <f t="shared" si="10"/>
        <v>1</v>
      </c>
      <c r="K157" s="50">
        <f t="shared" si="11"/>
        <v>0</v>
      </c>
      <c r="L157" s="50">
        <f t="shared" si="12"/>
        <v>0</v>
      </c>
      <c r="M157" s="50">
        <f t="shared" si="13"/>
        <v>0</v>
      </c>
      <c r="N157" s="179">
        <v>123</v>
      </c>
      <c r="O157" s="206">
        <f t="shared" si="14"/>
        <v>75684483.313991979</v>
      </c>
      <c r="P157" s="206">
        <f t="shared" si="15"/>
        <v>-258748.06687197089</v>
      </c>
      <c r="Q157" s="206"/>
      <c r="AA157" s="239"/>
      <c r="AB157" s="239"/>
      <c r="AC157" s="239"/>
      <c r="AD157" s="239"/>
      <c r="AE157" s="239"/>
    </row>
    <row r="158" spans="2:35" ht="14.5" x14ac:dyDescent="0.35">
      <c r="B158" s="191">
        <v>43922</v>
      </c>
      <c r="C158" s="168">
        <f t="shared" si="9"/>
        <v>4</v>
      </c>
      <c r="D158" s="168">
        <v>2020</v>
      </c>
      <c r="E158" s="181">
        <v>68179453.099079981</v>
      </c>
      <c r="F158" s="167">
        <v>362.2999999999999</v>
      </c>
      <c r="G158" s="167">
        <v>0</v>
      </c>
      <c r="H158" s="237">
        <v>158.11068985791331</v>
      </c>
      <c r="I158" s="50">
        <f t="shared" si="16"/>
        <v>30</v>
      </c>
      <c r="J158" s="50">
        <f t="shared" si="10"/>
        <v>0</v>
      </c>
      <c r="K158" s="50">
        <f t="shared" si="11"/>
        <v>1</v>
      </c>
      <c r="L158" s="50">
        <f t="shared" si="12"/>
        <v>0</v>
      </c>
      <c r="M158" s="50">
        <f t="shared" si="13"/>
        <v>0</v>
      </c>
      <c r="N158" s="179">
        <v>124</v>
      </c>
      <c r="O158" s="206">
        <f t="shared" si="14"/>
        <v>69264897.776125386</v>
      </c>
      <c r="P158" s="206">
        <f t="shared" si="15"/>
        <v>-1085444.6770454049</v>
      </c>
      <c r="Q158" s="206"/>
    </row>
    <row r="159" spans="2:35" ht="14.5" x14ac:dyDescent="0.35">
      <c r="B159" s="191">
        <v>43952</v>
      </c>
      <c r="C159" s="168">
        <f t="shared" si="9"/>
        <v>5</v>
      </c>
      <c r="D159" s="168">
        <v>2020</v>
      </c>
      <c r="E159" s="181">
        <v>72113730.421249986</v>
      </c>
      <c r="F159" s="167">
        <v>208.09999999999997</v>
      </c>
      <c r="G159" s="167">
        <v>24.2</v>
      </c>
      <c r="H159" s="237">
        <v>157.36707922323697</v>
      </c>
      <c r="I159" s="50">
        <f t="shared" si="16"/>
        <v>31</v>
      </c>
      <c r="J159" s="50">
        <f t="shared" si="10"/>
        <v>0</v>
      </c>
      <c r="K159" s="50">
        <f t="shared" si="11"/>
        <v>0</v>
      </c>
      <c r="L159" s="50">
        <f t="shared" si="12"/>
        <v>1</v>
      </c>
      <c r="M159" s="50">
        <f t="shared" si="13"/>
        <v>0</v>
      </c>
      <c r="N159" s="179">
        <v>125</v>
      </c>
      <c r="O159" s="206">
        <f t="shared" si="14"/>
        <v>72722578.03837128</v>
      </c>
      <c r="P159" s="206">
        <f t="shared" si="15"/>
        <v>-608847.61712129414</v>
      </c>
      <c r="Q159" s="206"/>
    </row>
    <row r="160" spans="2:35" ht="14.5" x14ac:dyDescent="0.35">
      <c r="B160" s="191">
        <v>43983</v>
      </c>
      <c r="C160" s="168">
        <f t="shared" si="9"/>
        <v>6</v>
      </c>
      <c r="D160" s="168">
        <v>2020</v>
      </c>
      <c r="E160" s="181">
        <v>86099647.89466998</v>
      </c>
      <c r="F160" s="167">
        <v>23.799999999999997</v>
      </c>
      <c r="G160" s="167">
        <v>97.700000000000017</v>
      </c>
      <c r="H160" s="237">
        <v>156.62696586490861</v>
      </c>
      <c r="I160" s="50">
        <f t="shared" si="16"/>
        <v>30</v>
      </c>
      <c r="J160" s="50">
        <f t="shared" si="10"/>
        <v>0</v>
      </c>
      <c r="K160" s="50">
        <f t="shared" si="11"/>
        <v>0</v>
      </c>
      <c r="L160" s="50">
        <f t="shared" si="12"/>
        <v>0</v>
      </c>
      <c r="M160" s="50">
        <f t="shared" si="13"/>
        <v>0</v>
      </c>
      <c r="N160" s="179">
        <v>126</v>
      </c>
      <c r="O160" s="206">
        <f t="shared" si="14"/>
        <v>79745453.048620269</v>
      </c>
      <c r="P160" s="206">
        <f t="shared" si="15"/>
        <v>6354194.8460497111</v>
      </c>
      <c r="Q160" s="206"/>
    </row>
    <row r="161" spans="2:17" ht="14.5" x14ac:dyDescent="0.35">
      <c r="B161" s="191">
        <v>44013</v>
      </c>
      <c r="C161" s="168">
        <f t="shared" si="9"/>
        <v>7</v>
      </c>
      <c r="D161" s="168">
        <v>2020</v>
      </c>
      <c r="E161" s="181">
        <v>103947133.04603</v>
      </c>
      <c r="F161" s="167">
        <v>0</v>
      </c>
      <c r="G161" s="167">
        <v>215.7</v>
      </c>
      <c r="H161" s="237">
        <v>155.89033333488234</v>
      </c>
      <c r="I161" s="50">
        <f t="shared" si="16"/>
        <v>31</v>
      </c>
      <c r="J161" s="50">
        <f t="shared" si="10"/>
        <v>0</v>
      </c>
      <c r="K161" s="50">
        <f t="shared" si="11"/>
        <v>0</v>
      </c>
      <c r="L161" s="50">
        <f t="shared" si="12"/>
        <v>0</v>
      </c>
      <c r="M161" s="50">
        <f t="shared" si="13"/>
        <v>0</v>
      </c>
      <c r="N161" s="179">
        <v>127</v>
      </c>
      <c r="O161" s="206">
        <f t="shared" si="14"/>
        <v>95629383.497096464</v>
      </c>
      <c r="P161" s="206">
        <f t="shared" si="15"/>
        <v>8317749.5489335358</v>
      </c>
      <c r="Q161" s="206"/>
    </row>
    <row r="162" spans="2:17" ht="14.5" x14ac:dyDescent="0.35">
      <c r="B162" s="191">
        <v>44044</v>
      </c>
      <c r="C162" s="168">
        <f t="shared" si="9"/>
        <v>8</v>
      </c>
      <c r="D162" s="168">
        <v>2020</v>
      </c>
      <c r="E162" s="181">
        <v>92534942.41407001</v>
      </c>
      <c r="F162" s="167">
        <v>0.8</v>
      </c>
      <c r="G162" s="167">
        <v>126.69999999999999</v>
      </c>
      <c r="H162" s="237">
        <v>155.15716526246908</v>
      </c>
      <c r="I162" s="50">
        <f t="shared" si="16"/>
        <v>31</v>
      </c>
      <c r="J162" s="50">
        <f t="shared" si="10"/>
        <v>0</v>
      </c>
      <c r="K162" s="50">
        <f t="shared" si="11"/>
        <v>0</v>
      </c>
      <c r="L162" s="50">
        <f t="shared" si="12"/>
        <v>0</v>
      </c>
      <c r="M162" s="50">
        <f t="shared" si="13"/>
        <v>0</v>
      </c>
      <c r="N162" s="179">
        <v>128</v>
      </c>
      <c r="O162" s="206">
        <f t="shared" si="14"/>
        <v>84078130.662710086</v>
      </c>
      <c r="P162" s="206">
        <f t="shared" si="15"/>
        <v>8456811.7513599247</v>
      </c>
      <c r="Q162" s="206"/>
    </row>
    <row r="163" spans="2:17" ht="14.5" x14ac:dyDescent="0.35">
      <c r="B163" s="191">
        <v>44075</v>
      </c>
      <c r="C163" s="168">
        <f t="shared" si="9"/>
        <v>9</v>
      </c>
      <c r="D163" s="168">
        <v>2020</v>
      </c>
      <c r="E163" s="181">
        <v>76554649.522059992</v>
      </c>
      <c r="F163" s="167">
        <v>69.100000000000009</v>
      </c>
      <c r="G163" s="167">
        <v>33.300000000000004</v>
      </c>
      <c r="H163" s="237">
        <v>154.42744535397276</v>
      </c>
      <c r="I163" s="50">
        <f t="shared" si="16"/>
        <v>30</v>
      </c>
      <c r="J163" s="50">
        <f t="shared" si="10"/>
        <v>0</v>
      </c>
      <c r="K163" s="50">
        <f t="shared" si="11"/>
        <v>0</v>
      </c>
      <c r="L163" s="50">
        <f t="shared" si="12"/>
        <v>0</v>
      </c>
      <c r="M163" s="50">
        <f t="shared" si="13"/>
        <v>0</v>
      </c>
      <c r="N163" s="179">
        <v>129</v>
      </c>
      <c r="O163" s="206">
        <f t="shared" si="14"/>
        <v>70813896.70416218</v>
      </c>
      <c r="P163" s="206">
        <f t="shared" si="15"/>
        <v>5740752.8178978115</v>
      </c>
      <c r="Q163" s="206"/>
    </row>
    <row r="164" spans="2:17" ht="14.5" x14ac:dyDescent="0.35">
      <c r="B164" s="191">
        <v>44105</v>
      </c>
      <c r="C164" s="168">
        <f t="shared" ref="C164:C190" si="17">MONTH(B164)</f>
        <v>10</v>
      </c>
      <c r="D164" s="168">
        <v>2020</v>
      </c>
      <c r="E164" s="181">
        <v>74574750.82904999</v>
      </c>
      <c r="F164" s="167">
        <v>270.3</v>
      </c>
      <c r="G164" s="167">
        <v>0</v>
      </c>
      <c r="H164" s="237">
        <v>153.70115739232821</v>
      </c>
      <c r="I164" s="50">
        <f t="shared" si="16"/>
        <v>31</v>
      </c>
      <c r="J164" s="50">
        <f t="shared" ref="J164:J190" si="18">IF(MONTH($B164)=3,1,0)</f>
        <v>0</v>
      </c>
      <c r="K164" s="50">
        <f t="shared" ref="K164:K190" si="19">IF(MONTH($B164)=4,1,0)</f>
        <v>0</v>
      </c>
      <c r="L164" s="50">
        <f t="shared" ref="L164:L190" si="20">IF(MONTH($B164)=5,1,0)</f>
        <v>0</v>
      </c>
      <c r="M164" s="50">
        <f t="shared" ref="M164:M190" si="21">IF(MONTH($B164)=10,1,0)</f>
        <v>1</v>
      </c>
      <c r="N164" s="179">
        <v>130</v>
      </c>
      <c r="O164" s="206">
        <f t="shared" ref="O164:O190" si="22">$AB$17+MMULT(F164:N164,$AB$18:$AB$26)</f>
        <v>69176708.287099823</v>
      </c>
      <c r="P164" s="206">
        <f t="shared" ref="P164:P190" si="23">E164-O164</f>
        <v>5398042.5419501662</v>
      </c>
      <c r="Q164" s="206"/>
    </row>
    <row r="165" spans="2:17" ht="14.5" x14ac:dyDescent="0.35">
      <c r="B165" s="191">
        <v>44136</v>
      </c>
      <c r="C165" s="168">
        <f t="shared" si="17"/>
        <v>11</v>
      </c>
      <c r="D165" s="168">
        <v>2020</v>
      </c>
      <c r="E165" s="181">
        <v>75524140.206439972</v>
      </c>
      <c r="F165" s="167">
        <v>334.79999999999995</v>
      </c>
      <c r="G165" s="167">
        <v>0</v>
      </c>
      <c r="H165" s="237">
        <v>152.97828523674082</v>
      </c>
      <c r="I165" s="50">
        <f t="shared" si="16"/>
        <v>30</v>
      </c>
      <c r="J165" s="50">
        <f t="shared" si="18"/>
        <v>0</v>
      </c>
      <c r="K165" s="50">
        <f t="shared" si="19"/>
        <v>0</v>
      </c>
      <c r="L165" s="50">
        <f t="shared" si="20"/>
        <v>0</v>
      </c>
      <c r="M165" s="50">
        <f t="shared" si="21"/>
        <v>0</v>
      </c>
      <c r="N165" s="179">
        <v>131</v>
      </c>
      <c r="O165" s="206">
        <f t="shared" si="22"/>
        <v>69373136.75064531</v>
      </c>
      <c r="P165" s="206">
        <f t="shared" si="23"/>
        <v>6151003.4557946622</v>
      </c>
      <c r="Q165" s="206"/>
    </row>
    <row r="166" spans="2:17" ht="14.5" x14ac:dyDescent="0.35">
      <c r="B166" s="191">
        <v>44166</v>
      </c>
      <c r="C166" s="168">
        <f t="shared" si="17"/>
        <v>12</v>
      </c>
      <c r="D166" s="168">
        <v>2020</v>
      </c>
      <c r="E166" s="181">
        <v>78942466.150570005</v>
      </c>
      <c r="F166" s="167">
        <v>567.29999999999995</v>
      </c>
      <c r="G166" s="167">
        <v>0</v>
      </c>
      <c r="H166" s="237">
        <v>152.25881282232783</v>
      </c>
      <c r="I166" s="50">
        <f t="shared" si="16"/>
        <v>31</v>
      </c>
      <c r="J166" s="50">
        <f t="shared" si="18"/>
        <v>0</v>
      </c>
      <c r="K166" s="50">
        <f t="shared" si="19"/>
        <v>0</v>
      </c>
      <c r="L166" s="50">
        <f t="shared" si="20"/>
        <v>0</v>
      </c>
      <c r="M166" s="50">
        <f t="shared" si="21"/>
        <v>0</v>
      </c>
      <c r="N166" s="179">
        <v>132</v>
      </c>
      <c r="O166" s="206">
        <f t="shared" si="22"/>
        <v>74238530.618933901</v>
      </c>
      <c r="P166" s="206">
        <f t="shared" si="23"/>
        <v>4703935.531636104</v>
      </c>
      <c r="Q166" s="206"/>
    </row>
    <row r="167" spans="2:17" ht="14.5" x14ac:dyDescent="0.35">
      <c r="B167" s="191">
        <v>44197</v>
      </c>
      <c r="C167" s="168">
        <f t="shared" si="17"/>
        <v>1</v>
      </c>
      <c r="D167" s="168">
        <v>2021</v>
      </c>
      <c r="E167" s="181"/>
      <c r="F167" s="170">
        <f>'HDD&amp;CDD'!AF8</f>
        <v>700.99</v>
      </c>
      <c r="G167" s="170">
        <f>'HDD&amp;CDD'!AF28</f>
        <v>0</v>
      </c>
      <c r="H167" s="237">
        <v>152.76950332981193</v>
      </c>
      <c r="I167" s="50">
        <f t="shared" si="16"/>
        <v>31</v>
      </c>
      <c r="J167" s="50">
        <f t="shared" si="18"/>
        <v>0</v>
      </c>
      <c r="K167" s="50">
        <f t="shared" si="19"/>
        <v>0</v>
      </c>
      <c r="L167" s="50">
        <f t="shared" si="20"/>
        <v>0</v>
      </c>
      <c r="M167" s="50">
        <f t="shared" si="21"/>
        <v>0</v>
      </c>
      <c r="N167" s="179">
        <v>133</v>
      </c>
      <c r="O167" s="206">
        <f t="shared" si="22"/>
        <v>76235645.890674457</v>
      </c>
      <c r="P167" s="206">
        <f t="shared" si="23"/>
        <v>-76235645.890674457</v>
      </c>
      <c r="Q167" s="206"/>
    </row>
    <row r="168" spans="2:17" ht="14.5" x14ac:dyDescent="0.35">
      <c r="B168" s="191">
        <v>44228</v>
      </c>
      <c r="C168" s="168">
        <f t="shared" si="17"/>
        <v>2</v>
      </c>
      <c r="D168" s="168">
        <v>2021</v>
      </c>
      <c r="E168" s="181"/>
      <c r="F168" s="170">
        <f>'HDD&amp;CDD'!AF9</f>
        <v>629.89</v>
      </c>
      <c r="G168" s="170">
        <f>'HDD&amp;CDD'!AF29</f>
        <v>0</v>
      </c>
      <c r="H168" s="237">
        <v>153.28190674172239</v>
      </c>
      <c r="I168" s="50">
        <f t="shared" si="16"/>
        <v>28</v>
      </c>
      <c r="J168" s="50">
        <f t="shared" si="18"/>
        <v>0</v>
      </c>
      <c r="K168" s="50">
        <f t="shared" si="19"/>
        <v>0</v>
      </c>
      <c r="L168" s="50">
        <f t="shared" si="20"/>
        <v>0</v>
      </c>
      <c r="M168" s="50">
        <f t="shared" si="21"/>
        <v>0</v>
      </c>
      <c r="N168" s="179">
        <v>134</v>
      </c>
      <c r="O168" s="206">
        <f t="shared" si="22"/>
        <v>69000852.896013424</v>
      </c>
      <c r="P168" s="206">
        <f t="shared" si="23"/>
        <v>-69000852.896013424</v>
      </c>
      <c r="Q168" s="206"/>
    </row>
    <row r="169" spans="2:17" ht="14.5" x14ac:dyDescent="0.35">
      <c r="B169" s="191">
        <v>44256</v>
      </c>
      <c r="C169" s="168">
        <f t="shared" si="17"/>
        <v>3</v>
      </c>
      <c r="D169" s="168">
        <v>2021</v>
      </c>
      <c r="E169" s="181"/>
      <c r="F169" s="170">
        <f>'HDD&amp;CDD'!AF10</f>
        <v>543.98</v>
      </c>
      <c r="G169" s="170">
        <f>'HDD&amp;CDD'!AF30</f>
        <v>0.02</v>
      </c>
      <c r="H169" s="237">
        <v>153.79602880330322</v>
      </c>
      <c r="I169" s="50">
        <f t="shared" si="16"/>
        <v>31</v>
      </c>
      <c r="J169" s="50">
        <f t="shared" si="18"/>
        <v>1</v>
      </c>
      <c r="K169" s="50">
        <f t="shared" si="19"/>
        <v>0</v>
      </c>
      <c r="L169" s="50">
        <f t="shared" si="20"/>
        <v>0</v>
      </c>
      <c r="M169" s="50">
        <f t="shared" si="21"/>
        <v>0</v>
      </c>
      <c r="N169" s="179">
        <v>135</v>
      </c>
      <c r="O169" s="206">
        <f t="shared" si="22"/>
        <v>72490635.157562181</v>
      </c>
      <c r="P169" s="206">
        <f t="shared" si="23"/>
        <v>-72490635.157562181</v>
      </c>
      <c r="Q169" s="206"/>
    </row>
    <row r="170" spans="2:17" ht="14.5" x14ac:dyDescent="0.35">
      <c r="B170" s="191">
        <v>44287</v>
      </c>
      <c r="C170" s="168">
        <f t="shared" si="17"/>
        <v>4</v>
      </c>
      <c r="D170" s="168">
        <v>2021</v>
      </c>
      <c r="E170" s="181"/>
      <c r="F170" s="170">
        <f>'HDD&amp;CDD'!AF11</f>
        <v>348.17999999999995</v>
      </c>
      <c r="G170" s="170">
        <f>'HDD&amp;CDD'!AF31</f>
        <v>0</v>
      </c>
      <c r="H170" s="237">
        <v>154.31187527906849</v>
      </c>
      <c r="I170" s="50">
        <f t="shared" ref="I170:I190" si="24">DAY(EOMONTH(B170,0))</f>
        <v>30</v>
      </c>
      <c r="J170" s="50">
        <f t="shared" si="18"/>
        <v>0</v>
      </c>
      <c r="K170" s="50">
        <f t="shared" si="19"/>
        <v>1</v>
      </c>
      <c r="L170" s="50">
        <f t="shared" si="20"/>
        <v>0</v>
      </c>
      <c r="M170" s="50">
        <f t="shared" si="21"/>
        <v>0</v>
      </c>
      <c r="N170" s="179">
        <v>136</v>
      </c>
      <c r="O170" s="206">
        <f t="shared" si="22"/>
        <v>65327087.195326343</v>
      </c>
      <c r="P170" s="206">
        <f t="shared" si="23"/>
        <v>-65327087.195326343</v>
      </c>
      <c r="Q170" s="206"/>
    </row>
    <row r="171" spans="2:17" ht="14.5" x14ac:dyDescent="0.35">
      <c r="B171" s="191">
        <v>44317</v>
      </c>
      <c r="C171" s="168">
        <f t="shared" si="17"/>
        <v>5</v>
      </c>
      <c r="D171" s="168">
        <v>2021</v>
      </c>
      <c r="E171" s="181"/>
      <c r="F171" s="170">
        <f>'HDD&amp;CDD'!AF12</f>
        <v>132.97999999999996</v>
      </c>
      <c r="G171" s="170">
        <f>'HDD&amp;CDD'!AF32</f>
        <v>23.23</v>
      </c>
      <c r="H171" s="237">
        <v>154.829451952867</v>
      </c>
      <c r="I171" s="50">
        <f t="shared" si="24"/>
        <v>31</v>
      </c>
      <c r="J171" s="50">
        <f t="shared" si="18"/>
        <v>0</v>
      </c>
      <c r="K171" s="50">
        <f t="shared" si="19"/>
        <v>0</v>
      </c>
      <c r="L171" s="50">
        <f t="shared" si="20"/>
        <v>1</v>
      </c>
      <c r="M171" s="50">
        <f t="shared" si="21"/>
        <v>0</v>
      </c>
      <c r="N171" s="179">
        <v>137</v>
      </c>
      <c r="O171" s="206">
        <f t="shared" si="22"/>
        <v>68461863.855378732</v>
      </c>
      <c r="P171" s="206">
        <f t="shared" si="23"/>
        <v>-68461863.855378732</v>
      </c>
      <c r="Q171" s="206"/>
    </row>
    <row r="172" spans="2:17" ht="14.5" x14ac:dyDescent="0.35">
      <c r="B172" s="191">
        <v>44348</v>
      </c>
      <c r="C172" s="168">
        <f t="shared" si="17"/>
        <v>6</v>
      </c>
      <c r="D172" s="168">
        <v>2021</v>
      </c>
      <c r="E172" s="181"/>
      <c r="F172" s="170">
        <f>'HDD&amp;CDD'!AF13</f>
        <v>24.6</v>
      </c>
      <c r="G172" s="170">
        <f>'HDD&amp;CDD'!AF33</f>
        <v>66.52000000000001</v>
      </c>
      <c r="H172" s="237">
        <v>155.34876462794719</v>
      </c>
      <c r="I172" s="50">
        <f t="shared" si="24"/>
        <v>30</v>
      </c>
      <c r="J172" s="50">
        <f t="shared" si="18"/>
        <v>0</v>
      </c>
      <c r="K172" s="50">
        <f t="shared" si="19"/>
        <v>0</v>
      </c>
      <c r="L172" s="50">
        <f t="shared" si="20"/>
        <v>0</v>
      </c>
      <c r="M172" s="50">
        <f t="shared" si="21"/>
        <v>0</v>
      </c>
      <c r="N172" s="179">
        <v>138</v>
      </c>
      <c r="O172" s="206">
        <f t="shared" si="22"/>
        <v>73460241.283324778</v>
      </c>
      <c r="P172" s="206">
        <f t="shared" si="23"/>
        <v>-73460241.283324778</v>
      </c>
      <c r="Q172" s="206"/>
    </row>
    <row r="173" spans="2:17" ht="14.5" x14ac:dyDescent="0.35">
      <c r="B173" s="191">
        <v>44378</v>
      </c>
      <c r="C173" s="168">
        <f t="shared" si="17"/>
        <v>7</v>
      </c>
      <c r="D173" s="168">
        <v>2021</v>
      </c>
      <c r="E173" s="181"/>
      <c r="F173" s="170">
        <f>'HDD&amp;CDD'!AF14</f>
        <v>1.1099999999999999</v>
      </c>
      <c r="G173" s="170">
        <f>'HDD&amp;CDD'!AF34</f>
        <v>153.85</v>
      </c>
      <c r="H173" s="237">
        <v>155.86981912702208</v>
      </c>
      <c r="I173" s="50">
        <f t="shared" si="24"/>
        <v>31</v>
      </c>
      <c r="J173" s="50">
        <f t="shared" si="18"/>
        <v>0</v>
      </c>
      <c r="K173" s="50">
        <f t="shared" si="19"/>
        <v>0</v>
      </c>
      <c r="L173" s="50">
        <f t="shared" si="20"/>
        <v>0</v>
      </c>
      <c r="M173" s="50">
        <f t="shared" si="21"/>
        <v>0</v>
      </c>
      <c r="N173" s="179">
        <v>139</v>
      </c>
      <c r="O173" s="206">
        <f t="shared" si="22"/>
        <v>86198926.19560872</v>
      </c>
      <c r="P173" s="206">
        <f t="shared" si="23"/>
        <v>-86198926.19560872</v>
      </c>
      <c r="Q173" s="206"/>
    </row>
    <row r="174" spans="2:17" ht="14.5" x14ac:dyDescent="0.35">
      <c r="B174" s="191">
        <v>44409</v>
      </c>
      <c r="C174" s="168">
        <f t="shared" si="17"/>
        <v>8</v>
      </c>
      <c r="D174" s="168">
        <v>2021</v>
      </c>
      <c r="E174" s="181"/>
      <c r="F174" s="170">
        <f>'HDD&amp;CDD'!AF15</f>
        <v>3.54</v>
      </c>
      <c r="G174" s="170">
        <f>'HDD&amp;CDD'!AF35</f>
        <v>116.15</v>
      </c>
      <c r="H174" s="237">
        <v>156.39262129233467</v>
      </c>
      <c r="I174" s="50">
        <f t="shared" si="24"/>
        <v>31</v>
      </c>
      <c r="J174" s="50">
        <f t="shared" si="18"/>
        <v>0</v>
      </c>
      <c r="K174" s="50">
        <f t="shared" si="19"/>
        <v>0</v>
      </c>
      <c r="L174" s="50">
        <f t="shared" si="20"/>
        <v>0</v>
      </c>
      <c r="M174" s="50">
        <f t="shared" si="21"/>
        <v>0</v>
      </c>
      <c r="N174" s="179">
        <v>140</v>
      </c>
      <c r="O174" s="206">
        <f t="shared" si="22"/>
        <v>81683070.921624914</v>
      </c>
      <c r="P174" s="206">
        <f t="shared" si="23"/>
        <v>-81683070.921624914</v>
      </c>
      <c r="Q174" s="206"/>
    </row>
    <row r="175" spans="2:17" ht="14.5" x14ac:dyDescent="0.35">
      <c r="B175" s="191">
        <v>44440</v>
      </c>
      <c r="C175" s="168">
        <f t="shared" si="17"/>
        <v>9</v>
      </c>
      <c r="D175" s="168">
        <v>2021</v>
      </c>
      <c r="E175" s="181"/>
      <c r="F175" s="170">
        <f>'HDD&amp;CDD'!AF16</f>
        <v>54.989999999999995</v>
      </c>
      <c r="G175" s="170">
        <f>'HDD&amp;CDD'!AF36</f>
        <v>49.14</v>
      </c>
      <c r="H175" s="237">
        <v>156.91717698572333</v>
      </c>
      <c r="I175" s="50">
        <f t="shared" si="24"/>
        <v>30</v>
      </c>
      <c r="J175" s="50">
        <f t="shared" si="18"/>
        <v>0</v>
      </c>
      <c r="K175" s="50">
        <f t="shared" si="19"/>
        <v>0</v>
      </c>
      <c r="L175" s="50">
        <f t="shared" si="20"/>
        <v>0</v>
      </c>
      <c r="M175" s="50">
        <f t="shared" si="21"/>
        <v>0</v>
      </c>
      <c r="N175" s="179">
        <v>141</v>
      </c>
      <c r="O175" s="206">
        <f t="shared" si="22"/>
        <v>72105145.552491501</v>
      </c>
      <c r="P175" s="206">
        <f t="shared" si="23"/>
        <v>-72105145.552491501</v>
      </c>
      <c r="Q175" s="206"/>
    </row>
    <row r="176" spans="2:17" ht="14.5" x14ac:dyDescent="0.35">
      <c r="B176" s="191">
        <v>44470</v>
      </c>
      <c r="C176" s="168">
        <f t="shared" si="17"/>
        <v>10</v>
      </c>
      <c r="D176" s="168">
        <v>2021</v>
      </c>
      <c r="E176" s="181"/>
      <c r="F176" s="170">
        <f>'HDD&amp;CDD'!AF17</f>
        <v>227.63000000000002</v>
      </c>
      <c r="G176" s="170">
        <f>'HDD&amp;CDD'!AF37</f>
        <v>3.0699999999999994</v>
      </c>
      <c r="H176" s="237">
        <v>157.44349208868769</v>
      </c>
      <c r="I176" s="50">
        <f t="shared" si="24"/>
        <v>31</v>
      </c>
      <c r="J176" s="50">
        <f t="shared" si="18"/>
        <v>0</v>
      </c>
      <c r="K176" s="50">
        <f t="shared" si="19"/>
        <v>0</v>
      </c>
      <c r="L176" s="50">
        <f t="shared" si="20"/>
        <v>0</v>
      </c>
      <c r="M176" s="50">
        <f t="shared" si="21"/>
        <v>1</v>
      </c>
      <c r="N176" s="179">
        <v>142</v>
      </c>
      <c r="O176" s="206">
        <f t="shared" si="22"/>
        <v>69133576.788217604</v>
      </c>
      <c r="P176" s="206">
        <f t="shared" si="23"/>
        <v>-69133576.788217604</v>
      </c>
      <c r="Q176" s="206"/>
    </row>
    <row r="177" spans="2:17" ht="14.5" x14ac:dyDescent="0.35">
      <c r="B177" s="191">
        <v>44501</v>
      </c>
      <c r="C177" s="168">
        <f t="shared" si="17"/>
        <v>11</v>
      </c>
      <c r="D177" s="168">
        <v>2021</v>
      </c>
      <c r="E177" s="181"/>
      <c r="F177" s="170">
        <f>'HDD&amp;CDD'!AF18</f>
        <v>424.61</v>
      </c>
      <c r="G177" s="170">
        <f>'HDD&amp;CDD'!AF38</f>
        <v>0</v>
      </c>
      <c r="H177" s="237">
        <v>157.97157250245439</v>
      </c>
      <c r="I177" s="50">
        <f t="shared" si="24"/>
        <v>30</v>
      </c>
      <c r="J177" s="50">
        <f t="shared" si="18"/>
        <v>0</v>
      </c>
      <c r="K177" s="50">
        <f t="shared" si="19"/>
        <v>0</v>
      </c>
      <c r="L177" s="50">
        <f t="shared" si="20"/>
        <v>0</v>
      </c>
      <c r="M177" s="50">
        <f t="shared" si="21"/>
        <v>0</v>
      </c>
      <c r="N177" s="179">
        <v>143</v>
      </c>
      <c r="O177" s="206">
        <f t="shared" si="22"/>
        <v>71461073.716598377</v>
      </c>
      <c r="P177" s="206">
        <f t="shared" si="23"/>
        <v>-71461073.716598377</v>
      </c>
      <c r="Q177" s="206"/>
    </row>
    <row r="178" spans="2:17" ht="14.5" x14ac:dyDescent="0.35">
      <c r="B178" s="191">
        <v>44531</v>
      </c>
      <c r="C178" s="168">
        <f t="shared" si="17"/>
        <v>12</v>
      </c>
      <c r="D178" s="168">
        <v>2021</v>
      </c>
      <c r="E178" s="181"/>
      <c r="F178" s="170">
        <f>'HDD&amp;CDD'!AF19</f>
        <v>589.11</v>
      </c>
      <c r="G178" s="170">
        <f>'HDD&amp;CDD'!AF39</f>
        <v>0</v>
      </c>
      <c r="H178" s="237">
        <v>158.50142414804324</v>
      </c>
      <c r="I178" s="50">
        <f t="shared" si="24"/>
        <v>31</v>
      </c>
      <c r="J178" s="50">
        <f t="shared" si="18"/>
        <v>0</v>
      </c>
      <c r="K178" s="50">
        <f t="shared" si="19"/>
        <v>0</v>
      </c>
      <c r="L178" s="50">
        <f t="shared" si="20"/>
        <v>0</v>
      </c>
      <c r="M178" s="50">
        <f t="shared" si="21"/>
        <v>0</v>
      </c>
      <c r="N178" s="179">
        <v>144</v>
      </c>
      <c r="O178" s="206">
        <f t="shared" si="22"/>
        <v>76019273.668110594</v>
      </c>
      <c r="P178" s="206">
        <f t="shared" si="23"/>
        <v>-76019273.668110594</v>
      </c>
      <c r="Q178" s="206"/>
    </row>
    <row r="179" spans="2:17" ht="14.5" x14ac:dyDescent="0.35">
      <c r="B179" s="191">
        <v>44562</v>
      </c>
      <c r="C179" s="168">
        <f t="shared" si="17"/>
        <v>1</v>
      </c>
      <c r="D179" s="168">
        <v>2022</v>
      </c>
      <c r="E179" s="181"/>
      <c r="F179" s="170">
        <f>'HDD&amp;CDD'!AF8</f>
        <v>700.99</v>
      </c>
      <c r="G179" s="170">
        <f>'HDD&amp;CDD'!AF28</f>
        <v>0</v>
      </c>
      <c r="H179" s="237">
        <v>159.09656722616333</v>
      </c>
      <c r="I179" s="50">
        <f t="shared" si="24"/>
        <v>31</v>
      </c>
      <c r="J179" s="50">
        <f t="shared" si="18"/>
        <v>0</v>
      </c>
      <c r="K179" s="50">
        <f t="shared" si="19"/>
        <v>0</v>
      </c>
      <c r="L179" s="50">
        <f t="shared" si="20"/>
        <v>0</v>
      </c>
      <c r="M179" s="50">
        <f t="shared" si="21"/>
        <v>0</v>
      </c>
      <c r="N179" s="179">
        <v>145</v>
      </c>
      <c r="O179" s="206">
        <f t="shared" si="22"/>
        <v>77753664.294159576</v>
      </c>
      <c r="P179" s="206">
        <f t="shared" si="23"/>
        <v>-77753664.294159576</v>
      </c>
      <c r="Q179" s="206"/>
    </row>
    <row r="180" spans="2:17" ht="14.5" x14ac:dyDescent="0.35">
      <c r="B180" s="191">
        <v>44593</v>
      </c>
      <c r="C180" s="168">
        <f t="shared" si="17"/>
        <v>2</v>
      </c>
      <c r="D180" s="168">
        <v>2022</v>
      </c>
      <c r="E180" s="181"/>
      <c r="F180" s="170">
        <f>'HDD&amp;CDD'!AF9</f>
        <v>629.89</v>
      </c>
      <c r="G180" s="170">
        <f>'HDD&amp;CDD'!AF29</f>
        <v>0</v>
      </c>
      <c r="H180" s="237">
        <v>159.69394495476266</v>
      </c>
      <c r="I180" s="50">
        <f t="shared" si="24"/>
        <v>28</v>
      </c>
      <c r="J180" s="50">
        <f t="shared" si="18"/>
        <v>0</v>
      </c>
      <c r="K180" s="50">
        <f t="shared" si="19"/>
        <v>0</v>
      </c>
      <c r="L180" s="50">
        <f t="shared" si="20"/>
        <v>0</v>
      </c>
      <c r="M180" s="50">
        <f t="shared" si="21"/>
        <v>0</v>
      </c>
      <c r="N180" s="179">
        <v>146</v>
      </c>
      <c r="O180" s="206">
        <f t="shared" si="22"/>
        <v>70562989.922984555</v>
      </c>
      <c r="P180" s="206">
        <f t="shared" si="23"/>
        <v>-70562989.922984555</v>
      </c>
      <c r="Q180" s="206"/>
    </row>
    <row r="181" spans="2:17" ht="14.5" x14ac:dyDescent="0.35">
      <c r="B181" s="191">
        <v>44621</v>
      </c>
      <c r="C181" s="168">
        <f t="shared" si="17"/>
        <v>3</v>
      </c>
      <c r="D181" s="168">
        <v>2022</v>
      </c>
      <c r="E181" s="181"/>
      <c r="F181" s="170">
        <f>'HDD&amp;CDD'!AF10</f>
        <v>543.98</v>
      </c>
      <c r="G181" s="170">
        <f>'HDD&amp;CDD'!AF30</f>
        <v>0.02</v>
      </c>
      <c r="H181" s="237">
        <v>160.29356572453409</v>
      </c>
      <c r="I181" s="50">
        <f t="shared" si="24"/>
        <v>31</v>
      </c>
      <c r="J181" s="50">
        <f t="shared" si="18"/>
        <v>1</v>
      </c>
      <c r="K181" s="50">
        <f t="shared" si="19"/>
        <v>0</v>
      </c>
      <c r="L181" s="50">
        <f t="shared" si="20"/>
        <v>0</v>
      </c>
      <c r="M181" s="50">
        <f t="shared" si="21"/>
        <v>0</v>
      </c>
      <c r="N181" s="179">
        <v>147</v>
      </c>
      <c r="O181" s="206">
        <f t="shared" si="22"/>
        <v>74097163.071829483</v>
      </c>
      <c r="P181" s="206">
        <f t="shared" si="23"/>
        <v>-74097163.071829483</v>
      </c>
      <c r="Q181" s="206"/>
    </row>
    <row r="182" spans="2:17" ht="14.5" x14ac:dyDescent="0.35">
      <c r="B182" s="191">
        <v>44652</v>
      </c>
      <c r="C182" s="168">
        <f t="shared" si="17"/>
        <v>4</v>
      </c>
      <c r="D182" s="168">
        <v>2022</v>
      </c>
      <c r="E182" s="181"/>
      <c r="F182" s="170">
        <f>'HDD&amp;CDD'!AF11</f>
        <v>348.17999999999995</v>
      </c>
      <c r="G182" s="170">
        <f>'HDD&amp;CDD'!AF31</f>
        <v>0</v>
      </c>
      <c r="H182" s="237">
        <v>160.89543795767591</v>
      </c>
      <c r="I182" s="50">
        <f t="shared" si="24"/>
        <v>30</v>
      </c>
      <c r="J182" s="50">
        <f t="shared" si="18"/>
        <v>0</v>
      </c>
      <c r="K182" s="50">
        <f t="shared" si="19"/>
        <v>1</v>
      </c>
      <c r="L182" s="50">
        <f t="shared" si="20"/>
        <v>0</v>
      </c>
      <c r="M182" s="50">
        <f t="shared" si="21"/>
        <v>0</v>
      </c>
      <c r="N182" s="179">
        <v>148</v>
      </c>
      <c r="O182" s="206">
        <f t="shared" si="22"/>
        <v>66978279.640568212</v>
      </c>
      <c r="P182" s="206">
        <f t="shared" si="23"/>
        <v>-66978279.640568212</v>
      </c>
      <c r="Q182" s="206"/>
    </row>
    <row r="183" spans="2:17" ht="14.5" x14ac:dyDescent="0.35">
      <c r="B183" s="191">
        <v>44682</v>
      </c>
      <c r="C183" s="168">
        <f t="shared" si="17"/>
        <v>5</v>
      </c>
      <c r="D183" s="168">
        <v>2022</v>
      </c>
      <c r="E183" s="181"/>
      <c r="F183" s="170">
        <f>'HDD&amp;CDD'!AF12</f>
        <v>132.97999999999996</v>
      </c>
      <c r="G183" s="170">
        <f>'HDD&amp;CDD'!AF32</f>
        <v>23.23</v>
      </c>
      <c r="H183" s="237">
        <v>161.49957010801023</v>
      </c>
      <c r="I183" s="50">
        <f t="shared" si="24"/>
        <v>31</v>
      </c>
      <c r="J183" s="50">
        <f t="shared" si="18"/>
        <v>0</v>
      </c>
      <c r="K183" s="50">
        <f t="shared" si="19"/>
        <v>0</v>
      </c>
      <c r="L183" s="50">
        <f t="shared" si="20"/>
        <v>1</v>
      </c>
      <c r="M183" s="50">
        <f t="shared" si="21"/>
        <v>0</v>
      </c>
      <c r="N183" s="179">
        <v>149</v>
      </c>
      <c r="O183" s="206">
        <f t="shared" si="22"/>
        <v>70157995.861522466</v>
      </c>
      <c r="P183" s="206">
        <f t="shared" si="23"/>
        <v>-70157995.861522466</v>
      </c>
      <c r="Q183" s="206"/>
    </row>
    <row r="184" spans="2:17" ht="14.5" x14ac:dyDescent="0.35">
      <c r="B184" s="191">
        <v>44713</v>
      </c>
      <c r="C184" s="168">
        <f t="shared" si="17"/>
        <v>6</v>
      </c>
      <c r="D184" s="168">
        <v>2022</v>
      </c>
      <c r="E184" s="181"/>
      <c r="F184" s="170">
        <f>'HDD&amp;CDD'!AF13</f>
        <v>24.6</v>
      </c>
      <c r="G184" s="170">
        <f>'HDD&amp;CDD'!AF33</f>
        <v>66.52000000000001</v>
      </c>
      <c r="H184" s="237">
        <v>162.10597066110165</v>
      </c>
      <c r="I184" s="50">
        <f t="shared" si="24"/>
        <v>30</v>
      </c>
      <c r="J184" s="50">
        <f t="shared" si="18"/>
        <v>0</v>
      </c>
      <c r="K184" s="50">
        <f t="shared" si="19"/>
        <v>0</v>
      </c>
      <c r="L184" s="50">
        <f t="shared" si="20"/>
        <v>0</v>
      </c>
      <c r="M184" s="50">
        <f t="shared" si="21"/>
        <v>0</v>
      </c>
      <c r="N184" s="179">
        <v>150</v>
      </c>
      <c r="O184" s="206">
        <f t="shared" si="22"/>
        <v>75201589.272954956</v>
      </c>
      <c r="P184" s="206">
        <f t="shared" si="23"/>
        <v>-75201589.272954956</v>
      </c>
      <c r="Q184" s="206"/>
    </row>
    <row r="185" spans="2:17" ht="14.5" x14ac:dyDescent="0.35">
      <c r="B185" s="191">
        <v>44743</v>
      </c>
      <c r="C185" s="168">
        <f t="shared" si="17"/>
        <v>7</v>
      </c>
      <c r="D185" s="168">
        <v>2022</v>
      </c>
      <c r="E185" s="181"/>
      <c r="F185" s="170">
        <f>'HDD&amp;CDD'!AF14</f>
        <v>1.1099999999999999</v>
      </c>
      <c r="G185" s="170">
        <f>'HDD&amp;CDD'!AF34</f>
        <v>153.85</v>
      </c>
      <c r="H185" s="237">
        <v>162.71464813437649</v>
      </c>
      <c r="I185" s="50">
        <f t="shared" si="24"/>
        <v>31</v>
      </c>
      <c r="J185" s="50">
        <f t="shared" si="18"/>
        <v>0</v>
      </c>
      <c r="K185" s="50">
        <f t="shared" si="19"/>
        <v>0</v>
      </c>
      <c r="L185" s="50">
        <f t="shared" si="20"/>
        <v>0</v>
      </c>
      <c r="M185" s="50">
        <f t="shared" si="21"/>
        <v>0</v>
      </c>
      <c r="N185" s="179">
        <v>151</v>
      </c>
      <c r="O185" s="206">
        <f t="shared" si="22"/>
        <v>87985767.990403667</v>
      </c>
      <c r="P185" s="206">
        <f t="shared" si="23"/>
        <v>-87985767.990403667</v>
      </c>
      <c r="Q185" s="206"/>
    </row>
    <row r="186" spans="2:17" ht="14.5" x14ac:dyDescent="0.35">
      <c r="B186" s="191">
        <v>44774</v>
      </c>
      <c r="C186" s="168">
        <f t="shared" si="17"/>
        <v>8</v>
      </c>
      <c r="D186" s="168">
        <v>2022</v>
      </c>
      <c r="E186" s="181"/>
      <c r="F186" s="170">
        <f>'HDD&amp;CDD'!AF15</f>
        <v>3.54</v>
      </c>
      <c r="G186" s="170">
        <f>'HDD&amp;CDD'!AF35</f>
        <v>116.15</v>
      </c>
      <c r="H186" s="237">
        <v>163.32561107724234</v>
      </c>
      <c r="I186" s="50">
        <f t="shared" si="24"/>
        <v>31</v>
      </c>
      <c r="J186" s="50">
        <f t="shared" si="18"/>
        <v>0</v>
      </c>
      <c r="K186" s="50">
        <f t="shared" si="19"/>
        <v>0</v>
      </c>
      <c r="L186" s="50">
        <f t="shared" si="20"/>
        <v>0</v>
      </c>
      <c r="M186" s="50">
        <f t="shared" si="21"/>
        <v>0</v>
      </c>
      <c r="N186" s="179">
        <v>152</v>
      </c>
      <c r="O186" s="206">
        <f t="shared" si="22"/>
        <v>83515685.748821482</v>
      </c>
      <c r="P186" s="206">
        <f t="shared" si="23"/>
        <v>-83515685.748821482</v>
      </c>
      <c r="Q186" s="206"/>
    </row>
    <row r="187" spans="2:17" ht="14.5" x14ac:dyDescent="0.35">
      <c r="B187" s="191">
        <v>44805</v>
      </c>
      <c r="C187" s="168">
        <f t="shared" si="17"/>
        <v>9</v>
      </c>
      <c r="D187" s="168">
        <v>2022</v>
      </c>
      <c r="E187" s="181"/>
      <c r="F187" s="170">
        <f>'HDD&amp;CDD'!AF16</f>
        <v>54.989999999999995</v>
      </c>
      <c r="G187" s="170">
        <f>'HDD&amp;CDD'!AF36</f>
        <v>49.14</v>
      </c>
      <c r="H187" s="237">
        <v>163.9388680712083</v>
      </c>
      <c r="I187" s="50">
        <f t="shared" si="24"/>
        <v>30</v>
      </c>
      <c r="J187" s="50">
        <f t="shared" si="18"/>
        <v>0</v>
      </c>
      <c r="K187" s="50">
        <f t="shared" si="19"/>
        <v>0</v>
      </c>
      <c r="L187" s="50">
        <f t="shared" si="20"/>
        <v>0</v>
      </c>
      <c r="M187" s="50">
        <f t="shared" si="21"/>
        <v>0</v>
      </c>
      <c r="N187" s="179">
        <v>153</v>
      </c>
      <c r="O187" s="206">
        <f t="shared" si="22"/>
        <v>73983814.05137834</v>
      </c>
      <c r="P187" s="206">
        <f t="shared" si="23"/>
        <v>-73983814.05137834</v>
      </c>
      <c r="Q187" s="206"/>
    </row>
    <row r="188" spans="2:17" ht="14.5" x14ac:dyDescent="0.35">
      <c r="B188" s="191">
        <v>44835</v>
      </c>
      <c r="C188" s="168">
        <f t="shared" si="17"/>
        <v>10</v>
      </c>
      <c r="D188" s="168">
        <v>2022</v>
      </c>
      <c r="E188" s="181"/>
      <c r="F188" s="170">
        <f>'HDD&amp;CDD'!AF17</f>
        <v>227.63000000000002</v>
      </c>
      <c r="G188" s="170">
        <f>'HDD&amp;CDD'!AF37</f>
        <v>3.0699999999999994</v>
      </c>
      <c r="H188" s="237">
        <v>164.55442773000539</v>
      </c>
      <c r="I188" s="50">
        <f t="shared" si="24"/>
        <v>31</v>
      </c>
      <c r="J188" s="50">
        <f t="shared" si="18"/>
        <v>0</v>
      </c>
      <c r="K188" s="50">
        <f t="shared" si="19"/>
        <v>0</v>
      </c>
      <c r="L188" s="50">
        <f t="shared" si="20"/>
        <v>0</v>
      </c>
      <c r="M188" s="50">
        <f t="shared" si="21"/>
        <v>1</v>
      </c>
      <c r="N188" s="179">
        <v>154</v>
      </c>
      <c r="O188" s="206">
        <f t="shared" si="22"/>
        <v>71058581.016656414</v>
      </c>
      <c r="P188" s="206">
        <f t="shared" si="23"/>
        <v>-71058581.016656414</v>
      </c>
      <c r="Q188" s="206"/>
    </row>
    <row r="189" spans="2:17" ht="14.5" x14ac:dyDescent="0.35">
      <c r="B189" s="191">
        <v>44866</v>
      </c>
      <c r="C189" s="168">
        <f t="shared" si="17"/>
        <v>11</v>
      </c>
      <c r="D189" s="168">
        <v>2022</v>
      </c>
      <c r="E189" s="181"/>
      <c r="F189" s="170">
        <f>'HDD&amp;CDD'!AF18</f>
        <v>424.61</v>
      </c>
      <c r="G189" s="170">
        <f>'HDD&amp;CDD'!AF38</f>
        <v>0</v>
      </c>
      <c r="H189" s="237">
        <v>165.17229869970754</v>
      </c>
      <c r="I189" s="50">
        <f t="shared" si="24"/>
        <v>30</v>
      </c>
      <c r="J189" s="50">
        <f t="shared" si="18"/>
        <v>0</v>
      </c>
      <c r="K189" s="50">
        <f t="shared" si="19"/>
        <v>0</v>
      </c>
      <c r="L189" s="50">
        <f t="shared" si="20"/>
        <v>0</v>
      </c>
      <c r="M189" s="50">
        <f t="shared" si="21"/>
        <v>0</v>
      </c>
      <c r="N189" s="179">
        <v>155</v>
      </c>
      <c r="O189" s="206">
        <f t="shared" si="22"/>
        <v>73432697.157574326</v>
      </c>
      <c r="P189" s="206">
        <f t="shared" si="23"/>
        <v>-73432697.157574326</v>
      </c>
      <c r="Q189" s="206"/>
    </row>
    <row r="190" spans="2:17" ht="14.5" x14ac:dyDescent="0.35">
      <c r="B190" s="191">
        <v>44896</v>
      </c>
      <c r="C190" s="168">
        <f t="shared" si="17"/>
        <v>12</v>
      </c>
      <c r="D190" s="168">
        <v>2022</v>
      </c>
      <c r="E190" s="181"/>
      <c r="F190" s="170">
        <f>'HDD&amp;CDD'!AF19</f>
        <v>589.11</v>
      </c>
      <c r="G190" s="170">
        <f>'HDD&amp;CDD'!AF39</f>
        <v>0</v>
      </c>
      <c r="H190" s="237">
        <v>165.79248965885324</v>
      </c>
      <c r="I190" s="50">
        <f t="shared" si="24"/>
        <v>31</v>
      </c>
      <c r="J190" s="50">
        <f t="shared" si="18"/>
        <v>0</v>
      </c>
      <c r="K190" s="50">
        <f t="shared" si="19"/>
        <v>0</v>
      </c>
      <c r="L190" s="50">
        <f t="shared" si="20"/>
        <v>0</v>
      </c>
      <c r="M190" s="50">
        <f t="shared" si="21"/>
        <v>0</v>
      </c>
      <c r="N190" s="179">
        <v>156</v>
      </c>
      <c r="O190" s="206">
        <f t="shared" si="22"/>
        <v>78037801.236311182</v>
      </c>
      <c r="P190" s="206">
        <f t="shared" si="23"/>
        <v>-78037801.236311182</v>
      </c>
      <c r="Q190" s="206"/>
    </row>
    <row r="191" spans="2:17" x14ac:dyDescent="0.25">
      <c r="B191" s="180"/>
      <c r="C191" s="180"/>
      <c r="D191" s="169"/>
      <c r="Q191" s="105"/>
    </row>
    <row r="192" spans="2:17" ht="14.5" x14ac:dyDescent="0.35">
      <c r="B192" s="168">
        <v>2010</v>
      </c>
      <c r="E192" s="181">
        <f>SUMIF($D$35:$D$190,"="&amp;B192,$E$35:$E$190)</f>
        <v>950759112.65007687</v>
      </c>
      <c r="P192" s="181">
        <f>SUMIF($D$35:$D$190,"="&amp;$B192,$O$35:$O$190)</f>
        <v>960319810.41915989</v>
      </c>
      <c r="Q192" s="181"/>
    </row>
    <row r="193" spans="2:17" ht="14.5" x14ac:dyDescent="0.35">
      <c r="B193" s="168">
        <v>2011</v>
      </c>
      <c r="E193" s="181">
        <f>SUMIF($D$35:$D$190,"="&amp;B193,$E$35:$E$190)</f>
        <v>944902732.12384617</v>
      </c>
      <c r="P193" s="181">
        <f t="shared" ref="P193:P204" si="25">SUMIF($D$35:$D$190,"="&amp;$B193,$O$35:$O$190)</f>
        <v>958844382.30784512</v>
      </c>
      <c r="Q193" s="181"/>
    </row>
    <row r="194" spans="2:17" ht="14.5" x14ac:dyDescent="0.35">
      <c r="B194" s="168">
        <v>2012</v>
      </c>
      <c r="E194" s="181">
        <f t="shared" ref="E194:E204" si="26">SUMIF($D$35:$D$190,"="&amp;B194,$E$35:$E$190)</f>
        <v>964379230.70517492</v>
      </c>
      <c r="P194" s="181">
        <f t="shared" si="25"/>
        <v>950666119.44824326</v>
      </c>
      <c r="Q194" s="181"/>
    </row>
    <row r="195" spans="2:17" ht="14.5" x14ac:dyDescent="0.35">
      <c r="B195" s="168">
        <v>2013</v>
      </c>
      <c r="E195" s="181">
        <f t="shared" si="26"/>
        <v>961335479.00000012</v>
      </c>
      <c r="P195" s="181">
        <f t="shared" si="25"/>
        <v>927029805.31403124</v>
      </c>
      <c r="Q195" s="181"/>
    </row>
    <row r="196" spans="2:17" ht="14.5" x14ac:dyDescent="0.35">
      <c r="B196" s="168">
        <v>2014</v>
      </c>
      <c r="E196" s="181">
        <f t="shared" si="26"/>
        <v>913546785.3566668</v>
      </c>
      <c r="P196" s="181">
        <f t="shared" si="25"/>
        <v>918015075.310835</v>
      </c>
      <c r="Q196" s="181"/>
    </row>
    <row r="197" spans="2:17" ht="14.5" x14ac:dyDescent="0.35">
      <c r="B197" s="168">
        <v>2015</v>
      </c>
      <c r="E197" s="181">
        <f t="shared" si="26"/>
        <v>920489866.98307681</v>
      </c>
      <c r="P197" s="181">
        <f t="shared" si="25"/>
        <v>924465660.20835423</v>
      </c>
      <c r="Q197" s="181"/>
    </row>
    <row r="198" spans="2:17" ht="14.5" x14ac:dyDescent="0.35">
      <c r="B198" s="168">
        <v>2016</v>
      </c>
      <c r="E198" s="181">
        <f t="shared" si="26"/>
        <v>928717584.78461564</v>
      </c>
      <c r="P198" s="181">
        <f t="shared" si="25"/>
        <v>950199934.43693376</v>
      </c>
      <c r="Q198" s="181"/>
    </row>
    <row r="199" spans="2:17" ht="14.5" x14ac:dyDescent="0.35">
      <c r="B199" s="168">
        <v>2017</v>
      </c>
      <c r="E199" s="181">
        <f t="shared" si="26"/>
        <v>914942349.02142859</v>
      </c>
      <c r="F199" s="202"/>
      <c r="P199" s="181">
        <f t="shared" si="25"/>
        <v>927473628.12682843</v>
      </c>
      <c r="Q199" s="181"/>
    </row>
    <row r="200" spans="2:17" ht="14.5" x14ac:dyDescent="0.35">
      <c r="B200" s="168">
        <v>2018</v>
      </c>
      <c r="E200" s="181">
        <f>SUMIF($D$35:$D$190,"="&amp;B200,$E$35:$E$190)</f>
        <v>965883912.18000007</v>
      </c>
      <c r="F200" s="181"/>
      <c r="P200" s="181">
        <f t="shared" si="25"/>
        <v>962401471.13637781</v>
      </c>
      <c r="Q200" s="181"/>
    </row>
    <row r="201" spans="2:17" ht="14.5" x14ac:dyDescent="0.35">
      <c r="B201" s="168">
        <v>2019</v>
      </c>
      <c r="E201" s="181">
        <f t="shared" si="26"/>
        <v>959330220.76954007</v>
      </c>
      <c r="F201" s="181"/>
      <c r="P201" s="181">
        <f t="shared" si="25"/>
        <v>944871386.86581624</v>
      </c>
      <c r="Q201" s="181"/>
    </row>
    <row r="202" spans="2:17" ht="14.5" x14ac:dyDescent="0.35">
      <c r="B202" s="168">
        <v>2020</v>
      </c>
      <c r="E202" s="181">
        <f t="shared" si="26"/>
        <v>961031702.85464001</v>
      </c>
      <c r="F202" s="181"/>
      <c r="P202" s="181">
        <f t="shared" si="25"/>
        <v>917239283.8450731</v>
      </c>
      <c r="Q202" s="181"/>
    </row>
    <row r="203" spans="2:17" ht="14.5" x14ac:dyDescent="0.35">
      <c r="B203" s="194">
        <v>2021</v>
      </c>
      <c r="C203" s="194"/>
      <c r="D203" s="196"/>
      <c r="E203" s="204">
        <f t="shared" si="26"/>
        <v>0</v>
      </c>
      <c r="F203" s="194"/>
      <c r="G203" s="194"/>
      <c r="H203" s="205"/>
      <c r="I203" s="194"/>
      <c r="J203" s="194"/>
      <c r="K203" s="194"/>
      <c r="L203" s="195"/>
      <c r="M203" s="194"/>
      <c r="N203" s="194"/>
      <c r="O203" s="195"/>
      <c r="P203" s="181">
        <f t="shared" si="25"/>
        <v>881577393.12093174</v>
      </c>
      <c r="Q203" s="181"/>
    </row>
    <row r="204" spans="2:17" ht="14.5" x14ac:dyDescent="0.35">
      <c r="B204" s="168">
        <v>2022</v>
      </c>
      <c r="E204" s="181">
        <f t="shared" si="26"/>
        <v>0</v>
      </c>
      <c r="P204" s="181">
        <f t="shared" si="25"/>
        <v>902766029.26516461</v>
      </c>
      <c r="Q204" s="181"/>
    </row>
    <row r="205" spans="2:17" x14ac:dyDescent="0.25">
      <c r="P205" s="175"/>
      <c r="Q205" s="166"/>
    </row>
    <row r="206" spans="2:17" x14ac:dyDescent="0.25">
      <c r="P206" s="175"/>
      <c r="Q206" s="166"/>
    </row>
    <row r="207" spans="2:17" x14ac:dyDescent="0.25">
      <c r="P207" s="175"/>
      <c r="Q207" s="166"/>
    </row>
    <row r="208" spans="2:17" x14ac:dyDescent="0.25">
      <c r="P208" s="175"/>
      <c r="Q208" s="166"/>
    </row>
    <row r="209" spans="2:17" x14ac:dyDescent="0.25">
      <c r="K209" s="180"/>
      <c r="P209" s="175"/>
      <c r="Q209" s="166"/>
    </row>
    <row r="210" spans="2:17" x14ac:dyDescent="0.25">
      <c r="K210" s="200"/>
      <c r="Q210" s="166"/>
    </row>
    <row r="211" spans="2:17" x14ac:dyDescent="0.25">
      <c r="K211" s="176"/>
      <c r="L211" s="177"/>
      <c r="M211" s="176"/>
      <c r="N211" s="176"/>
      <c r="O211" s="177"/>
      <c r="P211" s="178"/>
      <c r="Q211" s="166"/>
    </row>
    <row r="212" spans="2:17" x14ac:dyDescent="0.25">
      <c r="B212" s="175"/>
      <c r="C212" s="175"/>
      <c r="D212" s="175"/>
      <c r="E212" s="175"/>
      <c r="K212" s="176"/>
      <c r="L212" s="177"/>
      <c r="M212" s="176"/>
      <c r="N212" s="176"/>
      <c r="O212" s="177"/>
      <c r="Q212" s="166"/>
    </row>
    <row r="213" spans="2:17" x14ac:dyDescent="0.25">
      <c r="B213" s="175"/>
      <c r="C213" s="175"/>
      <c r="D213" s="175"/>
      <c r="E213" s="175"/>
      <c r="K213" s="176"/>
      <c r="L213" s="177"/>
      <c r="M213" s="176"/>
      <c r="N213" s="176"/>
      <c r="O213" s="177"/>
      <c r="P213" s="175"/>
    </row>
    <row r="214" spans="2:17" x14ac:dyDescent="0.25">
      <c r="K214" s="176"/>
      <c r="L214" s="177"/>
      <c r="M214" s="176"/>
      <c r="N214" s="176"/>
      <c r="O214" s="177"/>
      <c r="P214" s="175"/>
    </row>
    <row r="215" spans="2:17" x14ac:dyDescent="0.25">
      <c r="Q215" s="174"/>
    </row>
    <row r="216" spans="2:17" x14ac:dyDescent="0.25">
      <c r="Q216" s="175"/>
    </row>
    <row r="217" spans="2:17" x14ac:dyDescent="0.25">
      <c r="Q217" s="175"/>
    </row>
    <row r="218" spans="2:17" x14ac:dyDescent="0.25">
      <c r="F218" s="172"/>
      <c r="G218" s="172"/>
      <c r="I218" s="172"/>
      <c r="J218" s="172"/>
      <c r="K218" s="172"/>
      <c r="M218" s="172"/>
      <c r="N218" s="172"/>
      <c r="Q218" s="175"/>
    </row>
  </sheetData>
  <pageMargins left="0.38" right="0.75" top="0.73" bottom="0.74" header="0.5" footer="0.5"/>
  <pageSetup scale="40" orientation="landscape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rgb="FF00B050"/>
  </sheetPr>
  <dimension ref="A1:AK80"/>
  <sheetViews>
    <sheetView view="pageBreakPreview" zoomScale="60" zoomScaleNormal="55" workbookViewId="0">
      <selection activeCell="AG41" sqref="AG41"/>
    </sheetView>
  </sheetViews>
  <sheetFormatPr defaultRowHeight="12.5" x14ac:dyDescent="0.25"/>
  <cols>
    <col min="2" max="2" width="3.81640625" bestFit="1" customWidth="1"/>
    <col min="3" max="15" width="0" hidden="1" customWidth="1"/>
    <col min="16" max="16" width="9.1796875" bestFit="1" customWidth="1"/>
    <col min="27" max="30" width="9.453125" bestFit="1" customWidth="1"/>
    <col min="31" max="31" width="2.08984375" style="27" customWidth="1"/>
    <col min="32" max="32" width="15.08984375" bestFit="1" customWidth="1"/>
    <col min="33" max="33" width="13.26953125" bestFit="1" customWidth="1"/>
    <col min="34" max="34" width="18.81640625" bestFit="1" customWidth="1"/>
  </cols>
  <sheetData>
    <row r="1" spans="1:34" ht="13" x14ac:dyDescent="0.3">
      <c r="A1" s="68" t="s">
        <v>74</v>
      </c>
      <c r="B1" s="68"/>
      <c r="C1" s="69"/>
      <c r="D1" s="69"/>
      <c r="E1" s="235" t="s">
        <v>75</v>
      </c>
      <c r="F1" s="235"/>
      <c r="G1" s="68" t="s">
        <v>76</v>
      </c>
      <c r="H1" s="68"/>
      <c r="I1" s="68"/>
      <c r="J1" s="68"/>
      <c r="K1" s="103" t="s">
        <v>113</v>
      </c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70"/>
      <c r="AF1" s="69"/>
      <c r="AG1" s="69"/>
      <c r="AH1" s="69"/>
    </row>
    <row r="2" spans="1:34" ht="13" x14ac:dyDescent="0.3">
      <c r="A2" s="71"/>
      <c r="B2" s="71"/>
      <c r="C2" s="69"/>
      <c r="D2" s="69"/>
      <c r="E2" s="235" t="s">
        <v>75</v>
      </c>
      <c r="F2" s="235"/>
      <c r="G2" s="68" t="s">
        <v>114</v>
      </c>
      <c r="H2" s="69"/>
      <c r="I2" s="69"/>
      <c r="J2" s="69"/>
      <c r="K2" s="103" t="s">
        <v>115</v>
      </c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70"/>
      <c r="AF2" s="69"/>
      <c r="AG2" s="69"/>
      <c r="AH2" s="69"/>
    </row>
    <row r="3" spans="1:34" x14ac:dyDescent="0.25">
      <c r="A3" s="72" t="s">
        <v>77</v>
      </c>
      <c r="B3" s="72"/>
      <c r="C3" s="72"/>
      <c r="D3" s="72"/>
      <c r="E3" s="72"/>
      <c r="F3" s="61"/>
      <c r="G3" s="61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70"/>
      <c r="AF3" s="69"/>
      <c r="AG3" s="69"/>
      <c r="AH3" s="69"/>
    </row>
    <row r="4" spans="1:34" x14ac:dyDescent="0.25">
      <c r="A4" s="73"/>
      <c r="B4" s="73"/>
      <c r="C4" s="73"/>
      <c r="D4" s="73"/>
      <c r="E4" s="73"/>
      <c r="F4" s="62"/>
      <c r="G4" s="62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70"/>
      <c r="AF4" s="69"/>
      <c r="AG4" s="69"/>
      <c r="AH4" s="69"/>
    </row>
    <row r="5" spans="1:34" x14ac:dyDescent="0.25">
      <c r="A5" s="74" t="s">
        <v>78</v>
      </c>
      <c r="B5" s="74" t="s">
        <v>116</v>
      </c>
      <c r="C5" s="74">
        <v>1993</v>
      </c>
      <c r="D5" s="74">
        <v>1994</v>
      </c>
      <c r="E5" s="74">
        <v>1995</v>
      </c>
      <c r="F5" s="74">
        <v>1996</v>
      </c>
      <c r="G5" s="74">
        <v>1997</v>
      </c>
      <c r="H5" s="74">
        <v>1998</v>
      </c>
      <c r="I5" s="74">
        <v>1999</v>
      </c>
      <c r="J5" s="74">
        <v>2000</v>
      </c>
      <c r="K5" s="74">
        <v>2001</v>
      </c>
      <c r="L5" s="74">
        <v>2002</v>
      </c>
      <c r="M5" s="75">
        <v>2003</v>
      </c>
      <c r="N5" s="75">
        <v>2004</v>
      </c>
      <c r="O5" s="75">
        <v>2005</v>
      </c>
      <c r="P5" s="76">
        <v>2006</v>
      </c>
      <c r="Q5" s="76">
        <v>2007</v>
      </c>
      <c r="R5" s="76">
        <v>2008</v>
      </c>
      <c r="S5" s="76">
        <v>2009</v>
      </c>
      <c r="T5" s="76">
        <v>2010</v>
      </c>
      <c r="U5" s="76">
        <v>2011</v>
      </c>
      <c r="V5" s="77">
        <v>2012</v>
      </c>
      <c r="W5" s="77">
        <v>2013</v>
      </c>
      <c r="X5" s="77">
        <v>2014</v>
      </c>
      <c r="Y5" s="77">
        <v>2015</v>
      </c>
      <c r="Z5" s="77">
        <v>2016</v>
      </c>
      <c r="AA5" s="77">
        <v>2017</v>
      </c>
      <c r="AB5" s="77">
        <v>2018</v>
      </c>
      <c r="AC5" s="77">
        <v>2019</v>
      </c>
      <c r="AD5" s="77">
        <v>2020</v>
      </c>
      <c r="AE5" s="78"/>
      <c r="AF5" s="79" t="s">
        <v>134</v>
      </c>
      <c r="AG5" s="79" t="s">
        <v>79</v>
      </c>
      <c r="AH5" s="183"/>
    </row>
    <row r="6" spans="1:34" x14ac:dyDescent="0.25">
      <c r="A6" s="73"/>
      <c r="B6" s="73"/>
      <c r="C6" s="73"/>
      <c r="D6" s="73"/>
      <c r="E6" s="73"/>
      <c r="F6" s="61"/>
      <c r="G6" s="61"/>
      <c r="H6" s="69"/>
      <c r="I6" s="69"/>
      <c r="J6" s="69"/>
      <c r="K6" s="69"/>
      <c r="L6" s="69"/>
      <c r="M6" s="70"/>
      <c r="N6" s="70"/>
      <c r="O6" s="7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70"/>
      <c r="AF6" s="69"/>
      <c r="AG6" s="69"/>
      <c r="AH6" s="184"/>
    </row>
    <row r="7" spans="1:34" x14ac:dyDescent="0.25">
      <c r="A7" s="81"/>
      <c r="B7" s="81"/>
      <c r="C7" s="81"/>
      <c r="D7" s="81"/>
      <c r="E7" s="81"/>
      <c r="F7" s="61"/>
      <c r="G7" s="61"/>
      <c r="H7" s="61"/>
      <c r="I7" s="61"/>
      <c r="J7" s="69"/>
      <c r="K7" s="69"/>
      <c r="L7" s="69"/>
      <c r="M7" s="70"/>
      <c r="N7" s="70"/>
      <c r="O7" s="7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70"/>
      <c r="AF7" s="69"/>
      <c r="AG7" s="69"/>
      <c r="AH7" s="184"/>
    </row>
    <row r="8" spans="1:34" x14ac:dyDescent="0.25">
      <c r="A8" s="81" t="s">
        <v>80</v>
      </c>
      <c r="B8" s="81">
        <v>1</v>
      </c>
      <c r="C8" s="82">
        <v>635.1</v>
      </c>
      <c r="D8" s="82">
        <v>941.4</v>
      </c>
      <c r="E8" s="82">
        <v>653.20000000000005</v>
      </c>
      <c r="F8" s="82">
        <v>765.2</v>
      </c>
      <c r="G8" s="82">
        <v>756.6</v>
      </c>
      <c r="H8" s="82">
        <v>624.79999999999995</v>
      </c>
      <c r="I8" s="82">
        <v>749.8</v>
      </c>
      <c r="J8" s="82">
        <v>738.9</v>
      </c>
      <c r="K8" s="82">
        <v>684.9</v>
      </c>
      <c r="L8" s="82">
        <v>572.20000000000005</v>
      </c>
      <c r="M8" s="83">
        <v>814.5</v>
      </c>
      <c r="N8" s="83">
        <v>849.1</v>
      </c>
      <c r="O8" s="83">
        <v>770</v>
      </c>
      <c r="P8" s="84">
        <v>551.79999999999995</v>
      </c>
      <c r="Q8" s="84">
        <v>647.1</v>
      </c>
      <c r="R8" s="84">
        <v>623.5</v>
      </c>
      <c r="S8" s="84">
        <v>830.2</v>
      </c>
      <c r="T8" s="84">
        <v>720</v>
      </c>
      <c r="U8" s="84">
        <v>775.3</v>
      </c>
      <c r="V8" s="84">
        <v>610.80000000000007</v>
      </c>
      <c r="W8" s="84">
        <v>624.40000000000009</v>
      </c>
      <c r="X8" s="84">
        <v>825.90000000000009</v>
      </c>
      <c r="Y8" s="84">
        <v>792.39999999999975</v>
      </c>
      <c r="Z8" s="84">
        <v>670.4</v>
      </c>
      <c r="AA8" s="84">
        <v>608.9</v>
      </c>
      <c r="AB8" s="84">
        <v>732.29999999999984</v>
      </c>
      <c r="AC8" s="84">
        <v>764.5</v>
      </c>
      <c r="AD8" s="84">
        <v>605</v>
      </c>
      <c r="AE8" s="83"/>
      <c r="AF8" s="157">
        <f>AVERAGE(U8:AD8)</f>
        <v>700.99</v>
      </c>
      <c r="AG8" s="158">
        <f>TREND(K8:AD8)</f>
        <v>709.9571428571428</v>
      </c>
      <c r="AH8" s="185"/>
    </row>
    <row r="9" spans="1:34" x14ac:dyDescent="0.25">
      <c r="A9" s="81" t="s">
        <v>81</v>
      </c>
      <c r="B9" s="81">
        <v>2</v>
      </c>
      <c r="C9" s="82">
        <v>686.8</v>
      </c>
      <c r="D9" s="82">
        <v>737.5</v>
      </c>
      <c r="E9" s="82">
        <v>707</v>
      </c>
      <c r="F9" s="82">
        <v>689.8</v>
      </c>
      <c r="G9" s="82">
        <v>593</v>
      </c>
      <c r="H9" s="82">
        <v>512.20000000000005</v>
      </c>
      <c r="I9" s="82">
        <v>548.1</v>
      </c>
      <c r="J9" s="82">
        <v>612.70000000000005</v>
      </c>
      <c r="K9" s="82">
        <v>587.6</v>
      </c>
      <c r="L9" s="82">
        <v>540.20000000000005</v>
      </c>
      <c r="M9" s="83">
        <v>699</v>
      </c>
      <c r="N9" s="83">
        <v>631.70000000000005</v>
      </c>
      <c r="O9" s="83">
        <v>616.4</v>
      </c>
      <c r="P9" s="84">
        <v>604.29999999999995</v>
      </c>
      <c r="Q9" s="84">
        <v>740.1</v>
      </c>
      <c r="R9" s="84">
        <v>674.7</v>
      </c>
      <c r="S9" s="84">
        <v>606.4</v>
      </c>
      <c r="T9" s="84">
        <v>598.29999999999995</v>
      </c>
      <c r="U9" s="84">
        <v>654.20000000000005</v>
      </c>
      <c r="V9" s="84">
        <v>532</v>
      </c>
      <c r="W9" s="84">
        <v>631.49999999999989</v>
      </c>
      <c r="X9" s="84">
        <v>737.09999999999991</v>
      </c>
      <c r="Y9" s="84">
        <v>856.8</v>
      </c>
      <c r="Z9" s="84">
        <v>588.4</v>
      </c>
      <c r="AA9" s="84">
        <v>510.4</v>
      </c>
      <c r="AB9" s="84">
        <v>555.00000000000023</v>
      </c>
      <c r="AC9" s="84">
        <v>621.70000000000016</v>
      </c>
      <c r="AD9" s="84">
        <v>611.79999999999995</v>
      </c>
      <c r="AE9" s="83"/>
      <c r="AF9" s="157">
        <f>AVERAGE(U9:AD9)</f>
        <v>629.89</v>
      </c>
      <c r="AG9" s="158">
        <f>TREND(K9:AD9)</f>
        <v>632.24714285714276</v>
      </c>
      <c r="AH9" s="185"/>
    </row>
    <row r="10" spans="1:34" x14ac:dyDescent="0.25">
      <c r="A10" s="81" t="s">
        <v>82</v>
      </c>
      <c r="B10" s="81">
        <v>3</v>
      </c>
      <c r="C10" s="82">
        <v>530.1</v>
      </c>
      <c r="D10" s="82">
        <v>581.5</v>
      </c>
      <c r="E10" s="82">
        <v>498.1</v>
      </c>
      <c r="F10" s="82">
        <v>645.6</v>
      </c>
      <c r="G10" s="82">
        <v>600</v>
      </c>
      <c r="H10" s="82">
        <v>492.3</v>
      </c>
      <c r="I10" s="82">
        <v>550.6</v>
      </c>
      <c r="J10" s="82">
        <v>418.6</v>
      </c>
      <c r="K10" s="82">
        <v>566.6</v>
      </c>
      <c r="L10" s="82">
        <v>545.6</v>
      </c>
      <c r="M10" s="83">
        <v>581.1</v>
      </c>
      <c r="N10" s="83">
        <v>487.3</v>
      </c>
      <c r="O10" s="83">
        <v>608.6</v>
      </c>
      <c r="P10" s="84">
        <v>516.6</v>
      </c>
      <c r="Q10" s="84">
        <v>546.70000000000005</v>
      </c>
      <c r="R10" s="84">
        <v>610.20000000000005</v>
      </c>
      <c r="S10" s="84">
        <v>533.79999999999995</v>
      </c>
      <c r="T10" s="84">
        <v>422.8</v>
      </c>
      <c r="U10" s="84">
        <v>572.79999999999995</v>
      </c>
      <c r="V10" s="84">
        <v>349.40000000000009</v>
      </c>
      <c r="W10" s="84">
        <v>554.79999999999995</v>
      </c>
      <c r="X10" s="84">
        <v>690.6</v>
      </c>
      <c r="Y10" s="84">
        <v>615.49999999999989</v>
      </c>
      <c r="Z10" s="84">
        <v>476.0999999999998</v>
      </c>
      <c r="AA10" s="84">
        <v>574</v>
      </c>
      <c r="AB10" s="84">
        <v>553.99999999999989</v>
      </c>
      <c r="AC10" s="84">
        <v>593.90000000000009</v>
      </c>
      <c r="AD10" s="84">
        <v>458.69999999999993</v>
      </c>
      <c r="AE10" s="83"/>
      <c r="AF10" s="157">
        <f>AVERAGE(U10:AD10)</f>
        <v>543.98</v>
      </c>
      <c r="AG10" s="158">
        <f>TREND(K10:AD10)</f>
        <v>548.30285714285731</v>
      </c>
      <c r="AH10" s="185"/>
    </row>
    <row r="11" spans="1:34" x14ac:dyDescent="0.25">
      <c r="A11" s="81" t="s">
        <v>83</v>
      </c>
      <c r="B11" s="81">
        <v>4</v>
      </c>
      <c r="C11" s="82">
        <v>280.3</v>
      </c>
      <c r="D11" s="82">
        <v>320.2</v>
      </c>
      <c r="E11" s="82">
        <v>417.6</v>
      </c>
      <c r="F11" s="82">
        <v>408.2</v>
      </c>
      <c r="G11" s="82">
        <v>366.8</v>
      </c>
      <c r="H11" s="82">
        <v>282</v>
      </c>
      <c r="I11" s="82">
        <v>296.7</v>
      </c>
      <c r="J11" s="82">
        <v>339.2</v>
      </c>
      <c r="K11" s="82">
        <v>293.8</v>
      </c>
      <c r="L11" s="82">
        <v>329.5</v>
      </c>
      <c r="M11" s="83">
        <v>372.5</v>
      </c>
      <c r="N11" s="83">
        <v>331.5</v>
      </c>
      <c r="O11" s="83">
        <v>306.8</v>
      </c>
      <c r="P11" s="84">
        <v>293.3</v>
      </c>
      <c r="Q11" s="84">
        <v>356.4</v>
      </c>
      <c r="R11" s="84">
        <v>253.9</v>
      </c>
      <c r="S11" s="84">
        <v>305.8</v>
      </c>
      <c r="T11" s="84">
        <v>225.1</v>
      </c>
      <c r="U11" s="84">
        <v>332.3</v>
      </c>
      <c r="V11" s="84">
        <v>321.70000000000005</v>
      </c>
      <c r="W11" s="84">
        <v>358.6</v>
      </c>
      <c r="X11" s="84">
        <v>356.90000000000003</v>
      </c>
      <c r="Y11" s="84">
        <v>313.7</v>
      </c>
      <c r="Z11" s="84">
        <v>394.8</v>
      </c>
      <c r="AA11" s="84">
        <v>257.49999999999994</v>
      </c>
      <c r="AB11" s="84">
        <v>437.20000000000005</v>
      </c>
      <c r="AC11" s="84">
        <v>346.8</v>
      </c>
      <c r="AD11" s="84">
        <v>362.2999999999999</v>
      </c>
      <c r="AE11" s="83"/>
      <c r="AF11" s="157">
        <f>AVERAGE(U11:AD11)</f>
        <v>348.17999999999995</v>
      </c>
      <c r="AG11" s="158">
        <f>TREND(K11:AD11)</f>
        <v>302.96571428571434</v>
      </c>
      <c r="AH11" s="185"/>
    </row>
    <row r="12" spans="1:34" x14ac:dyDescent="0.25">
      <c r="A12" s="81" t="s">
        <v>84</v>
      </c>
      <c r="B12" s="81">
        <v>5</v>
      </c>
      <c r="C12" s="82">
        <v>182</v>
      </c>
      <c r="D12" s="82">
        <v>199.7</v>
      </c>
      <c r="E12" s="82">
        <v>149.19999999999999</v>
      </c>
      <c r="F12" s="82">
        <v>205.9</v>
      </c>
      <c r="G12" s="82">
        <v>260.8</v>
      </c>
      <c r="H12" s="82">
        <v>59.1</v>
      </c>
      <c r="I12" s="82">
        <v>97.1</v>
      </c>
      <c r="J12" s="82">
        <v>139.6</v>
      </c>
      <c r="K12" s="82">
        <v>111.5</v>
      </c>
      <c r="L12" s="82">
        <v>227.5</v>
      </c>
      <c r="M12" s="83">
        <v>177.9</v>
      </c>
      <c r="N12" s="83">
        <v>158.9</v>
      </c>
      <c r="O12" s="83">
        <v>189.4</v>
      </c>
      <c r="P12" s="84">
        <v>136.9</v>
      </c>
      <c r="Q12" s="84">
        <v>136.4</v>
      </c>
      <c r="R12" s="84">
        <v>193.5</v>
      </c>
      <c r="S12" s="84">
        <v>158.80000000000001</v>
      </c>
      <c r="T12" s="84">
        <v>107.9</v>
      </c>
      <c r="U12" s="84">
        <v>134.1</v>
      </c>
      <c r="V12" s="84">
        <v>81.300000000000011</v>
      </c>
      <c r="W12" s="84">
        <v>109.10000000000001</v>
      </c>
      <c r="X12" s="84">
        <v>132.10000000000005</v>
      </c>
      <c r="Y12" s="84">
        <v>89.3</v>
      </c>
      <c r="Z12" s="84">
        <v>142.50000000000003</v>
      </c>
      <c r="AA12" s="84">
        <v>177</v>
      </c>
      <c r="AB12" s="84">
        <v>75.3</v>
      </c>
      <c r="AC12" s="84">
        <v>180.99999999999997</v>
      </c>
      <c r="AD12" s="84">
        <v>208.09999999999997</v>
      </c>
      <c r="AE12" s="83"/>
      <c r="AF12" s="157">
        <f>AVERAGE(U12:AD12)</f>
        <v>132.97999999999996</v>
      </c>
      <c r="AG12" s="158">
        <f>TREND(K12:AD12)</f>
        <v>159.72142857142859</v>
      </c>
      <c r="AH12" s="185"/>
    </row>
    <row r="13" spans="1:34" x14ac:dyDescent="0.25">
      <c r="A13" s="81" t="s">
        <v>85</v>
      </c>
      <c r="B13" s="81">
        <v>6</v>
      </c>
      <c r="C13" s="82">
        <v>46.5</v>
      </c>
      <c r="D13" s="82">
        <v>35.6</v>
      </c>
      <c r="E13" s="82">
        <v>20</v>
      </c>
      <c r="F13" s="82">
        <v>20.9</v>
      </c>
      <c r="G13" s="82">
        <v>20.6</v>
      </c>
      <c r="H13" s="82">
        <v>54.7</v>
      </c>
      <c r="I13" s="82">
        <v>25</v>
      </c>
      <c r="J13" s="82">
        <v>34.5</v>
      </c>
      <c r="K13" s="82">
        <v>29.8</v>
      </c>
      <c r="L13" s="82">
        <v>36.200000000000003</v>
      </c>
      <c r="M13" s="83">
        <v>43.4</v>
      </c>
      <c r="N13" s="83">
        <v>44.2</v>
      </c>
      <c r="O13" s="83">
        <v>8.9</v>
      </c>
      <c r="P13" s="84">
        <v>19.5</v>
      </c>
      <c r="Q13" s="84">
        <v>16.5</v>
      </c>
      <c r="R13" s="84">
        <v>22.7</v>
      </c>
      <c r="S13" s="84">
        <v>49.3</v>
      </c>
      <c r="T13" s="84">
        <v>21.7</v>
      </c>
      <c r="U13" s="84">
        <v>19</v>
      </c>
      <c r="V13" s="84">
        <v>23.2</v>
      </c>
      <c r="W13" s="86">
        <v>33</v>
      </c>
      <c r="X13" s="84">
        <v>14.1</v>
      </c>
      <c r="Y13" s="84">
        <v>33.800000000000004</v>
      </c>
      <c r="Z13" s="84">
        <v>24.200000000000003</v>
      </c>
      <c r="AA13" s="84">
        <v>26.699999999999996</v>
      </c>
      <c r="AB13" s="84">
        <v>14.799999999999999</v>
      </c>
      <c r="AC13" s="84">
        <v>35.5</v>
      </c>
      <c r="AD13" s="84">
        <v>23.799999999999997</v>
      </c>
      <c r="AE13" s="83"/>
      <c r="AF13" s="85">
        <f t="shared" ref="AF13:AF19" si="0">AVERAGE(T13:AC13)</f>
        <v>24.6</v>
      </c>
      <c r="AG13" s="63">
        <f t="shared" ref="AG13:AG19" si="1">TREND(J13:AC13)</f>
        <v>31.881428571428572</v>
      </c>
      <c r="AH13" s="185"/>
    </row>
    <row r="14" spans="1:34" x14ac:dyDescent="0.25">
      <c r="A14" s="81" t="s">
        <v>86</v>
      </c>
      <c r="B14" s="81">
        <v>7</v>
      </c>
      <c r="C14" s="82">
        <v>0.6</v>
      </c>
      <c r="D14" s="82">
        <v>2.4</v>
      </c>
      <c r="E14" s="82">
        <v>10.3</v>
      </c>
      <c r="F14" s="82">
        <v>10.3</v>
      </c>
      <c r="G14" s="82">
        <v>12.4</v>
      </c>
      <c r="H14" s="82">
        <v>1</v>
      </c>
      <c r="I14" s="82">
        <v>0</v>
      </c>
      <c r="J14" s="82">
        <v>6.6</v>
      </c>
      <c r="K14" s="82">
        <v>9.3000000000000007</v>
      </c>
      <c r="L14" s="82">
        <v>0</v>
      </c>
      <c r="M14" s="83">
        <v>0.2</v>
      </c>
      <c r="N14" s="83">
        <v>3.6</v>
      </c>
      <c r="O14" s="83">
        <v>0</v>
      </c>
      <c r="P14" s="84">
        <v>0</v>
      </c>
      <c r="Q14" s="84">
        <v>3.2</v>
      </c>
      <c r="R14" s="84">
        <v>1</v>
      </c>
      <c r="S14" s="84">
        <v>6.2</v>
      </c>
      <c r="T14" s="84">
        <v>1.8</v>
      </c>
      <c r="U14" s="84">
        <v>0</v>
      </c>
      <c r="V14" s="84">
        <v>0</v>
      </c>
      <c r="W14" s="84">
        <v>1.2999999999999998</v>
      </c>
      <c r="X14" s="84">
        <v>4</v>
      </c>
      <c r="Y14" s="84">
        <v>4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3"/>
      <c r="AF14" s="85">
        <f t="shared" si="0"/>
        <v>1.1099999999999999</v>
      </c>
      <c r="AG14" s="63">
        <f t="shared" si="1"/>
        <v>3.9171428571428573</v>
      </c>
      <c r="AH14" s="186"/>
    </row>
    <row r="15" spans="1:34" x14ac:dyDescent="0.25">
      <c r="A15" s="81" t="s">
        <v>87</v>
      </c>
      <c r="B15" s="81">
        <v>8</v>
      </c>
      <c r="C15" s="82">
        <v>9.6999999999999993</v>
      </c>
      <c r="D15" s="82">
        <v>24.5</v>
      </c>
      <c r="E15" s="82">
        <v>4.5999999999999996</v>
      </c>
      <c r="F15" s="82">
        <v>2.5</v>
      </c>
      <c r="G15" s="82">
        <v>17</v>
      </c>
      <c r="H15" s="82">
        <v>3.4</v>
      </c>
      <c r="I15" s="82">
        <v>8.4</v>
      </c>
      <c r="J15" s="82">
        <v>11.5</v>
      </c>
      <c r="K15" s="82">
        <v>0</v>
      </c>
      <c r="L15" s="82">
        <v>0.2</v>
      </c>
      <c r="M15" s="83">
        <v>2</v>
      </c>
      <c r="N15" s="83">
        <v>12.8</v>
      </c>
      <c r="O15" s="83">
        <v>0.2</v>
      </c>
      <c r="P15" s="84">
        <v>4.2</v>
      </c>
      <c r="Q15" s="84">
        <v>5.2</v>
      </c>
      <c r="R15" s="84">
        <v>12.7</v>
      </c>
      <c r="S15" s="84">
        <v>9.8000000000000007</v>
      </c>
      <c r="T15" s="84">
        <v>2.1</v>
      </c>
      <c r="U15" s="84">
        <v>0</v>
      </c>
      <c r="V15" s="84">
        <v>2</v>
      </c>
      <c r="W15" s="84">
        <v>4.4000000000000004</v>
      </c>
      <c r="X15" s="84">
        <v>8.7999999999999989</v>
      </c>
      <c r="Y15" s="84">
        <v>4.4000000000000004</v>
      </c>
      <c r="Z15" s="84">
        <v>0</v>
      </c>
      <c r="AA15" s="84">
        <v>11.6</v>
      </c>
      <c r="AB15" s="84">
        <v>1.2</v>
      </c>
      <c r="AC15" s="84">
        <v>0.89999999999999991</v>
      </c>
      <c r="AD15" s="84">
        <v>0.8</v>
      </c>
      <c r="AE15" s="83"/>
      <c r="AF15" s="85">
        <f t="shared" si="0"/>
        <v>3.54</v>
      </c>
      <c r="AG15" s="63">
        <f t="shared" si="1"/>
        <v>5.4957142857142856</v>
      </c>
      <c r="AH15" s="186"/>
    </row>
    <row r="16" spans="1:34" x14ac:dyDescent="0.25">
      <c r="A16" s="81" t="s">
        <v>88</v>
      </c>
      <c r="B16" s="81">
        <v>9</v>
      </c>
      <c r="C16" s="82">
        <v>77.2</v>
      </c>
      <c r="D16" s="82">
        <v>76.2</v>
      </c>
      <c r="E16" s="82">
        <v>133.69999999999999</v>
      </c>
      <c r="F16" s="82">
        <v>71.599999999999994</v>
      </c>
      <c r="G16" s="82">
        <v>87.1</v>
      </c>
      <c r="H16" s="82">
        <v>39.700000000000003</v>
      </c>
      <c r="I16" s="82">
        <v>49.3</v>
      </c>
      <c r="J16" s="82">
        <v>99.5</v>
      </c>
      <c r="K16" s="82">
        <v>73.599999999999994</v>
      </c>
      <c r="L16" s="82">
        <v>21.8</v>
      </c>
      <c r="M16" s="83">
        <v>54.9</v>
      </c>
      <c r="N16" s="83">
        <v>30</v>
      </c>
      <c r="O16" s="83">
        <v>22.6</v>
      </c>
      <c r="P16" s="84">
        <v>80.900000000000006</v>
      </c>
      <c r="Q16" s="84">
        <v>36.9</v>
      </c>
      <c r="R16" s="84">
        <v>59</v>
      </c>
      <c r="S16" s="84">
        <v>55.2</v>
      </c>
      <c r="T16" s="84">
        <v>78.099999999999994</v>
      </c>
      <c r="U16" s="84">
        <v>48.2</v>
      </c>
      <c r="V16" s="84">
        <v>85</v>
      </c>
      <c r="W16" s="84">
        <v>82.999999999999986</v>
      </c>
      <c r="X16" s="84">
        <v>69.700000000000017</v>
      </c>
      <c r="Y16" s="84">
        <v>31.099999999999994</v>
      </c>
      <c r="Z16" s="84">
        <v>25.900000000000006</v>
      </c>
      <c r="AA16" s="84">
        <v>49.1</v>
      </c>
      <c r="AB16" s="84">
        <v>41.399999999999991</v>
      </c>
      <c r="AC16" s="84">
        <v>38.400000000000006</v>
      </c>
      <c r="AD16" s="84">
        <v>69.100000000000009</v>
      </c>
      <c r="AE16" s="83"/>
      <c r="AF16" s="85">
        <f t="shared" si="0"/>
        <v>54.989999999999995</v>
      </c>
      <c r="AG16" s="63">
        <f t="shared" si="1"/>
        <v>61.315714285714307</v>
      </c>
      <c r="AH16" s="186"/>
    </row>
    <row r="17" spans="1:35" x14ac:dyDescent="0.25">
      <c r="A17" s="81" t="s">
        <v>89</v>
      </c>
      <c r="B17" s="81">
        <v>10</v>
      </c>
      <c r="C17" s="82">
        <v>200.8</v>
      </c>
      <c r="D17" s="82">
        <v>249.3</v>
      </c>
      <c r="E17" s="82">
        <v>219.4</v>
      </c>
      <c r="F17" s="82">
        <v>273.10000000000002</v>
      </c>
      <c r="G17" s="82">
        <v>266.89999999999998</v>
      </c>
      <c r="H17" s="82">
        <v>223.4</v>
      </c>
      <c r="I17" s="82">
        <v>267.60000000000002</v>
      </c>
      <c r="J17" s="82">
        <v>212.7</v>
      </c>
      <c r="K17" s="82">
        <v>232.5</v>
      </c>
      <c r="L17" s="82">
        <v>292.2</v>
      </c>
      <c r="M17" s="83">
        <v>276</v>
      </c>
      <c r="N17" s="83">
        <v>226.3</v>
      </c>
      <c r="O17" s="83">
        <v>220.2</v>
      </c>
      <c r="P17" s="84">
        <v>288.3</v>
      </c>
      <c r="Q17" s="84">
        <v>137.69999999999999</v>
      </c>
      <c r="R17" s="84">
        <v>278.60000000000002</v>
      </c>
      <c r="S17" s="84">
        <v>287.8</v>
      </c>
      <c r="T17" s="84">
        <v>241.6</v>
      </c>
      <c r="U17" s="84">
        <v>235.5</v>
      </c>
      <c r="V17" s="84">
        <v>242.50000000000003</v>
      </c>
      <c r="W17" s="84">
        <v>208.5</v>
      </c>
      <c r="X17" s="84">
        <v>224.30000000000004</v>
      </c>
      <c r="Y17" s="84">
        <v>249.8</v>
      </c>
      <c r="Z17" s="84">
        <v>194.20000000000002</v>
      </c>
      <c r="AA17" s="84">
        <v>153.99999999999997</v>
      </c>
      <c r="AB17" s="84">
        <v>289.40000000000003</v>
      </c>
      <c r="AC17" s="84">
        <v>236.5</v>
      </c>
      <c r="AD17" s="84">
        <v>270.3</v>
      </c>
      <c r="AE17" s="83"/>
      <c r="AF17" s="85">
        <f t="shared" si="0"/>
        <v>227.63000000000002</v>
      </c>
      <c r="AG17" s="63">
        <f t="shared" si="1"/>
        <v>248.0842857142857</v>
      </c>
      <c r="AH17" s="186"/>
    </row>
    <row r="18" spans="1:35" x14ac:dyDescent="0.25">
      <c r="A18" s="81" t="s">
        <v>90</v>
      </c>
      <c r="B18" s="81">
        <v>11</v>
      </c>
      <c r="C18" s="82">
        <v>312.5</v>
      </c>
      <c r="D18" s="82">
        <v>379</v>
      </c>
      <c r="E18" s="82">
        <v>511.4</v>
      </c>
      <c r="F18" s="82">
        <v>512.1</v>
      </c>
      <c r="G18" s="82">
        <v>466.5</v>
      </c>
      <c r="H18" s="82">
        <v>392.6</v>
      </c>
      <c r="I18" s="82">
        <v>367.5</v>
      </c>
      <c r="J18" s="82">
        <v>432</v>
      </c>
      <c r="K18" s="82">
        <v>325.8</v>
      </c>
      <c r="L18" s="82">
        <v>445</v>
      </c>
      <c r="M18" s="83">
        <v>398.5</v>
      </c>
      <c r="N18" s="83">
        <v>379.1</v>
      </c>
      <c r="O18" s="83">
        <v>388.4</v>
      </c>
      <c r="P18" s="84">
        <v>382.2</v>
      </c>
      <c r="Q18" s="84">
        <v>462.5</v>
      </c>
      <c r="R18" s="84">
        <v>451.6</v>
      </c>
      <c r="S18" s="84">
        <v>361.2</v>
      </c>
      <c r="T18" s="84">
        <v>405.3</v>
      </c>
      <c r="U18" s="84">
        <v>342.1</v>
      </c>
      <c r="V18" s="84">
        <v>433.99999999999994</v>
      </c>
      <c r="W18" s="84">
        <v>478.20000000000005</v>
      </c>
      <c r="X18" s="84">
        <v>482.1</v>
      </c>
      <c r="Y18" s="84">
        <v>345</v>
      </c>
      <c r="Z18" s="84">
        <v>337.80000000000007</v>
      </c>
      <c r="AA18" s="84">
        <v>414.2</v>
      </c>
      <c r="AB18" s="84">
        <v>494.1</v>
      </c>
      <c r="AC18" s="84">
        <v>513.30000000000007</v>
      </c>
      <c r="AD18" s="84">
        <v>334.79999999999995</v>
      </c>
      <c r="AE18" s="83"/>
      <c r="AF18" s="85">
        <f t="shared" si="0"/>
        <v>424.61</v>
      </c>
      <c r="AG18" s="63">
        <f t="shared" si="1"/>
        <v>385.99142857142857</v>
      </c>
      <c r="AH18" s="186"/>
    </row>
    <row r="19" spans="1:35" x14ac:dyDescent="0.25">
      <c r="A19" s="81" t="s">
        <v>91</v>
      </c>
      <c r="B19" s="81">
        <v>12</v>
      </c>
      <c r="C19" s="82">
        <v>503.5</v>
      </c>
      <c r="D19" s="82">
        <v>562.5</v>
      </c>
      <c r="E19" s="82">
        <v>717.5</v>
      </c>
      <c r="F19" s="82">
        <v>571.6</v>
      </c>
      <c r="G19" s="82">
        <v>586.20000000000005</v>
      </c>
      <c r="H19" s="82">
        <v>535.1</v>
      </c>
      <c r="I19" s="82">
        <v>579.29999999999995</v>
      </c>
      <c r="J19" s="82">
        <v>780.3</v>
      </c>
      <c r="K19" s="82">
        <v>505</v>
      </c>
      <c r="L19" s="82">
        <v>619.4</v>
      </c>
      <c r="M19" s="83">
        <v>561.5</v>
      </c>
      <c r="N19" s="83">
        <v>643.4</v>
      </c>
      <c r="O19" s="83">
        <v>665.3</v>
      </c>
      <c r="P19" s="84">
        <v>500.5</v>
      </c>
      <c r="Q19" s="84">
        <v>630.70000000000005</v>
      </c>
      <c r="R19" s="84">
        <v>654.6</v>
      </c>
      <c r="S19" s="84">
        <v>631.29999999999995</v>
      </c>
      <c r="T19" s="84">
        <v>676.2</v>
      </c>
      <c r="U19" s="84">
        <v>534</v>
      </c>
      <c r="V19" s="84">
        <v>533.50000000000011</v>
      </c>
      <c r="W19" s="84">
        <v>687.9</v>
      </c>
      <c r="X19" s="84">
        <v>557.29999999999995</v>
      </c>
      <c r="Y19" s="84">
        <v>429.70000000000005</v>
      </c>
      <c r="Z19" s="84">
        <v>607.99999999999989</v>
      </c>
      <c r="AA19" s="84">
        <v>718.49999999999989</v>
      </c>
      <c r="AB19" s="84">
        <v>563.60000000000014</v>
      </c>
      <c r="AC19" s="84">
        <v>582.4</v>
      </c>
      <c r="AD19" s="84">
        <v>567.29999999999995</v>
      </c>
      <c r="AE19" s="83"/>
      <c r="AF19" s="85">
        <f t="shared" si="0"/>
        <v>589.11</v>
      </c>
      <c r="AG19" s="63">
        <f t="shared" si="1"/>
        <v>629.05999999999995</v>
      </c>
      <c r="AH19" s="186"/>
    </row>
    <row r="20" spans="1:35" x14ac:dyDescent="0.25">
      <c r="A20" s="81"/>
      <c r="B20" s="81"/>
      <c r="C20" s="81"/>
      <c r="D20" s="81"/>
      <c r="E20" s="81"/>
      <c r="F20" s="81"/>
      <c r="G20" s="81"/>
      <c r="H20" s="69"/>
      <c r="I20" s="69"/>
      <c r="J20" s="69"/>
      <c r="K20" s="69"/>
      <c r="L20" s="69"/>
      <c r="M20" s="70"/>
      <c r="N20" s="70"/>
      <c r="O20" s="70"/>
      <c r="P20" s="80"/>
      <c r="Q20" s="80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8"/>
      <c r="AF20" s="238"/>
      <c r="AG20" s="238"/>
      <c r="AH20" s="238"/>
      <c r="AI20" s="238"/>
    </row>
    <row r="21" spans="1:35" x14ac:dyDescent="0.25">
      <c r="A21" s="81" t="s">
        <v>9</v>
      </c>
      <c r="B21" s="81"/>
      <c r="C21" s="82">
        <v>3465.1</v>
      </c>
      <c r="D21" s="82">
        <v>4109.7999999999993</v>
      </c>
      <c r="E21" s="82">
        <v>4042</v>
      </c>
      <c r="F21" s="82">
        <v>4176.8</v>
      </c>
      <c r="G21" s="82">
        <v>4033.9000000000005</v>
      </c>
      <c r="H21" s="82">
        <v>3220.2999999999997</v>
      </c>
      <c r="I21" s="82">
        <v>3539.3999999999996</v>
      </c>
      <c r="J21" s="82">
        <v>3826.0999999999995</v>
      </c>
      <c r="K21" s="82">
        <v>3420.4000000000005</v>
      </c>
      <c r="L21" s="82">
        <v>3629.7999999999997</v>
      </c>
      <c r="M21" s="83">
        <v>3981.5</v>
      </c>
      <c r="N21" s="83">
        <v>3797.9000000000005</v>
      </c>
      <c r="O21" s="83">
        <v>3796.8</v>
      </c>
      <c r="P21" s="84">
        <v>3378.4999999999995</v>
      </c>
      <c r="Q21" s="84">
        <v>3719.3999999999996</v>
      </c>
      <c r="R21" s="84">
        <v>3835.9999999999995</v>
      </c>
      <c r="S21" s="84">
        <v>3835.8</v>
      </c>
      <c r="T21" s="84">
        <v>3500.8999999999996</v>
      </c>
      <c r="U21" s="84">
        <v>3647.4999999999995</v>
      </c>
      <c r="V21" s="84">
        <f t="shared" ref="V21:AD21" si="2">SUM(V8:V19)</f>
        <v>3215.4000000000005</v>
      </c>
      <c r="W21" s="84">
        <f t="shared" si="2"/>
        <v>3774.7000000000003</v>
      </c>
      <c r="X21" s="84">
        <f t="shared" si="2"/>
        <v>4102.8999999999996</v>
      </c>
      <c r="Y21" s="84">
        <f t="shared" si="2"/>
        <v>3765.5</v>
      </c>
      <c r="Z21" s="84">
        <f t="shared" si="2"/>
        <v>3462.2999999999997</v>
      </c>
      <c r="AA21" s="84">
        <f t="shared" si="2"/>
        <v>3501.8999999999996</v>
      </c>
      <c r="AB21" s="84">
        <f t="shared" si="2"/>
        <v>3758.3</v>
      </c>
      <c r="AC21" s="84">
        <f t="shared" si="2"/>
        <v>3914.900000000001</v>
      </c>
      <c r="AD21" s="84">
        <f t="shared" si="2"/>
        <v>3512.0000000000009</v>
      </c>
      <c r="AE21" s="83"/>
      <c r="AF21" s="238"/>
      <c r="AG21" s="238"/>
      <c r="AH21" s="238"/>
      <c r="AI21" s="238"/>
    </row>
    <row r="22" spans="1:35" ht="14.5" customHeight="1" x14ac:dyDescent="0.25">
      <c r="A22" s="81"/>
      <c r="B22" s="72"/>
      <c r="C22" s="72"/>
      <c r="D22" s="72"/>
      <c r="E22" s="72"/>
      <c r="F22" s="61"/>
      <c r="G22" s="61"/>
      <c r="H22" s="69"/>
      <c r="I22" s="69"/>
      <c r="J22" s="69"/>
      <c r="K22" s="69"/>
      <c r="L22" s="69"/>
      <c r="M22" s="69"/>
      <c r="N22" s="69"/>
      <c r="O22" s="69"/>
      <c r="P22" s="69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70"/>
      <c r="AF22" s="238"/>
      <c r="AG22" s="238"/>
      <c r="AH22" s="238"/>
      <c r="AI22" s="238"/>
    </row>
    <row r="23" spans="1:35" x14ac:dyDescent="0.25">
      <c r="A23" s="72" t="s">
        <v>92</v>
      </c>
      <c r="B23" s="72"/>
      <c r="C23" s="72"/>
      <c r="D23" s="72"/>
      <c r="E23" s="72"/>
      <c r="F23" s="61"/>
      <c r="G23" s="61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70"/>
      <c r="AF23" s="238"/>
      <c r="AG23" s="238"/>
      <c r="AH23" s="238"/>
      <c r="AI23" s="238"/>
    </row>
    <row r="24" spans="1:35" x14ac:dyDescent="0.25">
      <c r="A24" s="73"/>
      <c r="B24" s="73"/>
      <c r="C24" s="73"/>
      <c r="D24" s="73"/>
      <c r="E24" s="73"/>
      <c r="F24" s="62"/>
      <c r="G24" s="62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70"/>
      <c r="AF24" s="238"/>
      <c r="AG24" s="238"/>
      <c r="AH24" s="238"/>
      <c r="AI24" s="238"/>
    </row>
    <row r="25" spans="1:35" x14ac:dyDescent="0.25">
      <c r="A25" s="74" t="s">
        <v>78</v>
      </c>
      <c r="B25" s="74"/>
      <c r="C25" s="74">
        <v>1993</v>
      </c>
      <c r="D25" s="74">
        <v>1994</v>
      </c>
      <c r="E25" s="74">
        <v>1995</v>
      </c>
      <c r="F25" s="74">
        <v>1996</v>
      </c>
      <c r="G25" s="74">
        <v>1997</v>
      </c>
      <c r="H25" s="74">
        <v>1998</v>
      </c>
      <c r="I25" s="74">
        <v>1999</v>
      </c>
      <c r="J25" s="74">
        <v>2000</v>
      </c>
      <c r="K25" s="74">
        <v>2001</v>
      </c>
      <c r="L25" s="74">
        <v>2002</v>
      </c>
      <c r="M25" s="75">
        <v>2003</v>
      </c>
      <c r="N25" s="75">
        <v>2004</v>
      </c>
      <c r="O25" s="75">
        <v>2005</v>
      </c>
      <c r="P25" s="76">
        <v>2006</v>
      </c>
      <c r="Q25" s="76">
        <v>2007</v>
      </c>
      <c r="R25" s="76">
        <v>2008</v>
      </c>
      <c r="S25" s="76">
        <v>2009</v>
      </c>
      <c r="T25" s="76">
        <v>2010</v>
      </c>
      <c r="U25" s="76">
        <v>2011</v>
      </c>
      <c r="V25" s="77">
        <v>2012</v>
      </c>
      <c r="W25" s="77">
        <v>2013</v>
      </c>
      <c r="X25" s="77">
        <v>2014</v>
      </c>
      <c r="Y25" s="77">
        <v>2015</v>
      </c>
      <c r="Z25" s="77">
        <v>2016</v>
      </c>
      <c r="AA25" s="77">
        <v>2017</v>
      </c>
      <c r="AB25" s="77">
        <v>2018</v>
      </c>
      <c r="AC25" s="77">
        <v>2019</v>
      </c>
      <c r="AD25" s="77">
        <v>2020</v>
      </c>
      <c r="AE25" s="78"/>
      <c r="AF25" s="79" t="s">
        <v>134</v>
      </c>
      <c r="AG25" s="79" t="s">
        <v>79</v>
      </c>
      <c r="AH25" s="183"/>
    </row>
    <row r="26" spans="1:35" x14ac:dyDescent="0.25">
      <c r="A26" s="73"/>
      <c r="B26" s="73"/>
      <c r="C26" s="73"/>
      <c r="D26" s="73"/>
      <c r="E26" s="73"/>
      <c r="F26" s="61"/>
      <c r="G26" s="61"/>
      <c r="H26" s="69"/>
      <c r="I26" s="69"/>
      <c r="J26" s="69"/>
      <c r="K26" s="69"/>
      <c r="L26" s="69"/>
      <c r="M26" s="70"/>
      <c r="N26" s="70"/>
      <c r="O26" s="7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70"/>
      <c r="AF26" s="89"/>
      <c r="AG26" s="89"/>
      <c r="AH26" s="184"/>
    </row>
    <row r="27" spans="1:35" x14ac:dyDescent="0.25">
      <c r="A27" s="69"/>
      <c r="B27" s="69"/>
      <c r="C27" s="69"/>
      <c r="D27" s="69"/>
      <c r="E27" s="69"/>
      <c r="F27" s="61"/>
      <c r="G27" s="61"/>
      <c r="H27" s="69"/>
      <c r="I27" s="69"/>
      <c r="J27" s="69"/>
      <c r="K27" s="69"/>
      <c r="L27" s="69"/>
      <c r="M27" s="70"/>
      <c r="N27" s="70"/>
      <c r="O27" s="7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70"/>
      <c r="AF27" s="89"/>
      <c r="AG27" s="89"/>
      <c r="AH27" s="184"/>
    </row>
    <row r="28" spans="1:35" x14ac:dyDescent="0.25">
      <c r="A28" s="81" t="s">
        <v>80</v>
      </c>
      <c r="B28" s="81">
        <v>1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3">
        <v>0</v>
      </c>
      <c r="N28" s="83">
        <v>0</v>
      </c>
      <c r="O28" s="83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84">
        <v>0</v>
      </c>
      <c r="AD28" s="84">
        <v>0</v>
      </c>
      <c r="AE28" s="83"/>
      <c r="AF28" s="85">
        <f t="shared" ref="AF28:AF32" si="3">AVERAGE(U28:AD28)</f>
        <v>0</v>
      </c>
      <c r="AG28" s="158">
        <f>TREND(K28:AD28)</f>
        <v>0</v>
      </c>
      <c r="AH28" s="185"/>
    </row>
    <row r="29" spans="1:35" x14ac:dyDescent="0.25">
      <c r="A29" s="81" t="s">
        <v>81</v>
      </c>
      <c r="B29" s="81">
        <v>2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83">
        <v>0</v>
      </c>
      <c r="N29" s="83">
        <v>0</v>
      </c>
      <c r="O29" s="83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4">
        <v>0</v>
      </c>
      <c r="AB29" s="84">
        <v>0</v>
      </c>
      <c r="AC29" s="84">
        <v>0</v>
      </c>
      <c r="AD29" s="84">
        <v>0</v>
      </c>
      <c r="AE29" s="83"/>
      <c r="AF29" s="85">
        <f t="shared" si="3"/>
        <v>0</v>
      </c>
      <c r="AG29" s="158">
        <f t="shared" ref="AG29:AG39" si="4">TREND(K29:AD29)</f>
        <v>0</v>
      </c>
      <c r="AH29" s="185"/>
    </row>
    <row r="30" spans="1:35" x14ac:dyDescent="0.25">
      <c r="A30" s="81" t="s">
        <v>82</v>
      </c>
      <c r="B30" s="81">
        <v>3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3">
        <v>0</v>
      </c>
      <c r="N30" s="83">
        <v>0</v>
      </c>
      <c r="O30" s="83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0.2</v>
      </c>
      <c r="W30" s="84">
        <v>0</v>
      </c>
      <c r="X30" s="84">
        <v>0</v>
      </c>
      <c r="Y30" s="84">
        <v>0</v>
      </c>
      <c r="Z30" s="84">
        <v>0</v>
      </c>
      <c r="AA30" s="84">
        <v>0</v>
      </c>
      <c r="AB30" s="84">
        <v>0</v>
      </c>
      <c r="AC30" s="84">
        <v>0</v>
      </c>
      <c r="AD30" s="84">
        <v>0</v>
      </c>
      <c r="AE30" s="83"/>
      <c r="AF30" s="85">
        <f t="shared" si="3"/>
        <v>0.02</v>
      </c>
      <c r="AG30" s="158">
        <f t="shared" si="4"/>
        <v>5.7142857142857169E-3</v>
      </c>
      <c r="AH30" s="185"/>
    </row>
    <row r="31" spans="1:35" x14ac:dyDescent="0.25">
      <c r="A31" s="81" t="s">
        <v>83</v>
      </c>
      <c r="B31" s="81">
        <v>4</v>
      </c>
      <c r="C31" s="82">
        <v>0</v>
      </c>
      <c r="D31" s="82">
        <v>0.5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1.4</v>
      </c>
      <c r="L31" s="82">
        <v>8.3000000000000007</v>
      </c>
      <c r="M31" s="83">
        <v>2.4</v>
      </c>
      <c r="N31" s="83">
        <v>0</v>
      </c>
      <c r="O31" s="83">
        <v>0</v>
      </c>
      <c r="P31" s="84">
        <v>0</v>
      </c>
      <c r="Q31" s="84">
        <v>0</v>
      </c>
      <c r="R31" s="84">
        <v>0</v>
      </c>
      <c r="S31" s="84">
        <v>1.2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4">
        <v>0</v>
      </c>
      <c r="AB31" s="84">
        <v>0</v>
      </c>
      <c r="AC31" s="84">
        <v>0</v>
      </c>
      <c r="AD31" s="84">
        <v>0</v>
      </c>
      <c r="AE31" s="83"/>
      <c r="AF31" s="85">
        <f t="shared" si="3"/>
        <v>0</v>
      </c>
      <c r="AG31" s="158">
        <f t="shared" si="4"/>
        <v>2.145714285714285</v>
      </c>
      <c r="AH31" s="185"/>
    </row>
    <row r="32" spans="1:35" x14ac:dyDescent="0.25">
      <c r="A32" s="81" t="s">
        <v>84</v>
      </c>
      <c r="B32" s="81">
        <v>5</v>
      </c>
      <c r="C32" s="82">
        <v>4.3</v>
      </c>
      <c r="D32" s="82">
        <v>8.1999999999999993</v>
      </c>
      <c r="E32" s="82">
        <v>3.5</v>
      </c>
      <c r="F32" s="82">
        <v>8.6</v>
      </c>
      <c r="G32" s="82">
        <v>0</v>
      </c>
      <c r="H32" s="82">
        <v>28.6</v>
      </c>
      <c r="I32" s="82">
        <v>19.399999999999999</v>
      </c>
      <c r="J32" s="82">
        <v>23.7</v>
      </c>
      <c r="K32" s="82">
        <v>12.2</v>
      </c>
      <c r="L32" s="82">
        <v>7.8</v>
      </c>
      <c r="M32" s="83">
        <v>0</v>
      </c>
      <c r="N32" s="83">
        <v>8.6</v>
      </c>
      <c r="O32" s="83">
        <v>0.8</v>
      </c>
      <c r="P32" s="84">
        <v>26</v>
      </c>
      <c r="Q32" s="84">
        <v>22.4</v>
      </c>
      <c r="R32" s="84">
        <v>2.5</v>
      </c>
      <c r="S32" s="84">
        <v>6.9</v>
      </c>
      <c r="T32" s="84">
        <v>45.7</v>
      </c>
      <c r="U32" s="84">
        <v>13</v>
      </c>
      <c r="V32" s="84">
        <v>36.700000000000003</v>
      </c>
      <c r="W32" s="84">
        <v>23.1</v>
      </c>
      <c r="X32" s="84">
        <v>11.9</v>
      </c>
      <c r="Y32" s="84">
        <v>34.1</v>
      </c>
      <c r="Z32" s="84">
        <v>36.9</v>
      </c>
      <c r="AA32" s="84">
        <v>9</v>
      </c>
      <c r="AB32" s="84">
        <v>43.4</v>
      </c>
      <c r="AC32" s="84">
        <v>0</v>
      </c>
      <c r="AD32" s="84">
        <v>24.2</v>
      </c>
      <c r="AE32" s="83"/>
      <c r="AF32" s="85">
        <f t="shared" si="3"/>
        <v>23.23</v>
      </c>
      <c r="AG32" s="158">
        <f t="shared" si="4"/>
        <v>8.9185714285714237</v>
      </c>
      <c r="AH32" s="185"/>
    </row>
    <row r="33" spans="1:37" x14ac:dyDescent="0.25">
      <c r="A33" s="81" t="s">
        <v>85</v>
      </c>
      <c r="B33" s="81">
        <v>6</v>
      </c>
      <c r="C33" s="82">
        <v>17.899999999999999</v>
      </c>
      <c r="D33" s="82">
        <v>67.7</v>
      </c>
      <c r="E33" s="82">
        <v>77.900000000000006</v>
      </c>
      <c r="F33" s="82">
        <v>38.299999999999997</v>
      </c>
      <c r="G33" s="82">
        <v>73.2</v>
      </c>
      <c r="H33" s="82">
        <v>82.4</v>
      </c>
      <c r="I33" s="82">
        <v>96</v>
      </c>
      <c r="J33" s="82">
        <v>41.1</v>
      </c>
      <c r="K33" s="82">
        <v>79.7</v>
      </c>
      <c r="L33" s="82">
        <v>70</v>
      </c>
      <c r="M33" s="83">
        <v>52.9</v>
      </c>
      <c r="N33" s="83">
        <v>31.6</v>
      </c>
      <c r="O33" s="83">
        <v>146.30000000000001</v>
      </c>
      <c r="P33" s="84">
        <v>73.599999999999994</v>
      </c>
      <c r="Q33" s="84">
        <v>99.2</v>
      </c>
      <c r="R33" s="84">
        <v>71.5</v>
      </c>
      <c r="S33" s="84">
        <v>34.200000000000003</v>
      </c>
      <c r="T33" s="84">
        <v>58.7</v>
      </c>
      <c r="U33" s="84">
        <v>52.2</v>
      </c>
      <c r="V33" s="84">
        <v>101.60000000000001</v>
      </c>
      <c r="W33" s="86">
        <v>59.599999999999994</v>
      </c>
      <c r="X33" s="84">
        <v>68.099999999999994</v>
      </c>
      <c r="Y33" s="84">
        <v>32.299999999999997</v>
      </c>
      <c r="Z33" s="84">
        <v>83.7</v>
      </c>
      <c r="AA33" s="84">
        <v>68.2</v>
      </c>
      <c r="AB33" s="84">
        <v>60.5</v>
      </c>
      <c r="AC33" s="84">
        <v>41.300000000000004</v>
      </c>
      <c r="AD33" s="84">
        <v>97.700000000000017</v>
      </c>
      <c r="AE33" s="83"/>
      <c r="AF33" s="85">
        <f>AVERAGE(U33:AD33)</f>
        <v>66.52000000000001</v>
      </c>
      <c r="AG33" s="158">
        <f t="shared" si="4"/>
        <v>74.13000000000001</v>
      </c>
      <c r="AH33" s="185"/>
    </row>
    <row r="34" spans="1:37" x14ac:dyDescent="0.25">
      <c r="A34" s="81" t="s">
        <v>86</v>
      </c>
      <c r="B34" s="81">
        <v>7</v>
      </c>
      <c r="C34" s="82">
        <v>107.8</v>
      </c>
      <c r="D34" s="82">
        <v>111.2</v>
      </c>
      <c r="E34" s="82">
        <v>130.9</v>
      </c>
      <c r="F34" s="82">
        <v>59.6</v>
      </c>
      <c r="G34" s="82">
        <v>103</v>
      </c>
      <c r="H34" s="82">
        <v>101.3</v>
      </c>
      <c r="I34" s="82">
        <v>196.5</v>
      </c>
      <c r="J34" s="82">
        <v>71.8</v>
      </c>
      <c r="K34" s="82">
        <v>100.9</v>
      </c>
      <c r="L34" s="82">
        <v>192.4</v>
      </c>
      <c r="M34" s="83">
        <v>118.3</v>
      </c>
      <c r="N34" s="83">
        <v>86.4</v>
      </c>
      <c r="O34" s="83">
        <v>188.7</v>
      </c>
      <c r="P34" s="84">
        <v>167.3</v>
      </c>
      <c r="Q34" s="84">
        <v>106.1</v>
      </c>
      <c r="R34" s="84">
        <v>111</v>
      </c>
      <c r="S34" s="84">
        <v>43.7</v>
      </c>
      <c r="T34" s="84">
        <v>164.9</v>
      </c>
      <c r="U34" s="84">
        <v>198.5</v>
      </c>
      <c r="V34" s="84">
        <v>190.09999999999997</v>
      </c>
      <c r="W34" s="84">
        <v>120.80000000000003</v>
      </c>
      <c r="X34" s="84">
        <v>71</v>
      </c>
      <c r="Y34" s="84">
        <v>114.29999999999998</v>
      </c>
      <c r="Z34" s="84">
        <v>176.89999999999998</v>
      </c>
      <c r="AA34" s="84">
        <v>116.49999999999999</v>
      </c>
      <c r="AB34" s="84">
        <v>167.8</v>
      </c>
      <c r="AC34" s="84">
        <v>166.90000000000003</v>
      </c>
      <c r="AD34" s="84">
        <v>215.7</v>
      </c>
      <c r="AE34" s="83"/>
      <c r="AF34" s="85">
        <f t="shared" ref="AF34:AF39" si="5">AVERAGE(U34:AD34)</f>
        <v>153.85</v>
      </c>
      <c r="AG34" s="158">
        <f t="shared" si="4"/>
        <v>122.69</v>
      </c>
      <c r="AH34" s="186"/>
    </row>
    <row r="35" spans="1:37" x14ac:dyDescent="0.25">
      <c r="A35" s="81" t="s">
        <v>87</v>
      </c>
      <c r="B35" s="81">
        <v>8</v>
      </c>
      <c r="C35" s="82">
        <v>103.5</v>
      </c>
      <c r="D35" s="82">
        <v>46.4</v>
      </c>
      <c r="E35" s="82">
        <v>122.9</v>
      </c>
      <c r="F35" s="82">
        <v>87.1</v>
      </c>
      <c r="G35" s="82">
        <v>46.8</v>
      </c>
      <c r="H35" s="82">
        <v>117.7</v>
      </c>
      <c r="I35" s="82">
        <v>79.099999999999994</v>
      </c>
      <c r="J35" s="82">
        <v>92.5</v>
      </c>
      <c r="K35" s="82">
        <v>160</v>
      </c>
      <c r="L35" s="82">
        <v>142.69999999999999</v>
      </c>
      <c r="M35" s="83">
        <v>128</v>
      </c>
      <c r="N35" s="83">
        <v>59.6</v>
      </c>
      <c r="O35" s="83">
        <v>140.69999999999999</v>
      </c>
      <c r="P35" s="84">
        <v>101.6</v>
      </c>
      <c r="Q35" s="84">
        <v>141</v>
      </c>
      <c r="R35" s="84">
        <v>64</v>
      </c>
      <c r="S35" s="84">
        <v>91</v>
      </c>
      <c r="T35" s="84">
        <v>138.80000000000001</v>
      </c>
      <c r="U35" s="84">
        <v>122.2</v>
      </c>
      <c r="V35" s="84">
        <v>112.10000000000001</v>
      </c>
      <c r="W35" s="84">
        <v>93.799999999999983</v>
      </c>
      <c r="X35" s="84">
        <v>81.799999999999983</v>
      </c>
      <c r="Y35" s="84">
        <v>88.6</v>
      </c>
      <c r="Z35" s="84">
        <v>195.4</v>
      </c>
      <c r="AA35" s="84">
        <v>75.2</v>
      </c>
      <c r="AB35" s="84">
        <v>162.4</v>
      </c>
      <c r="AC35" s="84">
        <v>103.30000000000003</v>
      </c>
      <c r="AD35" s="84">
        <v>126.69999999999999</v>
      </c>
      <c r="AE35" s="83"/>
      <c r="AF35" s="85">
        <f>AVERAGE(U35:AD35)</f>
        <v>116.15</v>
      </c>
      <c r="AG35" s="158">
        <f t="shared" si="4"/>
        <v>118.71428571428569</v>
      </c>
      <c r="AH35" s="186"/>
    </row>
    <row r="36" spans="1:37" x14ac:dyDescent="0.25">
      <c r="A36" s="81" t="s">
        <v>88</v>
      </c>
      <c r="B36" s="81">
        <v>9</v>
      </c>
      <c r="C36" s="82">
        <v>15.7</v>
      </c>
      <c r="D36" s="82">
        <v>13.7</v>
      </c>
      <c r="E36" s="82">
        <v>12.7</v>
      </c>
      <c r="F36" s="82">
        <v>27.1</v>
      </c>
      <c r="G36" s="82">
        <v>11.7</v>
      </c>
      <c r="H36" s="82">
        <v>45</v>
      </c>
      <c r="I36" s="82">
        <v>48.9</v>
      </c>
      <c r="J36" s="82">
        <v>35.200000000000003</v>
      </c>
      <c r="K36" s="82">
        <v>35.700000000000003</v>
      </c>
      <c r="L36" s="82">
        <v>87.6</v>
      </c>
      <c r="M36" s="83">
        <v>24</v>
      </c>
      <c r="N36" s="83">
        <v>41.2</v>
      </c>
      <c r="O36" s="83">
        <v>52.1</v>
      </c>
      <c r="P36" s="84">
        <v>12.9</v>
      </c>
      <c r="Q36" s="84">
        <v>47.5</v>
      </c>
      <c r="R36" s="84">
        <v>26.7</v>
      </c>
      <c r="S36" s="84">
        <v>20.9</v>
      </c>
      <c r="T36" s="84">
        <v>31.5</v>
      </c>
      <c r="U36" s="84">
        <v>39.700000000000003</v>
      </c>
      <c r="V36" s="84">
        <v>35.6</v>
      </c>
      <c r="W36" s="84">
        <v>28.099999999999998</v>
      </c>
      <c r="X36" s="84">
        <v>30.099999999999998</v>
      </c>
      <c r="Y36" s="84">
        <v>81.900000000000006</v>
      </c>
      <c r="Z36" s="84">
        <v>69.400000000000006</v>
      </c>
      <c r="AA36" s="84">
        <v>71.499999999999986</v>
      </c>
      <c r="AB36" s="84">
        <v>76.399999999999977</v>
      </c>
      <c r="AC36" s="84">
        <v>25.400000000000002</v>
      </c>
      <c r="AD36" s="84">
        <v>33.300000000000004</v>
      </c>
      <c r="AE36" s="83"/>
      <c r="AF36" s="85">
        <f t="shared" si="5"/>
        <v>49.14</v>
      </c>
      <c r="AG36" s="158">
        <f t="shared" si="4"/>
        <v>37.677142857142854</v>
      </c>
      <c r="AH36" s="186"/>
    </row>
    <row r="37" spans="1:37" x14ac:dyDescent="0.25">
      <c r="A37" s="81" t="s">
        <v>89</v>
      </c>
      <c r="B37" s="81">
        <v>10</v>
      </c>
      <c r="C37" s="82">
        <v>2.5</v>
      </c>
      <c r="D37" s="82">
        <v>0</v>
      </c>
      <c r="E37" s="82">
        <v>3.2</v>
      </c>
      <c r="F37" s="82">
        <v>0</v>
      </c>
      <c r="G37" s="82">
        <v>2.8</v>
      </c>
      <c r="H37" s="82">
        <v>0</v>
      </c>
      <c r="I37" s="82">
        <v>0</v>
      </c>
      <c r="J37" s="82">
        <v>1.2</v>
      </c>
      <c r="K37" s="82">
        <v>2</v>
      </c>
      <c r="L37" s="82">
        <v>10</v>
      </c>
      <c r="M37" s="83">
        <v>0</v>
      </c>
      <c r="N37" s="83">
        <v>1.5</v>
      </c>
      <c r="O37" s="83">
        <v>7.6</v>
      </c>
      <c r="P37" s="84">
        <v>1.1000000000000001</v>
      </c>
      <c r="Q37" s="84">
        <v>19.8</v>
      </c>
      <c r="R37" s="84">
        <v>0</v>
      </c>
      <c r="S37" s="84">
        <v>0</v>
      </c>
      <c r="T37" s="84">
        <v>0</v>
      </c>
      <c r="U37" s="84">
        <v>2.4</v>
      </c>
      <c r="V37" s="84">
        <v>1.1000000000000001</v>
      </c>
      <c r="W37" s="84">
        <v>0.4</v>
      </c>
      <c r="X37" s="84">
        <v>1.3</v>
      </c>
      <c r="Y37" s="84">
        <v>0</v>
      </c>
      <c r="Z37" s="84">
        <v>4.0999999999999996</v>
      </c>
      <c r="AA37" s="84">
        <v>8.1</v>
      </c>
      <c r="AB37" s="84">
        <v>8.1999999999999993</v>
      </c>
      <c r="AC37" s="84">
        <v>5.0999999999999996</v>
      </c>
      <c r="AD37" s="84">
        <v>0</v>
      </c>
      <c r="AE37" s="83"/>
      <c r="AF37" s="85">
        <f t="shared" si="5"/>
        <v>3.0699999999999994</v>
      </c>
      <c r="AG37" s="158">
        <f t="shared" si="4"/>
        <v>4.225714285714286</v>
      </c>
      <c r="AH37" s="186"/>
    </row>
    <row r="38" spans="1:37" x14ac:dyDescent="0.25">
      <c r="A38" s="81" t="s">
        <v>90</v>
      </c>
      <c r="B38" s="81">
        <v>11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3">
        <v>0</v>
      </c>
      <c r="N38" s="83">
        <v>0</v>
      </c>
      <c r="O38" s="83">
        <v>0</v>
      </c>
      <c r="P38" s="84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0</v>
      </c>
      <c r="W38" s="84">
        <v>0</v>
      </c>
      <c r="X38" s="84">
        <v>0</v>
      </c>
      <c r="Y38" s="84">
        <v>0</v>
      </c>
      <c r="Z38" s="84">
        <v>0</v>
      </c>
      <c r="AA38" s="84">
        <v>0</v>
      </c>
      <c r="AB38" s="84">
        <v>0</v>
      </c>
      <c r="AC38" s="84">
        <v>0</v>
      </c>
      <c r="AD38" s="84">
        <v>0</v>
      </c>
      <c r="AE38" s="83"/>
      <c r="AF38" s="85">
        <f t="shared" si="5"/>
        <v>0</v>
      </c>
      <c r="AG38" s="158">
        <f t="shared" si="4"/>
        <v>0</v>
      </c>
      <c r="AH38" s="186"/>
    </row>
    <row r="39" spans="1:37" x14ac:dyDescent="0.25">
      <c r="A39" s="81" t="s">
        <v>91</v>
      </c>
      <c r="B39" s="81">
        <v>12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3">
        <v>0</v>
      </c>
      <c r="N39" s="83">
        <v>0</v>
      </c>
      <c r="O39" s="83">
        <v>0</v>
      </c>
      <c r="P39" s="84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0</v>
      </c>
      <c r="W39" s="84">
        <v>0</v>
      </c>
      <c r="X39" s="84">
        <v>0</v>
      </c>
      <c r="Y39" s="84">
        <v>0</v>
      </c>
      <c r="Z39" s="84">
        <v>0</v>
      </c>
      <c r="AA39" s="84">
        <v>0</v>
      </c>
      <c r="AB39" s="84">
        <v>0</v>
      </c>
      <c r="AC39" s="84">
        <v>0</v>
      </c>
      <c r="AD39" s="84">
        <v>0</v>
      </c>
      <c r="AE39" s="83"/>
      <c r="AF39" s="85">
        <f t="shared" si="5"/>
        <v>0</v>
      </c>
      <c r="AG39" s="158">
        <f t="shared" si="4"/>
        <v>0</v>
      </c>
      <c r="AH39" s="186"/>
    </row>
    <row r="40" spans="1:37" x14ac:dyDescent="0.25">
      <c r="A40" s="81"/>
      <c r="B40" s="81"/>
      <c r="C40" s="81"/>
      <c r="D40" s="81"/>
      <c r="E40" s="81"/>
      <c r="F40" s="81"/>
      <c r="G40" s="81"/>
      <c r="H40" s="61"/>
      <c r="I40" s="61"/>
      <c r="J40" s="69"/>
      <c r="K40" s="69"/>
      <c r="L40" s="69"/>
      <c r="M40" s="70"/>
      <c r="N40" s="70"/>
      <c r="O40" s="70"/>
      <c r="P40" s="80"/>
      <c r="Q40" s="80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8"/>
      <c r="AF40" s="69"/>
      <c r="AG40" s="69"/>
      <c r="AH40" s="69"/>
    </row>
    <row r="41" spans="1:37" x14ac:dyDescent="0.25">
      <c r="A41" s="81" t="s">
        <v>9</v>
      </c>
      <c r="B41" s="81"/>
      <c r="C41" s="82">
        <v>251.7</v>
      </c>
      <c r="D41" s="82">
        <v>247.70000000000002</v>
      </c>
      <c r="E41" s="82">
        <v>351.1</v>
      </c>
      <c r="F41" s="82">
        <v>220.7</v>
      </c>
      <c r="G41" s="82">
        <v>237.5</v>
      </c>
      <c r="H41" s="82">
        <v>375</v>
      </c>
      <c r="I41" s="82">
        <v>439.9</v>
      </c>
      <c r="J41" s="82">
        <v>265.5</v>
      </c>
      <c r="K41" s="82">
        <v>391.9</v>
      </c>
      <c r="L41" s="82">
        <v>518.79999999999995</v>
      </c>
      <c r="M41" s="83">
        <v>325.60000000000002</v>
      </c>
      <c r="N41" s="83">
        <v>228.90000000000003</v>
      </c>
      <c r="O41" s="83">
        <v>536.20000000000005</v>
      </c>
      <c r="P41" s="84">
        <v>382.5</v>
      </c>
      <c r="Q41" s="84">
        <v>436</v>
      </c>
      <c r="R41" s="84">
        <v>275.7</v>
      </c>
      <c r="S41" s="84">
        <v>197.9</v>
      </c>
      <c r="T41" s="84">
        <v>439.6</v>
      </c>
      <c r="U41" s="84">
        <v>427.99999999999994</v>
      </c>
      <c r="V41" s="84">
        <f t="shared" ref="V41:AD41" si="6">SUM(V28:V39)</f>
        <v>477.40000000000003</v>
      </c>
      <c r="W41" s="84">
        <f t="shared" si="6"/>
        <v>325.79999999999995</v>
      </c>
      <c r="X41" s="84">
        <f t="shared" si="6"/>
        <v>264.2</v>
      </c>
      <c r="Y41" s="84">
        <f t="shared" si="6"/>
        <v>351.19999999999993</v>
      </c>
      <c r="Z41" s="84">
        <f t="shared" si="6"/>
        <v>566.4</v>
      </c>
      <c r="AA41" s="84">
        <f t="shared" si="6"/>
        <v>348.5</v>
      </c>
      <c r="AB41" s="84">
        <f t="shared" si="6"/>
        <v>518.70000000000005</v>
      </c>
      <c r="AC41" s="84">
        <f>SUM(AC28:AC39)</f>
        <v>342.00000000000006</v>
      </c>
      <c r="AD41" s="84">
        <f t="shared" si="6"/>
        <v>497.6</v>
      </c>
      <c r="AE41" s="83"/>
      <c r="AF41" s="238"/>
      <c r="AG41" s="238"/>
      <c r="AH41" s="238"/>
      <c r="AI41" s="238"/>
      <c r="AJ41" s="238"/>
      <c r="AK41" s="238"/>
    </row>
    <row r="42" spans="1:37" x14ac:dyDescent="0.25">
      <c r="A42" s="81"/>
      <c r="B42" s="81"/>
      <c r="C42" s="81"/>
      <c r="D42" s="81"/>
      <c r="E42" s="8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4"/>
      <c r="AF42" s="238"/>
      <c r="AG42" s="238"/>
      <c r="AH42" s="238"/>
      <c r="AI42" s="238"/>
      <c r="AJ42" s="238"/>
      <c r="AK42" s="238"/>
    </row>
    <row r="43" spans="1:37" x14ac:dyDescent="0.25">
      <c r="A43" s="81"/>
      <c r="B43" s="81"/>
      <c r="C43" s="81"/>
      <c r="D43" s="81"/>
      <c r="E43" s="81"/>
      <c r="F43" s="61"/>
      <c r="G43" s="61"/>
      <c r="H43" s="61"/>
      <c r="I43" s="61"/>
      <c r="J43" s="69"/>
      <c r="K43" s="69"/>
      <c r="L43" s="69"/>
      <c r="M43" s="69"/>
      <c r="N43" s="69"/>
      <c r="O43" s="69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8"/>
      <c r="AG43" s="238"/>
      <c r="AH43" s="238"/>
      <c r="AI43" s="238"/>
      <c r="AJ43" s="238"/>
      <c r="AK43" s="238"/>
    </row>
    <row r="44" spans="1:37" x14ac:dyDescent="0.25">
      <c r="A44" s="81"/>
      <c r="B44" s="72"/>
      <c r="C44" s="72"/>
      <c r="D44" s="72"/>
      <c r="E44" s="72"/>
      <c r="F44" s="61"/>
      <c r="G44" s="61"/>
      <c r="H44" s="69"/>
      <c r="I44" s="69"/>
      <c r="J44" s="69"/>
      <c r="K44" s="69"/>
      <c r="L44" s="69"/>
      <c r="M44" s="69"/>
      <c r="N44" s="69"/>
      <c r="O44" s="69"/>
      <c r="P44" s="69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4"/>
      <c r="AF44" s="238"/>
      <c r="AG44" s="238"/>
      <c r="AH44" s="238"/>
      <c r="AI44" s="238"/>
      <c r="AJ44" s="238"/>
      <c r="AK44" s="238"/>
    </row>
    <row r="45" spans="1:37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70"/>
      <c r="AF45" s="238"/>
      <c r="AG45" s="238"/>
      <c r="AH45" s="238"/>
      <c r="AI45" s="238"/>
      <c r="AJ45" s="238"/>
      <c r="AK45" s="238"/>
    </row>
    <row r="46" spans="1:37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0"/>
      <c r="AF46" s="238"/>
      <c r="AG46" s="238"/>
      <c r="AH46" s="238"/>
      <c r="AI46" s="238"/>
      <c r="AJ46" s="238"/>
      <c r="AK46" s="238"/>
    </row>
    <row r="47" spans="1:37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70"/>
      <c r="AF47" s="238"/>
      <c r="AG47" s="238"/>
      <c r="AH47" s="238"/>
      <c r="AI47" s="238"/>
      <c r="AJ47" s="238"/>
      <c r="AK47" s="238"/>
    </row>
    <row r="48" spans="1:37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70"/>
      <c r="AF48" s="238"/>
      <c r="AG48" s="238"/>
      <c r="AH48" s="238"/>
      <c r="AI48" s="238"/>
      <c r="AJ48" s="238"/>
      <c r="AK48" s="238"/>
    </row>
    <row r="49" spans="11:37" x14ac:dyDescent="0.25"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70"/>
      <c r="AF49" s="238"/>
      <c r="AG49" s="238"/>
      <c r="AH49" s="238"/>
      <c r="AI49" s="238"/>
      <c r="AJ49" s="238"/>
      <c r="AK49" s="238"/>
    </row>
    <row r="50" spans="11:37" x14ac:dyDescent="0.25">
      <c r="W50" s="69"/>
      <c r="X50" s="69"/>
      <c r="Y50" s="69"/>
      <c r="Z50" s="69"/>
      <c r="AA50" s="69"/>
      <c r="AB50" s="69"/>
      <c r="AC50" s="69"/>
      <c r="AD50" s="69"/>
      <c r="AE50" s="70"/>
      <c r="AF50" s="238"/>
      <c r="AG50" s="238"/>
      <c r="AH50" s="238"/>
      <c r="AI50" s="238"/>
      <c r="AJ50" s="238"/>
      <c r="AK50" s="238"/>
    </row>
    <row r="51" spans="11:37" x14ac:dyDescent="0.25">
      <c r="W51" s="69"/>
      <c r="X51" s="69"/>
      <c r="Y51" s="69"/>
      <c r="Z51" s="69"/>
      <c r="AA51" s="69"/>
      <c r="AB51" s="69"/>
      <c r="AC51" s="69"/>
      <c r="AD51" s="69"/>
      <c r="AE51" s="70"/>
      <c r="AF51" s="69"/>
      <c r="AG51" s="69"/>
      <c r="AH51" s="69"/>
    </row>
    <row r="52" spans="11:37" x14ac:dyDescent="0.25">
      <c r="W52" s="69"/>
      <c r="X52" s="69"/>
      <c r="Y52" s="69"/>
      <c r="Z52" s="69"/>
      <c r="AA52" s="69"/>
      <c r="AB52" s="69"/>
      <c r="AC52" s="69"/>
      <c r="AD52" s="69"/>
      <c r="AE52" s="70"/>
      <c r="AF52" s="69"/>
      <c r="AG52" s="69"/>
      <c r="AH52" s="69"/>
    </row>
    <row r="53" spans="11:37" x14ac:dyDescent="0.25">
      <c r="W53" s="69"/>
      <c r="X53" s="69"/>
      <c r="Y53" s="69"/>
      <c r="Z53" s="69"/>
      <c r="AA53" s="69"/>
      <c r="AB53" s="69"/>
      <c r="AC53" s="69"/>
      <c r="AD53" s="69"/>
      <c r="AE53" s="70"/>
      <c r="AF53" s="69"/>
      <c r="AG53" s="69"/>
      <c r="AH53" s="69"/>
    </row>
    <row r="54" spans="11:37" x14ac:dyDescent="0.25">
      <c r="W54" s="69"/>
      <c r="X54" s="69"/>
      <c r="Y54" s="69"/>
      <c r="Z54" s="69"/>
      <c r="AA54" s="69"/>
      <c r="AB54" s="69"/>
      <c r="AC54" s="69"/>
      <c r="AD54" s="69"/>
      <c r="AE54" s="70"/>
      <c r="AF54" s="69"/>
      <c r="AG54" s="69"/>
      <c r="AH54" s="69"/>
    </row>
    <row r="55" spans="11:37" x14ac:dyDescent="0.25">
      <c r="W55" s="69"/>
      <c r="X55" s="69"/>
      <c r="Y55" s="69"/>
      <c r="Z55" s="69"/>
      <c r="AA55" s="69"/>
      <c r="AB55" s="69"/>
      <c r="AC55" s="69"/>
      <c r="AD55" s="69"/>
      <c r="AE55" s="70"/>
      <c r="AF55" s="69"/>
      <c r="AG55" s="69"/>
      <c r="AH55" s="69"/>
    </row>
    <row r="56" spans="11:37" x14ac:dyDescent="0.25">
      <c r="W56" s="69"/>
      <c r="X56" s="69"/>
      <c r="Y56" s="69"/>
      <c r="Z56" s="69"/>
      <c r="AA56" s="69"/>
      <c r="AB56" s="69"/>
      <c r="AC56" s="69"/>
      <c r="AD56" s="69"/>
      <c r="AE56" s="70"/>
      <c r="AF56" s="69"/>
      <c r="AG56" s="69"/>
      <c r="AH56" s="69"/>
    </row>
    <row r="57" spans="11:37" x14ac:dyDescent="0.25">
      <c r="W57" s="69"/>
      <c r="X57" s="69"/>
      <c r="Y57" s="69"/>
      <c r="Z57" s="69"/>
      <c r="AA57" s="69"/>
      <c r="AB57" s="69"/>
      <c r="AC57" s="69"/>
      <c r="AD57" s="69"/>
      <c r="AE57" s="70"/>
      <c r="AF57" s="69"/>
      <c r="AG57" s="69"/>
      <c r="AH57" s="69"/>
    </row>
    <row r="58" spans="11:37" x14ac:dyDescent="0.25">
      <c r="W58" s="69"/>
      <c r="X58" s="69"/>
      <c r="Y58" s="69"/>
      <c r="Z58" s="69"/>
      <c r="AA58" s="69"/>
      <c r="AB58" s="69"/>
      <c r="AC58" s="69"/>
      <c r="AD58" s="69"/>
      <c r="AE58" s="70"/>
      <c r="AF58" s="69"/>
      <c r="AG58" s="69"/>
      <c r="AH58" s="69"/>
    </row>
    <row r="59" spans="11:37" x14ac:dyDescent="0.25">
      <c r="W59" s="69"/>
      <c r="X59" s="69"/>
      <c r="Y59" s="69"/>
      <c r="Z59" s="69"/>
      <c r="AA59" s="69"/>
      <c r="AB59" s="69"/>
      <c r="AC59" s="69"/>
      <c r="AD59" s="69"/>
      <c r="AE59" s="70"/>
      <c r="AF59" s="69"/>
      <c r="AG59" s="69"/>
      <c r="AH59" s="69"/>
    </row>
    <row r="60" spans="11:37" x14ac:dyDescent="0.25">
      <c r="W60" s="69"/>
      <c r="X60" s="69"/>
      <c r="Y60" s="69"/>
      <c r="Z60" s="69"/>
      <c r="AA60" s="69"/>
      <c r="AB60" s="69"/>
      <c r="AC60" s="69"/>
      <c r="AD60" s="69"/>
      <c r="AE60" s="70"/>
      <c r="AF60" s="69"/>
      <c r="AG60" s="69"/>
      <c r="AH60" s="69"/>
    </row>
    <row r="61" spans="11:37" x14ac:dyDescent="0.25">
      <c r="W61" s="69"/>
      <c r="X61" s="69"/>
      <c r="Y61" s="69"/>
      <c r="Z61" s="69"/>
      <c r="AA61" s="69"/>
      <c r="AB61" s="69"/>
      <c r="AC61" s="69"/>
      <c r="AD61" s="69"/>
      <c r="AE61" s="70"/>
      <c r="AF61" s="69"/>
      <c r="AG61" s="69"/>
      <c r="AH61" s="69"/>
    </row>
    <row r="62" spans="11:37" x14ac:dyDescent="0.25">
      <c r="W62" s="69"/>
      <c r="X62" s="69"/>
      <c r="Y62" s="69"/>
      <c r="Z62" s="69"/>
      <c r="AA62" s="69"/>
      <c r="AB62" s="69"/>
      <c r="AC62" s="69"/>
      <c r="AD62" s="69"/>
      <c r="AE62" s="70"/>
      <c r="AF62" s="69"/>
      <c r="AG62" s="69"/>
      <c r="AH62" s="69"/>
    </row>
    <row r="63" spans="11:37" x14ac:dyDescent="0.25">
      <c r="W63" s="69"/>
      <c r="X63" s="69"/>
      <c r="Y63" s="69"/>
      <c r="Z63" s="69"/>
      <c r="AA63" s="69"/>
      <c r="AB63" s="69"/>
      <c r="AC63" s="69"/>
      <c r="AD63" s="69"/>
      <c r="AE63" s="70"/>
      <c r="AF63" s="69"/>
      <c r="AG63" s="69"/>
      <c r="AH63" s="69"/>
    </row>
    <row r="64" spans="11:37" x14ac:dyDescent="0.25">
      <c r="W64" s="69"/>
      <c r="X64" s="69"/>
      <c r="Y64" s="69"/>
      <c r="Z64" s="69"/>
      <c r="AA64" s="69"/>
      <c r="AB64" s="69"/>
      <c r="AC64" s="69"/>
      <c r="AD64" s="69"/>
      <c r="AE64" s="70"/>
      <c r="AF64" s="69"/>
      <c r="AG64" s="69"/>
      <c r="AH64" s="69"/>
    </row>
    <row r="65" spans="23:34" x14ac:dyDescent="0.25">
      <c r="W65" s="69"/>
      <c r="X65" s="69"/>
      <c r="Y65" s="69"/>
      <c r="Z65" s="69"/>
      <c r="AA65" s="69"/>
      <c r="AB65" s="69"/>
      <c r="AC65" s="69"/>
      <c r="AD65" s="69"/>
      <c r="AE65" s="70"/>
      <c r="AF65" s="69"/>
      <c r="AG65" s="69"/>
      <c r="AH65" s="69"/>
    </row>
    <row r="66" spans="23:34" x14ac:dyDescent="0.25">
      <c r="W66" s="69"/>
      <c r="X66" s="69"/>
      <c r="Y66" s="69"/>
      <c r="Z66" s="69"/>
      <c r="AA66" s="69"/>
      <c r="AB66" s="69"/>
      <c r="AC66" s="69"/>
      <c r="AD66" s="69"/>
      <c r="AE66" s="70"/>
      <c r="AF66" s="69"/>
      <c r="AG66" s="69"/>
      <c r="AH66" s="69"/>
    </row>
    <row r="67" spans="23:34" x14ac:dyDescent="0.25">
      <c r="W67" s="69"/>
      <c r="X67" s="69"/>
      <c r="Y67" s="69"/>
      <c r="Z67" s="69"/>
      <c r="AA67" s="69"/>
      <c r="AB67" s="69"/>
      <c r="AC67" s="69"/>
      <c r="AD67" s="69"/>
      <c r="AE67" s="70"/>
      <c r="AF67" s="69"/>
      <c r="AG67" s="69"/>
      <c r="AH67" s="69"/>
    </row>
    <row r="68" spans="23:34" x14ac:dyDescent="0.25">
      <c r="W68" s="69"/>
      <c r="X68" s="69"/>
      <c r="Y68" s="69"/>
      <c r="Z68" s="69"/>
      <c r="AA68" s="69"/>
      <c r="AB68" s="69"/>
      <c r="AC68" s="69"/>
      <c r="AD68" s="69"/>
      <c r="AE68" s="70"/>
      <c r="AF68" s="69"/>
      <c r="AG68" s="69"/>
      <c r="AH68" s="69"/>
    </row>
    <row r="69" spans="23:34" x14ac:dyDescent="0.25">
      <c r="W69" s="69"/>
      <c r="X69" s="69"/>
      <c r="Y69" s="69"/>
      <c r="Z69" s="69"/>
      <c r="AA69" s="69"/>
      <c r="AB69" s="69"/>
      <c r="AC69" s="69"/>
      <c r="AD69" s="69"/>
      <c r="AE69" s="70"/>
      <c r="AF69" s="69"/>
      <c r="AG69" s="69"/>
      <c r="AH69" s="69"/>
    </row>
    <row r="70" spans="23:34" x14ac:dyDescent="0.25">
      <c r="W70" s="69"/>
      <c r="X70" s="69"/>
      <c r="Y70" s="69"/>
      <c r="Z70" s="69"/>
      <c r="AA70" s="69"/>
      <c r="AB70" s="69"/>
      <c r="AC70" s="69"/>
      <c r="AD70" s="69"/>
      <c r="AE70" s="70"/>
      <c r="AF70" s="69"/>
      <c r="AG70" s="69"/>
      <c r="AH70" s="69"/>
    </row>
    <row r="71" spans="23:34" x14ac:dyDescent="0.25">
      <c r="W71" s="69"/>
      <c r="X71" s="69"/>
      <c r="Y71" s="69"/>
      <c r="Z71" s="69"/>
      <c r="AA71" s="69"/>
      <c r="AB71" s="69"/>
      <c r="AC71" s="69"/>
      <c r="AD71" s="69"/>
      <c r="AE71" s="70"/>
      <c r="AF71" s="69"/>
      <c r="AG71" s="69"/>
      <c r="AH71" s="69"/>
    </row>
    <row r="72" spans="23:34" x14ac:dyDescent="0.25">
      <c r="W72" s="69"/>
      <c r="X72" s="69"/>
      <c r="Y72" s="69"/>
      <c r="Z72" s="69"/>
      <c r="AA72" s="69"/>
      <c r="AB72" s="69"/>
      <c r="AC72" s="69"/>
      <c r="AD72" s="69"/>
      <c r="AE72" s="70"/>
      <c r="AF72" s="69"/>
      <c r="AG72" s="69"/>
      <c r="AH72" s="69"/>
    </row>
    <row r="73" spans="23:34" x14ac:dyDescent="0.25">
      <c r="W73" s="69"/>
      <c r="X73" s="69"/>
      <c r="Y73" s="69"/>
      <c r="Z73" s="69"/>
      <c r="AA73" s="69"/>
      <c r="AB73" s="69"/>
      <c r="AC73" s="69"/>
      <c r="AD73" s="69"/>
      <c r="AE73" s="70"/>
      <c r="AF73" s="69"/>
      <c r="AG73" s="69"/>
      <c r="AH73" s="69"/>
    </row>
    <row r="74" spans="23:34" x14ac:dyDescent="0.25">
      <c r="W74" s="69"/>
      <c r="X74" s="69"/>
      <c r="Y74" s="69"/>
      <c r="Z74" s="69"/>
      <c r="AA74" s="69"/>
      <c r="AB74" s="69"/>
      <c r="AC74" s="69"/>
      <c r="AD74" s="69"/>
      <c r="AE74" s="70"/>
      <c r="AF74" s="69"/>
      <c r="AG74" s="69"/>
      <c r="AH74" s="69"/>
    </row>
    <row r="75" spans="23:34" x14ac:dyDescent="0.25">
      <c r="W75" s="69"/>
      <c r="X75" s="69"/>
      <c r="Y75" s="69"/>
      <c r="Z75" s="69"/>
      <c r="AA75" s="69"/>
      <c r="AB75" s="69"/>
      <c r="AC75" s="69"/>
      <c r="AD75" s="69"/>
      <c r="AE75" s="70"/>
      <c r="AF75" s="69"/>
      <c r="AG75" s="69"/>
      <c r="AH75" s="69"/>
    </row>
    <row r="76" spans="23:34" x14ac:dyDescent="0.25">
      <c r="W76" s="69"/>
      <c r="X76" s="69"/>
      <c r="Y76" s="69"/>
      <c r="Z76" s="69"/>
      <c r="AA76" s="69"/>
      <c r="AB76" s="69"/>
      <c r="AC76" s="69"/>
      <c r="AD76" s="69"/>
      <c r="AE76" s="70"/>
      <c r="AF76" s="69"/>
      <c r="AG76" s="69"/>
      <c r="AH76" s="69"/>
    </row>
    <row r="77" spans="23:34" x14ac:dyDescent="0.25">
      <c r="W77" s="69"/>
      <c r="X77" s="69"/>
      <c r="Y77" s="69"/>
      <c r="Z77" s="69"/>
      <c r="AA77" s="69"/>
      <c r="AB77" s="69"/>
      <c r="AC77" s="69"/>
      <c r="AD77" s="69"/>
      <c r="AE77" s="70"/>
      <c r="AF77" s="69"/>
      <c r="AG77" s="69"/>
      <c r="AH77" s="69"/>
    </row>
    <row r="78" spans="23:34" x14ac:dyDescent="0.25">
      <c r="W78" s="69"/>
      <c r="X78" s="69"/>
      <c r="Y78" s="69"/>
      <c r="Z78" s="69"/>
      <c r="AA78" s="69"/>
      <c r="AB78" s="69"/>
      <c r="AC78" s="69"/>
      <c r="AD78" s="69"/>
      <c r="AE78" s="70"/>
      <c r="AF78" s="69"/>
      <c r="AG78" s="69"/>
      <c r="AH78" s="69"/>
    </row>
    <row r="79" spans="23:34" x14ac:dyDescent="0.25">
      <c r="W79" s="69"/>
      <c r="X79" s="69"/>
      <c r="Y79" s="69"/>
      <c r="Z79" s="69"/>
      <c r="AA79" s="69"/>
      <c r="AB79" s="69"/>
      <c r="AC79" s="69"/>
      <c r="AD79" s="69"/>
      <c r="AE79" s="70"/>
      <c r="AF79" s="69"/>
      <c r="AG79" s="69"/>
      <c r="AH79" s="69"/>
    </row>
    <row r="80" spans="23:34" x14ac:dyDescent="0.25">
      <c r="W80" s="69"/>
      <c r="X80" s="69"/>
      <c r="Y80" s="69"/>
      <c r="Z80" s="69"/>
      <c r="AA80" s="69"/>
      <c r="AB80" s="69"/>
      <c r="AC80" s="69"/>
      <c r="AD80" s="69"/>
      <c r="AE80" s="70"/>
      <c r="AF80" s="69"/>
      <c r="AG80" s="69"/>
      <c r="AH80" s="69"/>
    </row>
  </sheetData>
  <mergeCells count="2">
    <mergeCell ref="E1:F1"/>
    <mergeCell ref="E2:F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2:D18"/>
  <sheetViews>
    <sheetView view="pageBreakPreview" zoomScale="60" zoomScaleNormal="100" workbookViewId="0">
      <selection activeCell="L28" sqref="L28"/>
    </sheetView>
  </sheetViews>
  <sheetFormatPr defaultRowHeight="12.5" x14ac:dyDescent="0.25"/>
  <cols>
    <col min="2" max="2" width="12" bestFit="1" customWidth="1"/>
    <col min="3" max="3" width="16.453125" bestFit="1" customWidth="1"/>
    <col min="4" max="4" width="11.453125" bestFit="1" customWidth="1"/>
  </cols>
  <sheetData>
    <row r="2" spans="1:4" ht="25" x14ac:dyDescent="0.25">
      <c r="B2" s="100" t="s">
        <v>121</v>
      </c>
      <c r="C2" s="107" t="s">
        <v>126</v>
      </c>
      <c r="D2" s="100" t="s">
        <v>125</v>
      </c>
    </row>
    <row r="3" spans="1:4" x14ac:dyDescent="0.25">
      <c r="A3">
        <v>2011</v>
      </c>
      <c r="B3" s="108">
        <v>0</v>
      </c>
      <c r="C3" s="109">
        <f>'Rate Class Load Model'!B22</f>
        <v>2.5875109408273634E-3</v>
      </c>
      <c r="D3" s="104"/>
    </row>
    <row r="4" spans="1:4" x14ac:dyDescent="0.25">
      <c r="A4">
        <v>2012</v>
      </c>
      <c r="B4" s="108">
        <v>3486.38</v>
      </c>
      <c r="C4" s="109">
        <f>'Rate Class Load Model'!B23</f>
        <v>2.5926387713965985E-3</v>
      </c>
      <c r="D4" s="104"/>
    </row>
    <row r="5" spans="1:4" x14ac:dyDescent="0.25">
      <c r="A5">
        <v>2013</v>
      </c>
      <c r="B5" s="108">
        <v>13589.76</v>
      </c>
      <c r="C5" s="109">
        <f>'Rate Class Load Model'!B24</f>
        <v>2.6096018347677905E-3</v>
      </c>
      <c r="D5" s="104"/>
    </row>
    <row r="6" spans="1:4" x14ac:dyDescent="0.25">
      <c r="A6">
        <v>2014</v>
      </c>
      <c r="B6" s="108">
        <v>12736.7</v>
      </c>
      <c r="C6" s="109">
        <f>'Rate Class Load Model'!B25</f>
        <v>2.7483766607446962E-3</v>
      </c>
      <c r="D6" s="104"/>
    </row>
    <row r="7" spans="1:4" x14ac:dyDescent="0.25">
      <c r="A7">
        <v>2015</v>
      </c>
      <c r="B7" s="108">
        <v>12397.7</v>
      </c>
      <c r="C7" s="109">
        <f>'Rate Class Load Model'!B26</f>
        <v>2.7333673059924063E-3</v>
      </c>
      <c r="D7" s="104">
        <v>6792377.5999999996</v>
      </c>
    </row>
    <row r="8" spans="1:4" x14ac:dyDescent="0.25">
      <c r="A8">
        <v>2016</v>
      </c>
      <c r="B8" s="161">
        <v>12437.3</v>
      </c>
      <c r="C8" s="109">
        <f>'Rate Class Load Model'!B27</f>
        <v>2.7103529501072746E-3</v>
      </c>
      <c r="D8" s="162">
        <v>6607289</v>
      </c>
    </row>
    <row r="9" spans="1:4" x14ac:dyDescent="0.25">
      <c r="A9">
        <v>2017</v>
      </c>
      <c r="B9" s="161">
        <v>12330</v>
      </c>
      <c r="C9" s="109">
        <f>'Rate Class Load Model'!B28</f>
        <v>2.7283113072927531E-3</v>
      </c>
      <c r="D9" s="162">
        <v>6489035</v>
      </c>
    </row>
    <row r="10" spans="1:4" x14ac:dyDescent="0.25">
      <c r="A10">
        <v>2018</v>
      </c>
      <c r="B10" s="161">
        <v>12258</v>
      </c>
      <c r="C10" s="109">
        <f>'Rate Class Load Model'!B29</f>
        <v>2.710092625916601E-3</v>
      </c>
      <c r="D10" s="162">
        <v>6330357</v>
      </c>
    </row>
    <row r="11" spans="1:4" x14ac:dyDescent="0.25">
      <c r="A11">
        <v>2019</v>
      </c>
      <c r="B11" s="161">
        <v>10962.46</v>
      </c>
      <c r="C11" s="109">
        <f>'Rate Class Load Model'!B30</f>
        <v>2.6961033718966303E-3</v>
      </c>
      <c r="D11" s="162">
        <v>6085994.9199999999</v>
      </c>
    </row>
    <row r="12" spans="1:4" x14ac:dyDescent="0.25">
      <c r="A12">
        <v>2020</v>
      </c>
      <c r="B12" s="161">
        <v>11674.01</v>
      </c>
      <c r="C12" s="109">
        <f>'Rate Class Load Model'!B31</f>
        <v>2.7385931089906842E-3</v>
      </c>
      <c r="D12" s="162">
        <v>6029967.5800000001</v>
      </c>
    </row>
    <row r="13" spans="1:4" x14ac:dyDescent="0.25">
      <c r="A13">
        <v>2021</v>
      </c>
      <c r="B13" s="111">
        <f>B16</f>
        <v>11674.01</v>
      </c>
      <c r="D13" s="111">
        <f>D16</f>
        <v>6029967.5800000001</v>
      </c>
    </row>
    <row r="14" spans="1:4" x14ac:dyDescent="0.25">
      <c r="A14">
        <v>2022</v>
      </c>
      <c r="B14" s="111">
        <f>B13</f>
        <v>11674.01</v>
      </c>
      <c r="D14" s="111">
        <f>D13</f>
        <v>6029967.5800000001</v>
      </c>
    </row>
    <row r="16" spans="1:4" x14ac:dyDescent="0.25">
      <c r="A16" s="107"/>
      <c r="B16" s="110">
        <f>B12</f>
        <v>11674.01</v>
      </c>
      <c r="D16" s="110">
        <f>D12</f>
        <v>6029967.5800000001</v>
      </c>
    </row>
    <row r="18" spans="2:4" x14ac:dyDescent="0.25">
      <c r="B18" s="122"/>
      <c r="D18" s="12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CDM Worksheet--simple ex.</vt:lpstr>
      <vt:lpstr>Summary</vt:lpstr>
      <vt:lpstr>Rate Class Energy Model</vt:lpstr>
      <vt:lpstr>Rate Class Customer Model</vt:lpstr>
      <vt:lpstr>Embedded Distributor Forecast</vt:lpstr>
      <vt:lpstr>Rate Class Load Model</vt:lpstr>
      <vt:lpstr>Purch. Power Model </vt:lpstr>
      <vt:lpstr>HDD&amp;CDD</vt:lpstr>
      <vt:lpstr>WMP Forecast</vt:lpstr>
      <vt:lpstr>'Embedded Distributor Forecast'!Print_Area</vt:lpstr>
      <vt:lpstr>'Purch.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James Crosbie</cp:lastModifiedBy>
  <cp:lastPrinted>2009-07-21T19:47:49Z</cp:lastPrinted>
  <dcterms:created xsi:type="dcterms:W3CDTF">2008-02-06T18:24:44Z</dcterms:created>
  <dcterms:modified xsi:type="dcterms:W3CDTF">2021-05-05T13:42:45Z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