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ates\Rate Applications\2021 COS - EB-2020-0043\Settlement\COS MODELS - Settlement Proposal\Models to Include with proposal\"/>
    </mc:Choice>
  </mc:AlternateContent>
  <xr:revisionPtr revIDLastSave="0" documentId="13_ncr:1_{42C25276-7FE1-45AA-9EEE-FCD88448D170}" xr6:coauthVersionLast="46" xr6:coauthVersionMax="46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Exhibit 3 Tables" sheetId="22" r:id="rId1"/>
    <sheet name="Summary" sheetId="11" r:id="rId2"/>
    <sheet name="Purchased Power Model" sheetId="7" r:id="rId3"/>
    <sheet name="Weather Normalized Historical" sheetId="25" r:id="rId4"/>
    <sheet name="Rate Class Energy Model" sheetId="9" r:id="rId5"/>
    <sheet name="Rate Class Customer Model" sheetId="17" r:id="rId6"/>
    <sheet name="Rate Class Load Model" sheetId="18" r:id="rId7"/>
    <sheet name="Weather Normal Values" sheetId="2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localSheetId="0" hidden="1">[2]Sheet1!$G$40:$K$40</definedName>
    <definedName name="_Sort" hidden="1">[3]Sheet1!$G$40:$K$40</definedName>
    <definedName name="ALL">#REF!</definedName>
    <definedName name="ApprovedYr">'[4]Z1.ModelVariables'!$C$12</definedName>
    <definedName name="CAPCOSTS">#REF!</definedName>
    <definedName name="CAPITAL">#REF!</definedName>
    <definedName name="CapitalExpListing">#REF!</definedName>
    <definedName name="CASHFLOW">#REF!</definedName>
    <definedName name="cc">#REF!</definedName>
    <definedName name="contactf">#REF!</definedName>
    <definedName name="_xlnm.Criteria">#REF!</definedName>
    <definedName name="CRLF">'[4]Z1.ModelVariables'!$C$10</definedName>
    <definedName name="_xlnm.Database">#REF!</definedName>
    <definedName name="DaysInPreviousYear" localSheetId="0">'[5]Distribution Revenue by Source'!$B$22</definedName>
    <definedName name="DaysInPreviousYear">'[6]Distribution Revenue by Source'!$B$22</definedName>
    <definedName name="DaysInYear" localSheetId="0">'[5]Distribution Revenue by Source'!$B$21</definedName>
    <definedName name="DaysInYear">'[6]Distribution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'[4]Z1.ModelVariables'!$C$14</definedName>
    <definedName name="histdate">[7]Financials!$E$76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 localSheetId="0">#REF!</definedName>
    <definedName name="PAGE11">#REF!</definedName>
    <definedName name="PAGE2" localSheetId="0">[2]Sheet1!$A$1:$I$40</definedName>
    <definedName name="PAGE2">[3]Sheet1!$A$1:$I$40</definedName>
    <definedName name="PAGE3" localSheetId="0">#REF!</definedName>
    <definedName name="PAGE3">#REF!</definedName>
    <definedName name="PAGE4" localSheetId="0">#REF!</definedName>
    <definedName name="PAGE4">#REF!</definedName>
    <definedName name="PAGE7" localSheetId="0">#REF!</definedName>
    <definedName name="PAGE7">#REF!</definedName>
    <definedName name="PAGE9" localSheetId="0">#REF!</definedName>
    <definedName name="PAGE9">#REF!</definedName>
    <definedName name="PageOne" localSheetId="0">#REF!</definedName>
    <definedName name="PageOne">#REF!</definedName>
    <definedName name="PR">#REF!</definedName>
    <definedName name="_xlnm.Print_Area" localSheetId="0">'Exhibit 3 Tables'!$A$2:$L$279</definedName>
    <definedName name="_xlnm.Print_Area" localSheetId="2">'Purchased Power Model'!#REF!</definedName>
    <definedName name="_xlnm.Print_Area" localSheetId="5">'Rate Class Customer Model'!$A$1:$I$62</definedName>
    <definedName name="_xlnm.Print_Area" localSheetId="4">'Rate Class Energy Model'!$A$1:$S$89</definedName>
    <definedName name="_xlnm.Print_Area" localSheetId="6">'Rate Class Load Model'!$A$1:$H$45</definedName>
    <definedName name="_xlnm.Print_Area" localSheetId="1">Summary!$A$1:$N$66</definedName>
    <definedName name="Print_Area_MI">#REF!</definedName>
    <definedName name="print_end">#REF!</definedName>
    <definedName name="_xlnm.Print_Titles" localSheetId="0">'Exhibit 3 Tables'!#REF!</definedName>
    <definedName name="PRIOR">#REF!</definedName>
    <definedName name="Ratebase" localSheetId="0">'[5]Distribution Revenue by Source'!$C$25</definedName>
    <definedName name="Ratebase">'[6]Distribution Revenue by Source'!$C$25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'[4]A1.Admin'!$C$13</definedName>
    <definedName name="TestYrPL" localSheetId="0">'[8]Revenue Requirement'!$B$10</definedName>
    <definedName name="TestYrPL">'[9]Revenue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[7]Financials!$A$1</definedName>
    <definedName name="utitliy1">[10]Financials!$A$1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81029" iterate="1"/>
</workbook>
</file>

<file path=xl/calcChain.xml><?xml version="1.0" encoding="utf-8"?>
<calcChain xmlns="http://schemas.openxmlformats.org/spreadsheetml/2006/main">
  <c r="N72" i="9" l="1"/>
  <c r="H98" i="9"/>
  <c r="H100" i="9" s="1"/>
  <c r="H102" i="9" s="1"/>
  <c r="J84" i="9" s="1"/>
  <c r="H93" i="9"/>
  <c r="J83" i="9" l="1"/>
  <c r="V213" i="22" l="1"/>
  <c r="U213" i="22"/>
  <c r="T213" i="22"/>
  <c r="S213" i="22"/>
  <c r="R213" i="22"/>
  <c r="Q213" i="22"/>
  <c r="P213" i="22"/>
  <c r="H164" i="7" l="1"/>
  <c r="H189" i="7"/>
  <c r="F491" i="22" l="1"/>
  <c r="K491" i="22" s="1"/>
  <c r="E491" i="22"/>
  <c r="H491" i="22" s="1"/>
  <c r="I491" i="22" l="1"/>
  <c r="J491" i="22"/>
  <c r="B400" i="22"/>
  <c r="B402" i="22"/>
  <c r="B388" i="22"/>
  <c r="B375" i="22"/>
  <c r="B376" i="22"/>
  <c r="B377" i="22"/>
  <c r="E369" i="22"/>
  <c r="B360" i="22"/>
  <c r="B361" i="22"/>
  <c r="B362" i="22"/>
  <c r="E354" i="22"/>
  <c r="E339" i="22"/>
  <c r="F510" i="22" s="1"/>
  <c r="B345" i="22"/>
  <c r="B346" i="22"/>
  <c r="B347" i="22"/>
  <c r="B344" i="22"/>
  <c r="B332" i="22"/>
  <c r="B330" i="22"/>
  <c r="E323" i="22"/>
  <c r="B316" i="22"/>
  <c r="B315" i="22"/>
  <c r="R300" i="22"/>
  <c r="B305" i="22"/>
  <c r="E396" i="22" l="1"/>
  <c r="G74" i="25" l="1"/>
  <c r="G73" i="25"/>
  <c r="G72" i="25"/>
  <c r="G71" i="25"/>
  <c r="G7" i="25"/>
  <c r="H7" i="25" s="1"/>
  <c r="I7" i="25" s="1"/>
  <c r="G8" i="25"/>
  <c r="H8" i="25" s="1"/>
  <c r="I8" i="25" s="1"/>
  <c r="G11" i="25"/>
  <c r="H11" i="25" s="1"/>
  <c r="I11" i="25" s="1"/>
  <c r="G12" i="25"/>
  <c r="H12" i="25" s="1"/>
  <c r="I12" i="25" s="1"/>
  <c r="G15" i="25"/>
  <c r="H15" i="25" s="1"/>
  <c r="I15" i="25" s="1"/>
  <c r="G16" i="25"/>
  <c r="H16" i="25" s="1"/>
  <c r="I16" i="25" s="1"/>
  <c r="G14" i="25"/>
  <c r="G10" i="25"/>
  <c r="G6" i="25"/>
  <c r="H6" i="25" s="1"/>
  <c r="I6" i="25" s="1"/>
  <c r="G9" i="25"/>
  <c r="H9" i="25" s="1"/>
  <c r="I9" i="25" s="1"/>
  <c r="G13" i="25"/>
  <c r="H13" i="25" s="1"/>
  <c r="I13" i="25" s="1"/>
  <c r="G17" i="25"/>
  <c r="H17" i="25" s="1"/>
  <c r="I17" i="25" s="1"/>
  <c r="G18" i="25"/>
  <c r="H18" i="25" s="1"/>
  <c r="I18" i="25" s="1"/>
  <c r="G19" i="25"/>
  <c r="G20" i="25"/>
  <c r="H20" i="25" s="1"/>
  <c r="I20" i="25" s="1"/>
  <c r="G21" i="25"/>
  <c r="H21" i="25" s="1"/>
  <c r="I21" i="25" s="1"/>
  <c r="G22" i="25"/>
  <c r="H22" i="25" s="1"/>
  <c r="I22" i="25" s="1"/>
  <c r="G23" i="25"/>
  <c r="H23" i="25" s="1"/>
  <c r="I23" i="25" s="1"/>
  <c r="G24" i="25"/>
  <c r="G25" i="25"/>
  <c r="H25" i="25" s="1"/>
  <c r="I25" i="25" s="1"/>
  <c r="G26" i="25"/>
  <c r="G27" i="25"/>
  <c r="G28" i="25"/>
  <c r="H28" i="25" s="1"/>
  <c r="I28" i="25" s="1"/>
  <c r="G29" i="25"/>
  <c r="H29" i="25" s="1"/>
  <c r="I29" i="25" s="1"/>
  <c r="G30" i="25"/>
  <c r="G31" i="25"/>
  <c r="G32" i="25"/>
  <c r="H32" i="25" s="1"/>
  <c r="I32" i="25" s="1"/>
  <c r="G33" i="25"/>
  <c r="H33" i="25" s="1"/>
  <c r="I33" i="25" s="1"/>
  <c r="G34" i="25"/>
  <c r="G35" i="25"/>
  <c r="H35" i="25" s="1"/>
  <c r="I35" i="25" s="1"/>
  <c r="G36" i="25"/>
  <c r="G37" i="25"/>
  <c r="H37" i="25" s="1"/>
  <c r="I37" i="25" s="1"/>
  <c r="G38" i="25"/>
  <c r="H38" i="25" s="1"/>
  <c r="I38" i="25" s="1"/>
  <c r="G39" i="25"/>
  <c r="G40" i="25"/>
  <c r="G41" i="25"/>
  <c r="H41" i="25" s="1"/>
  <c r="I41" i="25" s="1"/>
  <c r="G42" i="25"/>
  <c r="H42" i="25" s="1"/>
  <c r="I42" i="25" s="1"/>
  <c r="G43" i="25"/>
  <c r="H43" i="25" s="1"/>
  <c r="I43" i="25" s="1"/>
  <c r="G44" i="25"/>
  <c r="H44" i="25" s="1"/>
  <c r="I44" i="25" s="1"/>
  <c r="G45" i="25"/>
  <c r="G46" i="25"/>
  <c r="H46" i="25" s="1"/>
  <c r="I46" i="25" s="1"/>
  <c r="G47" i="25"/>
  <c r="G48" i="25"/>
  <c r="G49" i="25"/>
  <c r="H49" i="25" s="1"/>
  <c r="I49" i="25" s="1"/>
  <c r="G50" i="25"/>
  <c r="H50" i="25" s="1"/>
  <c r="I50" i="25" s="1"/>
  <c r="G51" i="25"/>
  <c r="G52" i="25"/>
  <c r="H52" i="25" s="1"/>
  <c r="I52" i="25" s="1"/>
  <c r="G53" i="25"/>
  <c r="H53" i="25" s="1"/>
  <c r="I53" i="25" s="1"/>
  <c r="G54" i="25"/>
  <c r="G55" i="25"/>
  <c r="G56" i="25"/>
  <c r="H56" i="25" s="1"/>
  <c r="I56" i="25" s="1"/>
  <c r="G57" i="25"/>
  <c r="H57" i="25" s="1"/>
  <c r="I57" i="25" s="1"/>
  <c r="G58" i="25"/>
  <c r="G59" i="25"/>
  <c r="G60" i="25"/>
  <c r="H60" i="25" s="1"/>
  <c r="I60" i="25" s="1"/>
  <c r="G61" i="25"/>
  <c r="H61" i="25" s="1"/>
  <c r="I61" i="25" s="1"/>
  <c r="G62" i="25"/>
  <c r="G63" i="25"/>
  <c r="H63" i="25" s="1"/>
  <c r="I63" i="25" s="1"/>
  <c r="G64" i="25"/>
  <c r="H64" i="25" s="1"/>
  <c r="I64" i="25" s="1"/>
  <c r="G5" i="25"/>
  <c r="H58" i="25"/>
  <c r="I58" i="25" s="1"/>
  <c r="H48" i="25"/>
  <c r="I48" i="25" s="1"/>
  <c r="H40" i="25"/>
  <c r="I40" i="25" s="1"/>
  <c r="H36" i="25"/>
  <c r="I36" i="25" s="1"/>
  <c r="H26" i="25"/>
  <c r="I26" i="25" s="1"/>
  <c r="H24" i="25"/>
  <c r="I24" i="25" s="1"/>
  <c r="G70" i="25" l="1"/>
  <c r="H27" i="25"/>
  <c r="I27" i="25" s="1"/>
  <c r="H10" i="25"/>
  <c r="I10" i="25" s="1"/>
  <c r="H14" i="25"/>
  <c r="I14" i="25" s="1"/>
  <c r="H19" i="25"/>
  <c r="I19" i="25" s="1"/>
  <c r="H34" i="25"/>
  <c r="I34" i="25" s="1"/>
  <c r="H51" i="25"/>
  <c r="I51" i="25" s="1"/>
  <c r="H62" i="25"/>
  <c r="I62" i="25" s="1"/>
  <c r="H47" i="25"/>
  <c r="I47" i="25" s="1"/>
  <c r="H31" i="25"/>
  <c r="I31" i="25" s="1"/>
  <c r="H39" i="25"/>
  <c r="I39" i="25" s="1"/>
  <c r="H54" i="25"/>
  <c r="I54" i="25" s="1"/>
  <c r="H30" i="25"/>
  <c r="I30" i="25" s="1"/>
  <c r="H59" i="25"/>
  <c r="I59" i="25" s="1"/>
  <c r="H45" i="25"/>
  <c r="I45" i="25" s="1"/>
  <c r="H55" i="25"/>
  <c r="I55" i="25" s="1"/>
  <c r="H5" i="25"/>
  <c r="I5" i="25" l="1"/>
  <c r="I65" i="25" s="1"/>
  <c r="H65" i="25"/>
  <c r="R412" i="22" l="1"/>
  <c r="E365" i="22" l="1"/>
  <c r="E335" i="22"/>
  <c r="E350" i="22"/>
  <c r="E340" i="22" l="1"/>
  <c r="E341" i="22"/>
  <c r="E370" i="22"/>
  <c r="F512" i="22" s="1"/>
  <c r="E371" i="22"/>
  <c r="E355" i="22"/>
  <c r="F511" i="22" s="1"/>
  <c r="E356" i="22"/>
  <c r="B28" i="22" l="1"/>
  <c r="B64" i="22" s="1"/>
  <c r="E28" i="22"/>
  <c r="F28" i="22"/>
  <c r="G28" i="22"/>
  <c r="H28" i="22"/>
  <c r="I28" i="22"/>
  <c r="J28" i="22"/>
  <c r="K28" i="22"/>
  <c r="B29" i="22"/>
  <c r="B65" i="22" s="1"/>
  <c r="B82" i="22" s="1"/>
  <c r="E29" i="22"/>
  <c r="F29" i="22"/>
  <c r="G29" i="22"/>
  <c r="H29" i="22"/>
  <c r="I29" i="22"/>
  <c r="J29" i="22"/>
  <c r="K29" i="22"/>
  <c r="B30" i="22"/>
  <c r="B47" i="22" s="1"/>
  <c r="E30" i="22"/>
  <c r="F30" i="22"/>
  <c r="G30" i="22"/>
  <c r="H30" i="22"/>
  <c r="I30" i="22"/>
  <c r="J30" i="22"/>
  <c r="K30" i="22"/>
  <c r="B31" i="22"/>
  <c r="B67" i="22" s="1"/>
  <c r="B84" i="22" s="1"/>
  <c r="E31" i="22"/>
  <c r="F31" i="22"/>
  <c r="G31" i="22"/>
  <c r="H31" i="22"/>
  <c r="I31" i="22"/>
  <c r="J31" i="22"/>
  <c r="K31" i="22"/>
  <c r="B32" i="22"/>
  <c r="B68" i="22" s="1"/>
  <c r="E32" i="22"/>
  <c r="F32" i="22"/>
  <c r="G32" i="22"/>
  <c r="H32" i="22"/>
  <c r="I32" i="22"/>
  <c r="J32" i="22"/>
  <c r="K32" i="22"/>
  <c r="E45" i="22"/>
  <c r="F45" i="22"/>
  <c r="G45" i="22"/>
  <c r="H45" i="22"/>
  <c r="I45" i="22"/>
  <c r="J45" i="22"/>
  <c r="K45" i="22"/>
  <c r="E46" i="22"/>
  <c r="F46" i="22"/>
  <c r="G46" i="22"/>
  <c r="H46" i="22"/>
  <c r="I46" i="22"/>
  <c r="J46" i="22"/>
  <c r="K46" i="22"/>
  <c r="E47" i="22"/>
  <c r="F47" i="22"/>
  <c r="G47" i="22"/>
  <c r="H47" i="22"/>
  <c r="I47" i="22"/>
  <c r="J47" i="22"/>
  <c r="K47" i="22"/>
  <c r="E48" i="22"/>
  <c r="F48" i="22"/>
  <c r="G48" i="22"/>
  <c r="H48" i="22"/>
  <c r="I48" i="22"/>
  <c r="J48" i="22"/>
  <c r="K48" i="22"/>
  <c r="E49" i="22"/>
  <c r="F49" i="22"/>
  <c r="G49" i="22"/>
  <c r="H49" i="22"/>
  <c r="I49" i="22"/>
  <c r="J49" i="22"/>
  <c r="K49" i="22"/>
  <c r="K478" i="22"/>
  <c r="I478" i="22"/>
  <c r="E478" i="22"/>
  <c r="J478" i="22" s="1"/>
  <c r="K466" i="22"/>
  <c r="I466" i="22"/>
  <c r="E466" i="22"/>
  <c r="J466" i="22" s="1"/>
  <c r="K454" i="22"/>
  <c r="I454" i="22"/>
  <c r="E454" i="22"/>
  <c r="H454" i="22" s="1"/>
  <c r="K442" i="22"/>
  <c r="I442" i="22"/>
  <c r="E442" i="22"/>
  <c r="J442" i="22" s="1"/>
  <c r="K430" i="22"/>
  <c r="I430" i="22"/>
  <c r="E430" i="22"/>
  <c r="K418" i="22"/>
  <c r="I418" i="22"/>
  <c r="E418" i="22"/>
  <c r="J418" i="22" s="1"/>
  <c r="J412" i="22"/>
  <c r="J497" i="22" s="1"/>
  <c r="E412" i="22"/>
  <c r="E497" i="22" s="1"/>
  <c r="J411" i="22"/>
  <c r="J496" i="22" s="1"/>
  <c r="J410" i="22"/>
  <c r="J495" i="22" s="1"/>
  <c r="E410" i="22"/>
  <c r="E495" i="22" s="1"/>
  <c r="J409" i="22"/>
  <c r="J494" i="22" s="1"/>
  <c r="K406" i="22"/>
  <c r="J406" i="22"/>
  <c r="I406" i="22"/>
  <c r="H406" i="22"/>
  <c r="B401" i="22"/>
  <c r="B399" i="22"/>
  <c r="B398" i="22"/>
  <c r="E395" i="22"/>
  <c r="B387" i="22"/>
  <c r="B386" i="22"/>
  <c r="E381" i="22"/>
  <c r="E380" i="22"/>
  <c r="E413" i="22" s="1"/>
  <c r="E498" i="22" s="1"/>
  <c r="B374" i="22"/>
  <c r="B373" i="22"/>
  <c r="E366" i="22"/>
  <c r="E367" i="22" s="1"/>
  <c r="B359" i="22"/>
  <c r="B358" i="22"/>
  <c r="E351" i="22"/>
  <c r="E352" i="22" s="1"/>
  <c r="B343" i="22"/>
  <c r="E336" i="22"/>
  <c r="E337" i="22" s="1"/>
  <c r="B331" i="22"/>
  <c r="B329" i="22"/>
  <c r="B328" i="22"/>
  <c r="E320" i="22"/>
  <c r="E321" i="22" s="1"/>
  <c r="E319" i="22"/>
  <c r="B314" i="22"/>
  <c r="E309" i="22"/>
  <c r="E308" i="22"/>
  <c r="E408" i="22" s="1"/>
  <c r="E493" i="22" s="1"/>
  <c r="B304" i="22"/>
  <c r="B303" i="22"/>
  <c r="E298" i="22"/>
  <c r="E297" i="22"/>
  <c r="E407" i="22" s="1"/>
  <c r="E492" i="22" s="1"/>
  <c r="J295" i="22"/>
  <c r="I295" i="22"/>
  <c r="H295" i="22"/>
  <c r="G295" i="22"/>
  <c r="F295" i="22"/>
  <c r="E295" i="22"/>
  <c r="L282" i="22"/>
  <c r="L295" i="22" s="1"/>
  <c r="K282" i="22"/>
  <c r="K295" i="22" s="1"/>
  <c r="H258" i="22"/>
  <c r="G258" i="22"/>
  <c r="F258" i="22"/>
  <c r="E258" i="22"/>
  <c r="H257" i="22"/>
  <c r="G257" i="22"/>
  <c r="F257" i="22"/>
  <c r="E257" i="22"/>
  <c r="H256" i="22"/>
  <c r="G256" i="22"/>
  <c r="F256" i="22"/>
  <c r="E256" i="22"/>
  <c r="H255" i="22"/>
  <c r="G255" i="22"/>
  <c r="F255" i="22"/>
  <c r="E255" i="22"/>
  <c r="H254" i="22"/>
  <c r="G254" i="22"/>
  <c r="F254" i="22"/>
  <c r="E254" i="22"/>
  <c r="H253" i="22"/>
  <c r="G253" i="22"/>
  <c r="F253" i="22"/>
  <c r="E253" i="22"/>
  <c r="H252" i="22"/>
  <c r="G252" i="22"/>
  <c r="F252" i="22"/>
  <c r="E252" i="22"/>
  <c r="G251" i="22"/>
  <c r="F251" i="22"/>
  <c r="E251" i="22"/>
  <c r="H250" i="22"/>
  <c r="G250" i="22"/>
  <c r="F250" i="22"/>
  <c r="E250" i="22"/>
  <c r="H249" i="22"/>
  <c r="G249" i="22"/>
  <c r="F249" i="22"/>
  <c r="E249" i="22"/>
  <c r="I247" i="22"/>
  <c r="I276" i="22" s="1"/>
  <c r="K241" i="22"/>
  <c r="J241" i="22"/>
  <c r="I241" i="22"/>
  <c r="H241" i="22"/>
  <c r="F241" i="22"/>
  <c r="E241" i="22"/>
  <c r="K240" i="22"/>
  <c r="J240" i="22"/>
  <c r="I240" i="22"/>
  <c r="H240" i="22"/>
  <c r="G240" i="22"/>
  <c r="F240" i="22"/>
  <c r="E240" i="22"/>
  <c r="B235" i="22"/>
  <c r="B234" i="22"/>
  <c r="K204" i="22"/>
  <c r="J204" i="22"/>
  <c r="I204" i="22"/>
  <c r="H204" i="22"/>
  <c r="G204" i="22"/>
  <c r="F204" i="22"/>
  <c r="E204" i="22"/>
  <c r="B193" i="22"/>
  <c r="B238" i="22" s="1"/>
  <c r="B241" i="22" s="1"/>
  <c r="B192" i="22"/>
  <c r="B237" i="22" s="1"/>
  <c r="B240" i="22" s="1"/>
  <c r="B187" i="22"/>
  <c r="K152" i="22"/>
  <c r="J152" i="22"/>
  <c r="I152" i="22"/>
  <c r="H152" i="22"/>
  <c r="G152" i="22"/>
  <c r="F152" i="22"/>
  <c r="E152" i="22"/>
  <c r="K137" i="22"/>
  <c r="J137" i="22"/>
  <c r="I137" i="22"/>
  <c r="H137" i="22"/>
  <c r="G137" i="22"/>
  <c r="F137" i="22"/>
  <c r="E137" i="22"/>
  <c r="B137" i="22"/>
  <c r="B151" i="22" s="1"/>
  <c r="B172" i="22" s="1"/>
  <c r="B186" i="22" s="1"/>
  <c r="B258" i="22" s="1"/>
  <c r="B272" i="22" s="1"/>
  <c r="K136" i="22"/>
  <c r="J136" i="22"/>
  <c r="I136" i="22"/>
  <c r="H136" i="22"/>
  <c r="G136" i="22"/>
  <c r="F136" i="22"/>
  <c r="E136" i="22"/>
  <c r="B136" i="22"/>
  <c r="B150" i="22" s="1"/>
  <c r="B171" i="22" s="1"/>
  <c r="B185" i="22" s="1"/>
  <c r="B257" i="22" s="1"/>
  <c r="B271" i="22" s="1"/>
  <c r="K135" i="22"/>
  <c r="J135" i="22"/>
  <c r="I135" i="22"/>
  <c r="H135" i="22"/>
  <c r="G135" i="22"/>
  <c r="F135" i="22"/>
  <c r="E135" i="22"/>
  <c r="B135" i="22"/>
  <c r="B149" i="22" s="1"/>
  <c r="B170" i="22" s="1"/>
  <c r="B184" i="22" s="1"/>
  <c r="B256" i="22" s="1"/>
  <c r="B270" i="22" s="1"/>
  <c r="K134" i="22"/>
  <c r="J134" i="22"/>
  <c r="I134" i="22"/>
  <c r="H134" i="22"/>
  <c r="G134" i="22"/>
  <c r="F134" i="22"/>
  <c r="E134" i="22"/>
  <c r="B134" i="22"/>
  <c r="B148" i="22" s="1"/>
  <c r="B169" i="22" s="1"/>
  <c r="B183" i="22" s="1"/>
  <c r="B255" i="22" s="1"/>
  <c r="B269" i="22" s="1"/>
  <c r="K133" i="22"/>
  <c r="J133" i="22"/>
  <c r="I133" i="22"/>
  <c r="H133" i="22"/>
  <c r="G133" i="22"/>
  <c r="F133" i="22"/>
  <c r="E133" i="22"/>
  <c r="B133" i="22"/>
  <c r="B147" i="22" s="1"/>
  <c r="B168" i="22" s="1"/>
  <c r="B182" i="22" s="1"/>
  <c r="B254" i="22" s="1"/>
  <c r="B268" i="22" s="1"/>
  <c r="K132" i="22"/>
  <c r="J132" i="22"/>
  <c r="I132" i="22"/>
  <c r="H132" i="22"/>
  <c r="G132" i="22"/>
  <c r="F132" i="22"/>
  <c r="E132" i="22"/>
  <c r="B132" i="22"/>
  <c r="B146" i="22" s="1"/>
  <c r="B167" i="22" s="1"/>
  <c r="B181" i="22" s="1"/>
  <c r="B253" i="22" s="1"/>
  <c r="B267" i="22" s="1"/>
  <c r="K131" i="22"/>
  <c r="J131" i="22"/>
  <c r="I131" i="22"/>
  <c r="H131" i="22"/>
  <c r="G131" i="22"/>
  <c r="F131" i="22"/>
  <c r="E131" i="22"/>
  <c r="B131" i="22"/>
  <c r="B145" i="22" s="1"/>
  <c r="B166" i="22" s="1"/>
  <c r="B180" i="22" s="1"/>
  <c r="B252" i="22" s="1"/>
  <c r="B266" i="22" s="1"/>
  <c r="K130" i="22"/>
  <c r="J130" i="22"/>
  <c r="I130" i="22"/>
  <c r="H130" i="22"/>
  <c r="G130" i="22"/>
  <c r="F130" i="22"/>
  <c r="E130" i="22"/>
  <c r="B130" i="22"/>
  <c r="B144" i="22" s="1"/>
  <c r="B165" i="22" s="1"/>
  <c r="B179" i="22" s="1"/>
  <c r="B251" i="22" s="1"/>
  <c r="B265" i="22" s="1"/>
  <c r="K129" i="22"/>
  <c r="J129" i="22"/>
  <c r="I129" i="22"/>
  <c r="H129" i="22"/>
  <c r="G129" i="22"/>
  <c r="F129" i="22"/>
  <c r="E129" i="22"/>
  <c r="B129" i="22"/>
  <c r="B143" i="22" s="1"/>
  <c r="B164" i="22" s="1"/>
  <c r="B178" i="22" s="1"/>
  <c r="B250" i="22" s="1"/>
  <c r="B264" i="22" s="1"/>
  <c r="K128" i="22"/>
  <c r="J128" i="22"/>
  <c r="I128" i="22"/>
  <c r="H128" i="22"/>
  <c r="G128" i="22"/>
  <c r="F128" i="22"/>
  <c r="E128" i="22"/>
  <c r="B128" i="22"/>
  <c r="B142" i="22" s="1"/>
  <c r="B163" i="22" s="1"/>
  <c r="B177" i="22" s="1"/>
  <c r="B249" i="22" s="1"/>
  <c r="B263" i="22" s="1"/>
  <c r="E105" i="22"/>
  <c r="E104" i="22"/>
  <c r="B104" i="22"/>
  <c r="E103" i="22"/>
  <c r="B103" i="22"/>
  <c r="E102" i="22"/>
  <c r="B102" i="22"/>
  <c r="E101" i="22"/>
  <c r="B101" i="22"/>
  <c r="E98" i="22"/>
  <c r="E97" i="22"/>
  <c r="E96" i="22"/>
  <c r="B75" i="22"/>
  <c r="B92" i="22" s="1"/>
  <c r="B121" i="22" s="1"/>
  <c r="B244" i="22" s="1"/>
  <c r="B279" i="22" s="1"/>
  <c r="B74" i="22"/>
  <c r="B91" i="22" s="1"/>
  <c r="B120" i="22" s="1"/>
  <c r="B243" i="22" s="1"/>
  <c r="B278" i="22" s="1"/>
  <c r="K62" i="22"/>
  <c r="J62" i="22"/>
  <c r="I62" i="22"/>
  <c r="H62" i="22"/>
  <c r="G62" i="22"/>
  <c r="F62" i="22"/>
  <c r="E62" i="22"/>
  <c r="K56" i="22"/>
  <c r="J56" i="22"/>
  <c r="I56" i="22"/>
  <c r="H56" i="22"/>
  <c r="G56" i="22"/>
  <c r="F56" i="22"/>
  <c r="E56" i="22"/>
  <c r="B56" i="22"/>
  <c r="K55" i="22"/>
  <c r="J55" i="22"/>
  <c r="I55" i="22"/>
  <c r="H55" i="22"/>
  <c r="G55" i="22"/>
  <c r="F55" i="22"/>
  <c r="E55" i="22"/>
  <c r="B55" i="22"/>
  <c r="K54" i="22"/>
  <c r="J54" i="22"/>
  <c r="I54" i="22"/>
  <c r="H54" i="22"/>
  <c r="G54" i="22"/>
  <c r="F54" i="22"/>
  <c r="E54" i="22"/>
  <c r="K53" i="22"/>
  <c r="J53" i="22"/>
  <c r="I53" i="22"/>
  <c r="H53" i="22"/>
  <c r="G53" i="22"/>
  <c r="F53" i="22"/>
  <c r="E53" i="22"/>
  <c r="K52" i="22"/>
  <c r="J52" i="22"/>
  <c r="I52" i="22"/>
  <c r="H52" i="22"/>
  <c r="G52" i="22"/>
  <c r="F52" i="22"/>
  <c r="E52" i="22"/>
  <c r="K51" i="22"/>
  <c r="J51" i="22"/>
  <c r="I51" i="22"/>
  <c r="H51" i="22"/>
  <c r="G51" i="22"/>
  <c r="F51" i="22"/>
  <c r="E51" i="22"/>
  <c r="K50" i="22"/>
  <c r="J50" i="22"/>
  <c r="I50" i="22"/>
  <c r="H50" i="22"/>
  <c r="G50" i="22"/>
  <c r="F50" i="22"/>
  <c r="E50" i="22"/>
  <c r="L43" i="22"/>
  <c r="K37" i="22"/>
  <c r="J37" i="22"/>
  <c r="I37" i="22"/>
  <c r="H37" i="22"/>
  <c r="G37" i="22"/>
  <c r="F37" i="22"/>
  <c r="E37" i="22"/>
  <c r="B37" i="22"/>
  <c r="B73" i="22" s="1"/>
  <c r="B90" i="22" s="1"/>
  <c r="K36" i="22"/>
  <c r="J36" i="22"/>
  <c r="I36" i="22"/>
  <c r="H36" i="22"/>
  <c r="G36" i="22"/>
  <c r="F36" i="22"/>
  <c r="E36" i="22"/>
  <c r="B36" i="22"/>
  <c r="B53" i="22" s="1"/>
  <c r="K35" i="22"/>
  <c r="J35" i="22"/>
  <c r="I35" i="22"/>
  <c r="H35" i="22"/>
  <c r="G35" i="22"/>
  <c r="F35" i="22"/>
  <c r="E35" i="22"/>
  <c r="B35" i="22"/>
  <c r="B52" i="22" s="1"/>
  <c r="K34" i="22"/>
  <c r="J34" i="22"/>
  <c r="I34" i="22"/>
  <c r="H34" i="22"/>
  <c r="G34" i="22"/>
  <c r="F34" i="22"/>
  <c r="E34" i="22"/>
  <c r="B34" i="22"/>
  <c r="B51" i="22" s="1"/>
  <c r="K33" i="22"/>
  <c r="J33" i="22"/>
  <c r="I33" i="22"/>
  <c r="H33" i="22"/>
  <c r="G33" i="22"/>
  <c r="F33" i="22"/>
  <c r="E33" i="22"/>
  <c r="B33" i="22"/>
  <c r="B69" i="22" s="1"/>
  <c r="B86" i="22" s="1"/>
  <c r="L26" i="22"/>
  <c r="B26" i="22"/>
  <c r="B62" i="22" s="1"/>
  <c r="J499" i="22" l="1"/>
  <c r="H413" i="22"/>
  <c r="H498" i="22" s="1"/>
  <c r="E382" i="22"/>
  <c r="E383" i="22"/>
  <c r="F513" i="22" s="1"/>
  <c r="I143" i="22"/>
  <c r="I151" i="22"/>
  <c r="E409" i="22"/>
  <c r="E494" i="22" s="1"/>
  <c r="E324" i="22"/>
  <c r="F509" i="22" s="1"/>
  <c r="E325" i="22"/>
  <c r="H407" i="22"/>
  <c r="E300" i="22"/>
  <c r="E299" i="22"/>
  <c r="H408" i="22"/>
  <c r="H493" i="22" s="1"/>
  <c r="E310" i="22"/>
  <c r="E311" i="22"/>
  <c r="F508" i="22" s="1"/>
  <c r="E150" i="22"/>
  <c r="G67" i="22"/>
  <c r="G166" i="22" s="1"/>
  <c r="J67" i="22"/>
  <c r="J166" i="22" s="1"/>
  <c r="K64" i="22"/>
  <c r="F64" i="22"/>
  <c r="F163" i="22" s="1"/>
  <c r="J66" i="22"/>
  <c r="J165" i="22" s="1"/>
  <c r="K66" i="22"/>
  <c r="K165" i="22" s="1"/>
  <c r="F67" i="22"/>
  <c r="F166" i="22" s="1"/>
  <c r="B49" i="22"/>
  <c r="B48" i="22"/>
  <c r="G66" i="22"/>
  <c r="G165" i="22" s="1"/>
  <c r="G65" i="22"/>
  <c r="G164" i="22" s="1"/>
  <c r="E157" i="22"/>
  <c r="E158" i="22" s="1"/>
  <c r="K65" i="22"/>
  <c r="K164" i="22" s="1"/>
  <c r="G64" i="22"/>
  <c r="G163" i="22" s="1"/>
  <c r="I65" i="22"/>
  <c r="I164" i="22" s="1"/>
  <c r="E64" i="22"/>
  <c r="E163" i="22" s="1"/>
  <c r="K68" i="22"/>
  <c r="K167" i="22" s="1"/>
  <c r="K67" i="22"/>
  <c r="E68" i="22"/>
  <c r="E167" i="22" s="1"/>
  <c r="B46" i="22"/>
  <c r="B45" i="22"/>
  <c r="L30" i="22"/>
  <c r="J65" i="22"/>
  <c r="J64" i="22"/>
  <c r="G145" i="22"/>
  <c r="H68" i="22"/>
  <c r="H167" i="22" s="1"/>
  <c r="H67" i="22"/>
  <c r="H66" i="22"/>
  <c r="H165" i="22" s="1"/>
  <c r="I64" i="22"/>
  <c r="I163" i="22" s="1"/>
  <c r="I68" i="22"/>
  <c r="I167" i="22" s="1"/>
  <c r="I67" i="22"/>
  <c r="I166" i="22" s="1"/>
  <c r="I66" i="22"/>
  <c r="I165" i="22" s="1"/>
  <c r="H65" i="22"/>
  <c r="H164" i="22" s="1"/>
  <c r="L45" i="22"/>
  <c r="F68" i="22"/>
  <c r="F167" i="22" s="1"/>
  <c r="L49" i="22"/>
  <c r="L31" i="22"/>
  <c r="F65" i="22"/>
  <c r="F164" i="22" s="1"/>
  <c r="L28" i="22"/>
  <c r="E65" i="22"/>
  <c r="J68" i="22"/>
  <c r="J167" i="22" s="1"/>
  <c r="G68" i="22"/>
  <c r="H71" i="22"/>
  <c r="H170" i="22" s="1"/>
  <c r="L46" i="22"/>
  <c r="L29" i="22"/>
  <c r="F66" i="22"/>
  <c r="J70" i="22"/>
  <c r="J169" i="22" s="1"/>
  <c r="B66" i="22"/>
  <c r="B83" i="22" s="1"/>
  <c r="L48" i="22"/>
  <c r="E66" i="22"/>
  <c r="E165" i="22" s="1"/>
  <c r="J454" i="22"/>
  <c r="H64" i="22"/>
  <c r="L32" i="22"/>
  <c r="L47" i="22"/>
  <c r="E67" i="22"/>
  <c r="F146" i="22"/>
  <c r="E143" i="22"/>
  <c r="G148" i="22"/>
  <c r="K70" i="22"/>
  <c r="K169" i="22" s="1"/>
  <c r="I71" i="22"/>
  <c r="I170" i="22" s="1"/>
  <c r="G149" i="22"/>
  <c r="H418" i="22"/>
  <c r="H442" i="22"/>
  <c r="G157" i="22"/>
  <c r="G158" i="22" s="1"/>
  <c r="J71" i="22"/>
  <c r="J170" i="22" s="1"/>
  <c r="J72" i="22"/>
  <c r="J171" i="22" s="1"/>
  <c r="K69" i="22"/>
  <c r="K168" i="22" s="1"/>
  <c r="F149" i="22"/>
  <c r="G72" i="22"/>
  <c r="G171" i="22" s="1"/>
  <c r="F70" i="22"/>
  <c r="F169" i="22" s="1"/>
  <c r="L132" i="22"/>
  <c r="B71" i="22"/>
  <c r="B88" i="22" s="1"/>
  <c r="E69" i="22"/>
  <c r="E79" i="22" s="1"/>
  <c r="L34" i="22"/>
  <c r="J143" i="22"/>
  <c r="J144" i="22"/>
  <c r="J145" i="22"/>
  <c r="J146" i="22"/>
  <c r="I147" i="22"/>
  <c r="I157" i="22"/>
  <c r="I158" i="22" s="1"/>
  <c r="F148" i="22"/>
  <c r="I254" i="22"/>
  <c r="K147" i="22"/>
  <c r="K150" i="22"/>
  <c r="I255" i="22"/>
  <c r="H69" i="22"/>
  <c r="H79" i="22" s="1"/>
  <c r="H72" i="22"/>
  <c r="H73" i="22"/>
  <c r="H172" i="22" s="1"/>
  <c r="I249" i="22"/>
  <c r="K72" i="22"/>
  <c r="K171" i="22" s="1"/>
  <c r="L56" i="22"/>
  <c r="F143" i="22"/>
  <c r="F144" i="22"/>
  <c r="E147" i="22"/>
  <c r="F150" i="22"/>
  <c r="K71" i="22"/>
  <c r="K170" i="22" s="1"/>
  <c r="K73" i="22"/>
  <c r="K172" i="22" s="1"/>
  <c r="B43" i="22"/>
  <c r="J73" i="22"/>
  <c r="L129" i="22"/>
  <c r="I258" i="22"/>
  <c r="F145" i="22"/>
  <c r="E151" i="22"/>
  <c r="J69" i="22"/>
  <c r="J79" i="22" s="1"/>
  <c r="B54" i="22"/>
  <c r="G143" i="22"/>
  <c r="G146" i="22"/>
  <c r="L133" i="22"/>
  <c r="F151" i="22"/>
  <c r="F147" i="22"/>
  <c r="H466" i="22"/>
  <c r="H478" i="22"/>
  <c r="G69" i="22"/>
  <c r="G168" i="22" s="1"/>
  <c r="G70" i="22"/>
  <c r="G169" i="22" s="1"/>
  <c r="L36" i="22"/>
  <c r="L54" i="22"/>
  <c r="L55" i="22"/>
  <c r="H145" i="22"/>
  <c r="H146" i="22"/>
  <c r="G150" i="22"/>
  <c r="G147" i="22"/>
  <c r="L240" i="22"/>
  <c r="I253" i="22"/>
  <c r="H70" i="22"/>
  <c r="G73" i="22"/>
  <c r="G172" i="22" s="1"/>
  <c r="F73" i="22"/>
  <c r="I144" i="22"/>
  <c r="I145" i="22"/>
  <c r="H148" i="22"/>
  <c r="H149" i="22"/>
  <c r="H150" i="22"/>
  <c r="I148" i="22"/>
  <c r="I149" i="22"/>
  <c r="I252" i="22"/>
  <c r="E392" i="22"/>
  <c r="L52" i="22"/>
  <c r="I73" i="22"/>
  <c r="F69" i="22"/>
  <c r="K143" i="22"/>
  <c r="K145" i="22"/>
  <c r="K146" i="22"/>
  <c r="J147" i="22"/>
  <c r="J148" i="22"/>
  <c r="J151" i="22"/>
  <c r="E149" i="22"/>
  <c r="I250" i="22"/>
  <c r="J414" i="22"/>
  <c r="E71" i="22"/>
  <c r="L35" i="22"/>
  <c r="E72" i="22"/>
  <c r="B85" i="22"/>
  <c r="F71" i="22"/>
  <c r="H151" i="22"/>
  <c r="H157" i="22"/>
  <c r="H158" i="22" s="1"/>
  <c r="I69" i="22"/>
  <c r="J149" i="22"/>
  <c r="L135" i="22"/>
  <c r="J150" i="22"/>
  <c r="G71" i="22"/>
  <c r="I70" i="22"/>
  <c r="B70" i="22"/>
  <c r="B87" i="22" s="1"/>
  <c r="I72" i="22"/>
  <c r="B50" i="22"/>
  <c r="L50" i="22"/>
  <c r="B81" i="22"/>
  <c r="B72" i="22"/>
  <c r="B89" i="22" s="1"/>
  <c r="L130" i="22"/>
  <c r="E144" i="22"/>
  <c r="L131" i="22"/>
  <c r="E145" i="22"/>
  <c r="E146" i="22"/>
  <c r="L33" i="22"/>
  <c r="L51" i="22"/>
  <c r="L53" i="22"/>
  <c r="F72" i="22"/>
  <c r="L37" i="22"/>
  <c r="E73" i="22"/>
  <c r="I150" i="22"/>
  <c r="E70" i="22"/>
  <c r="K148" i="22"/>
  <c r="K149" i="22"/>
  <c r="G144" i="22"/>
  <c r="H143" i="22"/>
  <c r="H144" i="22"/>
  <c r="L134" i="22"/>
  <c r="L136" i="22"/>
  <c r="K157" i="22"/>
  <c r="K158" i="22" s="1"/>
  <c r="K151" i="22"/>
  <c r="E148" i="22"/>
  <c r="I146" i="22"/>
  <c r="G151" i="22"/>
  <c r="H147" i="22"/>
  <c r="L137" i="22"/>
  <c r="J157" i="22"/>
  <c r="J158" i="22" s="1"/>
  <c r="L128" i="22"/>
  <c r="K144" i="22"/>
  <c r="F157" i="22"/>
  <c r="F158" i="22" s="1"/>
  <c r="I257" i="22"/>
  <c r="E393" i="22"/>
  <c r="I256" i="22"/>
  <c r="J430" i="22"/>
  <c r="H430" i="22"/>
  <c r="E411" i="22"/>
  <c r="E496" i="22" s="1"/>
  <c r="E394" i="22" l="1"/>
  <c r="E499" i="22"/>
  <c r="H414" i="22"/>
  <c r="H492" i="22"/>
  <c r="E384" i="22"/>
  <c r="E312" i="22"/>
  <c r="E301" i="22"/>
  <c r="F507" i="22" s="1"/>
  <c r="J83" i="22"/>
  <c r="G85" i="22"/>
  <c r="J84" i="22"/>
  <c r="J180" i="22"/>
  <c r="J181" i="22"/>
  <c r="H85" i="22"/>
  <c r="J82" i="22"/>
  <c r="F86" i="22"/>
  <c r="I178" i="22"/>
  <c r="J163" i="22"/>
  <c r="H166" i="22"/>
  <c r="H181" i="22" s="1"/>
  <c r="K84" i="22"/>
  <c r="K85" i="22"/>
  <c r="K82" i="22"/>
  <c r="H82" i="22"/>
  <c r="H83" i="22"/>
  <c r="K166" i="22"/>
  <c r="K180" i="22" s="1"/>
  <c r="K83" i="22"/>
  <c r="I85" i="22"/>
  <c r="G167" i="22"/>
  <c r="G181" i="22" s="1"/>
  <c r="E168" i="22"/>
  <c r="E182" i="22" s="1"/>
  <c r="I83" i="22"/>
  <c r="F82" i="22"/>
  <c r="J164" i="22"/>
  <c r="J179" i="22" s="1"/>
  <c r="H168" i="22"/>
  <c r="H182" i="22" s="1"/>
  <c r="F85" i="22"/>
  <c r="H86" i="22"/>
  <c r="I84" i="22"/>
  <c r="G82" i="22"/>
  <c r="I82" i="22"/>
  <c r="F83" i="22"/>
  <c r="H84" i="22"/>
  <c r="J85" i="22"/>
  <c r="E85" i="22"/>
  <c r="F165" i="22"/>
  <c r="F179" i="22" s="1"/>
  <c r="J88" i="22"/>
  <c r="H88" i="22"/>
  <c r="H89" i="22"/>
  <c r="H163" i="22"/>
  <c r="H178" i="22" s="1"/>
  <c r="J168" i="22"/>
  <c r="J182" i="22" s="1"/>
  <c r="J86" i="22"/>
  <c r="F84" i="22"/>
  <c r="H90" i="22"/>
  <c r="K86" i="22"/>
  <c r="H171" i="22"/>
  <c r="H186" i="22" s="1"/>
  <c r="G86" i="22"/>
  <c r="F168" i="22"/>
  <c r="F182" i="22" s="1"/>
  <c r="K183" i="22"/>
  <c r="G89" i="22"/>
  <c r="K79" i="22"/>
  <c r="F87" i="22"/>
  <c r="F79" i="22"/>
  <c r="I180" i="22"/>
  <c r="G87" i="22"/>
  <c r="G79" i="22"/>
  <c r="J89" i="22"/>
  <c r="K90" i="22"/>
  <c r="K87" i="22"/>
  <c r="K184" i="22"/>
  <c r="E86" i="22"/>
  <c r="H179" i="22"/>
  <c r="I90" i="22"/>
  <c r="J185" i="22"/>
  <c r="H87" i="22"/>
  <c r="K88" i="22"/>
  <c r="J87" i="22"/>
  <c r="H169" i="22"/>
  <c r="H184" i="22" s="1"/>
  <c r="G83" i="22"/>
  <c r="G90" i="22"/>
  <c r="K89" i="22"/>
  <c r="I172" i="22"/>
  <c r="G178" i="22"/>
  <c r="G84" i="22"/>
  <c r="K163" i="22"/>
  <c r="G180" i="22"/>
  <c r="G183" i="22"/>
  <c r="F181" i="22"/>
  <c r="J90" i="22"/>
  <c r="F172" i="22"/>
  <c r="J172" i="22"/>
  <c r="J186" i="22" s="1"/>
  <c r="F90" i="22"/>
  <c r="K185" i="22"/>
  <c r="E169" i="22"/>
  <c r="E87" i="22"/>
  <c r="E164" i="22"/>
  <c r="E83" i="22"/>
  <c r="E82" i="22"/>
  <c r="E171" i="22"/>
  <c r="E89" i="22"/>
  <c r="I181" i="22"/>
  <c r="K186" i="22"/>
  <c r="J184" i="22"/>
  <c r="I168" i="22"/>
  <c r="I182" i="22" s="1"/>
  <c r="I86" i="22"/>
  <c r="I79" i="22"/>
  <c r="F88" i="22"/>
  <c r="F170" i="22"/>
  <c r="F184" i="22" s="1"/>
  <c r="E88" i="22"/>
  <c r="E170" i="22"/>
  <c r="E414" i="22"/>
  <c r="L158" i="22"/>
  <c r="F171" i="22"/>
  <c r="F89" i="22"/>
  <c r="K182" i="22"/>
  <c r="G186" i="22"/>
  <c r="I89" i="22"/>
  <c r="I171" i="22"/>
  <c r="I185" i="22" s="1"/>
  <c r="F178" i="22"/>
  <c r="I169" i="22"/>
  <c r="I88" i="22"/>
  <c r="I87" i="22"/>
  <c r="G170" i="22"/>
  <c r="G184" i="22" s="1"/>
  <c r="G88" i="22"/>
  <c r="I179" i="22"/>
  <c r="K179" i="22"/>
  <c r="L157" i="22"/>
  <c r="G179" i="22"/>
  <c r="E166" i="22"/>
  <c r="E180" i="22" s="1"/>
  <c r="E84" i="22"/>
  <c r="E172" i="22"/>
  <c r="E90" i="22"/>
  <c r="H180" i="22" l="1"/>
  <c r="G182" i="22"/>
  <c r="J178" i="22"/>
  <c r="K181" i="22"/>
  <c r="H185" i="22"/>
  <c r="F183" i="22"/>
  <c r="F180" i="22"/>
  <c r="E183" i="22"/>
  <c r="K178" i="22"/>
  <c r="G185" i="22"/>
  <c r="H183" i="22"/>
  <c r="J183" i="22"/>
  <c r="I186" i="22"/>
  <c r="F185" i="22"/>
  <c r="E185" i="22"/>
  <c r="E184" i="22"/>
  <c r="I183" i="22"/>
  <c r="I184" i="22"/>
  <c r="E178" i="22"/>
  <c r="E179" i="22"/>
  <c r="E181" i="22"/>
  <c r="E186" i="22"/>
  <c r="F186" i="22"/>
  <c r="G241" i="22" l="1"/>
  <c r="L241" i="22" s="1"/>
  <c r="C32" i="18" l="1"/>
  <c r="D32" i="18"/>
  <c r="E32" i="18"/>
  <c r="M48" i="11" l="1"/>
  <c r="L380" i="22" s="1"/>
  <c r="L48" i="11"/>
  <c r="K380" i="22" s="1"/>
  <c r="K48" i="11"/>
  <c r="J48" i="11"/>
  <c r="I48" i="11"/>
  <c r="H48" i="11"/>
  <c r="G48" i="11"/>
  <c r="F48" i="11"/>
  <c r="F63" i="11" s="1"/>
  <c r="K49" i="11"/>
  <c r="J381" i="22" s="1"/>
  <c r="J49" i="11"/>
  <c r="I381" i="22" s="1"/>
  <c r="I49" i="11"/>
  <c r="H381" i="22" s="1"/>
  <c r="H49" i="11"/>
  <c r="G381" i="22" s="1"/>
  <c r="G49" i="11"/>
  <c r="F381" i="22" s="1"/>
  <c r="F49" i="11"/>
  <c r="K44" i="11"/>
  <c r="J366" i="22" s="1"/>
  <c r="J374" i="22" s="1"/>
  <c r="J44" i="11"/>
  <c r="I366" i="22" s="1"/>
  <c r="I374" i="22" s="1"/>
  <c r="I44" i="11"/>
  <c r="H366" i="22" s="1"/>
  <c r="H374" i="22" s="1"/>
  <c r="H44" i="11"/>
  <c r="G366" i="22" s="1"/>
  <c r="G374" i="22" s="1"/>
  <c r="G44" i="11"/>
  <c r="F366" i="22" s="1"/>
  <c r="F374" i="22" s="1"/>
  <c r="F44" i="11"/>
  <c r="M43" i="11"/>
  <c r="L365" i="22" s="1"/>
  <c r="L43" i="11"/>
  <c r="K365" i="22" s="1"/>
  <c r="K43" i="11"/>
  <c r="J365" i="22" s="1"/>
  <c r="J43" i="11"/>
  <c r="I365" i="22" s="1"/>
  <c r="I43" i="11"/>
  <c r="H365" i="22" s="1"/>
  <c r="H43" i="11"/>
  <c r="G365" i="22" s="1"/>
  <c r="G43" i="11"/>
  <c r="F365" i="22" s="1"/>
  <c r="F43" i="11"/>
  <c r="K45" i="11"/>
  <c r="J45" i="11"/>
  <c r="I45" i="11"/>
  <c r="H45" i="11"/>
  <c r="G45" i="11"/>
  <c r="F45" i="11"/>
  <c r="K40" i="11"/>
  <c r="J40" i="11"/>
  <c r="I40" i="11"/>
  <c r="H40" i="11"/>
  <c r="G40" i="11"/>
  <c r="F40" i="11"/>
  <c r="K39" i="11"/>
  <c r="J351" i="22" s="1"/>
  <c r="J359" i="22" s="1"/>
  <c r="J39" i="11"/>
  <c r="I351" i="22" s="1"/>
  <c r="I359" i="22" s="1"/>
  <c r="I39" i="11"/>
  <c r="H351" i="22" s="1"/>
  <c r="H359" i="22" s="1"/>
  <c r="H39" i="11"/>
  <c r="G351" i="22" s="1"/>
  <c r="G359" i="22" s="1"/>
  <c r="G39" i="11"/>
  <c r="F351" i="22" s="1"/>
  <c r="F359" i="22" s="1"/>
  <c r="F39" i="11"/>
  <c r="M38" i="11"/>
  <c r="L350" i="22" s="1"/>
  <c r="L38" i="11"/>
  <c r="K350" i="22" s="1"/>
  <c r="K38" i="11"/>
  <c r="J350" i="22" s="1"/>
  <c r="J38" i="11"/>
  <c r="I350" i="22" s="1"/>
  <c r="I38" i="11"/>
  <c r="H350" i="22" s="1"/>
  <c r="H38" i="11"/>
  <c r="G350" i="22" s="1"/>
  <c r="G38" i="11"/>
  <c r="F350" i="22" s="1"/>
  <c r="F38" i="11"/>
  <c r="K35" i="11"/>
  <c r="J35" i="11"/>
  <c r="I35" i="11"/>
  <c r="H35" i="11"/>
  <c r="G35" i="11"/>
  <c r="F35" i="11"/>
  <c r="K34" i="11"/>
  <c r="J336" i="22" s="1"/>
  <c r="J344" i="22" s="1"/>
  <c r="J34" i="11"/>
  <c r="I336" i="22" s="1"/>
  <c r="I344" i="22" s="1"/>
  <c r="I34" i="11"/>
  <c r="H336" i="22" s="1"/>
  <c r="H344" i="22" s="1"/>
  <c r="H34" i="11"/>
  <c r="G336" i="22" s="1"/>
  <c r="G344" i="22" s="1"/>
  <c r="G34" i="11"/>
  <c r="F336" i="22" s="1"/>
  <c r="F344" i="22" s="1"/>
  <c r="F34" i="11"/>
  <c r="M33" i="11"/>
  <c r="L335" i="22" s="1"/>
  <c r="L33" i="11"/>
  <c r="K335" i="22" s="1"/>
  <c r="K33" i="11"/>
  <c r="J335" i="22" s="1"/>
  <c r="J33" i="11"/>
  <c r="I335" i="22" s="1"/>
  <c r="I33" i="11"/>
  <c r="H335" i="22" s="1"/>
  <c r="H33" i="11"/>
  <c r="G335" i="22" s="1"/>
  <c r="G33" i="11"/>
  <c r="F335" i="22" s="1"/>
  <c r="F33" i="11"/>
  <c r="K30" i="11"/>
  <c r="J30" i="11"/>
  <c r="I30" i="11"/>
  <c r="H30" i="11"/>
  <c r="G30" i="11"/>
  <c r="F30" i="11"/>
  <c r="K29" i="11"/>
  <c r="J320" i="22" s="1"/>
  <c r="J329" i="22" s="1"/>
  <c r="J29" i="11"/>
  <c r="I320" i="22" s="1"/>
  <c r="I329" i="22" s="1"/>
  <c r="I29" i="11"/>
  <c r="H320" i="22" s="1"/>
  <c r="H329" i="22" s="1"/>
  <c r="H29" i="11"/>
  <c r="G320" i="22" s="1"/>
  <c r="G329" i="22" s="1"/>
  <c r="G29" i="11"/>
  <c r="F320" i="22" s="1"/>
  <c r="F329" i="22" s="1"/>
  <c r="F29" i="11"/>
  <c r="M28" i="11"/>
  <c r="L319" i="22" s="1"/>
  <c r="L28" i="11"/>
  <c r="K319" i="22" s="1"/>
  <c r="K28" i="11"/>
  <c r="J319" i="22" s="1"/>
  <c r="J28" i="11"/>
  <c r="I319" i="22" s="1"/>
  <c r="I28" i="11"/>
  <c r="H319" i="22" s="1"/>
  <c r="H28" i="11"/>
  <c r="G319" i="22" s="1"/>
  <c r="G28" i="11"/>
  <c r="F319" i="22" s="1"/>
  <c r="F28" i="11"/>
  <c r="K25" i="11"/>
  <c r="J309" i="22" s="1"/>
  <c r="J25" i="11"/>
  <c r="I309" i="22" s="1"/>
  <c r="I25" i="11"/>
  <c r="H309" i="22" s="1"/>
  <c r="H25" i="11"/>
  <c r="G309" i="22" s="1"/>
  <c r="G25" i="11"/>
  <c r="F309" i="22" s="1"/>
  <c r="F25" i="11"/>
  <c r="M24" i="11"/>
  <c r="L308" i="22" s="1"/>
  <c r="L24" i="11"/>
  <c r="K308" i="22" s="1"/>
  <c r="K24" i="11"/>
  <c r="J308" i="22" s="1"/>
  <c r="J24" i="11"/>
  <c r="I308" i="22" s="1"/>
  <c r="I24" i="11"/>
  <c r="H308" i="22" s="1"/>
  <c r="H24" i="11"/>
  <c r="G308" i="22" s="1"/>
  <c r="G24" i="11"/>
  <c r="F308" i="22" s="1"/>
  <c r="F24" i="11"/>
  <c r="K21" i="11"/>
  <c r="J21" i="11"/>
  <c r="I21" i="11"/>
  <c r="H21" i="11"/>
  <c r="G298" i="22" s="1"/>
  <c r="G21" i="11"/>
  <c r="F298" i="22" s="1"/>
  <c r="F21" i="11"/>
  <c r="M20" i="11"/>
  <c r="L297" i="22" s="1"/>
  <c r="L20" i="11"/>
  <c r="K297" i="22" s="1"/>
  <c r="K20" i="11"/>
  <c r="J20" i="11"/>
  <c r="I20" i="11"/>
  <c r="H20" i="11"/>
  <c r="G297" i="22" s="1"/>
  <c r="G20" i="11"/>
  <c r="F297" i="22" s="1"/>
  <c r="F20" i="11"/>
  <c r="E20" i="11"/>
  <c r="E47" i="18"/>
  <c r="E48" i="18"/>
  <c r="E49" i="18"/>
  <c r="E50" i="18"/>
  <c r="E51" i="18"/>
  <c r="D47" i="18"/>
  <c r="D48" i="18"/>
  <c r="D49" i="18"/>
  <c r="D50" i="18"/>
  <c r="D51" i="18"/>
  <c r="C47" i="18"/>
  <c r="C48" i="18"/>
  <c r="C49" i="18"/>
  <c r="C50" i="18"/>
  <c r="C51" i="18"/>
  <c r="B47" i="18"/>
  <c r="B48" i="18"/>
  <c r="B49" i="18"/>
  <c r="B50" i="18"/>
  <c r="B51" i="18"/>
  <c r="F22" i="18"/>
  <c r="F21" i="18"/>
  <c r="I444" i="22" l="1"/>
  <c r="I311" i="22"/>
  <c r="G538" i="22" s="1"/>
  <c r="F548" i="22" s="1"/>
  <c r="I315" i="22"/>
  <c r="H456" i="22"/>
  <c r="F456" i="22"/>
  <c r="E468" i="22"/>
  <c r="J314" i="22"/>
  <c r="H468" i="22"/>
  <c r="I456" i="22"/>
  <c r="J311" i="22"/>
  <c r="G548" i="22" s="1"/>
  <c r="J315" i="22"/>
  <c r="F481" i="22"/>
  <c r="F494" i="22" s="1"/>
  <c r="G494" i="22" s="1"/>
  <c r="L328" i="22"/>
  <c r="F434" i="22"/>
  <c r="H343" i="22"/>
  <c r="E446" i="22"/>
  <c r="F483" i="22"/>
  <c r="F496" i="22" s="1"/>
  <c r="G496" i="22" s="1"/>
  <c r="L358" i="22"/>
  <c r="E472" i="22"/>
  <c r="F460" i="22"/>
  <c r="J373" i="22"/>
  <c r="G63" i="11"/>
  <c r="F380" i="22"/>
  <c r="F383" i="22" s="1"/>
  <c r="G513" i="22" s="1"/>
  <c r="I60" i="11"/>
  <c r="H297" i="22"/>
  <c r="I53" i="11"/>
  <c r="H298" i="22"/>
  <c r="J60" i="11"/>
  <c r="I297" i="22"/>
  <c r="J53" i="11"/>
  <c r="I298" i="22"/>
  <c r="F468" i="22"/>
  <c r="E480" i="22" s="1"/>
  <c r="K314" i="22"/>
  <c r="I343" i="22"/>
  <c r="F446" i="22"/>
  <c r="E458" i="22"/>
  <c r="K373" i="22"/>
  <c r="F472" i="22"/>
  <c r="H63" i="11"/>
  <c r="G380" i="22"/>
  <c r="I419" i="22"/>
  <c r="H431" i="22"/>
  <c r="G300" i="22"/>
  <c r="G517" i="22" s="1"/>
  <c r="G393" i="22"/>
  <c r="G399" i="22" s="1"/>
  <c r="G304" i="22"/>
  <c r="K358" i="22"/>
  <c r="F471" i="22"/>
  <c r="K60" i="11"/>
  <c r="J297" i="22"/>
  <c r="K53" i="11"/>
  <c r="J298" i="22"/>
  <c r="F480" i="22"/>
  <c r="F493" i="22" s="1"/>
  <c r="G493" i="22" s="1"/>
  <c r="L314" i="22"/>
  <c r="F409" i="22"/>
  <c r="G409" i="22" s="1"/>
  <c r="N409" i="22" s="1"/>
  <c r="E421" i="22"/>
  <c r="F328" i="22"/>
  <c r="F458" i="22"/>
  <c r="G458" i="22" s="1"/>
  <c r="E470" i="22"/>
  <c r="J343" i="22"/>
  <c r="F358" i="22"/>
  <c r="E423" i="22"/>
  <c r="F411" i="22"/>
  <c r="G411" i="22" s="1"/>
  <c r="F484" i="22"/>
  <c r="F497" i="22" s="1"/>
  <c r="G497" i="22" s="1"/>
  <c r="L373" i="22"/>
  <c r="H425" i="22"/>
  <c r="I413" i="22"/>
  <c r="L413" i="22" s="1"/>
  <c r="F387" i="22"/>
  <c r="I63" i="11"/>
  <c r="I64" i="11" s="1"/>
  <c r="H380" i="22"/>
  <c r="H383" i="22" s="1"/>
  <c r="G533" i="22" s="1"/>
  <c r="F543" i="22" s="1"/>
  <c r="F469" i="22"/>
  <c r="E481" i="22" s="1"/>
  <c r="G481" i="22" s="1"/>
  <c r="K328" i="22"/>
  <c r="K392" i="22"/>
  <c r="K398" i="22" s="1"/>
  <c r="K303" i="22"/>
  <c r="F467" i="22"/>
  <c r="G328" i="22"/>
  <c r="F421" i="22"/>
  <c r="G421" i="22" s="1"/>
  <c r="E433" i="22"/>
  <c r="F470" i="22"/>
  <c r="K343" i="22"/>
  <c r="G358" i="22"/>
  <c r="E435" i="22"/>
  <c r="F423" i="22"/>
  <c r="G423" i="22" s="1"/>
  <c r="G383" i="22"/>
  <c r="G523" i="22" s="1"/>
  <c r="G387" i="22"/>
  <c r="I425" i="22"/>
  <c r="H437" i="22"/>
  <c r="J63" i="11"/>
  <c r="I380" i="22"/>
  <c r="I383" i="22" s="1"/>
  <c r="G543" i="22" s="1"/>
  <c r="F553" i="22" s="1"/>
  <c r="F419" i="22"/>
  <c r="G392" i="22"/>
  <c r="G398" i="22" s="1"/>
  <c r="E431" i="22"/>
  <c r="G303" i="22"/>
  <c r="G343" i="22"/>
  <c r="E434" i="22"/>
  <c r="F422" i="22"/>
  <c r="E420" i="22"/>
  <c r="F314" i="22"/>
  <c r="F408" i="22"/>
  <c r="G408" i="22" s="1"/>
  <c r="H420" i="22"/>
  <c r="F311" i="22"/>
  <c r="G508" i="22" s="1"/>
  <c r="F315" i="22"/>
  <c r="I408" i="22"/>
  <c r="L408" i="22" s="1"/>
  <c r="M408" i="22" s="1"/>
  <c r="E445" i="22"/>
  <c r="H328" i="22"/>
  <c r="F433" i="22"/>
  <c r="F482" i="22"/>
  <c r="F495" i="22" s="1"/>
  <c r="G495" i="22" s="1"/>
  <c r="L343" i="22"/>
  <c r="H358" i="22"/>
  <c r="F435" i="22"/>
  <c r="G435" i="22" s="1"/>
  <c r="E447" i="22"/>
  <c r="F412" i="22"/>
  <c r="G412" i="22" s="1"/>
  <c r="E424" i="22"/>
  <c r="F373" i="22"/>
  <c r="I437" i="22"/>
  <c r="L437" i="22" s="1"/>
  <c r="M437" i="22" s="1"/>
  <c r="H449" i="22"/>
  <c r="H387" i="22"/>
  <c r="K63" i="11"/>
  <c r="J380" i="22"/>
  <c r="J383" i="22" s="1"/>
  <c r="G553" i="22" s="1"/>
  <c r="E460" i="22"/>
  <c r="I373" i="22"/>
  <c r="F448" i="22"/>
  <c r="L392" i="22"/>
  <c r="L398" i="22" s="1"/>
  <c r="L303" i="22"/>
  <c r="F479" i="22"/>
  <c r="F53" i="11"/>
  <c r="G314" i="22"/>
  <c r="E432" i="22"/>
  <c r="F420" i="22"/>
  <c r="G315" i="22"/>
  <c r="I420" i="22"/>
  <c r="L420" i="22" s="1"/>
  <c r="M420" i="22" s="1"/>
  <c r="H432" i="22"/>
  <c r="G311" i="22"/>
  <c r="G518" i="22" s="1"/>
  <c r="E457" i="22"/>
  <c r="I328" i="22"/>
  <c r="F445" i="22"/>
  <c r="E459" i="22"/>
  <c r="I358" i="22"/>
  <c r="F447" i="22"/>
  <c r="G373" i="22"/>
  <c r="E436" i="22"/>
  <c r="F424" i="22"/>
  <c r="I449" i="22"/>
  <c r="I387" i="22"/>
  <c r="H461" i="22"/>
  <c r="K386" i="22"/>
  <c r="F473" i="22"/>
  <c r="F444" i="22"/>
  <c r="I314" i="22"/>
  <c r="E456" i="22"/>
  <c r="E419" i="22"/>
  <c r="F392" i="22"/>
  <c r="F398" i="22" s="1"/>
  <c r="F407" i="22"/>
  <c r="F303" i="22"/>
  <c r="H419" i="22"/>
  <c r="F304" i="22"/>
  <c r="F393" i="22"/>
  <c r="F399" i="22" s="1"/>
  <c r="I407" i="22"/>
  <c r="F300" i="22"/>
  <c r="G507" i="22" s="1"/>
  <c r="F432" i="22"/>
  <c r="H314" i="22"/>
  <c r="E444" i="22"/>
  <c r="H444" i="22"/>
  <c r="H311" i="22"/>
  <c r="G528" i="22" s="1"/>
  <c r="F538" i="22" s="1"/>
  <c r="H538" i="22" s="1"/>
  <c r="I432" i="22"/>
  <c r="H315" i="22"/>
  <c r="E469" i="22"/>
  <c r="F457" i="22"/>
  <c r="J328" i="22"/>
  <c r="E422" i="22"/>
  <c r="F343" i="22"/>
  <c r="F410" i="22"/>
  <c r="G410" i="22" s="1"/>
  <c r="E471" i="22"/>
  <c r="F459" i="22"/>
  <c r="J358" i="22"/>
  <c r="E448" i="22"/>
  <c r="H373" i="22"/>
  <c r="F436" i="22"/>
  <c r="J387" i="22"/>
  <c r="I461" i="22"/>
  <c r="L461" i="22" s="1"/>
  <c r="M461" i="22" s="1"/>
  <c r="H473" i="22"/>
  <c r="F485" i="22"/>
  <c r="F498" i="22" s="1"/>
  <c r="G498" i="22" s="1"/>
  <c r="L386" i="22"/>
  <c r="G269" i="22"/>
  <c r="I338" i="22"/>
  <c r="I340" i="22" s="1"/>
  <c r="G540" i="22" s="1"/>
  <c r="F550" i="22" s="1"/>
  <c r="G368" i="22"/>
  <c r="H368" i="22"/>
  <c r="H272" i="22"/>
  <c r="G322" i="22"/>
  <c r="G324" i="22" s="1"/>
  <c r="G519" i="22" s="1"/>
  <c r="G353" i="22"/>
  <c r="I368" i="22"/>
  <c r="F353" i="22"/>
  <c r="E272" i="22"/>
  <c r="F269" i="22"/>
  <c r="H271" i="22"/>
  <c r="H322" i="22"/>
  <c r="H324" i="22" s="1"/>
  <c r="G529" i="22" s="1"/>
  <c r="H353" i="22"/>
  <c r="J368" i="22"/>
  <c r="F268" i="22"/>
  <c r="H270" i="22"/>
  <c r="I322" i="22"/>
  <c r="I324" i="22" s="1"/>
  <c r="G539" i="22" s="1"/>
  <c r="F549" i="22" s="1"/>
  <c r="I353" i="22"/>
  <c r="F271" i="22"/>
  <c r="C56" i="18"/>
  <c r="F270" i="22"/>
  <c r="H269" i="22"/>
  <c r="J322" i="22"/>
  <c r="J324" i="22" s="1"/>
  <c r="G549" i="22" s="1"/>
  <c r="F338" i="22"/>
  <c r="J353" i="22"/>
  <c r="G268" i="22"/>
  <c r="F322" i="22"/>
  <c r="F324" i="22" s="1"/>
  <c r="G509" i="22" s="1"/>
  <c r="E270" i="22"/>
  <c r="G271" i="22"/>
  <c r="H268" i="22"/>
  <c r="G338" i="22"/>
  <c r="G340" i="22" s="1"/>
  <c r="G520" i="22" s="1"/>
  <c r="F272" i="22"/>
  <c r="J338" i="22"/>
  <c r="J340" i="22" s="1"/>
  <c r="G550" i="22" s="1"/>
  <c r="E271" i="22"/>
  <c r="G272" i="22"/>
  <c r="E269" i="22"/>
  <c r="E268" i="22"/>
  <c r="D54" i="18"/>
  <c r="G270" i="22"/>
  <c r="H338" i="22"/>
  <c r="H340" i="22" s="1"/>
  <c r="G530" i="22" s="1"/>
  <c r="F368" i="22"/>
  <c r="F60" i="11"/>
  <c r="F64" i="11" s="1"/>
  <c r="G60" i="11"/>
  <c r="G64" i="11" s="1"/>
  <c r="G65" i="11" s="1"/>
  <c r="G53" i="11"/>
  <c r="H60" i="11"/>
  <c r="H53" i="11"/>
  <c r="J64" i="11"/>
  <c r="K52" i="11"/>
  <c r="J52" i="11"/>
  <c r="I52" i="11"/>
  <c r="H52" i="11"/>
  <c r="G52" i="11"/>
  <c r="F52" i="11"/>
  <c r="E56" i="18"/>
  <c r="I54" i="11"/>
  <c r="J54" i="11"/>
  <c r="J58" i="11" s="1"/>
  <c r="K54" i="11"/>
  <c r="K58" i="11" s="1"/>
  <c r="H54" i="11"/>
  <c r="H58" i="11" s="1"/>
  <c r="F54" i="11"/>
  <c r="G54" i="11"/>
  <c r="D56" i="18"/>
  <c r="B56" i="18"/>
  <c r="F20" i="18"/>
  <c r="F19" i="18"/>
  <c r="L456" i="22" l="1"/>
  <c r="M456" i="22" s="1"/>
  <c r="H64" i="11"/>
  <c r="H65" i="11" s="1"/>
  <c r="G436" i="22"/>
  <c r="G457" i="22"/>
  <c r="G432" i="22"/>
  <c r="L449" i="22"/>
  <c r="M449" i="22" s="1"/>
  <c r="G446" i="22"/>
  <c r="G468" i="22"/>
  <c r="G460" i="22"/>
  <c r="G469" i="22"/>
  <c r="G424" i="22"/>
  <c r="F56" i="11"/>
  <c r="H13" i="22"/>
  <c r="H543" i="22"/>
  <c r="F533" i="22"/>
  <c r="H533" i="22" s="1"/>
  <c r="H467" i="22"/>
  <c r="J304" i="22"/>
  <c r="I455" i="22"/>
  <c r="J300" i="22"/>
  <c r="G547" i="22" s="1"/>
  <c r="J393" i="22"/>
  <c r="J399" i="22" s="1"/>
  <c r="G456" i="22"/>
  <c r="E484" i="22"/>
  <c r="G484" i="22" s="1"/>
  <c r="G472" i="22"/>
  <c r="G56" i="11"/>
  <c r="H14" i="22"/>
  <c r="I303" i="22"/>
  <c r="I392" i="22"/>
  <c r="I398" i="22" s="1"/>
  <c r="E455" i="22"/>
  <c r="F443" i="22"/>
  <c r="H56" i="11"/>
  <c r="H15" i="22"/>
  <c r="H553" i="22"/>
  <c r="F563" i="22"/>
  <c r="G444" i="22"/>
  <c r="G445" i="22"/>
  <c r="G420" i="22"/>
  <c r="G448" i="22"/>
  <c r="G422" i="22"/>
  <c r="G419" i="22"/>
  <c r="E449" i="22"/>
  <c r="H386" i="22"/>
  <c r="F437" i="22"/>
  <c r="F455" i="22"/>
  <c r="E467" i="22"/>
  <c r="J303" i="22"/>
  <c r="J392" i="22"/>
  <c r="J398" i="22" s="1"/>
  <c r="F527" i="22"/>
  <c r="H548" i="22"/>
  <c r="F558" i="22"/>
  <c r="G459" i="22"/>
  <c r="G407" i="22"/>
  <c r="I386" i="22"/>
  <c r="F449" i="22"/>
  <c r="E461" i="22"/>
  <c r="F474" i="22"/>
  <c r="E479" i="22"/>
  <c r="K64" i="11"/>
  <c r="K65" i="11" s="1"/>
  <c r="E425" i="22"/>
  <c r="E426" i="22" s="1"/>
  <c r="F386" i="22"/>
  <c r="F413" i="22"/>
  <c r="G413" i="22" s="1"/>
  <c r="H392" i="22"/>
  <c r="H398" i="22" s="1"/>
  <c r="H303" i="22"/>
  <c r="E443" i="22"/>
  <c r="F431" i="22"/>
  <c r="I56" i="11"/>
  <c r="H16" i="22"/>
  <c r="J56" i="11"/>
  <c r="H17" i="22"/>
  <c r="E485" i="22"/>
  <c r="G485" i="22" s="1"/>
  <c r="F518" i="22"/>
  <c r="H518" i="22" s="1"/>
  <c r="H508" i="22"/>
  <c r="L419" i="22"/>
  <c r="M419" i="22" s="1"/>
  <c r="I426" i="22"/>
  <c r="H438" i="22" s="1"/>
  <c r="F492" i="22"/>
  <c r="F486" i="22"/>
  <c r="H455" i="22"/>
  <c r="I300" i="22"/>
  <c r="G537" i="22" s="1"/>
  <c r="I304" i="22"/>
  <c r="I443" i="22"/>
  <c r="I393" i="22"/>
  <c r="I399" i="22" s="1"/>
  <c r="K56" i="11"/>
  <c r="H18" i="22"/>
  <c r="F517" i="22"/>
  <c r="H517" i="22" s="1"/>
  <c r="H507" i="22"/>
  <c r="F523" i="22"/>
  <c r="H523" i="22" s="1"/>
  <c r="H513" i="22"/>
  <c r="E437" i="22"/>
  <c r="E438" i="22" s="1"/>
  <c r="G386" i="22"/>
  <c r="F425" i="22"/>
  <c r="F426" i="22" s="1"/>
  <c r="I431" i="22"/>
  <c r="H393" i="22"/>
  <c r="H399" i="22" s="1"/>
  <c r="H443" i="22"/>
  <c r="H300" i="22"/>
  <c r="G527" i="22" s="1"/>
  <c r="F537" i="22" s="1"/>
  <c r="H304" i="22"/>
  <c r="J65" i="11"/>
  <c r="L432" i="22"/>
  <c r="M432" i="22" s="1"/>
  <c r="L407" i="22"/>
  <c r="P407" i="22" s="1"/>
  <c r="I414" i="22"/>
  <c r="H426" i="22" s="1"/>
  <c r="G447" i="22"/>
  <c r="F528" i="22"/>
  <c r="H528" i="22" s="1"/>
  <c r="E473" i="22"/>
  <c r="G473" i="22" s="1"/>
  <c r="F461" i="22"/>
  <c r="G461" i="22" s="1"/>
  <c r="J386" i="22"/>
  <c r="G433" i="22"/>
  <c r="L425" i="22"/>
  <c r="G470" i="22"/>
  <c r="E482" i="22"/>
  <c r="G482" i="22" s="1"/>
  <c r="E483" i="22"/>
  <c r="G483" i="22" s="1"/>
  <c r="G471" i="22"/>
  <c r="G480" i="22"/>
  <c r="G434" i="22"/>
  <c r="L444" i="22"/>
  <c r="M444" i="22" s="1"/>
  <c r="H549" i="22"/>
  <c r="F559" i="22"/>
  <c r="F560" i="22"/>
  <c r="H550" i="22"/>
  <c r="F530" i="22"/>
  <c r="H530" i="22" s="1"/>
  <c r="H509" i="22"/>
  <c r="F519" i="22"/>
  <c r="H519" i="22" s="1"/>
  <c r="F540" i="22"/>
  <c r="H540" i="22" s="1"/>
  <c r="F529" i="22"/>
  <c r="H529" i="22" s="1"/>
  <c r="F539" i="22"/>
  <c r="H539" i="22" s="1"/>
  <c r="F340" i="22"/>
  <c r="G510" i="22"/>
  <c r="I370" i="22"/>
  <c r="G542" i="22" s="1"/>
  <c r="F552" i="22" s="1"/>
  <c r="I376" i="22"/>
  <c r="H370" i="22"/>
  <c r="G532" i="22" s="1"/>
  <c r="H376" i="22"/>
  <c r="J370" i="22"/>
  <c r="G552" i="22" s="1"/>
  <c r="J376" i="22"/>
  <c r="G370" i="22"/>
  <c r="G522" i="22" s="1"/>
  <c r="G376" i="22"/>
  <c r="F370" i="22"/>
  <c r="G512" i="22" s="1"/>
  <c r="F522" i="22" s="1"/>
  <c r="F376" i="22"/>
  <c r="H355" i="22"/>
  <c r="G531" i="22" s="1"/>
  <c r="H361" i="22"/>
  <c r="G355" i="22"/>
  <c r="G521" i="22" s="1"/>
  <c r="G361" i="22"/>
  <c r="J355" i="22"/>
  <c r="G551" i="22" s="1"/>
  <c r="J361" i="22"/>
  <c r="I355" i="22"/>
  <c r="G541" i="22" s="1"/>
  <c r="F551" i="22" s="1"/>
  <c r="I361" i="22"/>
  <c r="F355" i="22"/>
  <c r="G511" i="22" s="1"/>
  <c r="F521" i="22" s="1"/>
  <c r="F361" i="22"/>
  <c r="K410" i="22"/>
  <c r="L410" i="22" s="1"/>
  <c r="J422" i="22"/>
  <c r="F346" i="22"/>
  <c r="J460" i="22"/>
  <c r="I395" i="22"/>
  <c r="I401" i="22" s="1"/>
  <c r="K448" i="22"/>
  <c r="K436" i="22"/>
  <c r="H395" i="22"/>
  <c r="H401" i="22" s="1"/>
  <c r="J448" i="22"/>
  <c r="K422" i="22"/>
  <c r="G346" i="22"/>
  <c r="J434" i="22"/>
  <c r="J421" i="22"/>
  <c r="F331" i="22"/>
  <c r="K409" i="22"/>
  <c r="J331" i="22"/>
  <c r="J469" i="22"/>
  <c r="K457" i="22"/>
  <c r="G273" i="22"/>
  <c r="K447" i="22"/>
  <c r="J459" i="22"/>
  <c r="J472" i="22"/>
  <c r="K460" i="22"/>
  <c r="J395" i="22"/>
  <c r="J401" i="22" s="1"/>
  <c r="K423" i="22"/>
  <c r="J435" i="22"/>
  <c r="J436" i="22"/>
  <c r="G395" i="22"/>
  <c r="G401" i="22" s="1"/>
  <c r="K424" i="22"/>
  <c r="E54" i="18"/>
  <c r="H273" i="22"/>
  <c r="B54" i="18"/>
  <c r="E273" i="22"/>
  <c r="K445" i="22"/>
  <c r="J457" i="22"/>
  <c r="I331" i="22"/>
  <c r="J447" i="22"/>
  <c r="K435" i="22"/>
  <c r="K421" i="22"/>
  <c r="G331" i="22"/>
  <c r="J433" i="22"/>
  <c r="K446" i="22"/>
  <c r="I346" i="22"/>
  <c r="J458" i="22"/>
  <c r="J470" i="22"/>
  <c r="K458" i="22"/>
  <c r="J346" i="22"/>
  <c r="J471" i="22"/>
  <c r="K459" i="22"/>
  <c r="J446" i="22"/>
  <c r="H346" i="22"/>
  <c r="K434" i="22"/>
  <c r="I58" i="11"/>
  <c r="K412" i="22"/>
  <c r="L412" i="22" s="1"/>
  <c r="J424" i="22"/>
  <c r="F395" i="22"/>
  <c r="F401" i="22" s="1"/>
  <c r="C54" i="18"/>
  <c r="F273" i="22"/>
  <c r="J445" i="22"/>
  <c r="H331" i="22"/>
  <c r="K433" i="22"/>
  <c r="K411" i="22"/>
  <c r="L411" i="22" s="1"/>
  <c r="J423" i="22"/>
  <c r="O84" i="9"/>
  <c r="O83" i="9"/>
  <c r="L14" i="11" s="1"/>
  <c r="A71" i="9"/>
  <c r="A76" i="9" s="1"/>
  <c r="A80" i="9" s="1"/>
  <c r="H43" i="9"/>
  <c r="I43" i="9"/>
  <c r="J43" i="9"/>
  <c r="K43" i="9"/>
  <c r="L43" i="9"/>
  <c r="L44" i="9" s="1"/>
  <c r="L45" i="9" s="1"/>
  <c r="M43" i="9"/>
  <c r="N43" i="9"/>
  <c r="N44" i="9" s="1"/>
  <c r="N39" i="9"/>
  <c r="N40" i="9"/>
  <c r="N41" i="9"/>
  <c r="N42" i="9"/>
  <c r="M39" i="9"/>
  <c r="M40" i="9"/>
  <c r="M41" i="9"/>
  <c r="M42" i="9"/>
  <c r="L39" i="9"/>
  <c r="L40" i="9"/>
  <c r="L41" i="9"/>
  <c r="L42" i="9"/>
  <c r="L59" i="9" s="1"/>
  <c r="K39" i="9"/>
  <c r="K40" i="9"/>
  <c r="K41" i="9"/>
  <c r="K42" i="9"/>
  <c r="J39" i="9"/>
  <c r="J40" i="9"/>
  <c r="J41" i="9"/>
  <c r="J42" i="9"/>
  <c r="J59" i="9" s="1"/>
  <c r="I39" i="9"/>
  <c r="I40" i="9"/>
  <c r="I41" i="9"/>
  <c r="I42" i="9"/>
  <c r="H39" i="9"/>
  <c r="H40" i="9"/>
  <c r="H41" i="9"/>
  <c r="H42" i="9"/>
  <c r="H59" i="9" s="1"/>
  <c r="H24" i="17"/>
  <c r="G25" i="17"/>
  <c r="G24" i="17"/>
  <c r="F25" i="17"/>
  <c r="F24" i="17"/>
  <c r="E25" i="17"/>
  <c r="E24" i="17"/>
  <c r="D25" i="17"/>
  <c r="D24" i="17"/>
  <c r="C25" i="17"/>
  <c r="C24" i="17"/>
  <c r="B25" i="17"/>
  <c r="B24" i="17"/>
  <c r="C55" i="17"/>
  <c r="D55" i="17"/>
  <c r="E55" i="17"/>
  <c r="F55" i="17"/>
  <c r="G55" i="17"/>
  <c r="H55" i="17"/>
  <c r="B55" i="17"/>
  <c r="C54" i="17"/>
  <c r="D54" i="17"/>
  <c r="E54" i="17"/>
  <c r="F54" i="17"/>
  <c r="G54" i="17"/>
  <c r="H54" i="17"/>
  <c r="B54" i="17"/>
  <c r="H45" i="17"/>
  <c r="H46" i="17"/>
  <c r="H47" i="17"/>
  <c r="H48" i="17"/>
  <c r="H49" i="17"/>
  <c r="G45" i="17"/>
  <c r="G46" i="17"/>
  <c r="G47" i="17"/>
  <c r="G48" i="17"/>
  <c r="G49" i="17"/>
  <c r="D45" i="17"/>
  <c r="D46" i="17"/>
  <c r="D47" i="17"/>
  <c r="D48" i="17"/>
  <c r="D49" i="17"/>
  <c r="C45" i="17"/>
  <c r="C46" i="17"/>
  <c r="C47" i="17"/>
  <c r="C48" i="17"/>
  <c r="C49" i="17"/>
  <c r="B45" i="17"/>
  <c r="B46" i="17"/>
  <c r="B47" i="17"/>
  <c r="B48" i="17"/>
  <c r="B49" i="17"/>
  <c r="I65" i="11" l="1"/>
  <c r="M44" i="9"/>
  <c r="M60" i="9"/>
  <c r="K192" i="22"/>
  <c r="K198" i="22" s="1"/>
  <c r="K234" i="22" s="1"/>
  <c r="N45" i="9"/>
  <c r="K193" i="22" s="1"/>
  <c r="K199" i="22" s="1"/>
  <c r="K235" i="22" s="1"/>
  <c r="I18" i="22"/>
  <c r="J18" i="22" s="1"/>
  <c r="I16" i="22"/>
  <c r="J16" i="22" s="1"/>
  <c r="I17" i="22"/>
  <c r="J17" i="22" s="1"/>
  <c r="E486" i="22"/>
  <c r="I14" i="22"/>
  <c r="J14" i="22" s="1"/>
  <c r="G449" i="22"/>
  <c r="E462" i="22"/>
  <c r="G479" i="22"/>
  <c r="G486" i="22" s="1"/>
  <c r="F414" i="22"/>
  <c r="G414" i="22"/>
  <c r="F499" i="22"/>
  <c r="G492" i="22"/>
  <c r="G499" i="22" s="1"/>
  <c r="E474" i="22"/>
  <c r="L443" i="22"/>
  <c r="M443" i="22" s="1"/>
  <c r="I450" i="22"/>
  <c r="H462" i="22" s="1"/>
  <c r="F438" i="22"/>
  <c r="G431" i="22"/>
  <c r="F462" i="22"/>
  <c r="G455" i="22"/>
  <c r="G462" i="22" s="1"/>
  <c r="I15" i="22"/>
  <c r="J15" i="22" s="1"/>
  <c r="L431" i="22"/>
  <c r="M431" i="22" s="1"/>
  <c r="I438" i="22"/>
  <c r="H450" i="22" s="1"/>
  <c r="G437" i="22"/>
  <c r="F557" i="22"/>
  <c r="G425" i="22"/>
  <c r="G426" i="22" s="1"/>
  <c r="F547" i="22"/>
  <c r="H547" i="22" s="1"/>
  <c r="H537" i="22"/>
  <c r="E450" i="22"/>
  <c r="G467" i="22"/>
  <c r="G474" i="22" s="1"/>
  <c r="H527" i="22"/>
  <c r="G443" i="22"/>
  <c r="F450" i="22"/>
  <c r="L455" i="22"/>
  <c r="M455" i="22" s="1"/>
  <c r="I462" i="22"/>
  <c r="H474" i="22" s="1"/>
  <c r="H551" i="22"/>
  <c r="F561" i="22"/>
  <c r="H552" i="22"/>
  <c r="F562" i="22"/>
  <c r="H512" i="22"/>
  <c r="H511" i="22"/>
  <c r="H522" i="22"/>
  <c r="F532" i="22"/>
  <c r="H532" i="22" s="1"/>
  <c r="F531" i="22"/>
  <c r="H531" i="22" s="1"/>
  <c r="H521" i="22"/>
  <c r="F541" i="22"/>
  <c r="H541" i="22" s="1"/>
  <c r="F542" i="22"/>
  <c r="H542" i="22" s="1"/>
  <c r="H510" i="22"/>
  <c r="F520" i="22"/>
  <c r="H520" i="22" s="1"/>
  <c r="L434" i="22"/>
  <c r="M434" i="22" s="1"/>
  <c r="L460" i="22"/>
  <c r="M460" i="22" s="1"/>
  <c r="L436" i="22"/>
  <c r="M436" i="22" s="1"/>
  <c r="L423" i="22"/>
  <c r="L435" i="22"/>
  <c r="L421" i="22"/>
  <c r="M421" i="22" s="1"/>
  <c r="J438" i="22"/>
  <c r="L458" i="22"/>
  <c r="M458" i="22" s="1"/>
  <c r="J426" i="22"/>
  <c r="K426" i="22"/>
  <c r="L424" i="22"/>
  <c r="M424" i="22" s="1"/>
  <c r="K450" i="22"/>
  <c r="L448" i="22"/>
  <c r="M448" i="22" s="1"/>
  <c r="L457" i="22"/>
  <c r="M457" i="22" s="1"/>
  <c r="K462" i="22"/>
  <c r="L459" i="22"/>
  <c r="M459" i="22" s="1"/>
  <c r="L446" i="22"/>
  <c r="M446" i="22" s="1"/>
  <c r="J462" i="22"/>
  <c r="J474" i="22"/>
  <c r="L445" i="22"/>
  <c r="M445" i="22" s="1"/>
  <c r="J450" i="22"/>
  <c r="L409" i="22"/>
  <c r="M409" i="22" s="1"/>
  <c r="K414" i="22"/>
  <c r="L422" i="22"/>
  <c r="M422" i="22" s="1"/>
  <c r="K438" i="22"/>
  <c r="L433" i="22"/>
  <c r="M433" i="22" s="1"/>
  <c r="L447" i="22"/>
  <c r="M447" i="22" s="1"/>
  <c r="S412" i="22"/>
  <c r="M410" i="22"/>
  <c r="M14" i="11"/>
  <c r="P71" i="9"/>
  <c r="I60" i="9"/>
  <c r="I59" i="9"/>
  <c r="L67" i="9"/>
  <c r="L68" i="9"/>
  <c r="I57" i="9"/>
  <c r="K57" i="9"/>
  <c r="M57" i="9"/>
  <c r="M67" i="9"/>
  <c r="N67" i="9"/>
  <c r="H25" i="17"/>
  <c r="N68" i="9" s="1"/>
  <c r="H57" i="9"/>
  <c r="J57" i="9"/>
  <c r="N57" i="9"/>
  <c r="K59" i="9"/>
  <c r="L57" i="9"/>
  <c r="K58" i="9"/>
  <c r="L60" i="9"/>
  <c r="N59" i="9"/>
  <c r="J60" i="9"/>
  <c r="H58" i="9"/>
  <c r="J58" i="9"/>
  <c r="L58" i="9"/>
  <c r="N58" i="9"/>
  <c r="I58" i="9"/>
  <c r="M58" i="9"/>
  <c r="N60" i="9"/>
  <c r="K60" i="9"/>
  <c r="H60" i="9"/>
  <c r="H64" i="9" s="1"/>
  <c r="E187" i="22" s="1"/>
  <c r="E192" i="22" s="1"/>
  <c r="M59" i="9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J20" i="17"/>
  <c r="J21" i="17"/>
  <c r="J22" i="17"/>
  <c r="J23" i="17"/>
  <c r="J24" i="17"/>
  <c r="J25" i="17"/>
  <c r="B21" i="9"/>
  <c r="B22" i="9"/>
  <c r="J192" i="22" l="1"/>
  <c r="J198" i="22" s="1"/>
  <c r="J234" i="22" s="1"/>
  <c r="M45" i="9"/>
  <c r="E193" i="22"/>
  <c r="E199" i="22" s="1"/>
  <c r="E198" i="22"/>
  <c r="G450" i="22"/>
  <c r="G438" i="22"/>
  <c r="K290" i="22"/>
  <c r="M76" i="9"/>
  <c r="N77" i="9"/>
  <c r="L77" i="9"/>
  <c r="N76" i="9"/>
  <c r="L76" i="9"/>
  <c r="I64" i="9"/>
  <c r="F187" i="22" s="1"/>
  <c r="F192" i="22" s="1"/>
  <c r="J64" i="9"/>
  <c r="G187" i="22" s="1"/>
  <c r="G192" i="22" s="1"/>
  <c r="M64" i="9"/>
  <c r="J187" i="22" s="1"/>
  <c r="L64" i="9"/>
  <c r="I187" i="22" s="1"/>
  <c r="I192" i="22" s="1"/>
  <c r="K64" i="9"/>
  <c r="H187" i="22" s="1"/>
  <c r="H192" i="22" s="1"/>
  <c r="N64" i="9"/>
  <c r="K187" i="22" s="1"/>
  <c r="I198" i="22" l="1"/>
  <c r="I234" i="22" s="1"/>
  <c r="I193" i="22"/>
  <c r="I199" i="22" s="1"/>
  <c r="I235" i="22" s="1"/>
  <c r="E235" i="22"/>
  <c r="H193" i="22"/>
  <c r="H199" i="22" s="1"/>
  <c r="H235" i="22" s="1"/>
  <c r="H198" i="22"/>
  <c r="H234" i="22" s="1"/>
  <c r="L198" i="22"/>
  <c r="E234" i="22"/>
  <c r="L234" i="22" s="1"/>
  <c r="J193" i="22"/>
  <c r="J199" i="22" s="1"/>
  <c r="J235" i="22" s="1"/>
  <c r="M68" i="9"/>
  <c r="M77" i="9" s="1"/>
  <c r="G193" i="22"/>
  <c r="G199" i="22" s="1"/>
  <c r="G235" i="22" s="1"/>
  <c r="G198" i="22"/>
  <c r="G234" i="22" s="1"/>
  <c r="F198" i="22"/>
  <c r="F234" i="22" s="1"/>
  <c r="F193" i="22"/>
  <c r="F199" i="22" s="1"/>
  <c r="F235" i="22" s="1"/>
  <c r="L199" i="22" l="1"/>
  <c r="L235" i="22"/>
  <c r="O20" i="9"/>
  <c r="O19" i="9" l="1"/>
  <c r="O18" i="9" l="1"/>
  <c r="O17" i="9" l="1"/>
  <c r="O16" i="9"/>
  <c r="G16" i="9"/>
  <c r="G17" i="9"/>
  <c r="G18" i="9"/>
  <c r="G19" i="9"/>
  <c r="G20" i="9"/>
  <c r="K73" i="25" l="1"/>
  <c r="J12" i="11"/>
  <c r="J57" i="11"/>
  <c r="K71" i="25"/>
  <c r="H12" i="11"/>
  <c r="H57" i="11"/>
  <c r="K74" i="25"/>
  <c r="K12" i="11"/>
  <c r="K57" i="11"/>
  <c r="K72" i="25"/>
  <c r="I12" i="11"/>
  <c r="I57" i="11"/>
  <c r="K70" i="25"/>
  <c r="G12" i="11"/>
  <c r="G57" i="11"/>
  <c r="A17" i="9"/>
  <c r="A18" i="9"/>
  <c r="A19" i="9"/>
  <c r="A20" i="9"/>
  <c r="A21" i="9"/>
  <c r="A22" i="9"/>
  <c r="E18" i="22" l="1"/>
  <c r="J291" i="22"/>
  <c r="E14" i="22"/>
  <c r="F291" i="22"/>
  <c r="G291" i="22"/>
  <c r="E15" i="22"/>
  <c r="F15" i="22" s="1"/>
  <c r="G15" i="22" s="1"/>
  <c r="H291" i="22"/>
  <c r="E16" i="22"/>
  <c r="F16" i="22" s="1"/>
  <c r="G16" i="22" s="1"/>
  <c r="E17" i="22"/>
  <c r="I291" i="22"/>
  <c r="AF19" i="21"/>
  <c r="AF20" i="21"/>
  <c r="AF21" i="21"/>
  <c r="AF22" i="21"/>
  <c r="AF27" i="21"/>
  <c r="AF28" i="21"/>
  <c r="AF29" i="21"/>
  <c r="AF18" i="21"/>
  <c r="AE19" i="21"/>
  <c r="AE20" i="21"/>
  <c r="AE21" i="21"/>
  <c r="AE27" i="21"/>
  <c r="AE28" i="21"/>
  <c r="AE29" i="21"/>
  <c r="AE18" i="21"/>
  <c r="AD19" i="21"/>
  <c r="AD20" i="21"/>
  <c r="AD21" i="21"/>
  <c r="AD27" i="21"/>
  <c r="AD28" i="21"/>
  <c r="AD29" i="21"/>
  <c r="AD18" i="21"/>
  <c r="AC19" i="21"/>
  <c r="AC20" i="21"/>
  <c r="AC21" i="21"/>
  <c r="AC28" i="21"/>
  <c r="AC29" i="21"/>
  <c r="AC18" i="21"/>
  <c r="B183" i="7"/>
  <c r="B182" i="7"/>
  <c r="B181" i="7"/>
  <c r="B180" i="7"/>
  <c r="F17" i="22" l="1"/>
  <c r="G17" i="22" s="1"/>
  <c r="F18" i="22"/>
  <c r="G18" i="22" s="1"/>
  <c r="J4" i="11"/>
  <c r="I283" i="22" s="1"/>
  <c r="B19" i="9"/>
  <c r="B18" i="9"/>
  <c r="I4" i="11"/>
  <c r="H283" i="22" s="1"/>
  <c r="H4" i="11"/>
  <c r="G283" i="22" s="1"/>
  <c r="B17" i="9"/>
  <c r="K4" i="11"/>
  <c r="J283" i="22" s="1"/>
  <c r="B20" i="9"/>
  <c r="F20" i="9" l="1"/>
  <c r="J74" i="25" s="1"/>
  <c r="E119" i="22"/>
  <c r="F17" i="9"/>
  <c r="J71" i="25" s="1"/>
  <c r="E116" i="22"/>
  <c r="F19" i="9"/>
  <c r="J73" i="25" s="1"/>
  <c r="E118" i="22"/>
  <c r="F18" i="9"/>
  <c r="J72" i="25" s="1"/>
  <c r="E117" i="22"/>
  <c r="H136" i="7"/>
  <c r="H135" i="7"/>
  <c r="H134" i="7"/>
  <c r="AF26" i="21"/>
  <c r="AF25" i="21"/>
  <c r="H132" i="7"/>
  <c r="AF24" i="21"/>
  <c r="AF23" i="21"/>
  <c r="H129" i="7"/>
  <c r="H128" i="7"/>
  <c r="H127" i="7"/>
  <c r="H126" i="7"/>
  <c r="H125" i="7"/>
  <c r="L72" i="25" l="1"/>
  <c r="Y18" i="9"/>
  <c r="L73" i="25"/>
  <c r="Y19" i="9"/>
  <c r="Y17" i="9"/>
  <c r="L71" i="25"/>
  <c r="F24" i="9"/>
  <c r="L74" i="25"/>
  <c r="Y20" i="9"/>
  <c r="H133" i="7"/>
  <c r="H130" i="7"/>
  <c r="L130" i="7" s="1"/>
  <c r="M130" i="7" s="1"/>
  <c r="H131" i="7"/>
  <c r="AF11" i="21"/>
  <c r="AF9" i="21"/>
  <c r="L131" i="7"/>
  <c r="M131" i="7" s="1"/>
  <c r="AF8" i="21"/>
  <c r="AF10" i="21"/>
  <c r="L132" i="7"/>
  <c r="M132" i="7" s="1"/>
  <c r="L126" i="7"/>
  <c r="M126" i="7" s="1"/>
  <c r="AF4" i="21"/>
  <c r="L127" i="7"/>
  <c r="M127" i="7" s="1"/>
  <c r="AF5" i="21"/>
  <c r="AF3" i="21"/>
  <c r="L128" i="7"/>
  <c r="M128" i="7" s="1"/>
  <c r="AF6" i="21"/>
  <c r="L129" i="7"/>
  <c r="M129" i="7" s="1"/>
  <c r="AF7" i="21"/>
  <c r="L134" i="7"/>
  <c r="M134" i="7" s="1"/>
  <c r="AF12" i="21"/>
  <c r="L135" i="7"/>
  <c r="M135" i="7" s="1"/>
  <c r="AF13" i="21"/>
  <c r="AF30" i="21"/>
  <c r="L136" i="7"/>
  <c r="M136" i="7" s="1"/>
  <c r="AF14" i="21"/>
  <c r="L133" i="7"/>
  <c r="M133" i="7" s="1"/>
  <c r="H124" i="7"/>
  <c r="H123" i="7"/>
  <c r="H122" i="7"/>
  <c r="AE26" i="21"/>
  <c r="AE25" i="21"/>
  <c r="AE24" i="21"/>
  <c r="AE23" i="21"/>
  <c r="AE22" i="21"/>
  <c r="H116" i="7"/>
  <c r="H115" i="7"/>
  <c r="H114" i="7"/>
  <c r="H113" i="7"/>
  <c r="H119" i="7" l="1"/>
  <c r="Y40" i="9"/>
  <c r="Y42" i="9"/>
  <c r="Y41" i="9"/>
  <c r="Y43" i="9"/>
  <c r="H120" i="7"/>
  <c r="H118" i="7"/>
  <c r="L118" i="7" s="1"/>
  <c r="M118" i="7" s="1"/>
  <c r="H117" i="7"/>
  <c r="L117" i="7" s="1"/>
  <c r="M117" i="7" s="1"/>
  <c r="H121" i="7"/>
  <c r="AE7" i="21"/>
  <c r="AE11" i="21"/>
  <c r="L121" i="7"/>
  <c r="M121" i="7" s="1"/>
  <c r="AE8" i="21"/>
  <c r="AE9" i="21"/>
  <c r="L119" i="7"/>
  <c r="M119" i="7" s="1"/>
  <c r="AE10" i="21"/>
  <c r="L120" i="7"/>
  <c r="M120" i="7" s="1"/>
  <c r="L122" i="7"/>
  <c r="M122" i="7" s="1"/>
  <c r="AE12" i="21"/>
  <c r="L123" i="7"/>
  <c r="M123" i="7" s="1"/>
  <c r="AE13" i="21"/>
  <c r="AE30" i="21"/>
  <c r="AE3" i="21"/>
  <c r="L124" i="7"/>
  <c r="M124" i="7" s="1"/>
  <c r="AE14" i="21"/>
  <c r="AF15" i="21"/>
  <c r="L125" i="7"/>
  <c r="M125" i="7" s="1"/>
  <c r="H183" i="7"/>
  <c r="L114" i="7"/>
  <c r="M114" i="7" s="1"/>
  <c r="AE4" i="21"/>
  <c r="L115" i="7"/>
  <c r="M115" i="7" s="1"/>
  <c r="AE5" i="21"/>
  <c r="L116" i="7"/>
  <c r="M116" i="7" s="1"/>
  <c r="AE6" i="21"/>
  <c r="H112" i="7"/>
  <c r="H111" i="7"/>
  <c r="H110" i="7"/>
  <c r="AD26" i="21"/>
  <c r="AD25" i="21"/>
  <c r="H108" i="7"/>
  <c r="AD24" i="21"/>
  <c r="AD23" i="21"/>
  <c r="AD22" i="21"/>
  <c r="H104" i="7"/>
  <c r="H103" i="7"/>
  <c r="H102" i="7"/>
  <c r="H101" i="7"/>
  <c r="W43" i="9" l="1"/>
  <c r="J367" i="22"/>
  <c r="J375" i="22" s="1"/>
  <c r="J369" i="22"/>
  <c r="H299" i="22"/>
  <c r="R41" i="9"/>
  <c r="G321" i="22"/>
  <c r="G330" i="22" s="1"/>
  <c r="T40" i="9"/>
  <c r="J299" i="22"/>
  <c r="R43" i="9"/>
  <c r="X42" i="9"/>
  <c r="I382" i="22"/>
  <c r="G310" i="22"/>
  <c r="S40" i="9"/>
  <c r="X41" i="9"/>
  <c r="H382" i="22"/>
  <c r="S42" i="9"/>
  <c r="I310" i="22"/>
  <c r="G299" i="22"/>
  <c r="R40" i="9"/>
  <c r="J354" i="22"/>
  <c r="V43" i="9"/>
  <c r="J352" i="22"/>
  <c r="J360" i="22" s="1"/>
  <c r="S41" i="9"/>
  <c r="H310" i="22"/>
  <c r="R42" i="9"/>
  <c r="I299" i="22"/>
  <c r="G337" i="22"/>
  <c r="G345" i="22" s="1"/>
  <c r="G339" i="22"/>
  <c r="U40" i="9"/>
  <c r="X43" i="9"/>
  <c r="J382" i="22"/>
  <c r="H367" i="22"/>
  <c r="H375" i="22" s="1"/>
  <c r="H369" i="22"/>
  <c r="W41" i="9"/>
  <c r="I369" i="22"/>
  <c r="W42" i="9"/>
  <c r="I367" i="22"/>
  <c r="I375" i="22" s="1"/>
  <c r="U43" i="9"/>
  <c r="J337" i="22"/>
  <c r="J345" i="22" s="1"/>
  <c r="J339" i="22"/>
  <c r="H321" i="22"/>
  <c r="H330" i="22" s="1"/>
  <c r="T41" i="9"/>
  <c r="I352" i="22"/>
  <c r="I360" i="22" s="1"/>
  <c r="I354" i="22"/>
  <c r="V42" i="9"/>
  <c r="G382" i="22"/>
  <c r="X40" i="9"/>
  <c r="J321" i="22"/>
  <c r="J330" i="22" s="1"/>
  <c r="T43" i="9"/>
  <c r="H352" i="22"/>
  <c r="H360" i="22" s="1"/>
  <c r="H354" i="22"/>
  <c r="V41" i="9"/>
  <c r="I339" i="22"/>
  <c r="I337" i="22"/>
  <c r="I345" i="22" s="1"/>
  <c r="U42" i="9"/>
  <c r="G367" i="22"/>
  <c r="G375" i="22" s="1"/>
  <c r="W40" i="9"/>
  <c r="G369" i="22"/>
  <c r="J310" i="22"/>
  <c r="S43" i="9"/>
  <c r="H337" i="22"/>
  <c r="H345" i="22" s="1"/>
  <c r="H339" i="22"/>
  <c r="U41" i="9"/>
  <c r="T42" i="9"/>
  <c r="I321" i="22"/>
  <c r="I330" i="22" s="1"/>
  <c r="G352" i="22"/>
  <c r="G360" i="22" s="1"/>
  <c r="G354" i="22"/>
  <c r="V40" i="9"/>
  <c r="H106" i="7"/>
  <c r="H105" i="7"/>
  <c r="L105" i="7" s="1"/>
  <c r="M105" i="7" s="1"/>
  <c r="H109" i="7"/>
  <c r="H107" i="7"/>
  <c r="L107" i="7" s="1"/>
  <c r="M107" i="7" s="1"/>
  <c r="L106" i="7"/>
  <c r="M106" i="7" s="1"/>
  <c r="AD9" i="21"/>
  <c r="AD10" i="21"/>
  <c r="L108" i="7"/>
  <c r="M108" i="7" s="1"/>
  <c r="AD7" i="21"/>
  <c r="AD11" i="21"/>
  <c r="L109" i="7"/>
  <c r="M109" i="7" s="1"/>
  <c r="L102" i="7"/>
  <c r="M102" i="7" s="1"/>
  <c r="AD4" i="21"/>
  <c r="AE15" i="21"/>
  <c r="L103" i="7"/>
  <c r="M103" i="7" s="1"/>
  <c r="AD5" i="21"/>
  <c r="L113" i="7"/>
  <c r="M113" i="7" s="1"/>
  <c r="H182" i="7"/>
  <c r="AD3" i="21"/>
  <c r="L112" i="7"/>
  <c r="M112" i="7" s="1"/>
  <c r="AD14" i="21"/>
  <c r="L104" i="7"/>
  <c r="M104" i="7" s="1"/>
  <c r="AD6" i="21"/>
  <c r="AD30" i="21"/>
  <c r="AD8" i="21"/>
  <c r="L110" i="7"/>
  <c r="M110" i="7" s="1"/>
  <c r="AD12" i="21"/>
  <c r="K5" i="11"/>
  <c r="C20" i="9"/>
  <c r="L183" i="7"/>
  <c r="M183" i="7" s="1"/>
  <c r="L111" i="7"/>
  <c r="M111" i="7" s="1"/>
  <c r="AD13" i="21"/>
  <c r="H100" i="7"/>
  <c r="H99" i="7"/>
  <c r="AC27" i="21"/>
  <c r="AC26" i="21"/>
  <c r="H97" i="7"/>
  <c r="AC25" i="21"/>
  <c r="AC24" i="21"/>
  <c r="AC23" i="21"/>
  <c r="AC22" i="21"/>
  <c r="H93" i="7"/>
  <c r="H92" i="7"/>
  <c r="H91" i="7"/>
  <c r="H90" i="7"/>
  <c r="H89" i="7"/>
  <c r="I347" i="22" l="1"/>
  <c r="I341" i="22"/>
  <c r="J540" i="22" s="1"/>
  <c r="G388" i="22"/>
  <c r="G384" i="22"/>
  <c r="J523" i="22" s="1"/>
  <c r="I533" i="22" s="1"/>
  <c r="J388" i="22"/>
  <c r="J384" i="22"/>
  <c r="J553" i="22" s="1"/>
  <c r="H388" i="22"/>
  <c r="H384" i="22"/>
  <c r="J533" i="22" s="1"/>
  <c r="I543" i="22" s="1"/>
  <c r="G362" i="22"/>
  <c r="G356" i="22"/>
  <c r="J521" i="22" s="1"/>
  <c r="I531" i="22" s="1"/>
  <c r="J316" i="22"/>
  <c r="J312" i="22"/>
  <c r="J548" i="22" s="1"/>
  <c r="H362" i="22"/>
  <c r="H356" i="22"/>
  <c r="J531" i="22" s="1"/>
  <c r="I362" i="22"/>
  <c r="I356" i="22"/>
  <c r="J541" i="22" s="1"/>
  <c r="G323" i="22"/>
  <c r="G396" i="22" s="1"/>
  <c r="G402" i="22" s="1"/>
  <c r="R19" i="18"/>
  <c r="G377" i="22"/>
  <c r="G371" i="22"/>
  <c r="J522" i="22" s="1"/>
  <c r="G347" i="22"/>
  <c r="G341" i="22"/>
  <c r="J520" i="22" s="1"/>
  <c r="J362" i="22"/>
  <c r="J356" i="22"/>
  <c r="J551" i="22" s="1"/>
  <c r="G316" i="22"/>
  <c r="G312" i="22"/>
  <c r="J518" i="22" s="1"/>
  <c r="I323" i="22"/>
  <c r="R21" i="18"/>
  <c r="H323" i="22"/>
  <c r="R20" i="18"/>
  <c r="I396" i="22"/>
  <c r="I402" i="22" s="1"/>
  <c r="I377" i="22"/>
  <c r="I371" i="22"/>
  <c r="J542" i="22" s="1"/>
  <c r="I552" i="22" s="1"/>
  <c r="I388" i="22"/>
  <c r="I384" i="22"/>
  <c r="J543" i="22" s="1"/>
  <c r="H394" i="22"/>
  <c r="H400" i="22" s="1"/>
  <c r="H305" i="22"/>
  <c r="H301" i="22"/>
  <c r="J527" i="22" s="1"/>
  <c r="J323" i="22"/>
  <c r="R22" i="18"/>
  <c r="I394" i="22"/>
  <c r="I400" i="22" s="1"/>
  <c r="I305" i="22"/>
  <c r="I301" i="22"/>
  <c r="J537" i="22" s="1"/>
  <c r="G394" i="22"/>
  <c r="G400" i="22" s="1"/>
  <c r="G305" i="22"/>
  <c r="G301" i="22"/>
  <c r="J517" i="22" s="1"/>
  <c r="I527" i="22" s="1"/>
  <c r="J377" i="22"/>
  <c r="J371" i="22"/>
  <c r="J552" i="22" s="1"/>
  <c r="H377" i="22"/>
  <c r="H371" i="22"/>
  <c r="J532" i="22" s="1"/>
  <c r="I542" i="22" s="1"/>
  <c r="I316" i="22"/>
  <c r="I312" i="22"/>
  <c r="J538" i="22" s="1"/>
  <c r="I548" i="22" s="1"/>
  <c r="H347" i="22"/>
  <c r="H341" i="22"/>
  <c r="J530" i="22" s="1"/>
  <c r="I540" i="22" s="1"/>
  <c r="J347" i="22"/>
  <c r="J341" i="22"/>
  <c r="J550" i="22" s="1"/>
  <c r="H316" i="22"/>
  <c r="H312" i="22"/>
  <c r="J528" i="22" s="1"/>
  <c r="I538" i="22" s="1"/>
  <c r="J394" i="22"/>
  <c r="J400" i="22" s="1"/>
  <c r="J305" i="22"/>
  <c r="J301" i="22"/>
  <c r="J547" i="22" s="1"/>
  <c r="D20" i="9"/>
  <c r="E20" i="9" s="1"/>
  <c r="F119" i="22"/>
  <c r="G119" i="22" s="1"/>
  <c r="K6" i="11"/>
  <c r="J284" i="22"/>
  <c r="J285" i="22" s="1"/>
  <c r="H96" i="7"/>
  <c r="L96" i="7" s="1"/>
  <c r="M96" i="7" s="1"/>
  <c r="H94" i="7"/>
  <c r="L94" i="7" s="1"/>
  <c r="M94" i="7" s="1"/>
  <c r="H98" i="7"/>
  <c r="L98" i="7" s="1"/>
  <c r="M98" i="7" s="1"/>
  <c r="H95" i="7"/>
  <c r="L95" i="7" s="1"/>
  <c r="M95" i="7" s="1"/>
  <c r="AC7" i="21"/>
  <c r="AC11" i="21"/>
  <c r="L97" i="7"/>
  <c r="M97" i="7" s="1"/>
  <c r="AC30" i="21"/>
  <c r="AC8" i="21"/>
  <c r="AC12" i="21"/>
  <c r="AC9" i="21"/>
  <c r="L101" i="7"/>
  <c r="M101" i="7" s="1"/>
  <c r="H181" i="7"/>
  <c r="J5" i="11"/>
  <c r="C19" i="9"/>
  <c r="L182" i="7"/>
  <c r="M182" i="7" s="1"/>
  <c r="L99" i="7"/>
  <c r="M99" i="7" s="1"/>
  <c r="AC13" i="21"/>
  <c r="AC3" i="21"/>
  <c r="L100" i="7"/>
  <c r="M100" i="7" s="1"/>
  <c r="AC14" i="21"/>
  <c r="L90" i="7"/>
  <c r="M90" i="7" s="1"/>
  <c r="AC4" i="21"/>
  <c r="AC10" i="21"/>
  <c r="L92" i="7"/>
  <c r="M92" i="7" s="1"/>
  <c r="AC6" i="21"/>
  <c r="L91" i="7"/>
  <c r="M91" i="7" s="1"/>
  <c r="AC5" i="21"/>
  <c r="AD15" i="21"/>
  <c r="L93" i="7"/>
  <c r="M93" i="7" s="1"/>
  <c r="AB29" i="21"/>
  <c r="AB28" i="21"/>
  <c r="AB27" i="21"/>
  <c r="AB26" i="21"/>
  <c r="AB25" i="21"/>
  <c r="AB24" i="21"/>
  <c r="AB23" i="21"/>
  <c r="AB22" i="21"/>
  <c r="AB21" i="21"/>
  <c r="AB20" i="21"/>
  <c r="AB19" i="21"/>
  <c r="AB18" i="21"/>
  <c r="K542" i="22" l="1"/>
  <c r="H78" i="7"/>
  <c r="H82" i="7"/>
  <c r="H86" i="7"/>
  <c r="I557" i="22"/>
  <c r="J332" i="22"/>
  <c r="J325" i="22"/>
  <c r="J549" i="22" s="1"/>
  <c r="I551" i="22"/>
  <c r="K551" i="22" s="1"/>
  <c r="H332" i="22"/>
  <c r="H325" i="22"/>
  <c r="J529" i="22" s="1"/>
  <c r="I539" i="22" s="1"/>
  <c r="I541" i="22"/>
  <c r="K541" i="22" s="1"/>
  <c r="K531" i="22"/>
  <c r="I563" i="22"/>
  <c r="K538" i="22"/>
  <c r="H396" i="22"/>
  <c r="H402" i="22" s="1"/>
  <c r="I547" i="22"/>
  <c r="K547" i="22" s="1"/>
  <c r="I553" i="22"/>
  <c r="K553" i="22" s="1"/>
  <c r="K543" i="22"/>
  <c r="I332" i="22"/>
  <c r="I325" i="22"/>
  <c r="J539" i="22" s="1"/>
  <c r="I549" i="22" s="1"/>
  <c r="I532" i="22"/>
  <c r="K532" i="22" s="1"/>
  <c r="K548" i="22"/>
  <c r="I558" i="22"/>
  <c r="K533" i="22"/>
  <c r="I560" i="22"/>
  <c r="I528" i="22"/>
  <c r="K528" i="22" s="1"/>
  <c r="I537" i="22"/>
  <c r="K537" i="22" s="1"/>
  <c r="K527" i="22"/>
  <c r="I562" i="22"/>
  <c r="K552" i="22"/>
  <c r="I550" i="22"/>
  <c r="K550" i="22" s="1"/>
  <c r="K540" i="22"/>
  <c r="I530" i="22"/>
  <c r="K530" i="22" s="1"/>
  <c r="J396" i="22"/>
  <c r="J402" i="22" s="1"/>
  <c r="I561" i="22"/>
  <c r="G332" i="22"/>
  <c r="G325" i="22"/>
  <c r="J519" i="22" s="1"/>
  <c r="I529" i="22" s="1"/>
  <c r="K529" i="22" s="1"/>
  <c r="D19" i="9"/>
  <c r="E19" i="9" s="1"/>
  <c r="F118" i="22"/>
  <c r="G118" i="22" s="1"/>
  <c r="N407" i="22"/>
  <c r="J6" i="11"/>
  <c r="I284" i="22"/>
  <c r="I285" i="22" s="1"/>
  <c r="H79" i="7"/>
  <c r="L79" i="7" s="1"/>
  <c r="M79" i="7" s="1"/>
  <c r="H83" i="7"/>
  <c r="H87" i="7"/>
  <c r="L87" i="7" s="1"/>
  <c r="M87" i="7" s="1"/>
  <c r="H80" i="7"/>
  <c r="L80" i="7" s="1"/>
  <c r="M80" i="7" s="1"/>
  <c r="H84" i="7"/>
  <c r="L84" i="7" s="1"/>
  <c r="M84" i="7" s="1"/>
  <c r="H88" i="7"/>
  <c r="L88" i="7" s="1"/>
  <c r="M88" i="7" s="1"/>
  <c r="H77" i="7"/>
  <c r="L77" i="7" s="1"/>
  <c r="H81" i="7"/>
  <c r="L81" i="7" s="1"/>
  <c r="M81" i="7" s="1"/>
  <c r="H85" i="7"/>
  <c r="L85" i="7" s="1"/>
  <c r="M85" i="7" s="1"/>
  <c r="AB30" i="21"/>
  <c r="AB5" i="21"/>
  <c r="AB9" i="21"/>
  <c r="L83" i="7"/>
  <c r="M83" i="7" s="1"/>
  <c r="AB13" i="21"/>
  <c r="AB3" i="21"/>
  <c r="AB7" i="21"/>
  <c r="AB11" i="21"/>
  <c r="L78" i="7"/>
  <c r="M78" i="7" s="1"/>
  <c r="AB12" i="21"/>
  <c r="L86" i="7"/>
  <c r="M86" i="7" s="1"/>
  <c r="L89" i="7"/>
  <c r="M89" i="7" s="1"/>
  <c r="H180" i="7"/>
  <c r="AB4" i="21"/>
  <c r="L82" i="7"/>
  <c r="M82" i="7" s="1"/>
  <c r="AB8" i="21"/>
  <c r="AB6" i="21"/>
  <c r="AB14" i="21"/>
  <c r="I5" i="11"/>
  <c r="C18" i="9"/>
  <c r="L181" i="7"/>
  <c r="M181" i="7" s="1"/>
  <c r="AB10" i="21"/>
  <c r="AC15" i="21"/>
  <c r="D150" i="7"/>
  <c r="AA28" i="21"/>
  <c r="D147" i="7"/>
  <c r="D146" i="7"/>
  <c r="D145" i="7"/>
  <c r="D144" i="7"/>
  <c r="D143" i="7"/>
  <c r="D142" i="7"/>
  <c r="D141" i="7"/>
  <c r="AA19" i="21"/>
  <c r="D139" i="7"/>
  <c r="K549" i="22" l="1"/>
  <c r="I559" i="22"/>
  <c r="K539" i="22"/>
  <c r="D153" i="7"/>
  <c r="D69" i="25"/>
  <c r="D18" i="9"/>
  <c r="E18" i="9" s="1"/>
  <c r="F117" i="22"/>
  <c r="G117" i="22" s="1"/>
  <c r="I6" i="11"/>
  <c r="H284" i="22"/>
  <c r="H285" i="22" s="1"/>
  <c r="D158" i="7"/>
  <c r="D74" i="25"/>
  <c r="D162" i="7"/>
  <c r="D78" i="25"/>
  <c r="D157" i="7"/>
  <c r="D73" i="25"/>
  <c r="D159" i="7"/>
  <c r="D75" i="25"/>
  <c r="D154" i="7"/>
  <c r="D70" i="25"/>
  <c r="D155" i="7"/>
  <c r="D71" i="25"/>
  <c r="D151" i="7"/>
  <c r="D67" i="25"/>
  <c r="D156" i="7"/>
  <c r="D72" i="25"/>
  <c r="M77" i="7"/>
  <c r="M137" i="7" s="1"/>
  <c r="L137" i="7"/>
  <c r="AB15" i="21"/>
  <c r="H5" i="11"/>
  <c r="C17" i="9"/>
  <c r="L180" i="7"/>
  <c r="M180" i="7" s="1"/>
  <c r="AG19" i="21"/>
  <c r="AH19" i="21"/>
  <c r="AG28" i="21"/>
  <c r="AH28" i="21"/>
  <c r="C141" i="7"/>
  <c r="C145" i="7"/>
  <c r="C149" i="7"/>
  <c r="C77" i="25" s="1"/>
  <c r="AA6" i="21"/>
  <c r="AA10" i="21"/>
  <c r="AA14" i="21"/>
  <c r="C143" i="7"/>
  <c r="C139" i="7"/>
  <c r="C147" i="7"/>
  <c r="AA4" i="21"/>
  <c r="D149" i="7"/>
  <c r="C146" i="7"/>
  <c r="C142" i="7"/>
  <c r="AA8" i="21"/>
  <c r="C144" i="7"/>
  <c r="AA12" i="21"/>
  <c r="C148" i="7"/>
  <c r="C76" i="25" s="1"/>
  <c r="AA27" i="21"/>
  <c r="D148" i="7"/>
  <c r="C140" i="7"/>
  <c r="C68" i="25" s="1"/>
  <c r="D140" i="7"/>
  <c r="C150" i="7"/>
  <c r="AA20" i="21"/>
  <c r="AA22" i="21"/>
  <c r="AA26" i="21"/>
  <c r="AA21" i="21"/>
  <c r="AA23" i="21"/>
  <c r="AA25" i="21"/>
  <c r="AA29" i="21"/>
  <c r="AA18" i="21"/>
  <c r="AA24" i="21"/>
  <c r="AA3" i="21"/>
  <c r="AA5" i="21"/>
  <c r="AA7" i="21"/>
  <c r="AA9" i="21"/>
  <c r="AA11" i="21"/>
  <c r="AA13" i="21"/>
  <c r="H150" i="7" l="1"/>
  <c r="C78" i="25"/>
  <c r="H142" i="7"/>
  <c r="C70" i="25"/>
  <c r="H146" i="7"/>
  <c r="C74" i="25"/>
  <c r="D160" i="7"/>
  <c r="D76" i="25"/>
  <c r="D161" i="7"/>
  <c r="D77" i="25"/>
  <c r="D17" i="9"/>
  <c r="E17" i="9" s="1"/>
  <c r="F116" i="22"/>
  <c r="G116" i="22" s="1"/>
  <c r="D152" i="7"/>
  <c r="D68" i="25"/>
  <c r="H6" i="11"/>
  <c r="G284" i="22"/>
  <c r="G285" i="22" s="1"/>
  <c r="H141" i="7"/>
  <c r="C69" i="25"/>
  <c r="E99" i="22"/>
  <c r="H145" i="7"/>
  <c r="C73" i="25"/>
  <c r="H147" i="7"/>
  <c r="C75" i="25"/>
  <c r="H139" i="7"/>
  <c r="C67" i="25"/>
  <c r="H144" i="7"/>
  <c r="C72" i="25"/>
  <c r="H143" i="7"/>
  <c r="C71" i="25"/>
  <c r="H149" i="7"/>
  <c r="H140" i="7"/>
  <c r="H148" i="7"/>
  <c r="AH3" i="21"/>
  <c r="C193" i="7" s="1"/>
  <c r="AG3" i="21"/>
  <c r="AG24" i="21"/>
  <c r="AH24" i="21"/>
  <c r="AG20" i="21"/>
  <c r="AH20" i="21"/>
  <c r="AG4" i="21"/>
  <c r="AH4" i="21"/>
  <c r="AH14" i="21"/>
  <c r="AG14" i="21"/>
  <c r="AG18" i="21"/>
  <c r="AH18" i="21"/>
  <c r="AH8" i="21"/>
  <c r="AG8" i="21"/>
  <c r="AG12" i="21"/>
  <c r="AH12" i="21"/>
  <c r="AG10" i="21"/>
  <c r="AH10" i="21"/>
  <c r="AG9" i="21"/>
  <c r="AH9" i="21"/>
  <c r="AG23" i="21"/>
  <c r="AH23" i="21"/>
  <c r="AH6" i="21"/>
  <c r="AG6" i="21"/>
  <c r="AG22" i="21"/>
  <c r="AH22" i="21"/>
  <c r="AH13" i="21"/>
  <c r="AG13" i="21"/>
  <c r="AG29" i="21"/>
  <c r="AH29" i="21"/>
  <c r="AG11" i="21"/>
  <c r="AH11" i="21"/>
  <c r="AH25" i="21"/>
  <c r="AG25" i="21"/>
  <c r="AH7" i="21"/>
  <c r="AG7" i="21"/>
  <c r="AG21" i="21"/>
  <c r="AH21" i="21"/>
  <c r="AG27" i="21"/>
  <c r="AH27" i="21"/>
  <c r="AH5" i="21"/>
  <c r="AG5" i="21"/>
  <c r="AH26" i="21"/>
  <c r="AG26" i="21"/>
  <c r="C152" i="7"/>
  <c r="H152" i="7" s="1"/>
  <c r="C151" i="7"/>
  <c r="H151" i="7" s="1"/>
  <c r="C160" i="7"/>
  <c r="C155" i="7"/>
  <c r="H155" i="7" s="1"/>
  <c r="C161" i="7"/>
  <c r="H161" i="7" s="1"/>
  <c r="C162" i="7"/>
  <c r="H162" i="7" s="1"/>
  <c r="C158" i="7"/>
  <c r="H158" i="7" s="1"/>
  <c r="C156" i="7"/>
  <c r="H156" i="7" s="1"/>
  <c r="C157" i="7"/>
  <c r="H157" i="7" s="1"/>
  <c r="C154" i="7"/>
  <c r="H154" i="7" s="1"/>
  <c r="C159" i="7"/>
  <c r="H159" i="7" s="1"/>
  <c r="C153" i="7"/>
  <c r="H153" i="7" s="1"/>
  <c r="AA30" i="21"/>
  <c r="AA15" i="21"/>
  <c r="B46" i="18"/>
  <c r="C46" i="18"/>
  <c r="D46" i="18"/>
  <c r="E46" i="18"/>
  <c r="H38" i="9"/>
  <c r="H56" i="9" s="1"/>
  <c r="I38" i="9"/>
  <c r="I56" i="9" s="1"/>
  <c r="J38" i="9"/>
  <c r="J56" i="9" s="1"/>
  <c r="K38" i="9"/>
  <c r="K56" i="9" s="1"/>
  <c r="L38" i="9"/>
  <c r="L56" i="9" s="1"/>
  <c r="M38" i="9"/>
  <c r="M56" i="9" s="1"/>
  <c r="N38" i="9"/>
  <c r="N56" i="9" s="1"/>
  <c r="O15" i="9"/>
  <c r="G15" i="9"/>
  <c r="B44" i="17"/>
  <c r="C44" i="17"/>
  <c r="D44" i="17"/>
  <c r="G44" i="17"/>
  <c r="H44" i="17"/>
  <c r="F12" i="11" l="1"/>
  <c r="E13" i="22" s="1"/>
  <c r="F14" i="22" s="1"/>
  <c r="G14" i="22" s="1"/>
  <c r="F57" i="11"/>
  <c r="H160" i="7"/>
  <c r="F267" i="22"/>
  <c r="E267" i="22"/>
  <c r="G267" i="22"/>
  <c r="H267" i="22"/>
  <c r="H184" i="7"/>
  <c r="C21" i="9" s="1"/>
  <c r="H185" i="7"/>
  <c r="C22" i="9" s="1"/>
  <c r="F121" i="22" l="1"/>
  <c r="F120" i="22"/>
  <c r="M5" i="11"/>
  <c r="L5" i="11"/>
  <c r="K284" i="22" l="1"/>
  <c r="L284" i="22"/>
  <c r="J3" i="17" l="1"/>
  <c r="G194" i="7"/>
  <c r="G195" i="7"/>
  <c r="G196" i="7"/>
  <c r="G197" i="7"/>
  <c r="G198" i="7"/>
  <c r="G199" i="7"/>
  <c r="G200" i="7"/>
  <c r="G201" i="7"/>
  <c r="G202" i="7"/>
  <c r="G203" i="7"/>
  <c r="G204" i="7"/>
  <c r="G193" i="7"/>
  <c r="H37" i="9" l="1"/>
  <c r="H55" i="9" s="1"/>
  <c r="H36" i="9"/>
  <c r="H35" i="9"/>
  <c r="I37" i="9"/>
  <c r="I55" i="9" s="1"/>
  <c r="I36" i="9"/>
  <c r="I35" i="9"/>
  <c r="J37" i="9"/>
  <c r="J55" i="9" s="1"/>
  <c r="J36" i="9"/>
  <c r="J35" i="9"/>
  <c r="K37" i="9"/>
  <c r="K55" i="9" s="1"/>
  <c r="K36" i="9"/>
  <c r="K35" i="9"/>
  <c r="M37" i="9"/>
  <c r="M36" i="9"/>
  <c r="M35" i="9"/>
  <c r="N37" i="9"/>
  <c r="N55" i="9" s="1"/>
  <c r="N36" i="9"/>
  <c r="N35" i="9"/>
  <c r="C44" i="18"/>
  <c r="F265" i="22" s="1"/>
  <c r="C45" i="18"/>
  <c r="G10" i="9"/>
  <c r="G11" i="9"/>
  <c r="B12" i="11" s="1"/>
  <c r="E9" i="22" s="1"/>
  <c r="L36" i="9"/>
  <c r="L35" i="9"/>
  <c r="L37" i="9"/>
  <c r="L55" i="9" s="1"/>
  <c r="E52" i="17"/>
  <c r="F52" i="17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B179" i="7"/>
  <c r="B187" i="7" s="1"/>
  <c r="B178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D203" i="7"/>
  <c r="D199" i="7"/>
  <c r="D197" i="7"/>
  <c r="D195" i="7"/>
  <c r="AH30" i="21"/>
  <c r="C202" i="7"/>
  <c r="C201" i="7"/>
  <c r="C198" i="7"/>
  <c r="C197" i="7"/>
  <c r="C195" i="7"/>
  <c r="C194" i="7"/>
  <c r="AH15" i="21"/>
  <c r="E49" i="11"/>
  <c r="E44" i="11"/>
  <c r="E39" i="11"/>
  <c r="E34" i="11"/>
  <c r="E29" i="11"/>
  <c r="E25" i="11"/>
  <c r="E21" i="11"/>
  <c r="D21" i="11"/>
  <c r="B177" i="7"/>
  <c r="B14" i="9" s="1"/>
  <c r="E113" i="22" s="1"/>
  <c r="E45" i="18"/>
  <c r="D45" i="18"/>
  <c r="B45" i="18"/>
  <c r="B44" i="18"/>
  <c r="E265" i="22" s="1"/>
  <c r="G14" i="9"/>
  <c r="E12" i="11" s="1"/>
  <c r="E12" i="22" s="1"/>
  <c r="O14" i="9"/>
  <c r="A14" i="9"/>
  <c r="H43" i="17"/>
  <c r="G43" i="17"/>
  <c r="D43" i="17"/>
  <c r="C43" i="17"/>
  <c r="B43" i="17"/>
  <c r="E15" i="18"/>
  <c r="E30" i="11"/>
  <c r="D49" i="11"/>
  <c r="D48" i="11"/>
  <c r="D44" i="11"/>
  <c r="D40" i="11"/>
  <c r="D39" i="11"/>
  <c r="D35" i="11"/>
  <c r="D34" i="11"/>
  <c r="D30" i="11"/>
  <c r="D29" i="11"/>
  <c r="D25" i="11"/>
  <c r="A72" i="9"/>
  <c r="A77" i="9" s="1"/>
  <c r="A81" i="9" s="1"/>
  <c r="A16" i="9"/>
  <c r="J16" i="17"/>
  <c r="J15" i="17"/>
  <c r="D42" i="17"/>
  <c r="C42" i="17"/>
  <c r="B42" i="17"/>
  <c r="H42" i="17"/>
  <c r="G42" i="17"/>
  <c r="D44" i="18"/>
  <c r="G265" i="22" s="1"/>
  <c r="O13" i="9"/>
  <c r="G13" i="9"/>
  <c r="D12" i="11" s="1"/>
  <c r="E11" i="22" s="1"/>
  <c r="A13" i="9"/>
  <c r="B176" i="7"/>
  <c r="B13" i="9" s="1"/>
  <c r="E112" i="22" s="1"/>
  <c r="C34" i="11"/>
  <c r="C29" i="11"/>
  <c r="C49" i="11"/>
  <c r="C45" i="11"/>
  <c r="C44" i="11"/>
  <c r="C40" i="11"/>
  <c r="C39" i="11"/>
  <c r="C30" i="11"/>
  <c r="C25" i="11"/>
  <c r="C21" i="11"/>
  <c r="C35" i="11"/>
  <c r="E40" i="11"/>
  <c r="D43" i="18"/>
  <c r="E43" i="18"/>
  <c r="C43" i="18"/>
  <c r="B43" i="18"/>
  <c r="M34" i="9"/>
  <c r="O12" i="9"/>
  <c r="G12" i="9"/>
  <c r="C12" i="11" s="1"/>
  <c r="E10" i="22" s="1"/>
  <c r="A12" i="9"/>
  <c r="A35" i="9" s="1"/>
  <c r="B175" i="7"/>
  <c r="C4" i="11" s="1"/>
  <c r="E43" i="11"/>
  <c r="E28" i="11"/>
  <c r="H41" i="17"/>
  <c r="G41" i="17"/>
  <c r="F41" i="17"/>
  <c r="D41" i="17"/>
  <c r="C41" i="17"/>
  <c r="B41" i="17"/>
  <c r="J34" i="9"/>
  <c r="J33" i="9"/>
  <c r="C30" i="17"/>
  <c r="C31" i="17"/>
  <c r="C32" i="17"/>
  <c r="C33" i="17"/>
  <c r="C34" i="17"/>
  <c r="C35" i="17"/>
  <c r="C36" i="17"/>
  <c r="C37" i="17"/>
  <c r="C38" i="17"/>
  <c r="C39" i="17"/>
  <c r="C40" i="17"/>
  <c r="B30" i="17"/>
  <c r="B31" i="17"/>
  <c r="B32" i="17"/>
  <c r="B33" i="17"/>
  <c r="B34" i="17"/>
  <c r="B35" i="17"/>
  <c r="B36" i="17"/>
  <c r="B37" i="17"/>
  <c r="B38" i="17"/>
  <c r="B39" i="17"/>
  <c r="B40" i="17"/>
  <c r="B29" i="11"/>
  <c r="B21" i="11"/>
  <c r="B25" i="11"/>
  <c r="B34" i="11"/>
  <c r="B39" i="11"/>
  <c r="B44" i="11"/>
  <c r="B49" i="11"/>
  <c r="E38" i="18"/>
  <c r="E39" i="18"/>
  <c r="E40" i="18"/>
  <c r="E41" i="18"/>
  <c r="E42" i="18"/>
  <c r="D38" i="18"/>
  <c r="D39" i="18"/>
  <c r="D40" i="18"/>
  <c r="D41" i="18"/>
  <c r="D42" i="18"/>
  <c r="C38" i="18"/>
  <c r="C39" i="18"/>
  <c r="C40" i="18"/>
  <c r="C41" i="18"/>
  <c r="C42" i="18"/>
  <c r="B42" i="18"/>
  <c r="B38" i="18"/>
  <c r="B39" i="18"/>
  <c r="B40" i="18"/>
  <c r="B41" i="18"/>
  <c r="G30" i="17"/>
  <c r="G31" i="17"/>
  <c r="G32" i="17"/>
  <c r="G33" i="17"/>
  <c r="G34" i="17"/>
  <c r="G35" i="17"/>
  <c r="G36" i="17"/>
  <c r="G37" i="17"/>
  <c r="G38" i="17"/>
  <c r="G39" i="17"/>
  <c r="G40" i="17"/>
  <c r="C43" i="11"/>
  <c r="D38" i="11"/>
  <c r="C38" i="11"/>
  <c r="D28" i="11"/>
  <c r="C28" i="11"/>
  <c r="C24" i="11"/>
  <c r="B174" i="7"/>
  <c r="B11" i="9" s="1"/>
  <c r="E110" i="22" s="1"/>
  <c r="B9" i="9"/>
  <c r="B173" i="7"/>
  <c r="B10" i="9" s="1"/>
  <c r="C20" i="11"/>
  <c r="C33" i="11"/>
  <c r="M33" i="9"/>
  <c r="L34" i="9"/>
  <c r="L33" i="9"/>
  <c r="D30" i="17"/>
  <c r="D31" i="17"/>
  <c r="D32" i="17"/>
  <c r="D33" i="17"/>
  <c r="D34" i="17"/>
  <c r="D35" i="17"/>
  <c r="D36" i="17"/>
  <c r="D37" i="17"/>
  <c r="D38" i="17"/>
  <c r="D39" i="17"/>
  <c r="D40" i="17"/>
  <c r="I34" i="9"/>
  <c r="I33" i="9"/>
  <c r="H34" i="9"/>
  <c r="H33" i="9"/>
  <c r="F30" i="17"/>
  <c r="F31" i="17"/>
  <c r="F32" i="17"/>
  <c r="F33" i="17"/>
  <c r="F34" i="17"/>
  <c r="F35" i="17"/>
  <c r="F36" i="17"/>
  <c r="F37" i="17"/>
  <c r="F38" i="17"/>
  <c r="F39" i="17"/>
  <c r="F40" i="17"/>
  <c r="N34" i="9"/>
  <c r="J14" i="17"/>
  <c r="J13" i="17"/>
  <c r="O11" i="9"/>
  <c r="O10" i="9"/>
  <c r="A15" i="9"/>
  <c r="D37" i="18"/>
  <c r="E37" i="18"/>
  <c r="B37" i="18"/>
  <c r="C37" i="18"/>
  <c r="B20" i="11"/>
  <c r="B24" i="11"/>
  <c r="B28" i="11"/>
  <c r="E30" i="17"/>
  <c r="E31" i="17"/>
  <c r="E32" i="17"/>
  <c r="E33" i="17"/>
  <c r="E34" i="17"/>
  <c r="E35" i="17"/>
  <c r="E36" i="17"/>
  <c r="E37" i="17"/>
  <c r="E38" i="17"/>
  <c r="H30" i="17"/>
  <c r="H31" i="17"/>
  <c r="H32" i="17"/>
  <c r="H33" i="17"/>
  <c r="H34" i="17"/>
  <c r="H35" i="17"/>
  <c r="H36" i="17"/>
  <c r="H37" i="17"/>
  <c r="H38" i="17"/>
  <c r="G7" i="9"/>
  <c r="G8" i="9"/>
  <c r="G9" i="9"/>
  <c r="B38" i="11"/>
  <c r="B43" i="11"/>
  <c r="B48" i="11"/>
  <c r="A47" i="11"/>
  <c r="A42" i="11"/>
  <c r="A37" i="11"/>
  <c r="A32" i="11"/>
  <c r="A27" i="11"/>
  <c r="A23" i="11"/>
  <c r="D194" i="7"/>
  <c r="C196" i="7"/>
  <c r="H196" i="7" s="1"/>
  <c r="D198" i="7"/>
  <c r="C199" i="7"/>
  <c r="H199" i="7" s="1"/>
  <c r="C200" i="7"/>
  <c r="D200" i="7"/>
  <c r="D201" i="7"/>
  <c r="D202" i="7"/>
  <c r="C203" i="7"/>
  <c r="C204" i="7"/>
  <c r="D204" i="7"/>
  <c r="A19" i="11"/>
  <c r="G6" i="9"/>
  <c r="F2" i="18"/>
  <c r="J5" i="17"/>
  <c r="J6" i="17"/>
  <c r="J4" i="17"/>
  <c r="J8" i="17"/>
  <c r="J7" i="17"/>
  <c r="J9" i="17"/>
  <c r="J10" i="17"/>
  <c r="J11" i="17"/>
  <c r="J12" i="17"/>
  <c r="O6" i="9"/>
  <c r="O7" i="9"/>
  <c r="O8" i="9"/>
  <c r="O9" i="9"/>
  <c r="I3" i="17"/>
  <c r="F11" i="18"/>
  <c r="I12" i="17"/>
  <c r="F10" i="18"/>
  <c r="I11" i="17"/>
  <c r="F9" i="18"/>
  <c r="I10" i="17"/>
  <c r="F8" i="18"/>
  <c r="I9" i="17"/>
  <c r="F7" i="18"/>
  <c r="I8" i="17"/>
  <c r="F6" i="18"/>
  <c r="I7" i="17"/>
  <c r="F5" i="18"/>
  <c r="I6" i="17"/>
  <c r="F4" i="18"/>
  <c r="I5" i="17"/>
  <c r="F3" i="18"/>
  <c r="I4" i="17"/>
  <c r="A11" i="9"/>
  <c r="A34" i="9" s="1"/>
  <c r="C2" i="17"/>
  <c r="D2" i="17"/>
  <c r="B1" i="18" s="1"/>
  <c r="E2" i="17"/>
  <c r="C1" i="18" s="1"/>
  <c r="F2" i="17"/>
  <c r="D1" i="18" s="1"/>
  <c r="G2" i="17"/>
  <c r="E1" i="18" s="1"/>
  <c r="H2" i="17"/>
  <c r="B2" i="17"/>
  <c r="A6" i="9"/>
  <c r="A7" i="9"/>
  <c r="A8" i="9"/>
  <c r="A9" i="9"/>
  <c r="F12" i="18"/>
  <c r="B30" i="11"/>
  <c r="B35" i="11"/>
  <c r="B40" i="11"/>
  <c r="B45" i="11"/>
  <c r="F13" i="18"/>
  <c r="C48" i="11"/>
  <c r="D24" i="11"/>
  <c r="D43" i="11"/>
  <c r="D20" i="11"/>
  <c r="D33" i="11"/>
  <c r="F14" i="18"/>
  <c r="E33" i="11"/>
  <c r="E38" i="11"/>
  <c r="J17" i="17"/>
  <c r="E24" i="11"/>
  <c r="E48" i="11"/>
  <c r="E45" i="11"/>
  <c r="H39" i="17"/>
  <c r="H40" i="17"/>
  <c r="N33" i="9"/>
  <c r="E39" i="17"/>
  <c r="K33" i="9"/>
  <c r="E40" i="17"/>
  <c r="K34" i="9"/>
  <c r="B33" i="11"/>
  <c r="E41" i="17"/>
  <c r="F16" i="18"/>
  <c r="E35" i="11"/>
  <c r="M72" i="7"/>
  <c r="D193" i="7"/>
  <c r="H193" i="7" s="1"/>
  <c r="AG30" i="21"/>
  <c r="AG15" i="21"/>
  <c r="F11" i="22" l="1"/>
  <c r="G11" i="22" s="1"/>
  <c r="F10" i="22"/>
  <c r="G10" i="22" s="1"/>
  <c r="H200" i="7"/>
  <c r="H197" i="7"/>
  <c r="H23" i="22"/>
  <c r="H59" i="22" s="1"/>
  <c r="H126" i="22" s="1"/>
  <c r="H140" i="22" s="1"/>
  <c r="H155" i="22" s="1"/>
  <c r="H161" i="22" s="1"/>
  <c r="H175" i="22" s="1"/>
  <c r="H190" i="22" s="1"/>
  <c r="H196" i="22" s="1"/>
  <c r="H202" i="22" s="1"/>
  <c r="B334" i="22"/>
  <c r="B410" i="22"/>
  <c r="B422" i="22" s="1"/>
  <c r="B434" i="22" s="1"/>
  <c r="B446" i="22" s="1"/>
  <c r="B458" i="22" s="1"/>
  <c r="B470" i="22" s="1"/>
  <c r="B482" i="22" s="1"/>
  <c r="I23" i="22"/>
  <c r="I59" i="22" s="1"/>
  <c r="I126" i="22" s="1"/>
  <c r="I140" i="22" s="1"/>
  <c r="I155" i="22" s="1"/>
  <c r="I161" i="22" s="1"/>
  <c r="I175" i="22" s="1"/>
  <c r="I190" i="22" s="1"/>
  <c r="I196" i="22" s="1"/>
  <c r="I202" i="22" s="1"/>
  <c r="B411" i="22"/>
  <c r="B423" i="22" s="1"/>
  <c r="B435" i="22" s="1"/>
  <c r="B447" i="22" s="1"/>
  <c r="B459" i="22" s="1"/>
  <c r="B471" i="22" s="1"/>
  <c r="B483" i="22" s="1"/>
  <c r="B349" i="22"/>
  <c r="B407" i="22"/>
  <c r="B419" i="22" s="1"/>
  <c r="B431" i="22" s="1"/>
  <c r="B443" i="22" s="1"/>
  <c r="B455" i="22" s="1"/>
  <c r="B467" i="22" s="1"/>
  <c r="B479" i="22" s="1"/>
  <c r="E23" i="22"/>
  <c r="E59" i="22" s="1"/>
  <c r="E126" i="22" s="1"/>
  <c r="E140" i="22" s="1"/>
  <c r="E155" i="22" s="1"/>
  <c r="E161" i="22" s="1"/>
  <c r="E175" i="22" s="1"/>
  <c r="E190" i="22" s="1"/>
  <c r="E196" i="22" s="1"/>
  <c r="E202" i="22" s="1"/>
  <c r="B412" i="22"/>
  <c r="B424" i="22" s="1"/>
  <c r="B436" i="22" s="1"/>
  <c r="B448" i="22" s="1"/>
  <c r="B460" i="22" s="1"/>
  <c r="B472" i="22" s="1"/>
  <c r="B484" i="22" s="1"/>
  <c r="B364" i="22"/>
  <c r="J23" i="22"/>
  <c r="J59" i="22" s="1"/>
  <c r="J126" i="22" s="1"/>
  <c r="J140" i="22" s="1"/>
  <c r="J155" i="22" s="1"/>
  <c r="J161" i="22" s="1"/>
  <c r="J175" i="22" s="1"/>
  <c r="J190" i="22" s="1"/>
  <c r="J196" i="22" s="1"/>
  <c r="J202" i="22" s="1"/>
  <c r="B413" i="22"/>
  <c r="B425" i="22" s="1"/>
  <c r="B437" i="22" s="1"/>
  <c r="B449" i="22" s="1"/>
  <c r="B461" i="22" s="1"/>
  <c r="B473" i="22" s="1"/>
  <c r="B485" i="22" s="1"/>
  <c r="B379" i="22"/>
  <c r="K23" i="22"/>
  <c r="K59" i="22" s="1"/>
  <c r="K126" i="22" s="1"/>
  <c r="K140" i="22" s="1"/>
  <c r="K155" i="22" s="1"/>
  <c r="K161" i="22" s="1"/>
  <c r="K175" i="22" s="1"/>
  <c r="K190" i="22" s="1"/>
  <c r="K196" i="22" s="1"/>
  <c r="K202" i="22" s="1"/>
  <c r="B409" i="22"/>
  <c r="B421" i="22" s="1"/>
  <c r="B433" i="22" s="1"/>
  <c r="B445" i="22" s="1"/>
  <c r="B457" i="22" s="1"/>
  <c r="B469" i="22" s="1"/>
  <c r="B481" i="22" s="1"/>
  <c r="G23" i="22"/>
  <c r="G59" i="22" s="1"/>
  <c r="G126" i="22" s="1"/>
  <c r="G140" i="22" s="1"/>
  <c r="G155" i="22" s="1"/>
  <c r="G161" i="22" s="1"/>
  <c r="G175" i="22" s="1"/>
  <c r="G190" i="22" s="1"/>
  <c r="G196" i="22" s="1"/>
  <c r="G202" i="22" s="1"/>
  <c r="B318" i="22"/>
  <c r="B408" i="22"/>
  <c r="B420" i="22" s="1"/>
  <c r="B432" i="22" s="1"/>
  <c r="B444" i="22" s="1"/>
  <c r="B456" i="22" s="1"/>
  <c r="B468" i="22" s="1"/>
  <c r="B480" i="22" s="1"/>
  <c r="F23" i="22"/>
  <c r="F59" i="22" s="1"/>
  <c r="F126" i="22" s="1"/>
  <c r="F140" i="22" s="1"/>
  <c r="F155" i="22" s="1"/>
  <c r="F161" i="22" s="1"/>
  <c r="F175" i="22" s="1"/>
  <c r="F190" i="22" s="1"/>
  <c r="F196" i="22" s="1"/>
  <c r="F202" i="22" s="1"/>
  <c r="F12" i="22"/>
  <c r="G12" i="22" s="1"/>
  <c r="F13" i="22"/>
  <c r="G13" i="22" s="1"/>
  <c r="H263" i="22"/>
  <c r="G264" i="22"/>
  <c r="E266" i="22"/>
  <c r="G266" i="22"/>
  <c r="D63" i="18"/>
  <c r="G263" i="22"/>
  <c r="H266" i="22"/>
  <c r="F266" i="22"/>
  <c r="B63" i="18"/>
  <c r="E263" i="22"/>
  <c r="E264" i="22"/>
  <c r="C63" i="18"/>
  <c r="F263" i="22"/>
  <c r="F264" i="22"/>
  <c r="H264" i="22"/>
  <c r="H251" i="22"/>
  <c r="I251" i="22" s="1"/>
  <c r="H204" i="7"/>
  <c r="H198" i="7"/>
  <c r="H203" i="7"/>
  <c r="H201" i="7"/>
  <c r="H202" i="7"/>
  <c r="H194" i="7"/>
  <c r="H195" i="7"/>
  <c r="B15" i="9"/>
  <c r="E114" i="22" s="1"/>
  <c r="F4" i="11"/>
  <c r="G4" i="11"/>
  <c r="F283" i="22" s="1"/>
  <c r="B16" i="9"/>
  <c r="D45" i="11"/>
  <c r="I53" i="9"/>
  <c r="E56" i="17"/>
  <c r="F15" i="18"/>
  <c r="E44" i="18"/>
  <c r="H265" i="22" s="1"/>
  <c r="C52" i="17"/>
  <c r="K54" i="9"/>
  <c r="N53" i="9"/>
  <c r="M53" i="9"/>
  <c r="K51" i="9"/>
  <c r="M63" i="7"/>
  <c r="E4" i="11"/>
  <c r="B12" i="9"/>
  <c r="E111" i="22" s="1"/>
  <c r="M73" i="7"/>
  <c r="B7" i="9"/>
  <c r="M67" i="7"/>
  <c r="D4" i="11"/>
  <c r="J52" i="9"/>
  <c r="I52" i="9"/>
  <c r="N51" i="9"/>
  <c r="J51" i="9"/>
  <c r="M54" i="9"/>
  <c r="M55" i="9"/>
  <c r="L52" i="9"/>
  <c r="N52" i="9"/>
  <c r="H51" i="9"/>
  <c r="F9" i="9"/>
  <c r="P72" i="9"/>
  <c r="K52" i="9"/>
  <c r="D53" i="11"/>
  <c r="D57" i="11" s="1"/>
  <c r="H53" i="9"/>
  <c r="I54" i="9"/>
  <c r="L53" i="9"/>
  <c r="N54" i="9"/>
  <c r="L51" i="9"/>
  <c r="F56" i="17"/>
  <c r="H52" i="9"/>
  <c r="B52" i="17"/>
  <c r="B56" i="17"/>
  <c r="H56" i="17"/>
  <c r="K53" i="9"/>
  <c r="M51" i="9"/>
  <c r="L54" i="9"/>
  <c r="J53" i="9"/>
  <c r="H54" i="9"/>
  <c r="I51" i="9"/>
  <c r="C60" i="11"/>
  <c r="C64" i="11" s="1"/>
  <c r="M52" i="9"/>
  <c r="D63" i="11"/>
  <c r="E52" i="11"/>
  <c r="H12" i="22" s="1"/>
  <c r="J54" i="9"/>
  <c r="B60" i="11"/>
  <c r="B64" i="11" s="1"/>
  <c r="B53" i="11"/>
  <c r="B57" i="11" s="1"/>
  <c r="E53" i="11"/>
  <c r="E57" i="11" s="1"/>
  <c r="C53" i="11"/>
  <c r="C57" i="11" s="1"/>
  <c r="E63" i="11"/>
  <c r="B52" i="11"/>
  <c r="H9" i="22" s="1"/>
  <c r="C52" i="11"/>
  <c r="H10" i="22" s="1"/>
  <c r="D52" i="11"/>
  <c r="H11" i="22" s="1"/>
  <c r="L63" i="11"/>
  <c r="E60" i="11"/>
  <c r="D60" i="11"/>
  <c r="B8" i="9"/>
  <c r="B6" i="9"/>
  <c r="M64" i="7"/>
  <c r="F11" i="9"/>
  <c r="M74" i="7"/>
  <c r="B5" i="11"/>
  <c r="M71" i="7"/>
  <c r="M68" i="7"/>
  <c r="B4" i="11"/>
  <c r="M65" i="7"/>
  <c r="C8" i="9"/>
  <c r="D205" i="7"/>
  <c r="M70" i="7"/>
  <c r="M69" i="7"/>
  <c r="M66" i="7"/>
  <c r="F10" i="9"/>
  <c r="F14" i="9"/>
  <c r="F13" i="9"/>
  <c r="C205" i="7"/>
  <c r="E54" i="11"/>
  <c r="E58" i="11" s="1"/>
  <c r="B54" i="11"/>
  <c r="B58" i="11" s="1"/>
  <c r="C54" i="11"/>
  <c r="C58" i="11" s="1"/>
  <c r="F15" i="9" l="1"/>
  <c r="F16" i="9"/>
  <c r="E115" i="22"/>
  <c r="I10" i="22"/>
  <c r="J10" i="22" s="1"/>
  <c r="G232" i="22"/>
  <c r="E247" i="22" s="1"/>
  <c r="E261" i="22" s="1"/>
  <c r="E276" i="22" s="1"/>
  <c r="E232" i="22"/>
  <c r="I12" i="22"/>
  <c r="J12" i="22" s="1"/>
  <c r="I13" i="22"/>
  <c r="J13" i="22" s="1"/>
  <c r="K232" i="22"/>
  <c r="I232" i="22"/>
  <c r="G247" i="22" s="1"/>
  <c r="G261" i="22" s="1"/>
  <c r="G276" i="22" s="1"/>
  <c r="F232" i="22"/>
  <c r="B307" i="22" s="1"/>
  <c r="J232" i="22"/>
  <c r="H247" i="22" s="1"/>
  <c r="H261" i="22" s="1"/>
  <c r="H276" i="22" s="1"/>
  <c r="I11" i="22"/>
  <c r="J11" i="22" s="1"/>
  <c r="H232" i="22"/>
  <c r="F247" i="22" s="1"/>
  <c r="F261" i="22" s="1"/>
  <c r="F276" i="22" s="1"/>
  <c r="E63" i="18"/>
  <c r="L290" i="22"/>
  <c r="E56" i="11"/>
  <c r="D54" i="11"/>
  <c r="D58" i="11" s="1"/>
  <c r="C56" i="17"/>
  <c r="F12" i="9"/>
  <c r="C10" i="9"/>
  <c r="D8" i="9"/>
  <c r="E8" i="9" s="1"/>
  <c r="F7" i="9"/>
  <c r="H205" i="7"/>
  <c r="B65" i="11"/>
  <c r="H62" i="9"/>
  <c r="J62" i="9"/>
  <c r="J44" i="9" s="1"/>
  <c r="F6" i="9"/>
  <c r="D64" i="11"/>
  <c r="D65" i="11" s="1"/>
  <c r="E58" i="18"/>
  <c r="B58" i="18"/>
  <c r="D58" i="18"/>
  <c r="C58" i="18"/>
  <c r="E64" i="11"/>
  <c r="F65" i="11" s="1"/>
  <c r="G52" i="17"/>
  <c r="G56" i="17"/>
  <c r="D52" i="17"/>
  <c r="D56" i="17"/>
  <c r="N62" i="9"/>
  <c r="M63" i="11"/>
  <c r="D56" i="11"/>
  <c r="B6" i="11"/>
  <c r="C56" i="11"/>
  <c r="B56" i="11"/>
  <c r="C65" i="11"/>
  <c r="C11" i="9"/>
  <c r="F110" i="22" s="1"/>
  <c r="G110" i="22" s="1"/>
  <c r="F8" i="9"/>
  <c r="H179" i="7"/>
  <c r="H187" i="7" s="1"/>
  <c r="L187" i="7" s="1"/>
  <c r="C12" i="9"/>
  <c r="F111" i="22" s="1"/>
  <c r="G111" i="22" s="1"/>
  <c r="C5" i="11"/>
  <c r="E5" i="11"/>
  <c r="C14" i="9"/>
  <c r="F113" i="22" s="1"/>
  <c r="G113" i="22" s="1"/>
  <c r="F5" i="11"/>
  <c r="F6" i="11" s="1"/>
  <c r="D5" i="11"/>
  <c r="C13" i="9"/>
  <c r="F112" i="22" s="1"/>
  <c r="G112" i="22" s="1"/>
  <c r="C7" i="9"/>
  <c r="C6" i="9"/>
  <c r="C9" i="9"/>
  <c r="J45" i="9" l="1"/>
  <c r="J68" i="9" s="1"/>
  <c r="J77" i="9" s="1"/>
  <c r="J67" i="9"/>
  <c r="J76" i="9" s="1"/>
  <c r="H44" i="9"/>
  <c r="F26" i="9"/>
  <c r="J70" i="25"/>
  <c r="L205" i="7"/>
  <c r="M205" i="7" s="1"/>
  <c r="F122" i="22"/>
  <c r="L179" i="7"/>
  <c r="M179" i="7" s="1"/>
  <c r="G5" i="11"/>
  <c r="L189" i="7"/>
  <c r="C16" i="9"/>
  <c r="D10" i="9"/>
  <c r="E10" i="9" s="1"/>
  <c r="L62" i="9"/>
  <c r="M62" i="9"/>
  <c r="E65" i="11"/>
  <c r="I62" i="9"/>
  <c r="I44" i="9" s="1"/>
  <c r="K62" i="9"/>
  <c r="K44" i="9" s="1"/>
  <c r="C15" i="9"/>
  <c r="D11" i="9"/>
  <c r="E11" i="9" s="1"/>
  <c r="D13" i="9"/>
  <c r="E13" i="9" s="1"/>
  <c r="E6" i="11"/>
  <c r="C6" i="11"/>
  <c r="D6" i="11"/>
  <c r="D14" i="9"/>
  <c r="E14" i="9" s="1"/>
  <c r="D12" i="9"/>
  <c r="E12" i="9" s="1"/>
  <c r="D9" i="9"/>
  <c r="E9" i="9" s="1"/>
  <c r="D7" i="9"/>
  <c r="E7" i="9" s="1"/>
  <c r="D6" i="9"/>
  <c r="E6" i="9" s="1"/>
  <c r="H45" i="9" l="1"/>
  <c r="H68" i="9" s="1"/>
  <c r="H67" i="9"/>
  <c r="K45" i="9"/>
  <c r="K68" i="9" s="1"/>
  <c r="K77" i="9" s="1"/>
  <c r="K67" i="9"/>
  <c r="K76" i="9" s="1"/>
  <c r="I45" i="9"/>
  <c r="I68" i="9" s="1"/>
  <c r="I77" i="9" s="1"/>
  <c r="I67" i="9"/>
  <c r="I76" i="9" s="1"/>
  <c r="L70" i="25"/>
  <c r="Y16" i="9"/>
  <c r="K287" i="22"/>
  <c r="L8" i="11"/>
  <c r="L10" i="11" s="1"/>
  <c r="M8" i="11"/>
  <c r="M10" i="11" s="1"/>
  <c r="G22" i="9"/>
  <c r="M12" i="11" s="1"/>
  <c r="M16" i="11" s="1"/>
  <c r="E20" i="22" s="1"/>
  <c r="G21" i="9"/>
  <c r="G6" i="11"/>
  <c r="F284" i="22"/>
  <c r="F285" i="22" s="1"/>
  <c r="D16" i="9"/>
  <c r="E16" i="9" s="1"/>
  <c r="F115" i="22"/>
  <c r="G115" i="22" s="1"/>
  <c r="F114" i="22"/>
  <c r="G114" i="22" s="1"/>
  <c r="D15" i="9"/>
  <c r="E15" i="9" s="1"/>
  <c r="J18" i="17"/>
  <c r="H77" i="9"/>
  <c r="H76" i="9" l="1"/>
  <c r="O76" i="9" s="1"/>
  <c r="G67" i="9"/>
  <c r="L287" i="22"/>
  <c r="L289" i="22" s="1"/>
  <c r="L291" i="22" s="1"/>
  <c r="K289" i="22"/>
  <c r="K291" i="22" s="1"/>
  <c r="Y39" i="9"/>
  <c r="L12" i="11"/>
  <c r="L16" i="11" s="1"/>
  <c r="E19" i="22" s="1"/>
  <c r="F19" i="22" s="1"/>
  <c r="G19" i="22" s="1"/>
  <c r="G71" i="9"/>
  <c r="G76" i="9" s="1"/>
  <c r="G72" i="9"/>
  <c r="J19" i="17"/>
  <c r="F310" i="22" l="1"/>
  <c r="S39" i="9"/>
  <c r="M80" i="9"/>
  <c r="H80" i="9"/>
  <c r="L80" i="9"/>
  <c r="J80" i="9"/>
  <c r="N80" i="9"/>
  <c r="I80" i="9"/>
  <c r="K80" i="9"/>
  <c r="F299" i="22"/>
  <c r="R39" i="9"/>
  <c r="X39" i="9"/>
  <c r="F382" i="22"/>
  <c r="V39" i="9"/>
  <c r="F354" i="22"/>
  <c r="F352" i="22"/>
  <c r="F360" i="22" s="1"/>
  <c r="F367" i="22"/>
  <c r="F375" i="22" s="1"/>
  <c r="W39" i="9"/>
  <c r="F369" i="22"/>
  <c r="F339" i="22"/>
  <c r="F337" i="22"/>
  <c r="F345" i="22" s="1"/>
  <c r="U39" i="9"/>
  <c r="T39" i="9"/>
  <c r="F321" i="22"/>
  <c r="F330" i="22" s="1"/>
  <c r="F20" i="22"/>
  <c r="G20" i="22" s="1"/>
  <c r="G68" i="9"/>
  <c r="G77" i="9" s="1"/>
  <c r="M52" i="11"/>
  <c r="M60" i="11"/>
  <c r="M64" i="11" s="1"/>
  <c r="F362" i="22" l="1"/>
  <c r="F356" i="22"/>
  <c r="I511" i="22" s="1"/>
  <c r="K237" i="22"/>
  <c r="K243" i="22" s="1"/>
  <c r="N71" i="9"/>
  <c r="G237" i="22"/>
  <c r="G243" i="22" s="1"/>
  <c r="E278" i="22" s="1"/>
  <c r="J71" i="9"/>
  <c r="F388" i="22"/>
  <c r="F384" i="22"/>
  <c r="I513" i="22" s="1"/>
  <c r="I237" i="22"/>
  <c r="I243" i="22" s="1"/>
  <c r="K273" i="22" s="1"/>
  <c r="L273" i="22" s="1"/>
  <c r="L71" i="9"/>
  <c r="F237" i="22"/>
  <c r="F243" i="22" s="1"/>
  <c r="I71" i="9"/>
  <c r="I510" i="22"/>
  <c r="F347" i="22"/>
  <c r="F341" i="22"/>
  <c r="O80" i="9"/>
  <c r="H71" i="9"/>
  <c r="E237" i="22"/>
  <c r="F377" i="22"/>
  <c r="F371" i="22"/>
  <c r="I512" i="22" s="1"/>
  <c r="J237" i="22"/>
  <c r="J243" i="22" s="1"/>
  <c r="H278" i="22" s="1"/>
  <c r="M71" i="9"/>
  <c r="F323" i="22"/>
  <c r="F396" i="22" s="1"/>
  <c r="F402" i="22" s="1"/>
  <c r="R18" i="18"/>
  <c r="F394" i="22"/>
  <c r="F400" i="22" s="1"/>
  <c r="F305" i="22"/>
  <c r="F301" i="22"/>
  <c r="I507" i="22" s="1"/>
  <c r="H237" i="22"/>
  <c r="H243" i="22" s="1"/>
  <c r="F278" i="22" s="1"/>
  <c r="K71" i="9"/>
  <c r="F316" i="22"/>
  <c r="F312" i="22"/>
  <c r="I508" i="22" s="1"/>
  <c r="M56" i="11"/>
  <c r="H20" i="22"/>
  <c r="O77" i="9"/>
  <c r="E23" i="18" l="1"/>
  <c r="L45" i="11" s="1"/>
  <c r="K368" i="22" s="1"/>
  <c r="K376" i="22" s="1"/>
  <c r="J38" i="22"/>
  <c r="J74" i="22" s="1"/>
  <c r="J91" i="22" s="1"/>
  <c r="L44" i="11"/>
  <c r="K366" i="22" s="1"/>
  <c r="K374" i="22" s="1"/>
  <c r="G38" i="22"/>
  <c r="G74" i="22" s="1"/>
  <c r="G91" i="22" s="1"/>
  <c r="L29" i="11"/>
  <c r="K320" i="22" s="1"/>
  <c r="K329" i="22" s="1"/>
  <c r="B23" i="18"/>
  <c r="I520" i="22"/>
  <c r="K520" i="22" s="1"/>
  <c r="J510" i="22"/>
  <c r="J513" i="22"/>
  <c r="I523" i="22"/>
  <c r="K523" i="22" s="1"/>
  <c r="I522" i="22"/>
  <c r="K522" i="22" s="1"/>
  <c r="J512" i="22"/>
  <c r="J507" i="22"/>
  <c r="I517" i="22"/>
  <c r="K517" i="22" s="1"/>
  <c r="F38" i="22"/>
  <c r="F74" i="22" s="1"/>
  <c r="F91" i="22" s="1"/>
  <c r="L25" i="11"/>
  <c r="K309" i="22" s="1"/>
  <c r="K315" i="22" s="1"/>
  <c r="L49" i="11"/>
  <c r="K381" i="22" s="1"/>
  <c r="K387" i="22" s="1"/>
  <c r="K38" i="22"/>
  <c r="K74" i="22" s="1"/>
  <c r="K91" i="22" s="1"/>
  <c r="F332" i="22"/>
  <c r="F325" i="22"/>
  <c r="I509" i="22" s="1"/>
  <c r="I518" i="22"/>
  <c r="K518" i="22" s="1"/>
  <c r="J508" i="22"/>
  <c r="C23" i="18"/>
  <c r="L35" i="11" s="1"/>
  <c r="K338" i="22" s="1"/>
  <c r="H38" i="22"/>
  <c r="L34" i="11"/>
  <c r="K336" i="22" s="1"/>
  <c r="L237" i="22"/>
  <c r="L243" i="22" s="1"/>
  <c r="E243" i="22"/>
  <c r="L39" i="11"/>
  <c r="K351" i="22" s="1"/>
  <c r="D23" i="18"/>
  <c r="I38" i="22"/>
  <c r="I74" i="22" s="1"/>
  <c r="I91" i="22" s="1"/>
  <c r="I521" i="22"/>
  <c r="K521" i="22" s="1"/>
  <c r="J511" i="22"/>
  <c r="E38" i="22"/>
  <c r="L21" i="11"/>
  <c r="K298" i="22" s="1"/>
  <c r="K299" i="22" s="1"/>
  <c r="O71" i="9"/>
  <c r="R71" i="9" s="1"/>
  <c r="S71" i="9" s="1"/>
  <c r="K369" i="22"/>
  <c r="K370" i="22"/>
  <c r="K367" i="22"/>
  <c r="K375" i="22" s="1"/>
  <c r="K472" i="22"/>
  <c r="I473" i="22"/>
  <c r="K304" i="22"/>
  <c r="J81" i="9"/>
  <c r="L81" i="9"/>
  <c r="N81" i="9"/>
  <c r="H81" i="9"/>
  <c r="K81" i="9"/>
  <c r="M81" i="9"/>
  <c r="L60" i="11"/>
  <c r="L64" i="11" s="1"/>
  <c r="L52" i="11"/>
  <c r="I81" i="9"/>
  <c r="I467" i="22" l="1"/>
  <c r="K321" i="22"/>
  <c r="K330" i="22" s="1"/>
  <c r="K300" i="22"/>
  <c r="G557" i="22" s="1"/>
  <c r="K382" i="22"/>
  <c r="K310" i="22"/>
  <c r="I468" i="22"/>
  <c r="K311" i="22"/>
  <c r="G558" i="22" s="1"/>
  <c r="J558" i="22" s="1"/>
  <c r="K393" i="22"/>
  <c r="K399" i="22" s="1"/>
  <c r="K470" i="22"/>
  <c r="K339" i="22"/>
  <c r="K346" i="22"/>
  <c r="K340" i="22"/>
  <c r="G560" i="22" s="1"/>
  <c r="K359" i="22"/>
  <c r="K352" i="22"/>
  <c r="K360" i="22" s="1"/>
  <c r="I519" i="22"/>
  <c r="K519" i="22" s="1"/>
  <c r="J509" i="22"/>
  <c r="L30" i="11"/>
  <c r="K322" i="22" s="1"/>
  <c r="F23" i="18"/>
  <c r="L40" i="11"/>
  <c r="K353" i="22" s="1"/>
  <c r="G278" i="22"/>
  <c r="I278" i="22" s="1"/>
  <c r="L38" i="22"/>
  <c r="E74" i="22"/>
  <c r="E91" i="22" s="1"/>
  <c r="K337" i="22"/>
  <c r="K345" i="22" s="1"/>
  <c r="K344" i="22"/>
  <c r="K383" i="22"/>
  <c r="G563" i="22" s="1"/>
  <c r="H563" i="22" s="1"/>
  <c r="N38" i="22"/>
  <c r="N39" i="22" s="1"/>
  <c r="H74" i="22"/>
  <c r="H91" i="22" s="1"/>
  <c r="L56" i="11"/>
  <c r="H19" i="22"/>
  <c r="H557" i="22"/>
  <c r="J557" i="22"/>
  <c r="H558" i="22"/>
  <c r="K384" i="22"/>
  <c r="K388" i="22"/>
  <c r="K371" i="22"/>
  <c r="G562" i="22" s="1"/>
  <c r="K377" i="22"/>
  <c r="K316" i="22"/>
  <c r="K312" i="22"/>
  <c r="K301" i="22"/>
  <c r="K305" i="22"/>
  <c r="H72" i="9"/>
  <c r="E238" i="22"/>
  <c r="H479" i="22"/>
  <c r="L467" i="22"/>
  <c r="M467" i="22" s="1"/>
  <c r="I474" i="22"/>
  <c r="H486" i="22" s="1"/>
  <c r="H480" i="22"/>
  <c r="L468" i="22"/>
  <c r="M468" i="22" s="1"/>
  <c r="H485" i="22"/>
  <c r="L473" i="22"/>
  <c r="M473" i="22" s="1"/>
  <c r="M72" i="9"/>
  <c r="J39" i="22" s="1"/>
  <c r="J75" i="22" s="1"/>
  <c r="J92" i="22" s="1"/>
  <c r="J238" i="22"/>
  <c r="J244" i="22" s="1"/>
  <c r="H279" i="22" s="1"/>
  <c r="K72" i="9"/>
  <c r="H39" i="22" s="1"/>
  <c r="H75" i="22" s="1"/>
  <c r="H238" i="22"/>
  <c r="H244" i="22" s="1"/>
  <c r="F279" i="22" s="1"/>
  <c r="I72" i="9"/>
  <c r="F39" i="22" s="1"/>
  <c r="F75" i="22" s="1"/>
  <c r="F92" i="22" s="1"/>
  <c r="F238" i="22"/>
  <c r="F244" i="22" s="1"/>
  <c r="K238" i="22"/>
  <c r="K244" i="22" s="1"/>
  <c r="L72" i="9"/>
  <c r="I39" i="22" s="1"/>
  <c r="I75" i="22" s="1"/>
  <c r="I92" i="22" s="1"/>
  <c r="I238" i="22"/>
  <c r="I244" i="22" s="1"/>
  <c r="K274" i="22" s="1"/>
  <c r="L274" i="22" s="1"/>
  <c r="J72" i="9"/>
  <c r="B24" i="18" s="1"/>
  <c r="G238" i="22"/>
  <c r="G244" i="22" s="1"/>
  <c r="E279" i="22" s="1"/>
  <c r="L472" i="22"/>
  <c r="M472" i="22" s="1"/>
  <c r="J484" i="22"/>
  <c r="O81" i="9"/>
  <c r="L65" i="11"/>
  <c r="M65" i="11"/>
  <c r="F17" i="18"/>
  <c r="F58" i="11" s="1"/>
  <c r="L53" i="11"/>
  <c r="J563" i="22" l="1"/>
  <c r="K394" i="22"/>
  <c r="K400" i="22" s="1"/>
  <c r="H92" i="22"/>
  <c r="H560" i="22"/>
  <c r="J560" i="22"/>
  <c r="K361" i="22"/>
  <c r="K471" i="22"/>
  <c r="K355" i="22"/>
  <c r="G561" i="22" s="1"/>
  <c r="K354" i="22"/>
  <c r="K395" i="22"/>
  <c r="K401" i="22" s="1"/>
  <c r="K347" i="22"/>
  <c r="K341" i="22"/>
  <c r="K323" i="22"/>
  <c r="K469" i="22"/>
  <c r="K324" i="22"/>
  <c r="G559" i="22" s="1"/>
  <c r="K331" i="22"/>
  <c r="J482" i="22"/>
  <c r="L470" i="22"/>
  <c r="M470" i="22" s="1"/>
  <c r="I19" i="22"/>
  <c r="J19" i="22" s="1"/>
  <c r="I20" i="22"/>
  <c r="J20" i="22" s="1"/>
  <c r="K563" i="22"/>
  <c r="F573" i="22"/>
  <c r="K557" i="22"/>
  <c r="F567" i="22"/>
  <c r="K558" i="22"/>
  <c r="F568" i="22"/>
  <c r="H562" i="22"/>
  <c r="J562" i="22"/>
  <c r="M25" i="11"/>
  <c r="L309" i="22" s="1"/>
  <c r="G39" i="22"/>
  <c r="G75" i="22" s="1"/>
  <c r="G92" i="22" s="1"/>
  <c r="M30" i="11"/>
  <c r="C24" i="18"/>
  <c r="M35" i="11" s="1"/>
  <c r="L238" i="22"/>
  <c r="L244" i="22" s="1"/>
  <c r="E244" i="22"/>
  <c r="E39" i="22"/>
  <c r="E24" i="18"/>
  <c r="M45" i="11" s="1"/>
  <c r="K39" i="22"/>
  <c r="K75" i="22" s="1"/>
  <c r="K92" i="22" s="1"/>
  <c r="D24" i="18"/>
  <c r="G279" i="22" s="1"/>
  <c r="I279" i="22" s="1"/>
  <c r="M29" i="11"/>
  <c r="N16" i="11"/>
  <c r="L57" i="11"/>
  <c r="M34" i="11"/>
  <c r="M39" i="11"/>
  <c r="M44" i="11"/>
  <c r="M49" i="11"/>
  <c r="M21" i="11"/>
  <c r="O72" i="9"/>
  <c r="L54" i="11"/>
  <c r="L58" i="11" s="1"/>
  <c r="K362" i="22" l="1"/>
  <c r="K356" i="22"/>
  <c r="K396" i="22"/>
  <c r="K402" i="22" s="1"/>
  <c r="H561" i="22"/>
  <c r="J561" i="22"/>
  <c r="H559" i="22"/>
  <c r="J559" i="22"/>
  <c r="L471" i="22"/>
  <c r="M471" i="22" s="1"/>
  <c r="J483" i="22"/>
  <c r="J481" i="22"/>
  <c r="J486" i="22" s="1"/>
  <c r="K474" i="22"/>
  <c r="L469" i="22"/>
  <c r="M469" i="22" s="1"/>
  <c r="K325" i="22"/>
  <c r="K332" i="22"/>
  <c r="F570" i="22"/>
  <c r="K560" i="22"/>
  <c r="K562" i="22"/>
  <c r="F572" i="22"/>
  <c r="L310" i="22"/>
  <c r="L311" i="22"/>
  <c r="G568" i="22" s="1"/>
  <c r="H568" i="22" s="1"/>
  <c r="M40" i="11"/>
  <c r="L353" i="22" s="1"/>
  <c r="L361" i="22" s="1"/>
  <c r="F24" i="18"/>
  <c r="L336" i="22"/>
  <c r="L322" i="22"/>
  <c r="L368" i="22"/>
  <c r="L376" i="22" s="1"/>
  <c r="L351" i="22"/>
  <c r="L359" i="22" s="1"/>
  <c r="L298" i="22"/>
  <c r="L320" i="22"/>
  <c r="L381" i="22"/>
  <c r="L387" i="22" s="1"/>
  <c r="I480" i="22"/>
  <c r="L315" i="22"/>
  <c r="L39" i="22"/>
  <c r="E75" i="22"/>
  <c r="E92" i="22" s="1"/>
  <c r="L366" i="22"/>
  <c r="L374" i="22" s="1"/>
  <c r="L338" i="22"/>
  <c r="R72" i="9"/>
  <c r="S72" i="9" s="1"/>
  <c r="F18" i="18"/>
  <c r="G58" i="11" s="1"/>
  <c r="M53" i="11"/>
  <c r="O16" i="11" s="1"/>
  <c r="F569" i="22" l="1"/>
  <c r="K559" i="22"/>
  <c r="K561" i="22"/>
  <c r="F571" i="22"/>
  <c r="L480" i="22"/>
  <c r="M480" i="22" s="1"/>
  <c r="I493" i="22"/>
  <c r="L493" i="22" s="1"/>
  <c r="L383" i="22"/>
  <c r="G573" i="22" s="1"/>
  <c r="H573" i="22" s="1"/>
  <c r="L382" i="22"/>
  <c r="K483" i="22"/>
  <c r="L370" i="22"/>
  <c r="G572" i="22" s="1"/>
  <c r="H572" i="22" s="1"/>
  <c r="L369" i="22"/>
  <c r="L367" i="22"/>
  <c r="L375" i="22" s="1"/>
  <c r="L352" i="22"/>
  <c r="L360" i="22" s="1"/>
  <c r="L355" i="22"/>
  <c r="G571" i="22" s="1"/>
  <c r="H571" i="22" s="1"/>
  <c r="L354" i="22"/>
  <c r="L339" i="22"/>
  <c r="L340" i="22"/>
  <c r="G570" i="22" s="1"/>
  <c r="H570" i="22" s="1"/>
  <c r="L344" i="22"/>
  <c r="L337" i="22"/>
  <c r="L345" i="22" s="1"/>
  <c r="L329" i="22"/>
  <c r="L321" i="22"/>
  <c r="L330" i="22" s="1"/>
  <c r="L323" i="22"/>
  <c r="L324" i="22"/>
  <c r="G569" i="22" s="1"/>
  <c r="H569" i="22" s="1"/>
  <c r="L316" i="22"/>
  <c r="L312" i="22"/>
  <c r="L299" i="22"/>
  <c r="L300" i="22"/>
  <c r="G567" i="22" s="1"/>
  <c r="H567" i="22" s="1"/>
  <c r="K482" i="22"/>
  <c r="L346" i="22"/>
  <c r="L395" i="22"/>
  <c r="L401" i="22" s="1"/>
  <c r="K484" i="22"/>
  <c r="K481" i="22"/>
  <c r="K494" i="22" s="1"/>
  <c r="L331" i="22"/>
  <c r="L304" i="22"/>
  <c r="I479" i="22"/>
  <c r="I492" i="22" s="1"/>
  <c r="L393" i="22"/>
  <c r="L399" i="22" s="1"/>
  <c r="I485" i="22"/>
  <c r="M57" i="11"/>
  <c r="M54" i="11"/>
  <c r="M58" i="11" s="1"/>
  <c r="L492" i="22" l="1"/>
  <c r="L483" i="22"/>
  <c r="M483" i="22" s="1"/>
  <c r="K496" i="22"/>
  <c r="L484" i="22"/>
  <c r="M484" i="22" s="1"/>
  <c r="K497" i="22"/>
  <c r="L494" i="22"/>
  <c r="L485" i="22"/>
  <c r="M485" i="22" s="1"/>
  <c r="I498" i="22"/>
  <c r="L498" i="22" s="1"/>
  <c r="H499" i="22"/>
  <c r="L482" i="22"/>
  <c r="M482" i="22" s="1"/>
  <c r="K495" i="22"/>
  <c r="L495" i="22" s="1"/>
  <c r="L396" i="22"/>
  <c r="L402" i="22" s="1"/>
  <c r="L394" i="22"/>
  <c r="L400" i="22" s="1"/>
  <c r="L384" i="22"/>
  <c r="L388" i="22"/>
  <c r="L371" i="22"/>
  <c r="L377" i="22"/>
  <c r="L356" i="22"/>
  <c r="L362" i="22"/>
  <c r="L341" i="22"/>
  <c r="L347" i="22"/>
  <c r="L332" i="22"/>
  <c r="L325" i="22"/>
  <c r="L305" i="22"/>
  <c r="L301" i="22"/>
  <c r="I486" i="22"/>
  <c r="L479" i="22"/>
  <c r="M479" i="22" s="1"/>
  <c r="K486" i="22"/>
  <c r="L481" i="22"/>
  <c r="M481" i="22" s="1"/>
  <c r="K499" i="22" l="1"/>
  <c r="L497" i="22"/>
  <c r="L496" i="22"/>
  <c r="I49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mwanner</author>
    <author>Bacon, Bruce</author>
  </authors>
  <commentList>
    <comment ref="N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mwanner:</t>
        </r>
        <r>
          <rPr>
            <sz val="8"/>
            <color indexed="81"/>
            <rFont val="Tahoma"/>
            <family val="2"/>
          </rPr>
          <t xml:space="preserve">
Cogeco dropped of in May 2010 - represented 56 of the 76 connections</t>
        </r>
      </text>
    </comment>
    <comment ref="K3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Not Used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Micheal Roth</author>
  </authors>
  <commentList>
    <comment ref="D5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Micheal Roth:</t>
        </r>
        <r>
          <rPr>
            <sz val="9"/>
            <color indexed="81"/>
            <rFont val="Tahoma"/>
            <family val="2"/>
          </rPr>
          <t xml:space="preserve">
used 2019
</t>
        </r>
      </text>
    </comment>
  </commentList>
</comments>
</file>

<file path=xl/sharedStrings.xml><?xml version="1.0" encoding="utf-8"?>
<sst xmlns="http://schemas.openxmlformats.org/spreadsheetml/2006/main" count="735" uniqueCount="297">
  <si>
    <t>Purchased</t>
  </si>
  <si>
    <t>Loss Factor</t>
  </si>
  <si>
    <t xml:space="preserve">Residential 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</si>
  <si>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</si>
  <si>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</si>
  <si>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</si>
  <si>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</si>
  <si>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</si>
  <si>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</si>
  <si>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</si>
  <si>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</si>
  <si>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</si>
  <si>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</si>
  <si>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</si>
  <si>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</si>
  <si>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</si>
  <si>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</si>
  <si>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</si>
  <si>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</si>
  <si>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</si>
  <si>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</si>
  <si>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</si>
  <si>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</si>
  <si>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</si>
  <si>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</si>
  <si>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</si>
  <si>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</si>
  <si>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</si>
  <si>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</si>
  <si>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</si>
  <si>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</si>
  <si>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</si>
  <si>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</si>
  <si>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</si>
  <si>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</si>
  <si>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</si>
  <si>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</si>
  <si>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</si>
  <si>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</si>
  <si>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</si>
  <si>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</si>
  <si>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</si>
  <si>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</si>
  <si>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</si>
  <si>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</si>
  <si>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</si>
  <si>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</si>
  <si>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</si>
  <si>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</si>
  <si>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</si>
  <si>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</si>
  <si>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</si>
  <si>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</si>
  <si>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</si>
  <si>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</si>
  <si>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</si>
  <si>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t>kW/kWh</t>
  </si>
  <si>
    <t>TOTAL</t>
  </si>
  <si>
    <t>Weather Normal Projection</t>
  </si>
  <si>
    <t>Check totals</t>
  </si>
  <si>
    <t>hydro one cost allocation file - load data file I8</t>
  </si>
  <si>
    <t>Arithmetic Mean</t>
  </si>
  <si>
    <t xml:space="preserve">  Customer</t>
  </si>
  <si>
    <t>Total Adjusted Predicted Purchases</t>
  </si>
  <si>
    <t>Total Adjusted Sales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</si>
  <si>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</si>
  <si>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</si>
  <si>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</si>
  <si>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</si>
  <si>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</si>
  <si>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</si>
  <si>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</si>
  <si>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</si>
  <si>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>Billed Energy (GWh)</t>
  </si>
  <si>
    <t>Number of Customers/Connections</t>
  </si>
  <si>
    <t>Energy Usage per Customer/Connection (kWh per customer/connection)</t>
  </si>
  <si>
    <t>Annual Growth Rate in Usage per Customer/Connection</t>
  </si>
  <si>
    <t>Statistic</t>
  </si>
  <si>
    <t>Value</t>
  </si>
  <si>
    <t>F Test</t>
  </si>
  <si>
    <t>T-stats by Coefficient</t>
  </si>
  <si>
    <t xml:space="preserve">Actual </t>
  </si>
  <si>
    <t xml:space="preserve">Predicted </t>
  </si>
  <si>
    <t>Purchased Energy (GWh)</t>
  </si>
  <si>
    <t>Growth Rate in Customers/Connections</t>
  </si>
  <si>
    <t>Forecast number of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</si>
  <si>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</si>
  <si>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</si>
  <si>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</si>
  <si>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</si>
  <si>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Weather Sensitivity</t>
  </si>
  <si>
    <t>Non-normalized Weather Billed Energy Forecast (GWh)</t>
  </si>
  <si>
    <t>Adjustment for Weather (GWh)</t>
  </si>
  <si>
    <t>Weather Normalized Billed Energy Forecast (GWh)</t>
  </si>
  <si>
    <t>Billed Annual kW</t>
  </si>
  <si>
    <t>Ratio of kW to kWh</t>
  </si>
  <si>
    <t>Predicted Billed kW</t>
  </si>
  <si>
    <t>% Difference between actual and predicted purchases</t>
  </si>
  <si>
    <t>Residential</t>
  </si>
  <si>
    <t>HDD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</si>
  <si>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</si>
  <si>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</si>
  <si>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</si>
  <si>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</si>
  <si>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</si>
  <si>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</si>
  <si>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</si>
  <si>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</si>
  <si>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</si>
  <si>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</si>
  <si>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</si>
  <si>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</si>
  <si>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CDD</t>
  </si>
  <si>
    <t>10 year Avg</t>
  </si>
  <si>
    <t>20 yr trend</t>
  </si>
  <si>
    <t>Adjustment for CDM (GWh)</t>
  </si>
  <si>
    <t>Predicted kWh Purchases before CDM adjustment</t>
  </si>
  <si>
    <t>CDM Adjustment</t>
  </si>
  <si>
    <t>Geo Mean</t>
  </si>
  <si>
    <t xml:space="preserve">Total Customer Count - Resi / GS </t>
  </si>
  <si>
    <t>Street Lights</t>
  </si>
  <si>
    <t>Sentinal Lights</t>
  </si>
  <si>
    <t>USL</t>
  </si>
  <si>
    <t>2010 Actual</t>
  </si>
  <si>
    <t>Intercept</t>
  </si>
  <si>
    <t>CoS</t>
  </si>
  <si>
    <t>2011 Actual</t>
  </si>
  <si>
    <t>Approved Loss Factor</t>
  </si>
  <si>
    <t>2012 Actual</t>
  </si>
  <si>
    <t>kWh</t>
  </si>
  <si>
    <t>NOTES:</t>
  </si>
  <si>
    <t>2013 Actual</t>
  </si>
  <si>
    <t>20 year trend numbers:</t>
  </si>
  <si>
    <t>North Bay  Economy</t>
  </si>
  <si>
    <t>Using 12 month avg. customer #</t>
  </si>
  <si>
    <t>5 year average</t>
  </si>
  <si>
    <t xml:space="preserve">2010 Actual </t>
  </si>
  <si>
    <t xml:space="preserve">2011 Actual </t>
  </si>
  <si>
    <t xml:space="preserve">2012 Actual </t>
  </si>
  <si>
    <t xml:space="preserve">2013 Actual </t>
  </si>
  <si>
    <t>% Variance - Absolute</t>
  </si>
  <si>
    <t xml:space="preserve">MAPE (Monthly) </t>
  </si>
  <si>
    <t>Street Lighting</t>
  </si>
  <si>
    <t>Sentinel Lighting</t>
  </si>
  <si>
    <r>
      <t>General Service</t>
    </r>
    <r>
      <rPr>
        <u/>
        <sz val="10"/>
        <rFont val="Arial"/>
        <family val="2"/>
      </rPr>
      <t xml:space="preserve"> 50 to 2999 kW</t>
    </r>
  </si>
  <si>
    <r>
      <t xml:space="preserve">General Service </t>
    </r>
    <r>
      <rPr>
        <u/>
        <sz val="10"/>
        <rFont val="Arial"/>
        <family val="2"/>
      </rPr>
      <t>3000 to 4999 kW</t>
    </r>
  </si>
  <si>
    <t xml:space="preserve">Unmetered Scattered Load </t>
  </si>
  <si>
    <t>Total Billed Before Adjustments</t>
  </si>
  <si>
    <t>Total Billed After Adjustments</t>
  </si>
  <si>
    <t xml:space="preserve">  Variance Analysis Compare to Board Approved</t>
  </si>
  <si>
    <t>Customer/Connections</t>
  </si>
  <si>
    <t xml:space="preserve">kW </t>
  </si>
  <si>
    <t>Volumeteric Difference</t>
  </si>
  <si>
    <t>Billing Determinants</t>
  </si>
  <si>
    <t>Constant</t>
  </si>
  <si>
    <t>Total in Year</t>
  </si>
  <si>
    <t>2015 CDM Programs</t>
  </si>
  <si>
    <t>Average - 2 year</t>
  </si>
  <si>
    <t>North Bay Hydro Distribution Ltd. Weather Normal Load Forecast for 2015 Budget</t>
  </si>
  <si>
    <t>Using 3 years</t>
  </si>
  <si>
    <t>2014 Actual</t>
  </si>
  <si>
    <t>Lower 95.0%</t>
  </si>
  <si>
    <t>Upper 95.0%</t>
  </si>
  <si>
    <t>2020/2021 Forecast Summary:</t>
  </si>
  <si>
    <t>Total to 2019</t>
  </si>
  <si>
    <t>MAPE (Mean Absolute % Error) - Direct relationship to Rsquare value</t>
  </si>
  <si>
    <t>Weather Corrected Forecast</t>
  </si>
  <si>
    <t>average is 2017 - 2019 - 3 year average</t>
  </si>
  <si>
    <t>Prior App incorporated CoGen at NBHRC</t>
  </si>
  <si>
    <t>2015 Actual</t>
  </si>
  <si>
    <t>2016 Actual</t>
  </si>
  <si>
    <t>2017 Actual</t>
  </si>
  <si>
    <t>2018 Actual</t>
  </si>
  <si>
    <t>2019 Actual</t>
  </si>
  <si>
    <t>2020 Weather Normal</t>
  </si>
  <si>
    <t>2021 Weather Normal</t>
  </si>
  <si>
    <t>USING 5 YR</t>
  </si>
  <si>
    <t>CEP</t>
  </si>
  <si>
    <t>AFTER CEP</t>
  </si>
  <si>
    <t>2021 VAR</t>
  </si>
  <si>
    <t>2020 VAR</t>
  </si>
  <si>
    <t>CEP impact uplift</t>
  </si>
  <si>
    <t>CEP / 2019LRAM REDUCTION</t>
  </si>
  <si>
    <t>kW</t>
  </si>
  <si>
    <t>PRIOR TO CEP/LRAM REDUCTION</t>
  </si>
  <si>
    <t>NB: Manual reduction from LRAM FILE</t>
  </si>
  <si>
    <t>MANUAL Reduction</t>
  </si>
  <si>
    <t>2015 Board Approved</t>
  </si>
  <si>
    <t xml:space="preserve">2014 Actual </t>
  </si>
  <si>
    <t xml:space="preserve">2015 Actual </t>
  </si>
  <si>
    <t xml:space="preserve">2016 Actual </t>
  </si>
  <si>
    <t xml:space="preserve">2017 Actual </t>
  </si>
  <si>
    <t xml:space="preserve">2018 Actual </t>
  </si>
  <si>
    <t xml:space="preserve">2019 Actual </t>
  </si>
  <si>
    <t>2020 Bridge - Normalized</t>
  </si>
  <si>
    <t>2021 Test - Normalized</t>
  </si>
  <si>
    <t xml:space="preserve"> 2015 Board Approved vs 2015 Actual</t>
  </si>
  <si>
    <t>Geo Mean - 2017 to 2019</t>
  </si>
  <si>
    <t>2021 (Not Normalized)</t>
  </si>
  <si>
    <t>Average 2017-2019</t>
  </si>
  <si>
    <t>2020 (Not Normalized)</t>
  </si>
  <si>
    <t xml:space="preserve">2015 Board Approved </t>
  </si>
  <si>
    <t>2020 Bridge</t>
  </si>
  <si>
    <t>2021 Test</t>
  </si>
  <si>
    <t>2015 APPROVED</t>
  </si>
  <si>
    <t>CDM Impact - Uplifted</t>
  </si>
  <si>
    <t>Loss of Customer  Impact</t>
  </si>
  <si>
    <t>CDM Impact</t>
  </si>
  <si>
    <t>General Service &lt; 50 kW</t>
  </si>
  <si>
    <t>General Service 50 to 2999 kW</t>
  </si>
  <si>
    <t>General Service 3000 to 4999 kW</t>
  </si>
  <si>
    <t>2015 Weather Normal</t>
  </si>
  <si>
    <t>2021 Test - Normalized - 20 year trend</t>
  </si>
  <si>
    <t>2015 rates</t>
  </si>
  <si>
    <t>INT RATES</t>
  </si>
  <si>
    <t>10 year avg</t>
  </si>
  <si>
    <t>NB: this makes sense since other variable are static</t>
  </si>
  <si>
    <t>Leap Year</t>
  </si>
  <si>
    <t>Scale down by in year loss factor</t>
  </si>
  <si>
    <t>Actual</t>
  </si>
  <si>
    <t>VAR</t>
  </si>
  <si>
    <t>Weather Normaized - 10yr</t>
  </si>
  <si>
    <t>10year Avg</t>
  </si>
  <si>
    <t xml:space="preserve">  kWh - Actuals</t>
  </si>
  <si>
    <t xml:space="preserve">  kWh - weather normalized</t>
  </si>
  <si>
    <t xml:space="preserve">  kWh per customer - Actual</t>
  </si>
  <si>
    <t xml:space="preserve">  kWh per customer - weather norm.</t>
  </si>
  <si>
    <t xml:space="preserve">  kW - Actuals</t>
  </si>
  <si>
    <t xml:space="preserve">  kW - Weather Normaiized</t>
  </si>
  <si>
    <t xml:space="preserve">  kW per customer - Actual</t>
  </si>
  <si>
    <t xml:space="preserve">  kW per customer - weather norm.</t>
  </si>
  <si>
    <t xml:space="preserve">  kWh- Weather Normailized</t>
  </si>
  <si>
    <t xml:space="preserve">  kW from applicable classes - wn</t>
  </si>
  <si>
    <t>EX1 Table</t>
  </si>
  <si>
    <t>kWh/kW</t>
  </si>
  <si>
    <t>2015 Weather Actual</t>
  </si>
  <si>
    <t>Variance</t>
  </si>
  <si>
    <t>2015 Weather Normalized</t>
  </si>
  <si>
    <t>Weather Actual</t>
  </si>
  <si>
    <t>Weather Normalized</t>
  </si>
  <si>
    <t>2020 (WN)</t>
  </si>
  <si>
    <t>Average Consumption or Demand per Customer/Connection</t>
  </si>
  <si>
    <t>CEP - Manual Adjustment</t>
  </si>
  <si>
    <t>Use 10 yr average of heating and cooling degree days and recalc the model for historical period.</t>
  </si>
  <si>
    <t>Table 3-2</t>
  </si>
  <si>
    <t>Table 3-3</t>
  </si>
  <si>
    <t>Table 3-4</t>
  </si>
  <si>
    <t>Table 3-5</t>
  </si>
  <si>
    <t>Table 3-6</t>
  </si>
  <si>
    <t>Table 3-7</t>
  </si>
  <si>
    <t>Table 3-8</t>
  </si>
  <si>
    <t>Table 3-9</t>
  </si>
  <si>
    <t>Table 3-10</t>
  </si>
  <si>
    <t>Table 3-11</t>
  </si>
  <si>
    <t>Table 3-12</t>
  </si>
  <si>
    <t>Table 3-13</t>
  </si>
  <si>
    <t>Table 3-14</t>
  </si>
  <si>
    <t>Former CFF 6 year (2015-2020) kWh Target: 20,260,000 kWh</t>
  </si>
  <si>
    <t>2016 CDM Programs</t>
  </si>
  <si>
    <t>2017 CDM Programs</t>
  </si>
  <si>
    <t>2018 CDM Programs</t>
  </si>
  <si>
    <t>2019 CDM Programs</t>
  </si>
  <si>
    <t>Table 3-15</t>
  </si>
  <si>
    <t>GS &lt; 50 kW</t>
  </si>
  <si>
    <t>GS 50 to 2,999 kW</t>
  </si>
  <si>
    <t>2021 Manual adjustment kWh</t>
  </si>
  <si>
    <t>Less CEP</t>
  </si>
  <si>
    <t>NBHDL CEP Adj</t>
  </si>
  <si>
    <t>Total Manual Adjustment</t>
  </si>
  <si>
    <t>2021 Manual adjustment kW</t>
  </si>
  <si>
    <t>Table 3-16</t>
  </si>
  <si>
    <t>Table 3-17</t>
  </si>
  <si>
    <t>Table 3-18</t>
  </si>
  <si>
    <t>Table 3-19</t>
  </si>
  <si>
    <t>Table 3-20</t>
  </si>
  <si>
    <t>Table 3-21</t>
  </si>
  <si>
    <t>Table 3-22</t>
  </si>
  <si>
    <t>Table 3-24</t>
  </si>
  <si>
    <t>Table 3-26</t>
  </si>
  <si>
    <t>Table 3-28</t>
  </si>
  <si>
    <t>Table 3-30</t>
  </si>
  <si>
    <t>Table 3-32</t>
  </si>
  <si>
    <t>Table 3-34</t>
  </si>
  <si>
    <t>Table 3-36</t>
  </si>
  <si>
    <t>Table 3-24 XX</t>
  </si>
  <si>
    <t>Table 3-26 XX</t>
  </si>
  <si>
    <t>Table 3-28 XX</t>
  </si>
  <si>
    <t>Table 3-30 XX</t>
  </si>
  <si>
    <t>Table 3-32 XX</t>
  </si>
  <si>
    <t>Table 3-34 XX</t>
  </si>
  <si>
    <t>Table 3-36 XX</t>
  </si>
  <si>
    <t>GS&gt;50 kW Reduction as filed with application</t>
  </si>
  <si>
    <t>CEP reduction</t>
  </si>
  <si>
    <t>GS&gt;50 Other</t>
  </si>
  <si>
    <t>VECC 51: Agreed to remove 2019 Actuals from CEP reduction since they should already be captured in regression</t>
  </si>
  <si>
    <t>Less: 2019 Actuals</t>
  </si>
  <si>
    <t>GS&gt;50 kW Reduction as updated for Clarification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</si>
</sst>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%;\(0.0%\)"/>
    <numFmt numFmtId="167" formatCode="#,##0;\(#,##0\)"/>
    <numFmt numFmtId="168" formatCode="0.0000"/>
    <numFmt numFmtId="169" formatCode="#,##0.0000"/>
    <numFmt numFmtId="170" formatCode="0.0000%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,##0.000000_);_(* \(#,##0.000000\);_(* &quot;-&quot;??_);_(@_)"/>
    <numFmt numFmtId="175" formatCode="#,##0.0;\(#,##0.0\)"/>
    <numFmt numFmtId="176" formatCode="0.0000%;\(0.0%\)"/>
    <numFmt numFmtId="177" formatCode="0.0;\(0.0\)"/>
    <numFmt numFmtId="178" formatCode="&quot;£ &quot;#,##0.00;[Red]\-&quot;£ &quot;#,##0.00"/>
    <numFmt numFmtId="179" formatCode="##\-#"/>
    <numFmt numFmtId="180" formatCode="mm/dd/yyyy"/>
    <numFmt numFmtId="181" formatCode="0\-0"/>
    <numFmt numFmtId="182" formatCode="_(* #,##0.00000_);_(* \(#,##0.00000\);_(* &quot;-&quot;??_);_(@_)"/>
    <numFmt numFmtId="183" formatCode="0.00%;\(0.00%\)"/>
    <numFmt numFmtId="184" formatCode="0;\(0\)"/>
    <numFmt numFmtId="185" formatCode="#,##0_ ;\-#,##0\ "/>
    <numFmt numFmtId="186" formatCode="0.000%"/>
    <numFmt numFmtId="187" formatCode="#,##0_ ;[Red]\-#,##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20"/>
      <name val="Calibri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7DC"/>
        <bgColor rgb="FF000000"/>
      </patternFill>
    </fill>
    <fill>
      <patternFill patternType="solid">
        <fgColor rgb="FFB8C7DC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5">
    <xf numFmtId="0" fontId="0" fillId="0" borderId="0"/>
    <xf numFmtId="171" fontId="4" fillId="0" borderId="0"/>
    <xf numFmtId="173" fontId="4" fillId="0" borderId="0"/>
    <xf numFmtId="180" fontId="4" fillId="0" borderId="0"/>
    <xf numFmtId="181" fontId="4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8" fillId="4" borderId="0" applyNumberFormat="0" applyBorder="0" applyAlignment="0" applyProtection="0"/>
    <xf numFmtId="38" fontId="35" fillId="2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0" fontId="35" fillId="23" borderId="6" applyNumberFormat="0" applyBorder="0" applyAlignment="0" applyProtection="0"/>
    <xf numFmtId="0" fontId="23" fillId="0" borderId="7" applyNumberFormat="0" applyFill="0" applyAlignment="0" applyProtection="0"/>
    <xf numFmtId="179" fontId="4" fillId="0" borderId="0"/>
    <xf numFmtId="172" fontId="4" fillId="0" borderId="0"/>
    <xf numFmtId="0" fontId="24" fillId="24" borderId="0" applyNumberFormat="0" applyBorder="0" applyAlignment="0" applyProtection="0"/>
    <xf numFmtId="178" fontId="4" fillId="0" borderId="0"/>
    <xf numFmtId="0" fontId="4" fillId="0" borderId="0"/>
    <xf numFmtId="0" fontId="25" fillId="0" borderId="0"/>
    <xf numFmtId="0" fontId="4" fillId="25" borderId="8" applyNumberFormat="0" applyFont="0" applyAlignment="0" applyProtection="0"/>
    <xf numFmtId="0" fontId="26" fillId="20" borderId="9" applyNumberFormat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7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28" fillId="0" borderId="10">
      <alignment horizontal="center" vertical="center"/>
    </xf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0" fillId="0" borderId="29" applyNumberFormat="0" applyFill="0" applyAlignment="0" applyProtection="0"/>
    <xf numFmtId="0" fontId="3" fillId="0" borderId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32" applyNumberFormat="0" applyAlignment="0" applyProtection="0"/>
    <xf numFmtId="0" fontId="57" fillId="37" borderId="33" applyNumberFormat="0" applyAlignment="0" applyProtection="0"/>
    <xf numFmtId="0" fontId="58" fillId="37" borderId="32" applyNumberFormat="0" applyAlignment="0" applyProtection="0"/>
    <xf numFmtId="0" fontId="59" fillId="0" borderId="34" applyNumberFormat="0" applyFill="0" applyAlignment="0" applyProtection="0"/>
    <xf numFmtId="0" fontId="60" fillId="38" borderId="35" applyNumberFormat="0" applyAlignment="0" applyProtection="0"/>
    <xf numFmtId="0" fontId="61" fillId="0" borderId="0" applyNumberFormat="0" applyFill="0" applyBorder="0" applyAlignment="0" applyProtection="0"/>
    <xf numFmtId="0" fontId="3" fillId="39" borderId="36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37" applyNumberFormat="0" applyFill="0" applyAlignment="0" applyProtection="0"/>
    <xf numFmtId="0" fontId="64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64" fillId="6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80" fontId="4" fillId="0" borderId="0"/>
    <xf numFmtId="38" fontId="32" fillId="22" borderId="0" applyNumberFormat="0" applyBorder="0" applyAlignment="0" applyProtection="0"/>
    <xf numFmtId="10" fontId="32" fillId="23" borderId="6" applyNumberFormat="0" applyBorder="0" applyAlignment="0" applyProtection="0"/>
    <xf numFmtId="179" fontId="4" fillId="0" borderId="0"/>
    <xf numFmtId="179" fontId="4" fillId="0" borderId="0"/>
    <xf numFmtId="179" fontId="4" fillId="0" borderId="0"/>
    <xf numFmtId="179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65" borderId="6" applyNumberFormat="0" applyProtection="0">
      <alignment horizontal="lef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32" applyNumberFormat="1" applyAlignment="1">
      <alignment horizontal="center"/>
    </xf>
    <xf numFmtId="10" fontId="0" fillId="0" borderId="0" xfId="0" applyNumberFormat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0" fillId="26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/>
    <xf numFmtId="3" fontId="0" fillId="26" borderId="0" xfId="0" applyNumberFormat="1" applyFill="1" applyAlignment="1">
      <alignment horizontal="center"/>
    </xf>
    <xf numFmtId="17" fontId="7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0" xfId="0" applyFill="1"/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12" xfId="0" applyFill="1" applyBorder="1" applyAlignment="1"/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Continuous"/>
    </xf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left"/>
    </xf>
    <xf numFmtId="3" fontId="7" fillId="0" borderId="0" xfId="0" applyNumberFormat="1" applyFont="1"/>
    <xf numFmtId="0" fontId="8" fillId="0" borderId="0" xfId="0" applyFont="1"/>
    <xf numFmtId="164" fontId="0" fillId="0" borderId="0" xfId="0" applyNumberFormat="1" applyAlignment="1">
      <alignment horizontal="center" wrapText="1"/>
    </xf>
    <xf numFmtId="9" fontId="0" fillId="27" borderId="0" xfId="0" applyNumberFormat="1" applyFill="1" applyAlignment="1">
      <alignment horizontal="center"/>
    </xf>
    <xf numFmtId="3" fontId="0" fillId="28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3" fontId="0" fillId="0" borderId="0" xfId="0" applyNumberFormat="1"/>
    <xf numFmtId="0" fontId="0" fillId="28" borderId="0" xfId="0" applyFill="1"/>
    <xf numFmtId="3" fontId="0" fillId="0" borderId="0" xfId="0" applyNumberFormat="1" applyAlignment="1">
      <alignment horizontal="left"/>
    </xf>
    <xf numFmtId="0" fontId="8" fillId="0" borderId="0" xfId="0" applyFont="1" applyBorder="1"/>
    <xf numFmtId="9" fontId="0" fillId="0" borderId="0" xfId="56" applyFont="1" applyAlignment="1">
      <alignment horizontal="center"/>
    </xf>
    <xf numFmtId="9" fontId="0" fillId="0" borderId="0" xfId="56" applyFont="1" applyFill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32" applyFont="1" applyAlignment="1">
      <alignment horizontal="center"/>
    </xf>
    <xf numFmtId="172" fontId="0" fillId="0" borderId="0" xfId="32" applyNumberFormat="1" applyFont="1" applyAlignment="1">
      <alignment horizontal="center"/>
    </xf>
    <xf numFmtId="0" fontId="0" fillId="0" borderId="0" xfId="0" applyNumberFormat="1" applyFill="1" applyBorder="1"/>
    <xf numFmtId="169" fontId="0" fillId="0" borderId="0" xfId="0" applyNumberFormat="1" applyFill="1" applyAlignment="1">
      <alignment horizontal="center"/>
    </xf>
    <xf numFmtId="43" fontId="0" fillId="0" borderId="0" xfId="32" applyFont="1"/>
    <xf numFmtId="3" fontId="0" fillId="29" borderId="0" xfId="0" applyNumberFormat="1" applyFill="1" applyAlignment="1">
      <alignment horizontal="center"/>
    </xf>
    <xf numFmtId="4" fontId="0" fillId="0" borderId="0" xfId="0" applyNumberFormat="1"/>
    <xf numFmtId="3" fontId="0" fillId="0" borderId="0" xfId="0" quotePrefix="1" applyNumberFormat="1"/>
    <xf numFmtId="4" fontId="11" fillId="0" borderId="0" xfId="0" applyNumberFormat="1" applyFont="1"/>
    <xf numFmtId="37" fontId="32" fillId="0" borderId="0" xfId="33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6" xfId="0" applyFont="1" applyFill="1" applyBorder="1" applyAlignment="1">
      <alignment vertical="center"/>
    </xf>
    <xf numFmtId="3" fontId="32" fillId="0" borderId="6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2" fillId="0" borderId="0" xfId="0" applyNumberFormat="1" applyFont="1" applyFill="1" applyAlignment="1">
      <alignment vertical="center"/>
    </xf>
    <xf numFmtId="3" fontId="32" fillId="0" borderId="0" xfId="0" applyNumberFormat="1" applyFont="1" applyFill="1" applyBorder="1" applyAlignment="1">
      <alignment horizontal="center" vertical="center" wrapText="1"/>
    </xf>
    <xf numFmtId="173" fontId="32" fillId="0" borderId="0" xfId="0" applyNumberFormat="1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center" vertical="center" wrapText="1"/>
    </xf>
    <xf numFmtId="175" fontId="32" fillId="0" borderId="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/>
    <xf numFmtId="164" fontId="32" fillId="0" borderId="6" xfId="52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165" fontId="32" fillId="0" borderId="6" xfId="52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 wrapText="1"/>
    </xf>
    <xf numFmtId="41" fontId="32" fillId="0" borderId="6" xfId="52" applyNumberFormat="1" applyFont="1" applyFill="1" applyBorder="1" applyAlignment="1">
      <alignment vertical="center"/>
    </xf>
    <xf numFmtId="3" fontId="32" fillId="0" borderId="16" xfId="52" applyNumberFormat="1" applyFont="1" applyFill="1" applyBorder="1" applyAlignment="1">
      <alignment horizontal="center" vertical="center"/>
    </xf>
    <xf numFmtId="173" fontId="32" fillId="0" borderId="6" xfId="52" applyNumberFormat="1" applyFont="1" applyFill="1" applyBorder="1" applyAlignment="1">
      <alignment horizontal="center" vertical="center"/>
    </xf>
    <xf numFmtId="175" fontId="32" fillId="0" borderId="6" xfId="0" applyNumberFormat="1" applyFont="1" applyFill="1" applyBorder="1" applyAlignment="1">
      <alignment horizontal="center" vertical="center"/>
    </xf>
    <xf numFmtId="166" fontId="32" fillId="0" borderId="6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41" fontId="32" fillId="0" borderId="0" xfId="52" applyNumberFormat="1" applyFont="1" applyFill="1" applyBorder="1" applyAlignment="1">
      <alignment vertical="center"/>
    </xf>
    <xf numFmtId="165" fontId="32" fillId="0" borderId="16" xfId="52" applyNumberFormat="1" applyFont="1" applyFill="1" applyBorder="1" applyAlignment="1">
      <alignment horizontal="center" vertical="center"/>
    </xf>
    <xf numFmtId="173" fontId="32" fillId="0" borderId="16" xfId="52" applyNumberFormat="1" applyFont="1" applyFill="1" applyBorder="1" applyAlignment="1">
      <alignment horizontal="center" vertical="center"/>
    </xf>
    <xf numFmtId="3" fontId="32" fillId="0" borderId="6" xfId="52" applyNumberFormat="1" applyFont="1" applyFill="1" applyBorder="1" applyAlignment="1">
      <alignment horizontal="center" vertical="center"/>
    </xf>
    <xf numFmtId="164" fontId="32" fillId="0" borderId="6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left" vertical="center" indent="1"/>
    </xf>
    <xf numFmtId="177" fontId="32" fillId="0" borderId="6" xfId="52" applyNumberFormat="1" applyFont="1" applyFill="1" applyBorder="1" applyAlignment="1">
      <alignment horizontal="center" vertical="center"/>
    </xf>
    <xf numFmtId="166" fontId="32" fillId="0" borderId="16" xfId="52" applyNumberFormat="1" applyFont="1" applyFill="1" applyBorder="1" applyAlignment="1">
      <alignment horizontal="center" vertical="center"/>
    </xf>
    <xf numFmtId="166" fontId="33" fillId="0" borderId="16" xfId="52" applyNumberFormat="1" applyFont="1" applyFill="1" applyBorder="1" applyAlignment="1">
      <alignment horizontal="center" vertical="center"/>
    </xf>
    <xf numFmtId="166" fontId="32" fillId="0" borderId="6" xfId="0" applyNumberFormat="1" applyFont="1" applyFill="1" applyBorder="1" applyAlignment="1">
      <alignment horizontal="center" vertical="center" wrapText="1"/>
    </xf>
    <xf numFmtId="177" fontId="32" fillId="0" borderId="6" xfId="0" applyNumberFormat="1" applyFont="1" applyFill="1" applyBorder="1" applyAlignment="1">
      <alignment horizontal="center" vertical="center"/>
    </xf>
    <xf numFmtId="173" fontId="32" fillId="0" borderId="0" xfId="0" applyNumberFormat="1" applyFont="1" applyFill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4" fillId="0" borderId="6" xfId="0" applyFont="1" applyFill="1" applyBorder="1"/>
    <xf numFmtId="0" fontId="34" fillId="0" borderId="15" xfId="0" applyFont="1" applyFill="1" applyBorder="1"/>
    <xf numFmtId="0" fontId="32" fillId="0" borderId="16" xfId="0" applyFont="1" applyFill="1" applyBorder="1" applyAlignment="1">
      <alignment vertical="center"/>
    </xf>
    <xf numFmtId="164" fontId="32" fillId="0" borderId="0" xfId="0" applyNumberFormat="1" applyFont="1" applyFill="1" applyAlignment="1">
      <alignment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3" fontId="32" fillId="0" borderId="17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9" fontId="32" fillId="0" borderId="17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/>
    </xf>
    <xf numFmtId="176" fontId="32" fillId="0" borderId="1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 wrapText="1"/>
    </xf>
    <xf numFmtId="172" fontId="0" fillId="0" borderId="0" xfId="32" applyNumberFormat="1" applyFont="1" applyFill="1"/>
    <xf numFmtId="3" fontId="5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10" fontId="0" fillId="0" borderId="0" xfId="56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67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0" fontId="38" fillId="0" borderId="0" xfId="0" applyFont="1"/>
    <xf numFmtId="17" fontId="10" fillId="0" borderId="0" xfId="0" applyNumberFormat="1" applyFont="1" applyFill="1" applyBorder="1"/>
    <xf numFmtId="3" fontId="7" fillId="27" borderId="24" xfId="0" applyNumberFormat="1" applyFont="1" applyFill="1" applyBorder="1" applyAlignment="1">
      <alignment horizontal="center"/>
    </xf>
    <xf numFmtId="37" fontId="7" fillId="27" borderId="24" xfId="0" applyNumberFormat="1" applyFont="1" applyFill="1" applyBorder="1" applyAlignment="1">
      <alignment horizontal="center"/>
    </xf>
    <xf numFmtId="17" fontId="40" fillId="0" borderId="0" xfId="0" applyNumberFormat="1" applyFont="1" applyFill="1" applyBorder="1"/>
    <xf numFmtId="170" fontId="0" fillId="0" borderId="0" xfId="56" applyNumberFormat="1" applyFont="1" applyAlignment="1">
      <alignment horizontal="center"/>
    </xf>
    <xf numFmtId="0" fontId="40" fillId="0" borderId="0" xfId="0" applyFont="1"/>
    <xf numFmtId="0" fontId="7" fillId="0" borderId="0" xfId="0" applyFont="1" applyFill="1" applyAlignment="1">
      <alignment horizontal="center" wrapText="1"/>
    </xf>
    <xf numFmtId="4" fontId="0" fillId="0" borderId="0" xfId="0" applyNumberFormat="1" applyFill="1"/>
    <xf numFmtId="3" fontId="0" fillId="0" borderId="24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3" fontId="5" fillId="26" borderId="0" xfId="0" applyNumberFormat="1" applyFont="1" applyFill="1" applyAlignment="1">
      <alignment horizontal="center"/>
    </xf>
    <xf numFmtId="0" fontId="5" fillId="0" borderId="0" xfId="0" applyFont="1"/>
    <xf numFmtId="3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4" fontId="32" fillId="0" borderId="0" xfId="0" applyNumberFormat="1" applyFont="1" applyFill="1" applyAlignment="1">
      <alignment horizontal="center"/>
    </xf>
    <xf numFmtId="4" fontId="5" fillId="0" borderId="0" xfId="0" applyNumberFormat="1" applyFont="1"/>
    <xf numFmtId="0" fontId="9" fillId="0" borderId="0" xfId="0" applyFont="1" applyAlignment="1"/>
    <xf numFmtId="3" fontId="7" fillId="0" borderId="0" xfId="0" applyNumberFormat="1" applyFont="1" applyFill="1"/>
    <xf numFmtId="3" fontId="0" fillId="0" borderId="0" xfId="0" applyNumberFormat="1" applyFill="1"/>
    <xf numFmtId="174" fontId="0" fillId="0" borderId="0" xfId="32" applyNumberFormat="1" applyFont="1"/>
    <xf numFmtId="174" fontId="0" fillId="0" borderId="0" xfId="0" applyNumberFormat="1"/>
    <xf numFmtId="10" fontId="0" fillId="0" borderId="0" xfId="56" applyNumberFormat="1" applyFont="1" applyFill="1"/>
    <xf numFmtId="10" fontId="0" fillId="0" borderId="0" xfId="56" applyNumberFormat="1" applyFont="1" applyAlignment="1">
      <alignment horizontal="center"/>
    </xf>
    <xf numFmtId="172" fontId="0" fillId="0" borderId="0" xfId="32" applyNumberFormat="1" applyFont="1" applyBorder="1" applyAlignment="1">
      <alignment horizontal="center"/>
    </xf>
    <xf numFmtId="0" fontId="0" fillId="30" borderId="0" xfId="0" applyFill="1"/>
    <xf numFmtId="0" fontId="7" fillId="30" borderId="0" xfId="0" applyFont="1" applyFill="1" applyAlignment="1">
      <alignment horizontal="center" wrapText="1"/>
    </xf>
    <xf numFmtId="4" fontId="0" fillId="30" borderId="0" xfId="0" applyNumberFormat="1" applyFill="1" applyAlignment="1">
      <alignment horizontal="center" wrapText="1"/>
    </xf>
    <xf numFmtId="3" fontId="0" fillId="30" borderId="0" xfId="0" applyNumberFormat="1" applyFill="1" applyAlignment="1">
      <alignment horizontal="center"/>
    </xf>
    <xf numFmtId="3" fontId="0" fillId="30" borderId="0" xfId="0" applyNumberFormat="1" applyFill="1" applyAlignment="1">
      <alignment horizontal="center" wrapText="1"/>
    </xf>
    <xf numFmtId="3" fontId="5" fillId="30" borderId="0" xfId="0" applyNumberFormat="1" applyFont="1" applyFill="1" applyAlignment="1">
      <alignment horizontal="center"/>
    </xf>
    <xf numFmtId="10" fontId="44" fillId="30" borderId="0" xfId="56" applyNumberFormat="1" applyFont="1" applyFill="1"/>
    <xf numFmtId="4" fontId="0" fillId="30" borderId="0" xfId="0" applyNumberFormat="1" applyFill="1"/>
    <xf numFmtId="4" fontId="32" fillId="30" borderId="0" xfId="0" applyNumberFormat="1" applyFont="1" applyFill="1" applyAlignment="1">
      <alignment horizontal="center"/>
    </xf>
    <xf numFmtId="3" fontId="0" fillId="30" borderId="24" xfId="0" applyNumberFormat="1" applyFill="1" applyBorder="1" applyAlignment="1">
      <alignment horizontal="center"/>
    </xf>
    <xf numFmtId="0" fontId="0" fillId="30" borderId="0" xfId="0" applyFill="1" applyAlignment="1">
      <alignment horizontal="center"/>
    </xf>
    <xf numFmtId="4" fontId="5" fillId="30" borderId="0" xfId="0" applyNumberFormat="1" applyFont="1" applyFill="1" applyAlignment="1">
      <alignment horizontal="center"/>
    </xf>
    <xf numFmtId="0" fontId="7" fillId="30" borderId="0" xfId="0" applyFont="1" applyFill="1"/>
    <xf numFmtId="172" fontId="0" fillId="0" borderId="0" xfId="32" applyNumberFormat="1" applyFont="1"/>
    <xf numFmtId="169" fontId="38" fillId="0" borderId="0" xfId="0" applyNumberFormat="1" applyFont="1" applyFill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31" borderId="0" xfId="0" applyFill="1"/>
    <xf numFmtId="3" fontId="0" fillId="31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32" borderId="25" xfId="0" applyNumberFormat="1" applyFill="1" applyBorder="1" applyAlignment="1">
      <alignment horizontal="center"/>
    </xf>
    <xf numFmtId="3" fontId="0" fillId="32" borderId="26" xfId="0" applyNumberFormat="1" applyFill="1" applyBorder="1" applyAlignment="1">
      <alignment horizontal="center"/>
    </xf>
    <xf numFmtId="3" fontId="7" fillId="32" borderId="27" xfId="0" applyNumberFormat="1" applyFont="1" applyFill="1" applyBorder="1" applyAlignment="1">
      <alignment horizontal="center"/>
    </xf>
    <xf numFmtId="0" fontId="7" fillId="32" borderId="0" xfId="0" applyFont="1" applyFill="1"/>
    <xf numFmtId="3" fontId="5" fillId="0" borderId="20" xfId="0" applyNumberFormat="1" applyFont="1" applyFill="1" applyBorder="1" applyAlignment="1">
      <alignment horizontal="center"/>
    </xf>
    <xf numFmtId="3" fontId="0" fillId="26" borderId="6" xfId="0" applyNumberFormat="1" applyFill="1" applyBorder="1" applyAlignment="1">
      <alignment horizontal="center"/>
    </xf>
    <xf numFmtId="170" fontId="0" fillId="26" borderId="0" xfId="56" applyNumberFormat="1" applyFont="1" applyFill="1" applyAlignment="1">
      <alignment horizontal="center"/>
    </xf>
    <xf numFmtId="10" fontId="44" fillId="0" borderId="0" xfId="56" applyNumberFormat="1" applyFont="1" applyFill="1"/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40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172" fontId="0" fillId="0" borderId="19" xfId="32" applyNumberFormat="1" applyFont="1" applyBorder="1"/>
    <xf numFmtId="164" fontId="5" fillId="0" borderId="0" xfId="0" applyNumberFormat="1" applyFont="1" applyFill="1" applyAlignment="1">
      <alignment horizontal="left"/>
    </xf>
    <xf numFmtId="43" fontId="0" fillId="0" borderId="19" xfId="32" applyFont="1" applyBorder="1"/>
    <xf numFmtId="0" fontId="48" fillId="0" borderId="0" xfId="0" applyFont="1" applyAlignment="1">
      <alignment horizontal="left"/>
    </xf>
    <xf numFmtId="164" fontId="0" fillId="0" borderId="0" xfId="56" applyNumberFormat="1" applyFont="1" applyAlignment="1">
      <alignment horizontal="center"/>
    </xf>
    <xf numFmtId="3" fontId="47" fillId="0" borderId="0" xfId="29" applyNumberFormat="1" applyFont="1" applyFill="1" applyAlignment="1">
      <alignment horizontal="center"/>
    </xf>
    <xf numFmtId="3" fontId="47" fillId="0" borderId="0" xfId="29" applyNumberFormat="1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5" fillId="0" borderId="0" xfId="0" applyFont="1" applyAlignment="1">
      <alignment horizontal="center"/>
    </xf>
    <xf numFmtId="0" fontId="7" fillId="0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wrapText="1"/>
    </xf>
    <xf numFmtId="168" fontId="32" fillId="0" borderId="0" xfId="0" applyNumberFormat="1" applyFont="1" applyFill="1" applyAlignment="1">
      <alignment vertical="center"/>
    </xf>
    <xf numFmtId="183" fontId="32" fillId="0" borderId="6" xfId="0" applyNumberFormat="1" applyFont="1" applyFill="1" applyBorder="1" applyAlignment="1">
      <alignment horizontal="center" vertical="center" wrapText="1"/>
    </xf>
    <xf numFmtId="164" fontId="4" fillId="0" borderId="0" xfId="56" applyNumberFormat="1" applyFont="1" applyFill="1" applyAlignment="1">
      <alignment horizontal="center"/>
    </xf>
    <xf numFmtId="173" fontId="32" fillId="0" borderId="17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177" fontId="32" fillId="0" borderId="17" xfId="0" applyNumberFormat="1" applyFont="1" applyFill="1" applyBorder="1" applyAlignment="1">
      <alignment horizontal="center" vertical="center" wrapText="1"/>
    </xf>
    <xf numFmtId="175" fontId="32" fillId="0" borderId="17" xfId="0" applyNumberFormat="1" applyFont="1" applyFill="1" applyBorder="1" applyAlignment="1">
      <alignment horizontal="center" vertical="center" wrapText="1"/>
    </xf>
    <xf numFmtId="176" fontId="32" fillId="0" borderId="6" xfId="0" applyNumberFormat="1" applyFont="1" applyFill="1" applyBorder="1" applyAlignment="1">
      <alignment horizontal="center" vertical="center" wrapText="1"/>
    </xf>
    <xf numFmtId="168" fontId="32" fillId="0" borderId="6" xfId="0" applyNumberFormat="1" applyFont="1" applyFill="1" applyBorder="1" applyAlignment="1">
      <alignment horizontal="center" vertical="center"/>
    </xf>
    <xf numFmtId="183" fontId="32" fillId="0" borderId="6" xfId="56" applyNumberFormat="1" applyFont="1" applyFill="1" applyBorder="1" applyAlignment="1">
      <alignment horizontal="center"/>
    </xf>
    <xf numFmtId="0" fontId="32" fillId="0" borderId="6" xfId="0" applyFont="1" applyBorder="1" applyAlignment="1">
      <alignment horizontal="center" wrapText="1"/>
    </xf>
    <xf numFmtId="3" fontId="32" fillId="0" borderId="6" xfId="0" applyNumberFormat="1" applyFont="1" applyBorder="1" applyAlignment="1">
      <alignment horizontal="center" wrapText="1"/>
    </xf>
    <xf numFmtId="3" fontId="32" fillId="0" borderId="6" xfId="0" applyNumberFormat="1" applyFont="1" applyBorder="1" applyAlignment="1">
      <alignment horizontal="center"/>
    </xf>
    <xf numFmtId="184" fontId="32" fillId="0" borderId="6" xfId="0" applyNumberFormat="1" applyFont="1" applyBorder="1" applyAlignment="1">
      <alignment horizontal="center"/>
    </xf>
    <xf numFmtId="3" fontId="32" fillId="0" borderId="6" xfId="56" applyNumberFormat="1" applyFont="1" applyBorder="1" applyAlignment="1">
      <alignment horizontal="center"/>
    </xf>
    <xf numFmtId="3" fontId="32" fillId="0" borderId="6" xfId="0" applyNumberFormat="1" applyFont="1" applyBorder="1"/>
    <xf numFmtId="167" fontId="32" fillId="0" borderId="6" xfId="32" applyNumberFormat="1" applyFont="1" applyBorder="1" applyAlignment="1">
      <alignment horizontal="center"/>
    </xf>
    <xf numFmtId="3" fontId="32" fillId="0" borderId="14" xfId="0" applyNumberFormat="1" applyFont="1" applyBorder="1" applyAlignment="1">
      <alignment horizontal="left"/>
    </xf>
    <xf numFmtId="3" fontId="32" fillId="0" borderId="15" xfId="0" applyNumberFormat="1" applyFont="1" applyBorder="1" applyAlignment="1">
      <alignment horizontal="left"/>
    </xf>
    <xf numFmtId="3" fontId="32" fillId="0" borderId="16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7" fontId="0" fillId="0" borderId="0" xfId="0" applyNumberFormat="1" applyFill="1" applyBorder="1"/>
    <xf numFmtId="3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5" fillId="0" borderId="0" xfId="132" applyFont="1" applyFill="1" applyBorder="1" applyAlignment="1">
      <alignment horizontal="left"/>
    </xf>
    <xf numFmtId="185" fontId="32" fillId="0" borderId="0" xfId="133" applyNumberFormat="1" applyFont="1" applyFill="1" applyBorder="1" applyAlignment="1">
      <alignment horizontal="center"/>
    </xf>
    <xf numFmtId="0" fontId="33" fillId="64" borderId="6" xfId="53" applyFont="1" applyFill="1" applyBorder="1" applyAlignment="1">
      <alignment horizontal="center" vertical="center" wrapText="1"/>
    </xf>
    <xf numFmtId="3" fontId="33" fillId="64" borderId="6" xfId="53" applyNumberFormat="1" applyFont="1" applyFill="1" applyBorder="1" applyAlignment="1">
      <alignment horizontal="center" vertical="center" wrapText="1"/>
    </xf>
    <xf numFmtId="0" fontId="33" fillId="64" borderId="18" xfId="53" applyFont="1" applyFill="1" applyBorder="1" applyAlignment="1">
      <alignment horizontal="left" vertical="center"/>
    </xf>
    <xf numFmtId="0" fontId="33" fillId="64" borderId="19" xfId="53" applyFont="1" applyFill="1" applyBorder="1" applyAlignment="1">
      <alignment horizontal="center" vertical="center"/>
    </xf>
    <xf numFmtId="0" fontId="33" fillId="64" borderId="20" xfId="53" applyFont="1" applyFill="1" applyBorder="1" applyAlignment="1">
      <alignment horizontal="center" vertical="center" wrapText="1"/>
    </xf>
    <xf numFmtId="0" fontId="32" fillId="64" borderId="14" xfId="0" applyFont="1" applyFill="1" applyBorder="1" applyAlignment="1">
      <alignment horizontal="left" vertical="center"/>
    </xf>
    <xf numFmtId="0" fontId="32" fillId="64" borderId="15" xfId="0" applyFont="1" applyFill="1" applyBorder="1" applyAlignment="1">
      <alignment horizontal="left" vertical="center"/>
    </xf>
    <xf numFmtId="0" fontId="32" fillId="64" borderId="6" xfId="0" applyFont="1" applyFill="1" applyBorder="1"/>
    <xf numFmtId="4" fontId="7" fillId="0" borderId="0" xfId="0" applyNumberFormat="1" applyFont="1" applyFill="1"/>
    <xf numFmtId="4" fontId="32" fillId="0" borderId="17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164" fontId="0" fillId="0" borderId="0" xfId="56" applyNumberFormat="1" applyFont="1" applyFill="1" applyBorder="1" applyAlignment="1"/>
    <xf numFmtId="43" fontId="0" fillId="0" borderId="0" xfId="32" applyFont="1" applyFill="1" applyBorder="1" applyAlignment="1"/>
    <xf numFmtId="43" fontId="0" fillId="0" borderId="12" xfId="32" applyFont="1" applyFill="1" applyBorder="1" applyAlignment="1"/>
    <xf numFmtId="3" fontId="4" fillId="0" borderId="0" xfId="0" applyNumberFormat="1" applyFont="1" applyAlignment="1">
      <alignment horizontal="center"/>
    </xf>
    <xf numFmtId="37" fontId="5" fillId="32" borderId="0" xfId="0" applyNumberFormat="1" applyFont="1" applyFill="1" applyBorder="1" applyAlignment="1">
      <alignment horizontal="center"/>
    </xf>
    <xf numFmtId="1" fontId="5" fillId="32" borderId="0" xfId="0" applyNumberFormat="1" applyFont="1" applyFill="1" applyBorder="1" applyAlignment="1">
      <alignment horizontal="center"/>
    </xf>
    <xf numFmtId="4" fontId="5" fillId="32" borderId="0" xfId="0" applyNumberFormat="1" applyFont="1" applyFill="1" applyAlignment="1">
      <alignment horizontal="center"/>
    </xf>
    <xf numFmtId="37" fontId="5" fillId="32" borderId="0" xfId="0" applyNumberFormat="1" applyFont="1" applyFill="1" applyAlignment="1">
      <alignment horizontal="center"/>
    </xf>
    <xf numFmtId="0" fontId="37" fillId="32" borderId="0" xfId="0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37" fontId="0" fillId="32" borderId="0" xfId="0" applyNumberForma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7" fontId="0" fillId="0" borderId="0" xfId="0" applyNumberFormat="1"/>
    <xf numFmtId="17" fontId="7" fillId="0" borderId="0" xfId="0" applyNumberFormat="1" applyFont="1" applyFill="1" applyBorder="1"/>
    <xf numFmtId="0" fontId="4" fillId="0" borderId="0" xfId="0" applyFont="1" applyFill="1" applyBorder="1"/>
    <xf numFmtId="169" fontId="38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16" xfId="0" applyNumberFormat="1" applyFont="1" applyFill="1" applyBorder="1" applyAlignment="1">
      <alignment horizontal="center"/>
    </xf>
    <xf numFmtId="0" fontId="4" fillId="31" borderId="0" xfId="0" applyFont="1" applyFill="1"/>
    <xf numFmtId="3" fontId="4" fillId="0" borderId="0" xfId="0" applyNumberFormat="1" applyFont="1" applyFill="1" applyAlignment="1">
      <alignment horizontal="left"/>
    </xf>
    <xf numFmtId="3" fontId="7" fillId="30" borderId="0" xfId="0" applyNumberFormat="1" applyFont="1" applyFill="1" applyAlignment="1">
      <alignment horizontal="center"/>
    </xf>
    <xf numFmtId="4" fontId="4" fillId="30" borderId="0" xfId="0" applyNumberFormat="1" applyFont="1" applyFill="1" applyAlignment="1">
      <alignment horizontal="center"/>
    </xf>
    <xf numFmtId="4" fontId="7" fillId="30" borderId="0" xfId="0" applyNumberFormat="1" applyFont="1" applyFill="1" applyAlignment="1">
      <alignment horizontal="center"/>
    </xf>
    <xf numFmtId="4" fontId="7" fillId="0" borderId="0" xfId="0" applyNumberFormat="1" applyFont="1"/>
    <xf numFmtId="186" fontId="0" fillId="30" borderId="0" xfId="56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72" fontId="0" fillId="0" borderId="0" xfId="0" applyNumberFormat="1"/>
    <xf numFmtId="0" fontId="32" fillId="0" borderId="14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3" fillId="64" borderId="15" xfId="53" applyFont="1" applyFill="1" applyBorder="1" applyAlignment="1">
      <alignment horizontal="center" vertical="center"/>
    </xf>
    <xf numFmtId="0" fontId="33" fillId="64" borderId="16" xfId="53" applyFont="1" applyFill="1" applyBorder="1" applyAlignment="1">
      <alignment horizontal="center" vertical="center"/>
    </xf>
    <xf numFmtId="0" fontId="33" fillId="64" borderId="14" xfId="53" applyFont="1" applyFill="1" applyBorder="1" applyAlignment="1">
      <alignment horizontal="left" vertical="center"/>
    </xf>
    <xf numFmtId="183" fontId="32" fillId="0" borderId="16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/>
    </xf>
    <xf numFmtId="0" fontId="32" fillId="32" borderId="0" xfId="0" applyFont="1" applyFill="1" applyAlignment="1">
      <alignment vertical="center"/>
    </xf>
    <xf numFmtId="0" fontId="32" fillId="0" borderId="19" xfId="0" applyFont="1" applyFill="1" applyBorder="1" applyAlignment="1">
      <alignment vertical="center"/>
    </xf>
    <xf numFmtId="172" fontId="32" fillId="0" borderId="0" xfId="32" applyNumberFormat="1" applyFont="1" applyFill="1" applyAlignment="1">
      <alignment vertical="center"/>
    </xf>
    <xf numFmtId="0" fontId="40" fillId="0" borderId="38" xfId="0" applyFont="1" applyFill="1" applyBorder="1"/>
    <xf numFmtId="3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" fontId="0" fillId="0" borderId="41" xfId="0" applyNumberFormat="1" applyFill="1" applyBorder="1"/>
    <xf numFmtId="37" fontId="5" fillId="0" borderId="42" xfId="0" applyNumberFormat="1" applyFont="1" applyFill="1" applyBorder="1" applyAlignment="1">
      <alignment horizontal="center"/>
    </xf>
    <xf numFmtId="0" fontId="0" fillId="0" borderId="43" xfId="0" applyFill="1" applyBorder="1"/>
    <xf numFmtId="3" fontId="0" fillId="0" borderId="12" xfId="0" applyNumberFormat="1" applyFill="1" applyBorder="1" applyAlignment="1">
      <alignment horizontal="center"/>
    </xf>
    <xf numFmtId="37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7" fontId="0" fillId="0" borderId="44" xfId="0" applyNumberFormat="1" applyFill="1" applyBorder="1" applyAlignment="1">
      <alignment horizontal="center"/>
    </xf>
    <xf numFmtId="17" fontId="7" fillId="0" borderId="6" xfId="0" applyNumberFormat="1" applyFont="1" applyFill="1" applyBorder="1"/>
    <xf numFmtId="3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37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6" xfId="0" applyBorder="1"/>
    <xf numFmtId="3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17" fontId="0" fillId="0" borderId="6" xfId="0" applyNumberFormat="1" applyFill="1" applyBorder="1"/>
    <xf numFmtId="3" fontId="32" fillId="0" borderId="6" xfId="0" applyNumberFormat="1" applyFont="1" applyFill="1" applyBorder="1" applyAlignment="1">
      <alignment horizontal="center"/>
    </xf>
    <xf numFmtId="184" fontId="32" fillId="0" borderId="6" xfId="0" applyNumberFormat="1" applyFont="1" applyFill="1" applyBorder="1" applyAlignment="1">
      <alignment horizontal="center"/>
    </xf>
    <xf numFmtId="3" fontId="32" fillId="0" borderId="6" xfId="56" applyNumberFormat="1" applyFont="1" applyFill="1" applyBorder="1" applyAlignment="1">
      <alignment horizontal="center"/>
    </xf>
    <xf numFmtId="43" fontId="32" fillId="0" borderId="0" xfId="32" applyFont="1" applyFill="1" applyAlignment="1">
      <alignment vertical="center"/>
    </xf>
    <xf numFmtId="164" fontId="32" fillId="0" borderId="0" xfId="56" applyNumberFormat="1" applyFont="1" applyFill="1" applyAlignment="1">
      <alignment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1" fontId="0" fillId="0" borderId="0" xfId="0" applyNumberFormat="1"/>
    <xf numFmtId="0" fontId="7" fillId="31" borderId="0" xfId="0" applyFont="1" applyFill="1" applyAlignment="1">
      <alignment wrapText="1"/>
    </xf>
    <xf numFmtId="170" fontId="4" fillId="0" borderId="0" xfId="0" applyNumberFormat="1" applyFont="1" applyAlignment="1">
      <alignment horizontal="center"/>
    </xf>
    <xf numFmtId="3" fontId="32" fillId="0" borderId="15" xfId="52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3" fontId="32" fillId="0" borderId="19" xfId="52" applyNumberFormat="1" applyFont="1" applyFill="1" applyBorder="1" applyAlignment="1">
      <alignment horizontal="center" vertical="center"/>
    </xf>
    <xf numFmtId="183" fontId="32" fillId="0" borderId="19" xfId="56" applyNumberFormat="1" applyFont="1" applyFill="1" applyBorder="1" applyAlignment="1">
      <alignment horizontal="center"/>
    </xf>
    <xf numFmtId="183" fontId="32" fillId="0" borderId="45" xfId="56" applyNumberFormat="1" applyFont="1" applyFill="1" applyBorder="1" applyAlignment="1">
      <alignment horizontal="center"/>
    </xf>
    <xf numFmtId="0" fontId="33" fillId="64" borderId="6" xfId="0" applyFont="1" applyFill="1" applyBorder="1" applyAlignment="1">
      <alignment horizontal="center" vertical="center"/>
    </xf>
    <xf numFmtId="0" fontId="33" fillId="64" borderId="6" xfId="0" applyFont="1" applyFill="1" applyBorder="1" applyAlignment="1">
      <alignment vertical="center"/>
    </xf>
    <xf numFmtId="164" fontId="32" fillId="0" borderId="6" xfId="56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 horizontal="center" wrapText="1"/>
    </xf>
    <xf numFmtId="164" fontId="32" fillId="0" borderId="0" xfId="56" applyNumberFormat="1" applyFont="1" applyBorder="1" applyAlignment="1">
      <alignment horizontal="center"/>
    </xf>
    <xf numFmtId="173" fontId="32" fillId="0" borderId="6" xfId="0" applyNumberFormat="1" applyFont="1" applyBorder="1" applyAlignment="1">
      <alignment horizontal="center" wrapText="1"/>
    </xf>
    <xf numFmtId="173" fontId="32" fillId="0" borderId="6" xfId="56" applyNumberFormat="1" applyFont="1" applyBorder="1" applyAlignment="1">
      <alignment horizontal="center"/>
    </xf>
    <xf numFmtId="175" fontId="32" fillId="0" borderId="0" xfId="0" applyNumberFormat="1" applyFont="1" applyFill="1" applyAlignment="1">
      <alignment vertical="center"/>
    </xf>
    <xf numFmtId="182" fontId="32" fillId="0" borderId="0" xfId="32" applyNumberFormat="1" applyFont="1" applyFill="1" applyAlignment="1">
      <alignment vertic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9" xfId="0" applyBorder="1"/>
    <xf numFmtId="0" fontId="0" fillId="0" borderId="40" xfId="0" applyBorder="1"/>
    <xf numFmtId="3" fontId="0" fillId="0" borderId="41" xfId="0" applyNumberFormat="1" applyBorder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42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42" xfId="0" applyBorder="1"/>
    <xf numFmtId="0" fontId="0" fillId="0" borderId="41" xfId="0" applyBorder="1"/>
    <xf numFmtId="9" fontId="0" fillId="0" borderId="41" xfId="56" applyFont="1" applyBorder="1" applyAlignment="1">
      <alignment horizontal="center"/>
    </xf>
    <xf numFmtId="9" fontId="0" fillId="0" borderId="0" xfId="56" applyFont="1" applyBorder="1" applyAlignment="1">
      <alignment horizontal="center"/>
    </xf>
    <xf numFmtId="9" fontId="0" fillId="0" borderId="41" xfId="56" applyFont="1" applyFill="1" applyBorder="1" applyAlignment="1">
      <alignment horizontal="center"/>
    </xf>
    <xf numFmtId="9" fontId="0" fillId="0" borderId="0" xfId="56" applyFont="1" applyFill="1" applyBorder="1" applyAlignment="1">
      <alignment horizontal="center"/>
    </xf>
    <xf numFmtId="172" fontId="0" fillId="32" borderId="0" xfId="32" applyNumberFormat="1" applyFont="1" applyFill="1" applyBorder="1" applyAlignment="1">
      <alignment horizontal="center"/>
    </xf>
    <xf numFmtId="172" fontId="0" fillId="32" borderId="42" xfId="32" applyNumberFormat="1" applyFont="1" applyFill="1" applyBorder="1"/>
    <xf numFmtId="10" fontId="4" fillId="0" borderId="0" xfId="56" applyNumberFormat="1" applyFont="1" applyBorder="1"/>
    <xf numFmtId="3" fontId="0" fillId="0" borderId="41" xfId="0" applyNumberFormat="1" applyFill="1" applyBorder="1" applyAlignment="1">
      <alignment horizontal="center"/>
    </xf>
    <xf numFmtId="0" fontId="0" fillId="0" borderId="42" xfId="0" applyFill="1" applyBorder="1"/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4" fillId="0" borderId="0" xfId="0" applyFont="1" applyFill="1" applyAlignment="1">
      <alignment horizontal="right"/>
    </xf>
    <xf numFmtId="172" fontId="0" fillId="0" borderId="0" xfId="32" applyNumberFormat="1" applyFont="1" applyFill="1" applyBorder="1" applyAlignment="1">
      <alignment horizontal="center"/>
    </xf>
    <xf numFmtId="0" fontId="0" fillId="0" borderId="41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center"/>
    </xf>
    <xf numFmtId="3" fontId="7" fillId="0" borderId="41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172" fontId="0" fillId="0" borderId="41" xfId="32" applyNumberFormat="1" applyFont="1" applyFill="1" applyBorder="1"/>
    <xf numFmtId="172" fontId="0" fillId="0" borderId="0" xfId="32" applyNumberFormat="1" applyFont="1" applyFill="1" applyBorder="1"/>
    <xf numFmtId="172" fontId="0" fillId="0" borderId="42" xfId="0" applyNumberFormat="1" applyFill="1" applyBorder="1"/>
    <xf numFmtId="172" fontId="0" fillId="0" borderId="43" xfId="32" applyNumberFormat="1" applyFont="1" applyFill="1" applyBorder="1"/>
    <xf numFmtId="172" fontId="0" fillId="0" borderId="12" xfId="32" applyNumberFormat="1" applyFont="1" applyFill="1" applyBorder="1"/>
    <xf numFmtId="172" fontId="0" fillId="0" borderId="44" xfId="0" applyNumberFormat="1" applyFill="1" applyBorder="1"/>
    <xf numFmtId="0" fontId="48" fillId="0" borderId="0" xfId="0" applyFont="1" applyFill="1"/>
    <xf numFmtId="0" fontId="66" fillId="0" borderId="0" xfId="0" applyFont="1" applyFill="1"/>
    <xf numFmtId="3" fontId="7" fillId="0" borderId="0" xfId="0" applyNumberFormat="1" applyFont="1" applyFill="1" applyAlignment="1">
      <alignment horizontal="left"/>
    </xf>
    <xf numFmtId="16" fontId="33" fillId="0" borderId="0" xfId="0" applyNumberFormat="1" applyFont="1" applyFill="1" applyAlignment="1">
      <alignment horizontal="left" vertical="center"/>
    </xf>
    <xf numFmtId="0" fontId="69" fillId="0" borderId="6" xfId="143" applyFont="1" applyBorder="1" applyAlignment="1" applyProtection="1">
      <alignment horizontal="right"/>
      <protection locked="0"/>
    </xf>
    <xf numFmtId="0" fontId="70" fillId="0" borderId="6" xfId="143" applyFont="1" applyBorder="1" applyAlignment="1" applyProtection="1">
      <alignment horizontal="right"/>
      <protection locked="0"/>
    </xf>
    <xf numFmtId="0" fontId="71" fillId="0" borderId="6" xfId="143" applyFont="1" applyBorder="1" applyProtection="1">
      <protection locked="0"/>
    </xf>
    <xf numFmtId="187" fontId="72" fillId="0" borderId="6" xfId="142" applyNumberFormat="1" applyFont="1" applyFill="1" applyBorder="1" applyProtection="1">
      <protection locked="0"/>
    </xf>
    <xf numFmtId="187" fontId="72" fillId="0" borderId="6" xfId="144" applyNumberFormat="1" applyFont="1" applyFill="1" applyBorder="1" applyProtection="1">
      <protection locked="0"/>
    </xf>
    <xf numFmtId="0" fontId="73" fillId="67" borderId="6" xfId="0" applyFont="1" applyFill="1" applyBorder="1"/>
    <xf numFmtId="0" fontId="73" fillId="67" borderId="6" xfId="0" applyFont="1" applyFill="1" applyBorder="1" applyAlignment="1">
      <alignment horizontal="center" wrapText="1"/>
    </xf>
    <xf numFmtId="0" fontId="73" fillId="0" borderId="6" xfId="0" applyFont="1" applyBorder="1"/>
    <xf numFmtId="172" fontId="73" fillId="0" borderId="6" xfId="32" applyNumberFormat="1" applyFont="1" applyBorder="1"/>
    <xf numFmtId="3" fontId="73" fillId="0" borderId="6" xfId="0" applyNumberFormat="1" applyFont="1" applyBorder="1"/>
    <xf numFmtId="185" fontId="68" fillId="66" borderId="6" xfId="142" applyNumberFormat="1" applyFont="1" applyFill="1" applyBorder="1" applyAlignment="1" applyProtection="1">
      <alignment horizontal="center" vertical="top"/>
      <protection locked="0"/>
    </xf>
    <xf numFmtId="0" fontId="33" fillId="64" borderId="18" xfId="0" applyFont="1" applyFill="1" applyBorder="1" applyAlignment="1">
      <alignment horizontal="center" vertical="center" wrapText="1"/>
    </xf>
    <xf numFmtId="0" fontId="33" fillId="64" borderId="19" xfId="0" applyFont="1" applyFill="1" applyBorder="1" applyAlignment="1">
      <alignment horizontal="center" vertical="center" wrapText="1"/>
    </xf>
    <xf numFmtId="0" fontId="33" fillId="64" borderId="45" xfId="0" applyFont="1" applyFill="1" applyBorder="1" applyAlignment="1">
      <alignment horizontal="center" vertical="center" wrapText="1"/>
    </xf>
    <xf numFmtId="0" fontId="33" fillId="64" borderId="21" xfId="0" applyFont="1" applyFill="1" applyBorder="1" applyAlignment="1">
      <alignment horizontal="center" vertical="center" wrapText="1"/>
    </xf>
    <xf numFmtId="0" fontId="33" fillId="64" borderId="22" xfId="0" applyFont="1" applyFill="1" applyBorder="1" applyAlignment="1">
      <alignment horizontal="center" vertical="center" wrapText="1"/>
    </xf>
    <xf numFmtId="0" fontId="33" fillId="64" borderId="28" xfId="0" applyFont="1" applyFill="1" applyBorder="1" applyAlignment="1">
      <alignment horizontal="center" vertical="center" wrapText="1"/>
    </xf>
    <xf numFmtId="0" fontId="33" fillId="64" borderId="6" xfId="0" applyFont="1" applyFill="1" applyBorder="1" applyAlignment="1">
      <alignment horizontal="center" vertical="center"/>
    </xf>
    <xf numFmtId="0" fontId="33" fillId="64" borderId="14" xfId="0" applyFont="1" applyFill="1" applyBorder="1" applyAlignment="1">
      <alignment horizontal="center" vertical="center"/>
    </xf>
    <xf numFmtId="0" fontId="33" fillId="64" borderId="15" xfId="0" applyFont="1" applyFill="1" applyBorder="1" applyAlignment="1">
      <alignment horizontal="center" vertical="center"/>
    </xf>
    <xf numFmtId="0" fontId="33" fillId="64" borderId="16" xfId="0" applyFont="1" applyFill="1" applyBorder="1" applyAlignment="1">
      <alignment horizontal="center" vertical="center"/>
    </xf>
    <xf numFmtId="0" fontId="33" fillId="64" borderId="6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3" fontId="32" fillId="0" borderId="14" xfId="0" applyNumberFormat="1" applyFont="1" applyFill="1" applyBorder="1" applyAlignment="1">
      <alignment horizontal="left" vertical="center"/>
    </xf>
    <xf numFmtId="3" fontId="32" fillId="0" borderId="15" xfId="0" applyNumberFormat="1" applyFont="1" applyFill="1" applyBorder="1" applyAlignment="1">
      <alignment horizontal="left" vertical="center"/>
    </xf>
    <xf numFmtId="3" fontId="32" fillId="0" borderId="16" xfId="0" applyNumberFormat="1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left" vertical="center"/>
    </xf>
    <xf numFmtId="3" fontId="33" fillId="0" borderId="15" xfId="0" applyNumberFormat="1" applyFont="1" applyFill="1" applyBorder="1" applyAlignment="1">
      <alignment horizontal="left" vertical="center"/>
    </xf>
    <xf numFmtId="3" fontId="33" fillId="0" borderId="16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3" fillId="64" borderId="14" xfId="53" applyFont="1" applyFill="1" applyBorder="1" applyAlignment="1">
      <alignment horizontal="center" vertical="center"/>
    </xf>
    <xf numFmtId="0" fontId="33" fillId="64" borderId="15" xfId="53" applyFont="1" applyFill="1" applyBorder="1" applyAlignment="1">
      <alignment horizontal="center" vertical="center"/>
    </xf>
    <xf numFmtId="0" fontId="33" fillId="64" borderId="16" xfId="53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183" fontId="32" fillId="0" borderId="14" xfId="0" applyNumberFormat="1" applyFont="1" applyFill="1" applyBorder="1" applyAlignment="1">
      <alignment horizontal="left" vertical="center" wrapText="1"/>
    </xf>
    <xf numFmtId="183" fontId="32" fillId="0" borderId="15" xfId="0" applyNumberFormat="1" applyFont="1" applyFill="1" applyBorder="1" applyAlignment="1">
      <alignment horizontal="left" vertical="center" wrapText="1"/>
    </xf>
    <xf numFmtId="183" fontId="32" fillId="0" borderId="16" xfId="0" applyNumberFormat="1" applyFont="1" applyFill="1" applyBorder="1" applyAlignment="1">
      <alignment horizontal="left" vertical="center" wrapText="1"/>
    </xf>
    <xf numFmtId="0" fontId="33" fillId="64" borderId="14" xfId="53" applyFont="1" applyFill="1" applyBorder="1" applyAlignment="1">
      <alignment horizontal="left" vertical="center"/>
    </xf>
    <xf numFmtId="0" fontId="33" fillId="64" borderId="15" xfId="53" applyFont="1" applyFill="1" applyBorder="1" applyAlignment="1">
      <alignment horizontal="left" vertical="center"/>
    </xf>
    <xf numFmtId="0" fontId="33" fillId="64" borderId="16" xfId="53" applyFont="1" applyFill="1" applyBorder="1" applyAlignment="1">
      <alignment horizontal="left" vertical="center"/>
    </xf>
    <xf numFmtId="3" fontId="7" fillId="32" borderId="25" xfId="0" applyNumberFormat="1" applyFont="1" applyFill="1" applyBorder="1" applyAlignment="1">
      <alignment horizontal="center"/>
    </xf>
    <xf numFmtId="3" fontId="7" fillId="32" borderId="26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43" fontId="0" fillId="0" borderId="0" xfId="32" applyFont="1" applyBorder="1" applyAlignment="1">
      <alignment horizontal="center"/>
    </xf>
    <xf numFmtId="172" fontId="0" fillId="31" borderId="38" xfId="32" applyNumberFormat="1" applyFont="1" applyFill="1" applyBorder="1" applyAlignment="1">
      <alignment horizontal="center"/>
    </xf>
    <xf numFmtId="3" fontId="0" fillId="31" borderId="39" xfId="0" applyNumberFormat="1" applyFill="1" applyBorder="1" applyAlignment="1">
      <alignment horizontal="left"/>
    </xf>
    <xf numFmtId="3" fontId="0" fillId="31" borderId="39" xfId="0" applyNumberFormat="1" applyFill="1" applyBorder="1" applyAlignment="1">
      <alignment horizontal="center"/>
    </xf>
    <xf numFmtId="0" fontId="0" fillId="31" borderId="40" xfId="0" applyFill="1" applyBorder="1"/>
    <xf numFmtId="172" fontId="0" fillId="31" borderId="41" xfId="32" applyNumberFormat="1" applyFont="1" applyFill="1" applyBorder="1" applyAlignment="1">
      <alignment horizontal="center"/>
    </xf>
    <xf numFmtId="3" fontId="0" fillId="31" borderId="0" xfId="0" applyNumberFormat="1" applyFill="1" applyBorder="1" applyAlignment="1">
      <alignment horizontal="center"/>
    </xf>
    <xf numFmtId="0" fontId="0" fillId="31" borderId="42" xfId="0" applyFill="1" applyBorder="1"/>
    <xf numFmtId="172" fontId="0" fillId="31" borderId="0" xfId="32" applyNumberFormat="1" applyFont="1" applyFill="1" applyBorder="1" applyAlignment="1">
      <alignment horizontal="center"/>
    </xf>
    <xf numFmtId="172" fontId="0" fillId="31" borderId="46" xfId="32" applyNumberFormat="1" applyFont="1" applyFill="1" applyBorder="1" applyAlignment="1">
      <alignment horizontal="center"/>
    </xf>
    <xf numFmtId="3" fontId="0" fillId="31" borderId="41" xfId="0" applyNumberFormat="1" applyFill="1" applyBorder="1" applyAlignment="1">
      <alignment horizontal="center"/>
    </xf>
    <xf numFmtId="3" fontId="0" fillId="31" borderId="41" xfId="0" applyNumberFormat="1" applyFill="1" applyBorder="1" applyAlignment="1">
      <alignment horizontal="left"/>
    </xf>
    <xf numFmtId="3" fontId="0" fillId="31" borderId="0" xfId="0" applyNumberFormat="1" applyFill="1" applyBorder="1" applyAlignment="1">
      <alignment horizontal="left"/>
    </xf>
    <xf numFmtId="172" fontId="0" fillId="31" borderId="43" xfId="32" applyNumberFormat="1" applyFont="1" applyFill="1" applyBorder="1" applyAlignment="1">
      <alignment horizontal="center"/>
    </xf>
    <xf numFmtId="3" fontId="0" fillId="31" borderId="12" xfId="0" applyNumberFormat="1" applyFill="1" applyBorder="1" applyAlignment="1">
      <alignment horizontal="left"/>
    </xf>
    <xf numFmtId="3" fontId="0" fillId="31" borderId="12" xfId="0" applyNumberFormat="1" applyFill="1" applyBorder="1" applyAlignment="1">
      <alignment horizontal="center"/>
    </xf>
    <xf numFmtId="0" fontId="0" fillId="31" borderId="44" xfId="0" applyFill="1" applyBorder="1"/>
  </cellXfs>
  <cellStyles count="145">
    <cellStyle name="$" xfId="1" xr:uid="{00000000-0005-0000-0000-000000000000}"/>
    <cellStyle name="$.00" xfId="2" xr:uid="{00000000-0005-0000-0000-000001000000}"/>
    <cellStyle name="$_9. Rev2Cost_GDPIPI" xfId="121" xr:uid="{00000000-0005-0000-0000-000002000000}"/>
    <cellStyle name="$_lists" xfId="122" xr:uid="{00000000-0005-0000-0000-000003000000}"/>
    <cellStyle name="$_lists_4. Current Monthly Fixed Charge" xfId="123" xr:uid="{00000000-0005-0000-0000-000004000000}"/>
    <cellStyle name="$_Sheet4" xfId="124" xr:uid="{00000000-0005-0000-0000-000005000000}"/>
    <cellStyle name="$M" xfId="3" xr:uid="{00000000-0005-0000-0000-000006000000}"/>
    <cellStyle name="$M.00" xfId="4" xr:uid="{00000000-0005-0000-0000-000007000000}"/>
    <cellStyle name="$M_9. Rev2Cost_GDPIPI" xfId="125" xr:uid="{00000000-0005-0000-0000-000008000000}"/>
    <cellStyle name="20% - Accent1" xfId="5" builtinId="30" customBuiltin="1"/>
    <cellStyle name="20% - Accent1 2" xfId="88" xr:uid="{00000000-0005-0000-0000-00000A000000}"/>
    <cellStyle name="20% - Accent2" xfId="6" builtinId="34" customBuiltin="1"/>
    <cellStyle name="20% - Accent2 2" xfId="92" xr:uid="{00000000-0005-0000-0000-00000C000000}"/>
    <cellStyle name="20% - Accent3" xfId="7" builtinId="38" customBuiltin="1"/>
    <cellStyle name="20% - Accent3 2" xfId="96" xr:uid="{00000000-0005-0000-0000-00000E000000}"/>
    <cellStyle name="20% - Accent4" xfId="8" builtinId="42" customBuiltin="1"/>
    <cellStyle name="20% - Accent4 2" xfId="100" xr:uid="{00000000-0005-0000-0000-000010000000}"/>
    <cellStyle name="20% - Accent5" xfId="9" builtinId="46" customBuiltin="1"/>
    <cellStyle name="20% - Accent5 2" xfId="104" xr:uid="{00000000-0005-0000-0000-000012000000}"/>
    <cellStyle name="20% - Accent6" xfId="10" builtinId="50" customBuiltin="1"/>
    <cellStyle name="20% - Accent6 2" xfId="108" xr:uid="{00000000-0005-0000-0000-000014000000}"/>
    <cellStyle name="40% - Accent1" xfId="11" builtinId="31" customBuiltin="1"/>
    <cellStyle name="40% - Accent1 2" xfId="89" xr:uid="{00000000-0005-0000-0000-000016000000}"/>
    <cellStyle name="40% - Accent2" xfId="12" builtinId="35" customBuiltin="1"/>
    <cellStyle name="40% - Accent2 2" xfId="93" xr:uid="{00000000-0005-0000-0000-000018000000}"/>
    <cellStyle name="40% - Accent3" xfId="13" builtinId="39" customBuiltin="1"/>
    <cellStyle name="40% - Accent3 2" xfId="97" xr:uid="{00000000-0005-0000-0000-00001A000000}"/>
    <cellStyle name="40% - Accent4" xfId="14" builtinId="43" customBuiltin="1"/>
    <cellStyle name="40% - Accent4 2" xfId="101" xr:uid="{00000000-0005-0000-0000-00001C000000}"/>
    <cellStyle name="40% - Accent5" xfId="15" builtinId="47" customBuiltin="1"/>
    <cellStyle name="40% - Accent5 2" xfId="105" xr:uid="{00000000-0005-0000-0000-00001E000000}"/>
    <cellStyle name="40% - Accent6" xfId="16" builtinId="51" customBuiltin="1"/>
    <cellStyle name="40% - Accent6 2" xfId="109" xr:uid="{00000000-0005-0000-0000-000020000000}"/>
    <cellStyle name="60% - Accent1" xfId="17" builtinId="32" customBuiltin="1"/>
    <cellStyle name="60% - Accent1 2" xfId="90" xr:uid="{00000000-0005-0000-0000-000022000000}"/>
    <cellStyle name="60% - Accent2" xfId="18" builtinId="36" customBuiltin="1"/>
    <cellStyle name="60% - Accent2 2" xfId="94" xr:uid="{00000000-0005-0000-0000-000024000000}"/>
    <cellStyle name="60% - Accent3" xfId="19" builtinId="40" customBuiltin="1"/>
    <cellStyle name="60% - Accent3 2" xfId="98" xr:uid="{00000000-0005-0000-0000-000026000000}"/>
    <cellStyle name="60% - Accent4" xfId="20" builtinId="44" customBuiltin="1"/>
    <cellStyle name="60% - Accent4 2" xfId="102" xr:uid="{00000000-0005-0000-0000-000028000000}"/>
    <cellStyle name="60% - Accent5" xfId="21" builtinId="48" customBuiltin="1"/>
    <cellStyle name="60% - Accent5 2" xfId="106" xr:uid="{00000000-0005-0000-0000-00002A000000}"/>
    <cellStyle name="60% - Accent6" xfId="22" builtinId="52" customBuiltin="1"/>
    <cellStyle name="60% - Accent6 2" xfId="110" xr:uid="{00000000-0005-0000-0000-00002C000000}"/>
    <cellStyle name="Accent1" xfId="23" builtinId="29" customBuiltin="1"/>
    <cellStyle name="Accent1 2" xfId="87" xr:uid="{00000000-0005-0000-0000-00002E000000}"/>
    <cellStyle name="Accent2" xfId="24" builtinId="33" customBuiltin="1"/>
    <cellStyle name="Accent2 2" xfId="91" xr:uid="{00000000-0005-0000-0000-000030000000}"/>
    <cellStyle name="Accent3" xfId="25" builtinId="37" customBuiltin="1"/>
    <cellStyle name="Accent3 2" xfId="95" xr:uid="{00000000-0005-0000-0000-000032000000}"/>
    <cellStyle name="Accent4" xfId="26" builtinId="41" customBuiltin="1"/>
    <cellStyle name="Accent4 2" xfId="99" xr:uid="{00000000-0005-0000-0000-000034000000}"/>
    <cellStyle name="Accent5" xfId="27" builtinId="45" customBuiltin="1"/>
    <cellStyle name="Accent5 2" xfId="103" xr:uid="{00000000-0005-0000-0000-000036000000}"/>
    <cellStyle name="Accent6" xfId="28" builtinId="49" customBuiltin="1"/>
    <cellStyle name="Accent6 2" xfId="107" xr:uid="{00000000-0005-0000-0000-000038000000}"/>
    <cellStyle name="Bad" xfId="29" builtinId="27" customBuiltin="1"/>
    <cellStyle name="Bad 2" xfId="76" xr:uid="{00000000-0005-0000-0000-00003A000000}"/>
    <cellStyle name="Calculation" xfId="30" builtinId="22" customBuiltin="1"/>
    <cellStyle name="Calculation 2" xfId="80" xr:uid="{00000000-0005-0000-0000-00003C000000}"/>
    <cellStyle name="Check Cell" xfId="31" builtinId="23" customBuiltin="1"/>
    <cellStyle name="Check Cell 2" xfId="82" xr:uid="{00000000-0005-0000-0000-00003E000000}"/>
    <cellStyle name="Comma" xfId="32" builtinId="3"/>
    <cellStyle name="Comma 2" xfId="112" xr:uid="{00000000-0005-0000-0000-000040000000}"/>
    <cellStyle name="Comma 2 2" xfId="137" xr:uid="{00000000-0005-0000-0000-000041000000}"/>
    <cellStyle name="Comma 3" xfId="115" xr:uid="{00000000-0005-0000-0000-000042000000}"/>
    <cellStyle name="Comma 3 2" xfId="133" xr:uid="{00000000-0005-0000-0000-000043000000}"/>
    <cellStyle name="Comma 3 2 2" xfId="142" xr:uid="{00000000-0005-0000-0000-000044000000}"/>
    <cellStyle name="Comma 3 3" xfId="138" xr:uid="{00000000-0005-0000-0000-000045000000}"/>
    <cellStyle name="Comma 4" xfId="120" xr:uid="{00000000-0005-0000-0000-000046000000}"/>
    <cellStyle name="Comma 5" xfId="67" xr:uid="{00000000-0005-0000-0000-000047000000}"/>
    <cellStyle name="Comma_OPDC_RA2009_Rates Design" xfId="33" xr:uid="{00000000-0005-0000-0000-000048000000}"/>
    <cellStyle name="Comma0" xfId="34" xr:uid="{00000000-0005-0000-0000-000049000000}"/>
    <cellStyle name="Currency 2" xfId="119" xr:uid="{00000000-0005-0000-0000-00004A000000}"/>
    <cellStyle name="Currency 3" xfId="135" xr:uid="{00000000-0005-0000-0000-00004B000000}"/>
    <cellStyle name="Currency 4" xfId="68" xr:uid="{00000000-0005-0000-0000-00004C000000}"/>
    <cellStyle name="Currency 5" xfId="139" xr:uid="{00000000-0005-0000-0000-00004D000000}"/>
    <cellStyle name="Currency0" xfId="35" xr:uid="{00000000-0005-0000-0000-00004E000000}"/>
    <cellStyle name="Date" xfId="36" xr:uid="{00000000-0005-0000-0000-00004F000000}"/>
    <cellStyle name="Explanatory Text" xfId="37" builtinId="53" customBuiltin="1"/>
    <cellStyle name="Explanatory Text 2" xfId="85" xr:uid="{00000000-0005-0000-0000-000051000000}"/>
    <cellStyle name="Fixed" xfId="38" xr:uid="{00000000-0005-0000-0000-000052000000}"/>
    <cellStyle name="Good" xfId="39" builtinId="26" customBuiltin="1"/>
    <cellStyle name="Good 2" xfId="75" xr:uid="{00000000-0005-0000-0000-000054000000}"/>
    <cellStyle name="Grey" xfId="40" xr:uid="{00000000-0005-0000-0000-000055000000}"/>
    <cellStyle name="Grey 2" xfId="126" xr:uid="{00000000-0005-0000-0000-000056000000}"/>
    <cellStyle name="Heading 1" xfId="41" builtinId="16" customBuiltin="1"/>
    <cellStyle name="Heading 1 2" xfId="71" xr:uid="{00000000-0005-0000-0000-000058000000}"/>
    <cellStyle name="Heading 2" xfId="42" builtinId="17" customBuiltin="1"/>
    <cellStyle name="Heading 2 2" xfId="70" xr:uid="{00000000-0005-0000-0000-00005A000000}"/>
    <cellStyle name="Heading 3" xfId="43" builtinId="18" customBuiltin="1"/>
    <cellStyle name="Heading 3 2" xfId="73" xr:uid="{00000000-0005-0000-0000-00005C000000}"/>
    <cellStyle name="Heading 4" xfId="44" builtinId="19" customBuiltin="1"/>
    <cellStyle name="Heading 4 2" xfId="74" xr:uid="{00000000-0005-0000-0000-00005E000000}"/>
    <cellStyle name="Input" xfId="45" builtinId="20" customBuiltin="1"/>
    <cellStyle name="Input [yellow]" xfId="46" xr:uid="{00000000-0005-0000-0000-000060000000}"/>
    <cellStyle name="Input [yellow] 2" xfId="127" xr:uid="{00000000-0005-0000-0000-000061000000}"/>
    <cellStyle name="Input 2" xfId="78" xr:uid="{00000000-0005-0000-0000-000062000000}"/>
    <cellStyle name="Linked Cell" xfId="47" builtinId="24" customBuiltin="1"/>
    <cellStyle name="Linked Cell 2" xfId="81" xr:uid="{00000000-0005-0000-0000-000064000000}"/>
    <cellStyle name="M" xfId="48" xr:uid="{00000000-0005-0000-0000-000065000000}"/>
    <cellStyle name="M.00" xfId="49" xr:uid="{00000000-0005-0000-0000-000066000000}"/>
    <cellStyle name="M_9. Rev2Cost_GDPIPI" xfId="128" xr:uid="{00000000-0005-0000-0000-000067000000}"/>
    <cellStyle name="M_lists" xfId="129" xr:uid="{00000000-0005-0000-0000-000068000000}"/>
    <cellStyle name="M_lists_4. Current Monthly Fixed Charge" xfId="130" xr:uid="{00000000-0005-0000-0000-000069000000}"/>
    <cellStyle name="M_Sheet4" xfId="131" xr:uid="{00000000-0005-0000-0000-00006A000000}"/>
    <cellStyle name="Neutral" xfId="50" builtinId="28" customBuiltin="1"/>
    <cellStyle name="Neutral 2" xfId="77" xr:uid="{00000000-0005-0000-0000-00006C000000}"/>
    <cellStyle name="Normal" xfId="0" builtinId="0"/>
    <cellStyle name="Normal - Style1" xfId="51" xr:uid="{00000000-0005-0000-0000-00006E000000}"/>
    <cellStyle name="Normal 2" xfId="65" xr:uid="{00000000-0005-0000-0000-00006F000000}"/>
    <cellStyle name="Normal 2 2 2 2 2" xfId="140" xr:uid="{00000000-0005-0000-0000-000070000000}"/>
    <cellStyle name="Normal 3" xfId="72" xr:uid="{00000000-0005-0000-0000-000071000000}"/>
    <cellStyle name="Normal 4" xfId="111" xr:uid="{00000000-0005-0000-0000-000072000000}"/>
    <cellStyle name="Normal 5" xfId="114" xr:uid="{00000000-0005-0000-0000-000073000000}"/>
    <cellStyle name="Normal 5 2" xfId="132" xr:uid="{00000000-0005-0000-0000-000074000000}"/>
    <cellStyle name="Normal 5 2 2" xfId="143" xr:uid="{00000000-0005-0000-0000-000075000000}"/>
    <cellStyle name="Normal 6" xfId="117" xr:uid="{00000000-0005-0000-0000-000076000000}"/>
    <cellStyle name="Normal 7" xfId="66" xr:uid="{00000000-0005-0000-0000-000077000000}"/>
    <cellStyle name="Normal_OEB Trial Balance - Regulatory-July24-07" xfId="52" xr:uid="{00000000-0005-0000-0000-000078000000}"/>
    <cellStyle name="Normal_Sheet2" xfId="53" xr:uid="{00000000-0005-0000-0000-000079000000}"/>
    <cellStyle name="Note" xfId="54" builtinId="10" customBuiltin="1"/>
    <cellStyle name="Note 2" xfId="84" xr:uid="{00000000-0005-0000-0000-00007B000000}"/>
    <cellStyle name="Output" xfId="55" builtinId="21" customBuiltin="1"/>
    <cellStyle name="Output 2" xfId="79" xr:uid="{00000000-0005-0000-0000-00007D000000}"/>
    <cellStyle name="Percent" xfId="56" builtinId="5"/>
    <cellStyle name="Percent [2]" xfId="57" xr:uid="{00000000-0005-0000-0000-00007F000000}"/>
    <cellStyle name="Percent 12" xfId="141" xr:uid="{00000000-0005-0000-0000-000080000000}"/>
    <cellStyle name="Percent 2" xfId="113" xr:uid="{00000000-0005-0000-0000-000081000000}"/>
    <cellStyle name="Percent 3" xfId="116" xr:uid="{00000000-0005-0000-0000-000082000000}"/>
    <cellStyle name="Percent 3 2" xfId="134" xr:uid="{00000000-0005-0000-0000-000083000000}"/>
    <cellStyle name="Percent 3 2 2" xfId="144" xr:uid="{00000000-0005-0000-0000-000084000000}"/>
    <cellStyle name="Percent 4" xfId="118" xr:uid="{00000000-0005-0000-0000-000085000000}"/>
    <cellStyle name="Style 23" xfId="136" xr:uid="{00000000-0005-0000-0000-000086000000}"/>
    <cellStyle name="STYLE1" xfId="58" xr:uid="{00000000-0005-0000-0000-000087000000}"/>
    <cellStyle name="STYLE2" xfId="59" xr:uid="{00000000-0005-0000-0000-000088000000}"/>
    <cellStyle name="STYLE4" xfId="60" xr:uid="{00000000-0005-0000-0000-000089000000}"/>
    <cellStyle name="Subtotal" xfId="61" xr:uid="{00000000-0005-0000-0000-00008A000000}"/>
    <cellStyle name="Title" xfId="62" builtinId="15" customBuiltin="1"/>
    <cellStyle name="Title 2" xfId="69" xr:uid="{00000000-0005-0000-0000-00008C000000}"/>
    <cellStyle name="Total" xfId="63" builtinId="25" customBuiltin="1"/>
    <cellStyle name="Total 2" xfId="86" xr:uid="{00000000-0005-0000-0000-00008E000000}"/>
    <cellStyle name="Warning Text" xfId="64" builtinId="11" customBuiltin="1"/>
    <cellStyle name="Warning Text 2" xfId="83" xr:uid="{00000000-0005-0000-0000-00009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wanner\Local%20Settings\Temporary%20Internet%20Files\OLKC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ennant\Return%20on%20Equity%20and%20WC\RateMak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bbacon\My%20Documents\Orillia\2010%20Rates\2010%20Rate%20File%20-%20July%202,%202009\Documents%20and%20Settings\mmaw\Local%20Settings\Temporary%20Internet%20Files\OLKBC\Exhibit%203%20Distribution%20Revenue%20Throughputs%20-%20Blank.xls?9891282D" TargetMode="External"/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urley\Desktop\Lakeland%20Rate%20App\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 refreshError="1">
        <row r="13">
          <cell r="C13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661"/>
  <sheetViews>
    <sheetView showGridLines="0" topLeftCell="A340" workbookViewId="0">
      <selection activeCell="R355" sqref="R355"/>
    </sheetView>
  </sheetViews>
  <sheetFormatPr defaultColWidth="12.7109375" defaultRowHeight="15" customHeight="1" x14ac:dyDescent="0.2"/>
  <cols>
    <col min="1" max="1" width="1.140625" style="60" customWidth="1"/>
    <col min="2" max="3" width="12.7109375" style="62" customWidth="1"/>
    <col min="4" max="4" width="3.42578125" style="62" customWidth="1"/>
    <col min="5" max="5" width="11" style="60" customWidth="1"/>
    <col min="6" max="6" width="11.140625" style="60" customWidth="1"/>
    <col min="7" max="7" width="11" style="60" customWidth="1"/>
    <col min="8" max="8" width="11.140625" style="60" customWidth="1"/>
    <col min="9" max="11" width="10.7109375" style="60" customWidth="1"/>
    <col min="12" max="12" width="13.7109375" style="60" customWidth="1"/>
    <col min="13" max="14" width="12.7109375" style="60"/>
    <col min="15" max="15" width="18.5703125" style="60" bestFit="1" customWidth="1"/>
    <col min="16" max="17" width="12.7109375" style="60"/>
    <col min="18" max="18" width="14.85546875" style="60" customWidth="1"/>
    <col min="19" max="16384" width="12.7109375" style="60"/>
  </cols>
  <sheetData>
    <row r="2" spans="2:14" ht="11.25" x14ac:dyDescent="0.2">
      <c r="B2" s="61" t="s">
        <v>244</v>
      </c>
      <c r="C2" s="61"/>
      <c r="D2" s="61"/>
      <c r="E2" s="73"/>
      <c r="F2" s="73"/>
      <c r="G2" s="73"/>
      <c r="H2" s="73"/>
      <c r="I2" s="73"/>
      <c r="J2" s="73"/>
    </row>
    <row r="3" spans="2:14" ht="5.25" customHeight="1" x14ac:dyDescent="0.2"/>
    <row r="4" spans="2:14" ht="33.75" x14ac:dyDescent="0.2">
      <c r="B4" s="295" t="s">
        <v>65</v>
      </c>
      <c r="C4" s="293"/>
      <c r="D4" s="293"/>
      <c r="E4" s="241" t="s">
        <v>66</v>
      </c>
      <c r="F4" s="241" t="s">
        <v>67</v>
      </c>
      <c r="G4" s="241" t="s">
        <v>68</v>
      </c>
      <c r="H4" s="241" t="s">
        <v>69</v>
      </c>
      <c r="I4" s="241" t="s">
        <v>70</v>
      </c>
      <c r="J4" s="241" t="s">
        <v>71</v>
      </c>
      <c r="K4"/>
    </row>
    <row r="5" spans="2:14" ht="15" customHeight="1" x14ac:dyDescent="0.2">
      <c r="B5" s="76" t="s">
        <v>72</v>
      </c>
      <c r="C5" s="77"/>
      <c r="D5" s="77"/>
      <c r="E5" s="77"/>
      <c r="F5" s="77"/>
      <c r="G5" s="77"/>
      <c r="H5" s="77"/>
      <c r="I5" s="77"/>
      <c r="J5" s="78"/>
    </row>
    <row r="6" spans="2:14" ht="15" customHeight="1" x14ac:dyDescent="0.2">
      <c r="B6" s="417"/>
      <c r="C6" s="418"/>
      <c r="D6" s="419"/>
      <c r="E6" s="79"/>
      <c r="F6" s="80"/>
      <c r="G6" s="81"/>
      <c r="H6" s="82"/>
      <c r="I6" s="80"/>
      <c r="J6" s="81"/>
    </row>
    <row r="7" spans="2:14" ht="15" customHeight="1" x14ac:dyDescent="0.2">
      <c r="B7" s="287" t="s">
        <v>187</v>
      </c>
      <c r="C7" s="288"/>
      <c r="D7" s="288"/>
      <c r="E7" s="83">
        <v>520.45452799999998</v>
      </c>
      <c r="F7" s="84"/>
      <c r="G7" s="85"/>
      <c r="H7" s="82">
        <v>29878</v>
      </c>
      <c r="I7" s="64"/>
      <c r="J7" s="85"/>
    </row>
    <row r="8" spans="2:14" ht="15" customHeight="1" x14ac:dyDescent="0.2">
      <c r="B8" s="417"/>
      <c r="C8" s="418"/>
      <c r="D8" s="419"/>
      <c r="E8" s="83"/>
      <c r="F8" s="84"/>
      <c r="G8" s="85"/>
      <c r="H8" s="82"/>
      <c r="I8" s="80"/>
      <c r="J8" s="85"/>
    </row>
    <row r="9" spans="2:14" ht="15" customHeight="1" x14ac:dyDescent="0.2">
      <c r="B9" s="436" t="s">
        <v>136</v>
      </c>
      <c r="C9" s="437"/>
      <c r="D9" s="438"/>
      <c r="E9" s="83">
        <f>Summary!B12/1000000</f>
        <v>566.70177833999742</v>
      </c>
      <c r="F9" s="97"/>
      <c r="G9" s="85"/>
      <c r="H9" s="64">
        <f>Summary!B52</f>
        <v>29956</v>
      </c>
      <c r="I9" s="97"/>
      <c r="J9" s="85"/>
      <c r="M9"/>
      <c r="N9"/>
    </row>
    <row r="10" spans="2:14" ht="15" customHeight="1" x14ac:dyDescent="0.2">
      <c r="B10" s="436" t="s">
        <v>137</v>
      </c>
      <c r="C10" s="437"/>
      <c r="D10" s="438"/>
      <c r="E10" s="83">
        <f>Summary!C12/1000000</f>
        <v>564.90530429000296</v>
      </c>
      <c r="F10" s="97">
        <f t="shared" ref="F10:F20" si="0">E10-E9</f>
        <v>-1.7964740499944583</v>
      </c>
      <c r="G10" s="85">
        <f t="shared" ref="G10:G20" si="1">F10/E9</f>
        <v>-3.1700519014723275E-3</v>
      </c>
      <c r="H10" s="64">
        <f>Summary!C52</f>
        <v>30055</v>
      </c>
      <c r="I10" s="97">
        <f t="shared" ref="I10:I20" si="2">H10-H9</f>
        <v>99</v>
      </c>
      <c r="J10" s="85">
        <f t="shared" ref="J10:J20" si="3">I10/H9</f>
        <v>3.3048471090933369E-3</v>
      </c>
      <c r="M10"/>
      <c r="N10"/>
    </row>
    <row r="11" spans="2:14" ht="15" customHeight="1" x14ac:dyDescent="0.2">
      <c r="B11" s="436" t="s">
        <v>138</v>
      </c>
      <c r="C11" s="437"/>
      <c r="D11" s="438"/>
      <c r="E11" s="83">
        <f>Summary!D12/1000000</f>
        <v>548.3410920500005</v>
      </c>
      <c r="F11" s="97">
        <f t="shared" si="0"/>
        <v>-16.564212240002462</v>
      </c>
      <c r="G11" s="85">
        <f t="shared" si="1"/>
        <v>-2.9322104278735831E-2</v>
      </c>
      <c r="H11" s="64">
        <f>Summary!D52</f>
        <v>30013</v>
      </c>
      <c r="I11" s="97">
        <f t="shared" si="2"/>
        <v>-42</v>
      </c>
      <c r="J11" s="85">
        <f t="shared" si="3"/>
        <v>-1.3974380302778241E-3</v>
      </c>
      <c r="M11"/>
      <c r="N11"/>
    </row>
    <row r="12" spans="2:14" ht="15" customHeight="1" x14ac:dyDescent="0.2">
      <c r="B12" s="436" t="s">
        <v>139</v>
      </c>
      <c r="C12" s="437"/>
      <c r="D12" s="438"/>
      <c r="E12" s="83">
        <f>Summary!E12/1000000</f>
        <v>548.19676239000069</v>
      </c>
      <c r="F12" s="97">
        <f t="shared" si="0"/>
        <v>-0.14432965999981207</v>
      </c>
      <c r="G12" s="85">
        <f t="shared" si="1"/>
        <v>-2.6321146106382152E-4</v>
      </c>
      <c r="H12" s="64">
        <f>Summary!E52</f>
        <v>30030</v>
      </c>
      <c r="I12" s="97">
        <f t="shared" si="2"/>
        <v>17</v>
      </c>
      <c r="J12" s="85">
        <f t="shared" si="3"/>
        <v>5.6642121747242863E-4</v>
      </c>
      <c r="K12"/>
      <c r="L12"/>
      <c r="M12"/>
      <c r="N12"/>
    </row>
    <row r="13" spans="2:14" ht="15" customHeight="1" x14ac:dyDescent="0.2">
      <c r="B13" s="436" t="s">
        <v>188</v>
      </c>
      <c r="C13" s="437"/>
      <c r="D13" s="438"/>
      <c r="E13" s="83">
        <f>Summary!$F$12/1000000</f>
        <v>537.98304577000113</v>
      </c>
      <c r="F13" s="97">
        <f t="shared" si="0"/>
        <v>-10.213716619999559</v>
      </c>
      <c r="G13" s="85">
        <f t="shared" si="1"/>
        <v>-1.8631479280304959E-2</v>
      </c>
      <c r="H13" s="64">
        <f>Summary!$F$52</f>
        <v>29885</v>
      </c>
      <c r="I13" s="97">
        <f t="shared" si="2"/>
        <v>-145</v>
      </c>
      <c r="J13" s="85">
        <f t="shared" si="3"/>
        <v>-4.8285048285048289E-3</v>
      </c>
      <c r="K13"/>
      <c r="L13"/>
      <c r="M13"/>
      <c r="N13"/>
    </row>
    <row r="14" spans="2:14" ht="15" customHeight="1" x14ac:dyDescent="0.2">
      <c r="B14" s="436" t="s">
        <v>189</v>
      </c>
      <c r="C14" s="437"/>
      <c r="D14" s="438"/>
      <c r="E14" s="83">
        <f>Summary!$G$12/1000000</f>
        <v>516.72899929000039</v>
      </c>
      <c r="F14" s="97">
        <f>E14-E13</f>
        <v>-21.254046480000738</v>
      </c>
      <c r="G14" s="85">
        <f>F14/E13</f>
        <v>-3.9506907600741166E-2</v>
      </c>
      <c r="H14" s="64">
        <f>Summary!$G$52</f>
        <v>29857</v>
      </c>
      <c r="I14" s="97">
        <f>H14-H13</f>
        <v>-28</v>
      </c>
      <c r="J14" s="85">
        <f>I14/H13</f>
        <v>-9.3692487870168986E-4</v>
      </c>
      <c r="K14"/>
      <c r="L14"/>
      <c r="M14"/>
      <c r="N14"/>
    </row>
    <row r="15" spans="2:14" ht="15" customHeight="1" x14ac:dyDescent="0.2">
      <c r="B15" s="436" t="s">
        <v>190</v>
      </c>
      <c r="C15" s="437"/>
      <c r="D15" s="438"/>
      <c r="E15" s="83">
        <f>Summary!$H$12/1000000</f>
        <v>488.76549717000063</v>
      </c>
      <c r="F15" s="97">
        <f t="shared" si="0"/>
        <v>-27.96350211999976</v>
      </c>
      <c r="G15" s="85">
        <f t="shared" si="1"/>
        <v>-5.4116378524182635E-2</v>
      </c>
      <c r="H15" s="64">
        <f>Summary!$H$52</f>
        <v>29964</v>
      </c>
      <c r="I15" s="97">
        <f t="shared" si="2"/>
        <v>107</v>
      </c>
      <c r="J15" s="85">
        <f t="shared" si="3"/>
        <v>3.5837492045416486E-3</v>
      </c>
      <c r="K15"/>
      <c r="L15"/>
      <c r="M15"/>
      <c r="N15"/>
    </row>
    <row r="16" spans="2:14" ht="15" customHeight="1" x14ac:dyDescent="0.2">
      <c r="B16" s="436" t="s">
        <v>191</v>
      </c>
      <c r="C16" s="437"/>
      <c r="D16" s="438"/>
      <c r="E16" s="83">
        <f>Summary!$I$12/1000000</f>
        <v>482.39854616000036</v>
      </c>
      <c r="F16" s="97">
        <f t="shared" si="0"/>
        <v>-6.366951010000264</v>
      </c>
      <c r="G16" s="85">
        <f t="shared" si="1"/>
        <v>-1.302659669486804E-2</v>
      </c>
      <c r="H16" s="64">
        <f>Summary!$I$52</f>
        <v>29977</v>
      </c>
      <c r="I16" s="97">
        <f t="shared" si="2"/>
        <v>13</v>
      </c>
      <c r="J16" s="85">
        <f t="shared" si="3"/>
        <v>4.3385395808303299E-4</v>
      </c>
      <c r="K16"/>
      <c r="L16"/>
      <c r="M16"/>
      <c r="N16"/>
    </row>
    <row r="17" spans="2:31" ht="15" customHeight="1" x14ac:dyDescent="0.2">
      <c r="B17" s="436" t="s">
        <v>192</v>
      </c>
      <c r="C17" s="437"/>
      <c r="D17" s="438"/>
      <c r="E17" s="83">
        <f>Summary!$J$12/1000000</f>
        <v>496.9809711099997</v>
      </c>
      <c r="F17" s="97">
        <f t="shared" si="0"/>
        <v>14.582424949999336</v>
      </c>
      <c r="G17" s="85">
        <f t="shared" si="1"/>
        <v>3.0228998545038493E-2</v>
      </c>
      <c r="H17" s="64">
        <f>Summary!$J$52</f>
        <v>30001</v>
      </c>
      <c r="I17" s="97">
        <f t="shared" si="2"/>
        <v>24</v>
      </c>
      <c r="J17" s="85">
        <f t="shared" si="3"/>
        <v>8.0061380391633589E-4</v>
      </c>
      <c r="K17"/>
      <c r="L17"/>
      <c r="M17"/>
      <c r="N17"/>
    </row>
    <row r="18" spans="2:31" ht="15" customHeight="1" x14ac:dyDescent="0.2">
      <c r="B18" s="436" t="s">
        <v>193</v>
      </c>
      <c r="C18" s="437"/>
      <c r="D18" s="438"/>
      <c r="E18" s="83">
        <f>Summary!$K$12/1000000</f>
        <v>495.76181037999993</v>
      </c>
      <c r="F18" s="97">
        <f t="shared" si="0"/>
        <v>-1.2191607299997713</v>
      </c>
      <c r="G18" s="85">
        <f t="shared" si="1"/>
        <v>-2.4531336225545896E-3</v>
      </c>
      <c r="H18" s="64">
        <f>Summary!$K$52</f>
        <v>30047</v>
      </c>
      <c r="I18" s="97">
        <f t="shared" si="2"/>
        <v>46</v>
      </c>
      <c r="J18" s="85">
        <f t="shared" si="3"/>
        <v>1.5332822239258691E-3</v>
      </c>
      <c r="K18"/>
      <c r="L18"/>
      <c r="M18"/>
      <c r="N18"/>
    </row>
    <row r="19" spans="2:31" ht="15" customHeight="1" x14ac:dyDescent="0.2">
      <c r="B19" s="436" t="s">
        <v>194</v>
      </c>
      <c r="C19" s="437"/>
      <c r="D19" s="438"/>
      <c r="E19" s="83">
        <f>Summary!L16/1000000</f>
        <v>493.0953283352714</v>
      </c>
      <c r="F19" s="97">
        <f t="shared" si="0"/>
        <v>-2.6664820447285251</v>
      </c>
      <c r="G19" s="85">
        <f>F19/E12</f>
        <v>-4.8640966668670764E-3</v>
      </c>
      <c r="H19" s="64">
        <f>Summary!L52</f>
        <v>30075</v>
      </c>
      <c r="I19" s="97">
        <f t="shared" si="2"/>
        <v>28</v>
      </c>
      <c r="J19" s="85">
        <f t="shared" si="3"/>
        <v>9.3187339834259659E-4</v>
      </c>
      <c r="M19"/>
      <c r="N19"/>
    </row>
    <row r="20" spans="2:31" ht="12.75" x14ac:dyDescent="0.2">
      <c r="B20" s="436" t="s">
        <v>195</v>
      </c>
      <c r="C20" s="437"/>
      <c r="D20" s="438"/>
      <c r="E20" s="83">
        <f>Summary!M16/1000000</f>
        <v>492.26650887026398</v>
      </c>
      <c r="F20" s="97">
        <f t="shared" si="0"/>
        <v>-0.82881946500742743</v>
      </c>
      <c r="G20" s="85">
        <f t="shared" si="1"/>
        <v>-1.6808503698576645E-3</v>
      </c>
      <c r="H20" s="64">
        <f>Summary!M52</f>
        <v>30104</v>
      </c>
      <c r="I20" s="97">
        <f t="shared" si="2"/>
        <v>29</v>
      </c>
      <c r="J20" s="85">
        <f t="shared" si="3"/>
        <v>9.6425602660016622E-4</v>
      </c>
      <c r="M20"/>
      <c r="N20"/>
    </row>
    <row r="21" spans="2:31" ht="15" customHeight="1" x14ac:dyDescent="0.2">
      <c r="B21" s="86"/>
      <c r="C21" s="86"/>
      <c r="D21" s="86"/>
      <c r="E21" s="87"/>
      <c r="F21" s="87"/>
      <c r="G21" s="87"/>
      <c r="H21" s="87"/>
      <c r="I21" s="87"/>
      <c r="J21" s="87"/>
      <c r="M21"/>
      <c r="N21"/>
    </row>
    <row r="22" spans="2:31" ht="15" customHeight="1" x14ac:dyDescent="0.2">
      <c r="B22" s="61" t="s">
        <v>245</v>
      </c>
      <c r="C22" s="61"/>
      <c r="D22" s="61"/>
      <c r="E22" s="73"/>
      <c r="F22" s="73"/>
      <c r="G22" s="73"/>
      <c r="H22" s="73"/>
      <c r="I22" s="73"/>
      <c r="J22" s="73"/>
      <c r="K22" s="73"/>
      <c r="M22"/>
      <c r="N22"/>
    </row>
    <row r="23" spans="2:31" ht="33.75" x14ac:dyDescent="0.2">
      <c r="B23" s="295" t="s">
        <v>65</v>
      </c>
      <c r="C23" s="293"/>
      <c r="D23" s="293"/>
      <c r="E23" s="242" t="str">
        <f>Summary!A19</f>
        <v xml:space="preserve">Residential </v>
      </c>
      <c r="F23" s="242" t="str">
        <f>Summary!A23</f>
        <v>General Service &lt; 50 kW</v>
      </c>
      <c r="G23" s="242" t="str">
        <f>Summary!A27</f>
        <v>General Service 50 to 2999 kW</v>
      </c>
      <c r="H23" s="242" t="str">
        <f>Summary!A32</f>
        <v>General Service 3000 to 4999 kW</v>
      </c>
      <c r="I23" s="242" t="str">
        <f>Summary!A37</f>
        <v>Street Lighting</v>
      </c>
      <c r="J23" s="242" t="str">
        <f>Summary!A42</f>
        <v>Sentinel Lighting</v>
      </c>
      <c r="K23" s="242" t="str">
        <f>Summary!A47</f>
        <v xml:space="preserve">Unmetered Scattered Load </v>
      </c>
      <c r="L23" s="242" t="s">
        <v>10</v>
      </c>
      <c r="M23"/>
      <c r="N23"/>
    </row>
    <row r="24" spans="2:31" ht="15" customHeight="1" x14ac:dyDescent="0.2">
      <c r="B24" s="99" t="s">
        <v>73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2:31" ht="15" customHeight="1" x14ac:dyDescent="0.2">
      <c r="B25" s="417"/>
      <c r="C25" s="418"/>
      <c r="D25" s="419"/>
      <c r="E25" s="79"/>
      <c r="F25" s="88"/>
      <c r="G25" s="88"/>
      <c r="H25" s="88"/>
      <c r="I25" s="88"/>
      <c r="J25" s="88"/>
      <c r="K25" s="88"/>
      <c r="L25" s="88"/>
    </row>
    <row r="26" spans="2:31" ht="15" customHeight="1" x14ac:dyDescent="0.2">
      <c r="B26" s="287" t="str">
        <f>B7</f>
        <v>2015 Board Approved</v>
      </c>
      <c r="C26" s="288"/>
      <c r="D26" s="288"/>
      <c r="E26" s="79">
        <v>205.49742499999999</v>
      </c>
      <c r="F26" s="79">
        <v>85.361036999999996</v>
      </c>
      <c r="G26" s="79">
        <v>209.884489</v>
      </c>
      <c r="H26" s="79">
        <v>17.254809999999999</v>
      </c>
      <c r="I26" s="79">
        <v>2.0187620000000002</v>
      </c>
      <c r="J26" s="89">
        <v>0.40595928999999997</v>
      </c>
      <c r="K26" s="89">
        <v>3.2044999999999997E-2</v>
      </c>
      <c r="L26" s="89">
        <f>SUM(E26:K26)</f>
        <v>520.4545272900001</v>
      </c>
      <c r="N26" s="98"/>
      <c r="O26" s="98"/>
    </row>
    <row r="27" spans="2:31" ht="15" customHeight="1" x14ac:dyDescent="0.2">
      <c r="B27" s="417"/>
      <c r="C27" s="418"/>
      <c r="D27" s="419"/>
      <c r="E27" s="79"/>
      <c r="F27" s="79"/>
      <c r="G27" s="79"/>
      <c r="H27" s="79"/>
      <c r="I27" s="79"/>
      <c r="J27" s="89"/>
      <c r="K27" s="89"/>
      <c r="L27" s="89"/>
      <c r="O27" s="98"/>
    </row>
    <row r="28" spans="2:31" ht="15" customHeight="1" x14ac:dyDescent="0.2">
      <c r="B28" s="287" t="str">
        <f t="shared" ref="B28:B37" si="4">B9</f>
        <v xml:space="preserve">2010 Actual </v>
      </c>
      <c r="C28" s="288"/>
      <c r="D28" s="288"/>
      <c r="E28" s="79">
        <f>'Rate Class Energy Model'!H11/1000000</f>
        <v>206.53511774999697</v>
      </c>
      <c r="F28" s="79">
        <f>'Rate Class Energy Model'!I11/1000000</f>
        <v>85.042099070000475</v>
      </c>
      <c r="G28" s="79">
        <f>'Rate Class Energy Model'!J11/1000000</f>
        <v>230.03773662999998</v>
      </c>
      <c r="H28" s="79">
        <f>'Rate Class Energy Model'!K11/1000000</f>
        <v>41.028103810000005</v>
      </c>
      <c r="I28" s="79">
        <f>'Rate Class Energy Model'!L11/1000000</f>
        <v>3.3241901299999999</v>
      </c>
      <c r="J28" s="79">
        <f>'Rate Class Energy Model'!M11/1000000</f>
        <v>0.56940756999999997</v>
      </c>
      <c r="K28" s="79">
        <f>'Rate Class Energy Model'!N11/1000000</f>
        <v>0.16512338000000001</v>
      </c>
      <c r="L28" s="89">
        <f t="shared" ref="L28:L39" si="5">SUM(E28:K28)</f>
        <v>566.70177833999742</v>
      </c>
      <c r="M28" s="74"/>
      <c r="N28" s="98"/>
      <c r="O28" s="98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2:31" ht="15" customHeight="1" x14ac:dyDescent="0.2">
      <c r="B29" s="287" t="str">
        <f t="shared" si="4"/>
        <v xml:space="preserve">2011 Actual </v>
      </c>
      <c r="C29" s="288"/>
      <c r="D29" s="288"/>
      <c r="E29" s="79">
        <f>'Rate Class Energy Model'!H12/1000000</f>
        <v>207.35808223000043</v>
      </c>
      <c r="F29" s="79">
        <f>'Rate Class Energy Model'!I12/1000000</f>
        <v>85.023143980002558</v>
      </c>
      <c r="G29" s="79">
        <f>'Rate Class Energy Model'!J12/1000000</f>
        <v>231.66736605000008</v>
      </c>
      <c r="H29" s="79">
        <f>'Rate Class Energy Model'!K12/1000000</f>
        <v>37.086851809999999</v>
      </c>
      <c r="I29" s="79">
        <f>'Rate Class Energy Model'!L12/1000000</f>
        <v>3.2041226699999998</v>
      </c>
      <c r="J29" s="79">
        <f>'Rate Class Energy Model'!M12/1000000</f>
        <v>0.48166412000000003</v>
      </c>
      <c r="K29" s="79">
        <f>'Rate Class Energy Model'!N12/1000000</f>
        <v>8.4073429999999991E-2</v>
      </c>
      <c r="L29" s="89">
        <f t="shared" si="5"/>
        <v>564.90530429000296</v>
      </c>
      <c r="M29" s="74"/>
      <c r="N29" s="98"/>
      <c r="O29" s="98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</row>
    <row r="30" spans="2:31" ht="12.75" x14ac:dyDescent="0.2">
      <c r="B30" s="287" t="str">
        <f t="shared" si="4"/>
        <v xml:space="preserve">2012 Actual </v>
      </c>
      <c r="C30" s="288"/>
      <c r="D30" s="288"/>
      <c r="E30" s="79">
        <f>'Rate Class Energy Model'!H13/1000000</f>
        <v>200.61442425000052</v>
      </c>
      <c r="F30" s="79">
        <f>'Rate Class Energy Model'!I13/1000000</f>
        <v>84.948670559999996</v>
      </c>
      <c r="G30" s="79">
        <f>'Rate Class Energy Model'!J13/1000000</f>
        <v>223.68845295</v>
      </c>
      <c r="H30" s="79">
        <f>'Rate Class Energy Model'!K13/1000000</f>
        <v>35.722771819999998</v>
      </c>
      <c r="I30" s="79">
        <f>'Rate Class Energy Model'!L13/1000000</f>
        <v>2.7902384900000001</v>
      </c>
      <c r="J30" s="79">
        <f>'Rate Class Energy Model'!M13/1000000</f>
        <v>0.48775949000000002</v>
      </c>
      <c r="K30" s="79">
        <f>'Rate Class Energy Model'!N13/1000000</f>
        <v>8.877448999999997E-2</v>
      </c>
      <c r="L30" s="89">
        <f t="shared" si="5"/>
        <v>548.3410920500005</v>
      </c>
      <c r="M30" s="74"/>
      <c r="N30" s="98"/>
      <c r="O30" s="98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</row>
    <row r="31" spans="2:31" ht="12.75" x14ac:dyDescent="0.2">
      <c r="B31" s="287" t="str">
        <f t="shared" si="4"/>
        <v xml:space="preserve">2013 Actual </v>
      </c>
      <c r="C31" s="288"/>
      <c r="D31" s="288"/>
      <c r="E31" s="79">
        <f>'Rate Class Energy Model'!H14/1000000</f>
        <v>207.80663926000017</v>
      </c>
      <c r="F31" s="79">
        <f>'Rate Class Energy Model'!I14/1000000</f>
        <v>85.11933071000054</v>
      </c>
      <c r="G31" s="79">
        <f>'Rate Class Energy Model'!J14/1000000</f>
        <v>216.61445360999994</v>
      </c>
      <c r="H31" s="79">
        <f>'Rate Class Energy Model'!K14/1000000</f>
        <v>35.775035789999997</v>
      </c>
      <c r="I31" s="79">
        <f>'Rate Class Energy Model'!L14/1000000</f>
        <v>2.34826823</v>
      </c>
      <c r="J31" s="79">
        <f>'Rate Class Energy Model'!M14/1000000</f>
        <v>0.44395062000000068</v>
      </c>
      <c r="K31" s="79">
        <f>'Rate Class Energy Model'!N14/1000000</f>
        <v>8.908416999999999E-2</v>
      </c>
      <c r="L31" s="89">
        <f t="shared" si="5"/>
        <v>548.19676239000069</v>
      </c>
      <c r="M31" s="74"/>
      <c r="N31" s="98"/>
      <c r="O31" s="98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</row>
    <row r="32" spans="2:31" ht="12.75" x14ac:dyDescent="0.2">
      <c r="B32" s="287" t="str">
        <f t="shared" si="4"/>
        <v xml:space="preserve">2014 Actual </v>
      </c>
      <c r="C32" s="288"/>
      <c r="D32" s="288"/>
      <c r="E32" s="79">
        <f>'Rate Class Energy Model'!H15/1000000</f>
        <v>205.95007975000036</v>
      </c>
      <c r="F32" s="79">
        <f>'Rate Class Energy Model'!I15/1000000</f>
        <v>85.369054680000914</v>
      </c>
      <c r="G32" s="79">
        <f>'Rate Class Energy Model'!J15/1000000</f>
        <v>217.23618744000001</v>
      </c>
      <c r="H32" s="79">
        <f>'Rate Class Energy Model'!K15/1000000</f>
        <v>26.926555820000004</v>
      </c>
      <c r="I32" s="79">
        <f>'Rate Class Energy Model'!L15/1000000</f>
        <v>2.0265658900000001</v>
      </c>
      <c r="J32" s="79">
        <f>'Rate Class Energy Model'!M15/1000000</f>
        <v>0.42399264000000048</v>
      </c>
      <c r="K32" s="79">
        <f>'Rate Class Energy Model'!N15/1000000</f>
        <v>5.0609549999999989E-2</v>
      </c>
      <c r="L32" s="89">
        <f t="shared" si="5"/>
        <v>537.98304577000135</v>
      </c>
      <c r="M32" s="74"/>
      <c r="N32" s="98"/>
      <c r="O32" s="98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1:31" ht="12.75" x14ac:dyDescent="0.2">
      <c r="B33" s="287" t="str">
        <f t="shared" si="4"/>
        <v xml:space="preserve">2015 Actual </v>
      </c>
      <c r="C33" s="288"/>
      <c r="D33" s="288"/>
      <c r="E33" s="79">
        <f>'Rate Class Energy Model'!H16/1000000</f>
        <v>196.73010079999995</v>
      </c>
      <c r="F33" s="79">
        <f>'Rate Class Energy Model'!I16/1000000</f>
        <v>83.568205870000469</v>
      </c>
      <c r="G33" s="79">
        <f>'Rate Class Energy Model'!J16/1000000</f>
        <v>216.23887438999998</v>
      </c>
      <c r="H33" s="79">
        <f>'Rate Class Energy Model'!K16/1000000</f>
        <v>17.738635890000001</v>
      </c>
      <c r="I33" s="79">
        <f>'Rate Class Energy Model'!L16/1000000</f>
        <v>2.03636872</v>
      </c>
      <c r="J33" s="79">
        <f>'Rate Class Energy Model'!M16/1000000</f>
        <v>0.37388003000000047</v>
      </c>
      <c r="K33" s="79">
        <f>'Rate Class Energy Model'!N16/1000000</f>
        <v>4.2933589999999994E-2</v>
      </c>
      <c r="L33" s="89">
        <f t="shared" si="5"/>
        <v>516.72899929000039</v>
      </c>
      <c r="M33" s="74"/>
      <c r="N33" s="98"/>
      <c r="O33" s="98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</row>
    <row r="34" spans="1:31" ht="12.75" x14ac:dyDescent="0.2">
      <c r="B34" s="287" t="str">
        <f t="shared" si="4"/>
        <v xml:space="preserve">2016 Actual </v>
      </c>
      <c r="C34" s="288"/>
      <c r="D34" s="288"/>
      <c r="E34" s="79">
        <f>'Rate Class Energy Model'!H17/1000000</f>
        <v>188.19472151000042</v>
      </c>
      <c r="F34" s="79">
        <f>'Rate Class Energy Model'!I17/1000000</f>
        <v>80.643102520000198</v>
      </c>
      <c r="G34" s="79">
        <f>'Rate Class Energy Model'!J17/1000000</f>
        <v>200.88047503000004</v>
      </c>
      <c r="H34" s="79">
        <f>'Rate Class Energy Model'!K17/1000000</f>
        <v>16.805471899999997</v>
      </c>
      <c r="I34" s="79">
        <f>'Rate Class Energy Model'!L17/1000000</f>
        <v>2.0425015800000001</v>
      </c>
      <c r="J34" s="79">
        <f>'Rate Class Energy Model'!M17/1000000</f>
        <v>0.15629107</v>
      </c>
      <c r="K34" s="79">
        <f>'Rate Class Energy Model'!N17/1000000</f>
        <v>4.2933559999999989E-2</v>
      </c>
      <c r="L34" s="89">
        <f t="shared" si="5"/>
        <v>488.76549717000063</v>
      </c>
      <c r="M34" s="74"/>
      <c r="N34" s="98"/>
      <c r="O34" s="98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</row>
    <row r="35" spans="1:31" ht="12.75" x14ac:dyDescent="0.2">
      <c r="B35" s="287" t="str">
        <f t="shared" si="4"/>
        <v xml:space="preserve">2017 Actual </v>
      </c>
      <c r="C35" s="288"/>
      <c r="D35" s="288"/>
      <c r="E35" s="79">
        <f>'Rate Class Energy Model'!H18/1000000</f>
        <v>184.54662313000023</v>
      </c>
      <c r="F35" s="79">
        <f>'Rate Class Energy Model'!I18/1000000</f>
        <v>78.774627370000104</v>
      </c>
      <c r="G35" s="79">
        <f>'Rate Class Energy Model'!J18/1000000</f>
        <v>200.34616548</v>
      </c>
      <c r="H35" s="79">
        <f>'Rate Class Energy Model'!K18/1000000</f>
        <v>16.52275191</v>
      </c>
      <c r="I35" s="79">
        <f>'Rate Class Energy Model'!L18/1000000</f>
        <v>2.03636872</v>
      </c>
      <c r="J35" s="79">
        <f>'Rate Class Energy Model'!M18/1000000</f>
        <v>0.12907595999999988</v>
      </c>
      <c r="K35" s="79">
        <f>'Rate Class Energy Model'!N18/1000000</f>
        <v>4.2933589999999987E-2</v>
      </c>
      <c r="L35" s="89">
        <f t="shared" si="5"/>
        <v>482.39854616000036</v>
      </c>
      <c r="M35" s="74"/>
      <c r="N35" s="98"/>
      <c r="O35" s="98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1:31" ht="12.75" x14ac:dyDescent="0.2">
      <c r="B36" s="287" t="str">
        <f t="shared" si="4"/>
        <v xml:space="preserve">2018 Actual </v>
      </c>
      <c r="C36" s="288"/>
      <c r="D36" s="288"/>
      <c r="E36" s="79">
        <f>'Rate Class Energy Model'!H19/1000000</f>
        <v>196.78412994999957</v>
      </c>
      <c r="F36" s="79">
        <f>'Rate Class Energy Model'!I19/1000000</f>
        <v>81.814082000000042</v>
      </c>
      <c r="G36" s="79">
        <f>'Rate Class Energy Model'!J19/1000000</f>
        <v>199.99866812000008</v>
      </c>
      <c r="H36" s="79">
        <f>'Rate Class Energy Model'!K19/1000000</f>
        <v>16.18571991</v>
      </c>
      <c r="I36" s="79">
        <f>'Rate Class Energy Model'!L19/1000000</f>
        <v>2.0315951800000001</v>
      </c>
      <c r="J36" s="79">
        <f>'Rate Class Energy Model'!M19/1000000</f>
        <v>0.1247033299999999</v>
      </c>
      <c r="K36" s="79">
        <f>'Rate Class Energy Model'!N19/1000000</f>
        <v>4.2072619999999991E-2</v>
      </c>
      <c r="L36" s="89">
        <f t="shared" si="5"/>
        <v>496.98097110999964</v>
      </c>
      <c r="M36" s="74"/>
      <c r="N36" s="98"/>
      <c r="O36" s="98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</row>
    <row r="37" spans="1:31" ht="12.75" x14ac:dyDescent="0.2">
      <c r="B37" s="287" t="str">
        <f t="shared" si="4"/>
        <v xml:space="preserve">2019 Actual </v>
      </c>
      <c r="C37" s="288"/>
      <c r="D37" s="288"/>
      <c r="E37" s="79">
        <f>'Rate Class Energy Model'!H20/1000000</f>
        <v>197.84701774999991</v>
      </c>
      <c r="F37" s="79">
        <f>'Rate Class Energy Model'!I20/1000000</f>
        <v>80.410230089999999</v>
      </c>
      <c r="G37" s="79">
        <f>'Rate Class Energy Model'!J20/1000000</f>
        <v>199.95332373000002</v>
      </c>
      <c r="H37" s="79">
        <f>'Rate Class Energy Model'!K20/1000000</f>
        <v>15.352959899999998</v>
      </c>
      <c r="I37" s="79">
        <f>'Rate Class Energy Model'!L20/1000000</f>
        <v>2.03636872</v>
      </c>
      <c r="J37" s="79">
        <f>'Rate Class Energy Model'!M20/1000000</f>
        <v>0.12242049000000001</v>
      </c>
      <c r="K37" s="79">
        <f>'Rate Class Energy Model'!N20/1000000</f>
        <v>3.9489699999999996E-2</v>
      </c>
      <c r="L37" s="89">
        <f t="shared" si="5"/>
        <v>495.76181037999987</v>
      </c>
      <c r="M37" s="74"/>
      <c r="N37" s="98"/>
      <c r="O37" s="98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</row>
    <row r="38" spans="1:31" ht="12.75" x14ac:dyDescent="0.2">
      <c r="B38" s="436" t="s">
        <v>194</v>
      </c>
      <c r="C38" s="437"/>
      <c r="D38" s="438"/>
      <c r="E38" s="79">
        <f>+'Rate Class Energy Model'!H71/1000000</f>
        <v>199.68221691900476</v>
      </c>
      <c r="F38" s="79">
        <f>+'Rate Class Energy Model'!I71/1000000</f>
        <v>79.636963846008896</v>
      </c>
      <c r="G38" s="79">
        <f>+'Rate Class Energy Model'!J71/1000000</f>
        <v>196.68326731916355</v>
      </c>
      <c r="H38" s="79">
        <f>+'Rate Class Energy Model'!K71/1000000</f>
        <v>14.897243509943134</v>
      </c>
      <c r="I38" s="79">
        <f>+'Rate Class Energy Model'!L71/1000000</f>
        <v>2.03636872</v>
      </c>
      <c r="J38" s="79">
        <f>+'Rate Class Energy Model'!M71/1000000</f>
        <v>0.11977832115107913</v>
      </c>
      <c r="K38" s="79">
        <f>+'Rate Class Energy Model'!N71/1000000</f>
        <v>3.9489699999999996E-2</v>
      </c>
      <c r="L38" s="89">
        <f t="shared" si="5"/>
        <v>493.0953283352714</v>
      </c>
      <c r="M38" s="74"/>
      <c r="N38" s="98">
        <f>H38*1000000</f>
        <v>14897243.509943135</v>
      </c>
      <c r="O38" s="98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1" ht="12.75" x14ac:dyDescent="0.2">
      <c r="B39" s="436" t="s">
        <v>195</v>
      </c>
      <c r="C39" s="437"/>
      <c r="D39" s="438"/>
      <c r="E39" s="79">
        <f>+'Rate Class Energy Model'!H72/1000000</f>
        <v>201.7051110590377</v>
      </c>
      <c r="F39" s="79">
        <f>+'Rate Class Energy Model'!I72/1000000</f>
        <v>79.035853179389008</v>
      </c>
      <c r="G39" s="79">
        <f>+'Rate Class Energy Model'!J72/1000000</f>
        <v>194.87720249953446</v>
      </c>
      <c r="H39" s="79">
        <f>+'Rate Class Energy Model'!K72/1000000</f>
        <v>14.455053985684081</v>
      </c>
      <c r="I39" s="79">
        <f>+'Rate Class Energy Model'!L72/1000000</f>
        <v>2.03636872</v>
      </c>
      <c r="J39" s="79">
        <f>+'Rate Class Energy Model'!M72/1000000</f>
        <v>0.11742972661870504</v>
      </c>
      <c r="K39" s="79">
        <f>+'Rate Class Energy Model'!N72/1000000</f>
        <v>3.9489699999999996E-2</v>
      </c>
      <c r="L39" s="89">
        <f t="shared" si="5"/>
        <v>492.26650887026392</v>
      </c>
      <c r="M39" s="74"/>
      <c r="N39" s="98">
        <f>N38/H55</f>
        <v>14897243.509943135</v>
      </c>
      <c r="O39" s="98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</row>
    <row r="40" spans="1:31" ht="15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31" ht="15" customHeight="1" x14ac:dyDescent="0.2">
      <c r="B41" s="99" t="s">
        <v>74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1"/>
    </row>
    <row r="42" spans="1:31" ht="15" customHeight="1" x14ac:dyDescent="0.2">
      <c r="B42" s="287"/>
      <c r="C42" s="288"/>
      <c r="D42" s="288"/>
      <c r="E42" s="90"/>
      <c r="F42" s="82"/>
      <c r="G42" s="82"/>
      <c r="H42" s="82"/>
      <c r="I42" s="82"/>
      <c r="J42" s="82"/>
      <c r="K42" s="82"/>
      <c r="L42" s="82"/>
    </row>
    <row r="43" spans="1:31" ht="15" customHeight="1" x14ac:dyDescent="0.2">
      <c r="B43" s="287" t="str">
        <f>B26</f>
        <v>2015 Board Approved</v>
      </c>
      <c r="C43" s="288"/>
      <c r="D43" s="288"/>
      <c r="E43" s="90">
        <v>21124</v>
      </c>
      <c r="F43" s="82">
        <v>2668</v>
      </c>
      <c r="G43" s="82">
        <v>247</v>
      </c>
      <c r="H43" s="82">
        <v>1</v>
      </c>
      <c r="I43" s="82">
        <v>5419</v>
      </c>
      <c r="J43" s="82">
        <v>412</v>
      </c>
      <c r="K43" s="82">
        <v>7</v>
      </c>
      <c r="L43" s="82">
        <f>SUM(E43:K43)</f>
        <v>29878</v>
      </c>
      <c r="N43" s="65"/>
      <c r="O43" s="98"/>
    </row>
    <row r="44" spans="1:31" ht="15" customHeight="1" x14ac:dyDescent="0.2">
      <c r="A44" s="66"/>
      <c r="B44" s="287"/>
      <c r="C44" s="288"/>
      <c r="D44" s="288"/>
      <c r="E44" s="90"/>
      <c r="F44" s="82"/>
      <c r="G44" s="82"/>
      <c r="H44" s="82"/>
      <c r="I44" s="82"/>
      <c r="J44" s="82"/>
      <c r="K44" s="82"/>
      <c r="L44" s="82"/>
      <c r="N44" s="65"/>
      <c r="O44" s="98"/>
    </row>
    <row r="45" spans="1:31" ht="15" customHeight="1" x14ac:dyDescent="0.2">
      <c r="A45" s="59"/>
      <c r="B45" s="287" t="str">
        <f t="shared" ref="B45:B56" si="6">B28</f>
        <v xml:space="preserve">2010 Actual </v>
      </c>
      <c r="C45" s="288"/>
      <c r="D45" s="288"/>
      <c r="E45" s="90">
        <f>'Rate Class Customer Model'!B14</f>
        <v>20952</v>
      </c>
      <c r="F45" s="90">
        <f>'Rate Class Customer Model'!C14</f>
        <v>2633</v>
      </c>
      <c r="G45" s="90">
        <f>'Rate Class Customer Model'!D14</f>
        <v>269</v>
      </c>
      <c r="H45" s="90">
        <f>'Rate Class Customer Model'!E14</f>
        <v>2</v>
      </c>
      <c r="I45" s="90">
        <f>'Rate Class Customer Model'!F14</f>
        <v>5572</v>
      </c>
      <c r="J45" s="90">
        <f>'Rate Class Customer Model'!G14</f>
        <v>509</v>
      </c>
      <c r="K45" s="90">
        <f>'Rate Class Customer Model'!H14</f>
        <v>19</v>
      </c>
      <c r="L45" s="82">
        <f t="shared" ref="L45:L56" si="7">SUM(E45:K45)</f>
        <v>29956</v>
      </c>
      <c r="M45" s="65"/>
      <c r="N45" s="65"/>
      <c r="O45" s="98"/>
    </row>
    <row r="46" spans="1:31" ht="15" customHeight="1" x14ac:dyDescent="0.2">
      <c r="A46" s="59"/>
      <c r="B46" s="287" t="str">
        <f t="shared" si="6"/>
        <v xml:space="preserve">2011 Actual </v>
      </c>
      <c r="C46" s="288"/>
      <c r="D46" s="288"/>
      <c r="E46" s="90">
        <f>'Rate Class Customer Model'!B15</f>
        <v>21096</v>
      </c>
      <c r="F46" s="90">
        <f>'Rate Class Customer Model'!C15</f>
        <v>2623</v>
      </c>
      <c r="G46" s="90">
        <f>'Rate Class Customer Model'!D15</f>
        <v>268</v>
      </c>
      <c r="H46" s="90">
        <f>'Rate Class Customer Model'!E15</f>
        <v>2</v>
      </c>
      <c r="I46" s="90">
        <f>'Rate Class Customer Model'!F15</f>
        <v>5574</v>
      </c>
      <c r="J46" s="90">
        <f>'Rate Class Customer Model'!G15</f>
        <v>474</v>
      </c>
      <c r="K46" s="90">
        <f>'Rate Class Customer Model'!H15</f>
        <v>18</v>
      </c>
      <c r="L46" s="82">
        <f t="shared" si="7"/>
        <v>30055</v>
      </c>
      <c r="M46" s="65"/>
      <c r="N46" s="65"/>
      <c r="O46" s="98"/>
    </row>
    <row r="47" spans="1:31" ht="15" customHeight="1" x14ac:dyDescent="0.2">
      <c r="A47" s="59"/>
      <c r="B47" s="287" t="str">
        <f t="shared" si="6"/>
        <v xml:space="preserve">2012 Actual </v>
      </c>
      <c r="C47" s="288"/>
      <c r="D47" s="288"/>
      <c r="E47" s="90">
        <f>'Rate Class Customer Model'!B16</f>
        <v>21074</v>
      </c>
      <c r="F47" s="90">
        <f>'Rate Class Customer Model'!C16</f>
        <v>2645</v>
      </c>
      <c r="G47" s="90">
        <f>'Rate Class Customer Model'!D16</f>
        <v>254</v>
      </c>
      <c r="H47" s="90">
        <f>'Rate Class Customer Model'!E16</f>
        <v>2</v>
      </c>
      <c r="I47" s="90">
        <f>'Rate Class Customer Model'!F16</f>
        <v>5574</v>
      </c>
      <c r="J47" s="90">
        <f>'Rate Class Customer Model'!G16</f>
        <v>447</v>
      </c>
      <c r="K47" s="90">
        <f>'Rate Class Customer Model'!H16</f>
        <v>17</v>
      </c>
      <c r="L47" s="82">
        <f t="shared" si="7"/>
        <v>30013</v>
      </c>
      <c r="M47" s="65"/>
      <c r="N47" s="65"/>
      <c r="O47" s="98"/>
    </row>
    <row r="48" spans="1:31" ht="15" customHeight="1" x14ac:dyDescent="0.2">
      <c r="A48" s="59"/>
      <c r="B48" s="287" t="str">
        <f t="shared" si="6"/>
        <v xml:space="preserve">2013 Actual </v>
      </c>
      <c r="C48" s="288"/>
      <c r="D48" s="288"/>
      <c r="E48" s="90">
        <f>'Rate Class Customer Model'!B17</f>
        <v>21108</v>
      </c>
      <c r="F48" s="90">
        <f>'Rate Class Customer Model'!C17</f>
        <v>2649</v>
      </c>
      <c r="G48" s="90">
        <f>'Rate Class Customer Model'!D17</f>
        <v>255</v>
      </c>
      <c r="H48" s="90">
        <f>'Rate Class Customer Model'!E17</f>
        <v>2</v>
      </c>
      <c r="I48" s="90">
        <f>'Rate Class Customer Model'!F17</f>
        <v>5574</v>
      </c>
      <c r="J48" s="90">
        <f>'Rate Class Customer Model'!G17</f>
        <v>427</v>
      </c>
      <c r="K48" s="90">
        <f>'Rate Class Customer Model'!H17</f>
        <v>15</v>
      </c>
      <c r="L48" s="82">
        <f t="shared" si="7"/>
        <v>30030</v>
      </c>
      <c r="M48" s="65"/>
      <c r="N48" s="65"/>
      <c r="O48" s="98"/>
    </row>
    <row r="49" spans="1:15" ht="15" customHeight="1" x14ac:dyDescent="0.2">
      <c r="A49" s="59"/>
      <c r="B49" s="287" t="str">
        <f t="shared" si="6"/>
        <v xml:space="preserve">2014 Actual </v>
      </c>
      <c r="C49" s="288"/>
      <c r="D49" s="288"/>
      <c r="E49" s="90">
        <f>'Rate Class Customer Model'!B18</f>
        <v>21117</v>
      </c>
      <c r="F49" s="90">
        <f>'Rate Class Customer Model'!C18</f>
        <v>2657</v>
      </c>
      <c r="G49" s="90">
        <f>'Rate Class Customer Model'!D18</f>
        <v>252</v>
      </c>
      <c r="H49" s="90">
        <f>'Rate Class Customer Model'!E18</f>
        <v>2</v>
      </c>
      <c r="I49" s="90">
        <f>'Rate Class Customer Model'!F18</f>
        <v>5419</v>
      </c>
      <c r="J49" s="90">
        <f>'Rate Class Customer Model'!G18</f>
        <v>427</v>
      </c>
      <c r="K49" s="90">
        <f>'Rate Class Customer Model'!H18</f>
        <v>11</v>
      </c>
      <c r="L49" s="82">
        <f t="shared" si="7"/>
        <v>29885</v>
      </c>
      <c r="M49" s="65"/>
      <c r="N49" s="65"/>
      <c r="O49" s="98"/>
    </row>
    <row r="50" spans="1:15" ht="15" customHeight="1" x14ac:dyDescent="0.2">
      <c r="A50" s="59"/>
      <c r="B50" s="287" t="str">
        <f t="shared" si="6"/>
        <v xml:space="preserve">2015 Actual </v>
      </c>
      <c r="C50" s="288"/>
      <c r="D50" s="288"/>
      <c r="E50" s="90">
        <f>'Rate Class Customer Model'!B19</f>
        <v>21122</v>
      </c>
      <c r="F50" s="90">
        <f>'Rate Class Customer Model'!C19</f>
        <v>2646</v>
      </c>
      <c r="G50" s="90">
        <f>'Rate Class Customer Model'!D19</f>
        <v>254</v>
      </c>
      <c r="H50" s="90">
        <f>'Rate Class Customer Model'!E19</f>
        <v>1</v>
      </c>
      <c r="I50" s="90">
        <f>'Rate Class Customer Model'!F19</f>
        <v>5422</v>
      </c>
      <c r="J50" s="90">
        <f>'Rate Class Customer Model'!G19</f>
        <v>402</v>
      </c>
      <c r="K50" s="90">
        <f>'Rate Class Customer Model'!H19</f>
        <v>10</v>
      </c>
      <c r="L50" s="82">
        <f t="shared" si="7"/>
        <v>29857</v>
      </c>
      <c r="M50" s="65"/>
      <c r="N50" s="65"/>
      <c r="O50" s="98"/>
    </row>
    <row r="51" spans="1:15" ht="15" customHeight="1" x14ac:dyDescent="0.2">
      <c r="A51" s="59"/>
      <c r="B51" s="287" t="str">
        <f t="shared" si="6"/>
        <v xml:space="preserve">2016 Actual </v>
      </c>
      <c r="C51" s="288"/>
      <c r="D51" s="288"/>
      <c r="E51" s="90">
        <f>'Rate Class Customer Model'!B20</f>
        <v>21173</v>
      </c>
      <c r="F51" s="90">
        <f>'Rate Class Customer Model'!C20</f>
        <v>2659</v>
      </c>
      <c r="G51" s="90">
        <f>'Rate Class Customer Model'!D20</f>
        <v>253</v>
      </c>
      <c r="H51" s="90">
        <f>'Rate Class Customer Model'!E20</f>
        <v>1</v>
      </c>
      <c r="I51" s="90">
        <f>'Rate Class Customer Model'!F20</f>
        <v>5424</v>
      </c>
      <c r="J51" s="90">
        <f>'Rate Class Customer Model'!G20</f>
        <v>444</v>
      </c>
      <c r="K51" s="90">
        <f>'Rate Class Customer Model'!H20</f>
        <v>10</v>
      </c>
      <c r="L51" s="82">
        <f t="shared" si="7"/>
        <v>29964</v>
      </c>
      <c r="M51" s="65"/>
      <c r="N51" s="65"/>
      <c r="O51" s="98"/>
    </row>
    <row r="52" spans="1:15" ht="15" customHeight="1" x14ac:dyDescent="0.2">
      <c r="A52" s="59"/>
      <c r="B52" s="287" t="str">
        <f t="shared" si="6"/>
        <v xml:space="preserve">2017 Actual </v>
      </c>
      <c r="C52" s="288"/>
      <c r="D52" s="288"/>
      <c r="E52" s="90">
        <f>'Rate Class Customer Model'!B21</f>
        <v>21192</v>
      </c>
      <c r="F52" s="90">
        <f>'Rate Class Customer Model'!C21</f>
        <v>2653</v>
      </c>
      <c r="G52" s="90">
        <f>'Rate Class Customer Model'!D21</f>
        <v>261</v>
      </c>
      <c r="H52" s="90">
        <f>'Rate Class Customer Model'!E21</f>
        <v>1</v>
      </c>
      <c r="I52" s="90">
        <f>'Rate Class Customer Model'!F21</f>
        <v>5424</v>
      </c>
      <c r="J52" s="90">
        <f>'Rate Class Customer Model'!G21</f>
        <v>436</v>
      </c>
      <c r="K52" s="90">
        <f>'Rate Class Customer Model'!H21</f>
        <v>10</v>
      </c>
      <c r="L52" s="82">
        <f t="shared" si="7"/>
        <v>29977</v>
      </c>
      <c r="M52" s="65"/>
      <c r="N52" s="65"/>
      <c r="O52" s="98"/>
    </row>
    <row r="53" spans="1:15" ht="15" customHeight="1" x14ac:dyDescent="0.2">
      <c r="A53" s="59"/>
      <c r="B53" s="287" t="str">
        <f t="shared" si="6"/>
        <v xml:space="preserve">2018 Actual </v>
      </c>
      <c r="C53" s="288"/>
      <c r="D53" s="288"/>
      <c r="E53" s="90">
        <f>'Rate Class Customer Model'!B22</f>
        <v>21229</v>
      </c>
      <c r="F53" s="90">
        <f>'Rate Class Customer Model'!C22</f>
        <v>2654</v>
      </c>
      <c r="G53" s="90">
        <f>'Rate Class Customer Model'!D22</f>
        <v>258</v>
      </c>
      <c r="H53" s="90">
        <f>'Rate Class Customer Model'!E22</f>
        <v>1</v>
      </c>
      <c r="I53" s="90">
        <f>'Rate Class Customer Model'!F22</f>
        <v>5424</v>
      </c>
      <c r="J53" s="90">
        <f>'Rate Class Customer Model'!G22</f>
        <v>425</v>
      </c>
      <c r="K53" s="90">
        <f>'Rate Class Customer Model'!H22</f>
        <v>10</v>
      </c>
      <c r="L53" s="82">
        <f t="shared" si="7"/>
        <v>30001</v>
      </c>
      <c r="M53" s="65"/>
      <c r="N53" s="65"/>
      <c r="O53" s="98"/>
    </row>
    <row r="54" spans="1:15" ht="15" customHeight="1" x14ac:dyDescent="0.2">
      <c r="A54" s="59"/>
      <c r="B54" s="287" t="str">
        <f t="shared" si="6"/>
        <v xml:space="preserve">2019 Actual </v>
      </c>
      <c r="C54" s="288"/>
      <c r="D54" s="288"/>
      <c r="E54" s="90">
        <f>'Rate Class Customer Model'!B23</f>
        <v>21280</v>
      </c>
      <c r="F54" s="90">
        <f>'Rate Class Customer Model'!C23</f>
        <v>2653</v>
      </c>
      <c r="G54" s="90">
        <f>'Rate Class Customer Model'!D23</f>
        <v>263</v>
      </c>
      <c r="H54" s="90">
        <f>'Rate Class Customer Model'!E23</f>
        <v>1</v>
      </c>
      <c r="I54" s="90">
        <f>'Rate Class Customer Model'!F23</f>
        <v>5424</v>
      </c>
      <c r="J54" s="90">
        <f>'Rate Class Customer Model'!G23</f>
        <v>417</v>
      </c>
      <c r="K54" s="90">
        <f>'Rate Class Customer Model'!H23</f>
        <v>9</v>
      </c>
      <c r="L54" s="82">
        <f t="shared" si="7"/>
        <v>30047</v>
      </c>
      <c r="M54" s="65"/>
      <c r="N54" s="65"/>
      <c r="O54" s="98"/>
    </row>
    <row r="55" spans="1:15" ht="15" customHeight="1" x14ac:dyDescent="0.2">
      <c r="A55" s="59"/>
      <c r="B55" s="287" t="str">
        <f t="shared" si="6"/>
        <v>2020 Bridge - Normalized</v>
      </c>
      <c r="C55" s="288"/>
      <c r="D55" s="288"/>
      <c r="E55" s="90">
        <f>'Rate Class Customer Model'!B24</f>
        <v>21316</v>
      </c>
      <c r="F55" s="90">
        <f>'Rate Class Customer Model'!C24</f>
        <v>2651</v>
      </c>
      <c r="G55" s="90">
        <f>'Rate Class Customer Model'!D24</f>
        <v>266</v>
      </c>
      <c r="H55" s="90">
        <f>'Rate Class Customer Model'!E24</f>
        <v>1</v>
      </c>
      <c r="I55" s="90">
        <f>'Rate Class Customer Model'!F24</f>
        <v>5424</v>
      </c>
      <c r="J55" s="90">
        <f>'Rate Class Customer Model'!G24</f>
        <v>408</v>
      </c>
      <c r="K55" s="90">
        <f>'Rate Class Customer Model'!H24</f>
        <v>9</v>
      </c>
      <c r="L55" s="82">
        <f t="shared" si="7"/>
        <v>30075</v>
      </c>
      <c r="M55" s="65"/>
      <c r="N55" s="65"/>
      <c r="O55" s="98"/>
    </row>
    <row r="56" spans="1:15" ht="15" customHeight="1" x14ac:dyDescent="0.2">
      <c r="A56" s="59"/>
      <c r="B56" s="287" t="str">
        <f t="shared" si="6"/>
        <v>2021 Test - Normalized</v>
      </c>
      <c r="C56" s="288"/>
      <c r="D56" s="288"/>
      <c r="E56" s="90">
        <f>'Rate Class Customer Model'!B25</f>
        <v>21352</v>
      </c>
      <c r="F56" s="90">
        <f>'Rate Class Customer Model'!C25</f>
        <v>2649</v>
      </c>
      <c r="G56" s="90">
        <f>'Rate Class Customer Model'!D25</f>
        <v>269</v>
      </c>
      <c r="H56" s="90">
        <f>'Rate Class Customer Model'!E25</f>
        <v>1</v>
      </c>
      <c r="I56" s="90">
        <f>'Rate Class Customer Model'!F25</f>
        <v>5424</v>
      </c>
      <c r="J56" s="90">
        <f>'Rate Class Customer Model'!G25</f>
        <v>400</v>
      </c>
      <c r="K56" s="90">
        <f>'Rate Class Customer Model'!H25</f>
        <v>9</v>
      </c>
      <c r="L56" s="82">
        <f t="shared" si="7"/>
        <v>30104</v>
      </c>
      <c r="M56" s="65"/>
      <c r="N56" s="65"/>
      <c r="O56" s="98"/>
    </row>
    <row r="57" spans="1:15" ht="15" customHeight="1" x14ac:dyDescent="0.2">
      <c r="B57" s="60"/>
      <c r="C57" s="60"/>
      <c r="D57" s="60"/>
    </row>
    <row r="58" spans="1:15" ht="15" customHeight="1" x14ac:dyDescent="0.2">
      <c r="B58" s="61" t="s">
        <v>246</v>
      </c>
      <c r="C58" s="61"/>
      <c r="D58" s="61"/>
      <c r="E58" s="73"/>
      <c r="F58" s="73"/>
      <c r="G58" s="73"/>
      <c r="H58" s="73"/>
      <c r="I58" s="73"/>
      <c r="J58" s="73"/>
      <c r="K58" s="73"/>
    </row>
    <row r="59" spans="1:15" ht="33.75" x14ac:dyDescent="0.2">
      <c r="B59" s="295" t="s">
        <v>65</v>
      </c>
      <c r="C59" s="293"/>
      <c r="D59" s="293"/>
      <c r="E59" s="241" t="str">
        <f t="shared" ref="E59:K59" si="8">E23</f>
        <v xml:space="preserve">Residential </v>
      </c>
      <c r="F59" s="241" t="str">
        <f t="shared" si="8"/>
        <v>General Service &lt; 50 kW</v>
      </c>
      <c r="G59" s="241" t="str">
        <f t="shared" si="8"/>
        <v>General Service 50 to 2999 kW</v>
      </c>
      <c r="H59" s="241" t="str">
        <f t="shared" si="8"/>
        <v>General Service 3000 to 4999 kW</v>
      </c>
      <c r="I59" s="241" t="str">
        <f t="shared" si="8"/>
        <v>Street Lighting</v>
      </c>
      <c r="J59" s="241" t="str">
        <f t="shared" si="8"/>
        <v>Sentinel Lighting</v>
      </c>
      <c r="K59" s="241" t="str">
        <f t="shared" si="8"/>
        <v xml:space="preserve">Unmetered Scattered Load </v>
      </c>
    </row>
    <row r="60" spans="1:15" ht="15" customHeight="1" x14ac:dyDescent="0.2">
      <c r="B60" s="99" t="s">
        <v>75</v>
      </c>
      <c r="C60" s="100"/>
      <c r="D60" s="100"/>
      <c r="E60" s="100"/>
      <c r="F60" s="100"/>
      <c r="G60" s="100"/>
      <c r="H60" s="100"/>
      <c r="I60" s="100"/>
      <c r="J60" s="100"/>
      <c r="K60" s="101"/>
    </row>
    <row r="61" spans="1:15" ht="15" customHeight="1" x14ac:dyDescent="0.2">
      <c r="B61" s="287"/>
      <c r="C61" s="288"/>
      <c r="D61" s="288"/>
      <c r="E61" s="80"/>
      <c r="F61" s="80"/>
      <c r="G61" s="80"/>
      <c r="H61" s="80"/>
      <c r="I61" s="80"/>
      <c r="J61" s="80"/>
      <c r="K61" s="80"/>
    </row>
    <row r="62" spans="1:15" ht="15" customHeight="1" x14ac:dyDescent="0.2">
      <c r="B62" s="287" t="str">
        <f>B26</f>
        <v>2015 Board Approved</v>
      </c>
      <c r="C62" s="288"/>
      <c r="D62" s="288"/>
      <c r="E62" s="80">
        <f t="shared" ref="E62:K62" si="9">E26*1000000/E43</f>
        <v>9728.149261503504</v>
      </c>
      <c r="F62" s="80">
        <f t="shared" si="9"/>
        <v>31994.391679160421</v>
      </c>
      <c r="G62" s="80">
        <f t="shared" si="9"/>
        <v>849734.77327935223</v>
      </c>
      <c r="H62" s="80">
        <f t="shared" si="9"/>
        <v>17254810</v>
      </c>
      <c r="I62" s="80">
        <f t="shared" si="9"/>
        <v>372.53404687211668</v>
      </c>
      <c r="J62" s="80">
        <f t="shared" si="9"/>
        <v>985.33808252427184</v>
      </c>
      <c r="K62" s="80">
        <f t="shared" si="9"/>
        <v>4577.8571428571422</v>
      </c>
    </row>
    <row r="63" spans="1:15" ht="15" customHeight="1" x14ac:dyDescent="0.2">
      <c r="B63" s="287"/>
      <c r="C63" s="288"/>
      <c r="D63" s="288"/>
      <c r="E63" s="80"/>
      <c r="F63" s="80"/>
      <c r="G63" s="80"/>
      <c r="H63" s="80"/>
      <c r="I63" s="80"/>
      <c r="J63" s="102"/>
      <c r="K63" s="63"/>
    </row>
    <row r="64" spans="1:15" ht="15" customHeight="1" x14ac:dyDescent="0.2">
      <c r="B64" s="287" t="str">
        <f t="shared" ref="B64:B75" si="10">B28</f>
        <v xml:space="preserve">2010 Actual </v>
      </c>
      <c r="C64" s="288"/>
      <c r="D64" s="288"/>
      <c r="E64" s="80">
        <f t="shared" ref="E64:K75" si="11">E28*1000000/E45</f>
        <v>9857.5371205611373</v>
      </c>
      <c r="F64" s="80">
        <f t="shared" si="11"/>
        <v>32298.556426130068</v>
      </c>
      <c r="G64" s="80">
        <f t="shared" si="11"/>
        <v>855158.87223048322</v>
      </c>
      <c r="H64" s="80">
        <f t="shared" si="11"/>
        <v>20514051.905000001</v>
      </c>
      <c r="I64" s="80">
        <f t="shared" si="11"/>
        <v>596.58832196697767</v>
      </c>
      <c r="J64" s="80">
        <f t="shared" si="11"/>
        <v>1118.6789194499017</v>
      </c>
      <c r="K64" s="80">
        <f t="shared" si="11"/>
        <v>8690.7042105263154</v>
      </c>
      <c r="M64" s="65"/>
      <c r="N64" s="65"/>
      <c r="O64" s="65"/>
    </row>
    <row r="65" spans="2:25" ht="15" customHeight="1" x14ac:dyDescent="0.2">
      <c r="B65" s="287" t="str">
        <f t="shared" si="10"/>
        <v xml:space="preserve">2011 Actual </v>
      </c>
      <c r="C65" s="288"/>
      <c r="D65" s="288"/>
      <c r="E65" s="80">
        <f t="shared" si="11"/>
        <v>9829.2606290292206</v>
      </c>
      <c r="F65" s="80">
        <f t="shared" si="11"/>
        <v>32414.465871140888</v>
      </c>
      <c r="G65" s="80">
        <f t="shared" si="11"/>
        <v>864430.47033582116</v>
      </c>
      <c r="H65" s="80">
        <f t="shared" si="11"/>
        <v>18543425.905000001</v>
      </c>
      <c r="I65" s="80">
        <f t="shared" si="11"/>
        <v>574.83363293864375</v>
      </c>
      <c r="J65" s="80">
        <f t="shared" si="11"/>
        <v>1016.1690295358651</v>
      </c>
      <c r="K65" s="80">
        <f t="shared" si="11"/>
        <v>4670.7461111111106</v>
      </c>
      <c r="M65" s="65"/>
      <c r="N65" s="65"/>
      <c r="O65" s="65"/>
    </row>
    <row r="66" spans="2:25" ht="15" customHeight="1" x14ac:dyDescent="0.2">
      <c r="B66" s="287" t="str">
        <f t="shared" si="10"/>
        <v xml:space="preserve">2012 Actual </v>
      </c>
      <c r="C66" s="288"/>
      <c r="D66" s="288"/>
      <c r="E66" s="80">
        <f t="shared" si="11"/>
        <v>9519.5228361962854</v>
      </c>
      <c r="F66" s="80">
        <f t="shared" si="11"/>
        <v>32116.699644612476</v>
      </c>
      <c r="G66" s="80">
        <f t="shared" si="11"/>
        <v>880663.20059055113</v>
      </c>
      <c r="H66" s="80">
        <f t="shared" si="11"/>
        <v>17861385.91</v>
      </c>
      <c r="I66" s="80">
        <f t="shared" si="11"/>
        <v>500.58099928238255</v>
      </c>
      <c r="J66" s="80">
        <f t="shared" si="11"/>
        <v>1091.1845413870246</v>
      </c>
      <c r="K66" s="80">
        <f t="shared" si="11"/>
        <v>5222.0288235294101</v>
      </c>
      <c r="M66" s="65"/>
      <c r="N66" s="65"/>
      <c r="O66" s="65"/>
    </row>
    <row r="67" spans="2:25" ht="15" customHeight="1" x14ac:dyDescent="0.2">
      <c r="B67" s="287" t="str">
        <f t="shared" si="10"/>
        <v xml:space="preserve">2013 Actual </v>
      </c>
      <c r="C67" s="288"/>
      <c r="D67" s="288"/>
      <c r="E67" s="80">
        <f t="shared" si="11"/>
        <v>9844.9232167898499</v>
      </c>
      <c r="F67" s="80">
        <f t="shared" si="11"/>
        <v>32132.627674594391</v>
      </c>
      <c r="G67" s="80">
        <f t="shared" si="11"/>
        <v>849468.44552941155</v>
      </c>
      <c r="H67" s="80">
        <f t="shared" si="11"/>
        <v>17887517.895</v>
      </c>
      <c r="I67" s="80">
        <f t="shared" si="11"/>
        <v>421.28959992823826</v>
      </c>
      <c r="J67" s="80">
        <f t="shared" si="11"/>
        <v>1039.6970023419219</v>
      </c>
      <c r="K67" s="80">
        <f t="shared" si="11"/>
        <v>5938.9446666666654</v>
      </c>
      <c r="M67" s="65"/>
      <c r="N67" s="65"/>
      <c r="O67" s="65"/>
    </row>
    <row r="68" spans="2:25" ht="15" customHeight="1" x14ac:dyDescent="0.2">
      <c r="B68" s="287" t="str">
        <f t="shared" si="10"/>
        <v xml:space="preserve">2014 Actual </v>
      </c>
      <c r="C68" s="288"/>
      <c r="D68" s="288"/>
      <c r="E68" s="80">
        <f t="shared" si="11"/>
        <v>9752.8095728560093</v>
      </c>
      <c r="F68" s="80">
        <f t="shared" si="11"/>
        <v>32129.866270229926</v>
      </c>
      <c r="G68" s="80">
        <f t="shared" si="11"/>
        <v>862048.36285714281</v>
      </c>
      <c r="H68" s="80">
        <f t="shared" si="11"/>
        <v>13463277.910000002</v>
      </c>
      <c r="I68" s="80">
        <f t="shared" si="11"/>
        <v>373.97414467613953</v>
      </c>
      <c r="J68" s="80">
        <f t="shared" si="11"/>
        <v>992.95700234192145</v>
      </c>
      <c r="K68" s="80">
        <f t="shared" si="11"/>
        <v>4600.8681818181803</v>
      </c>
      <c r="M68" s="65"/>
      <c r="N68" s="65"/>
      <c r="O68" s="65"/>
    </row>
    <row r="69" spans="2:25" ht="15" customHeight="1" x14ac:dyDescent="0.2">
      <c r="B69" s="287" t="str">
        <f t="shared" si="10"/>
        <v xml:space="preserve">2015 Actual </v>
      </c>
      <c r="C69" s="288"/>
      <c r="D69" s="288"/>
      <c r="E69" s="80">
        <f t="shared" si="11"/>
        <v>9313.9901903228838</v>
      </c>
      <c r="F69" s="80">
        <f t="shared" si="11"/>
        <v>31582.844244142278</v>
      </c>
      <c r="G69" s="80">
        <f t="shared" si="11"/>
        <v>851334.15114173223</v>
      </c>
      <c r="H69" s="80">
        <f t="shared" si="11"/>
        <v>17738635.890000001</v>
      </c>
      <c r="I69" s="80">
        <f t="shared" si="11"/>
        <v>375.57519734415342</v>
      </c>
      <c r="J69" s="80">
        <f t="shared" si="11"/>
        <v>930.04982587064796</v>
      </c>
      <c r="K69" s="80">
        <f t="shared" si="11"/>
        <v>4293.3589999999995</v>
      </c>
      <c r="M69" s="65"/>
      <c r="N69" s="65"/>
      <c r="O69" s="65"/>
    </row>
    <row r="70" spans="2:25" ht="15" customHeight="1" x14ac:dyDescent="0.2">
      <c r="B70" s="287" t="str">
        <f t="shared" si="10"/>
        <v xml:space="preserve">2016 Actual </v>
      </c>
      <c r="C70" s="288"/>
      <c r="D70" s="288"/>
      <c r="E70" s="80">
        <f t="shared" si="11"/>
        <v>8888.429675057876</v>
      </c>
      <c r="F70" s="80">
        <f t="shared" si="11"/>
        <v>30328.357472734187</v>
      </c>
      <c r="G70" s="80">
        <f t="shared" si="11"/>
        <v>793993.97245059302</v>
      </c>
      <c r="H70" s="80">
        <f t="shared" si="11"/>
        <v>16805471.899999999</v>
      </c>
      <c r="I70" s="80">
        <f t="shared" si="11"/>
        <v>376.56740044247789</v>
      </c>
      <c r="J70" s="80">
        <f t="shared" si="11"/>
        <v>352.00691441441444</v>
      </c>
      <c r="K70" s="80">
        <f t="shared" si="11"/>
        <v>4293.3559999999989</v>
      </c>
      <c r="M70" s="65"/>
      <c r="N70" s="65"/>
      <c r="O70" s="65"/>
    </row>
    <row r="71" spans="2:25" ht="15" customHeight="1" x14ac:dyDescent="0.2">
      <c r="B71" s="287" t="str">
        <f t="shared" si="10"/>
        <v xml:space="preserve">2017 Actual </v>
      </c>
      <c r="C71" s="288"/>
      <c r="D71" s="288"/>
      <c r="E71" s="80">
        <f t="shared" si="11"/>
        <v>8708.3155497357602</v>
      </c>
      <c r="F71" s="80">
        <f t="shared" si="11"/>
        <v>29692.660147003433</v>
      </c>
      <c r="G71" s="80">
        <f t="shared" si="11"/>
        <v>767609.82942528732</v>
      </c>
      <c r="H71" s="80">
        <f t="shared" si="11"/>
        <v>16522751.91</v>
      </c>
      <c r="I71" s="80">
        <f t="shared" si="11"/>
        <v>375.4367109144543</v>
      </c>
      <c r="J71" s="80">
        <f t="shared" si="11"/>
        <v>296.04577981651346</v>
      </c>
      <c r="K71" s="80">
        <f t="shared" si="11"/>
        <v>4293.3589999999986</v>
      </c>
      <c r="M71" s="65"/>
      <c r="N71" s="65"/>
      <c r="O71" s="65"/>
    </row>
    <row r="72" spans="2:25" ht="15" customHeight="1" x14ac:dyDescent="0.2">
      <c r="B72" s="287" t="str">
        <f t="shared" si="10"/>
        <v xml:space="preserve">2018 Actual </v>
      </c>
      <c r="C72" s="288"/>
      <c r="D72" s="288"/>
      <c r="E72" s="80">
        <f t="shared" si="11"/>
        <v>9269.5901808846193</v>
      </c>
      <c r="F72" s="80">
        <f t="shared" si="11"/>
        <v>30826.707611152993</v>
      </c>
      <c r="G72" s="80">
        <f t="shared" si="11"/>
        <v>775188.63612403127</v>
      </c>
      <c r="H72" s="80">
        <f t="shared" si="11"/>
        <v>16185719.91</v>
      </c>
      <c r="I72" s="80">
        <f t="shared" si="11"/>
        <v>374.55663348082601</v>
      </c>
      <c r="J72" s="80">
        <f t="shared" si="11"/>
        <v>293.41959999999978</v>
      </c>
      <c r="K72" s="80">
        <f t="shared" si="11"/>
        <v>4207.2619999999988</v>
      </c>
      <c r="M72" s="65"/>
      <c r="N72" s="65"/>
      <c r="O72" s="65"/>
    </row>
    <row r="73" spans="2:25" ht="15" customHeight="1" x14ac:dyDescent="0.2">
      <c r="B73" s="287" t="str">
        <f t="shared" si="10"/>
        <v xml:space="preserve">2019 Actual </v>
      </c>
      <c r="C73" s="288"/>
      <c r="D73" s="288"/>
      <c r="E73" s="80">
        <f t="shared" si="11"/>
        <v>9297.3222626879651</v>
      </c>
      <c r="F73" s="80">
        <f t="shared" si="11"/>
        <v>30309.170784018093</v>
      </c>
      <c r="G73" s="80">
        <f t="shared" si="11"/>
        <v>760278.79745247157</v>
      </c>
      <c r="H73" s="80">
        <f t="shared" si="11"/>
        <v>15352959.899999999</v>
      </c>
      <c r="I73" s="80">
        <f t="shared" si="11"/>
        <v>375.4367109144543</v>
      </c>
      <c r="J73" s="80">
        <f t="shared" si="11"/>
        <v>293.57431654676259</v>
      </c>
      <c r="K73" s="80">
        <f t="shared" si="11"/>
        <v>4387.7444444444445</v>
      </c>
      <c r="M73" s="65"/>
      <c r="N73" s="65"/>
      <c r="O73" s="65"/>
    </row>
    <row r="74" spans="2:25" ht="15" customHeight="1" x14ac:dyDescent="0.2">
      <c r="B74" s="287" t="str">
        <f t="shared" si="10"/>
        <v>2020 Bridge - Normalized</v>
      </c>
      <c r="C74" s="288"/>
      <c r="D74" s="288"/>
      <c r="E74" s="80">
        <f t="shared" si="11"/>
        <v>9367.7151866675158</v>
      </c>
      <c r="F74" s="80">
        <f t="shared" si="11"/>
        <v>30040.348489629912</v>
      </c>
      <c r="G74" s="80">
        <f t="shared" si="11"/>
        <v>739410.77939535177</v>
      </c>
      <c r="H74" s="80">
        <f t="shared" si="11"/>
        <v>14897243.509943135</v>
      </c>
      <c r="I74" s="80">
        <f t="shared" si="11"/>
        <v>375.4367109144543</v>
      </c>
      <c r="J74" s="80">
        <f t="shared" si="11"/>
        <v>293.57431654676259</v>
      </c>
      <c r="K74" s="80">
        <f t="shared" si="11"/>
        <v>4387.7444444444445</v>
      </c>
      <c r="M74" s="65"/>
      <c r="N74" s="65"/>
      <c r="O74" s="65"/>
    </row>
    <row r="75" spans="2:25" ht="15" customHeight="1" x14ac:dyDescent="0.2">
      <c r="B75" s="287" t="str">
        <f t="shared" si="10"/>
        <v>2021 Test - Normalized</v>
      </c>
      <c r="C75" s="288"/>
      <c r="D75" s="288"/>
      <c r="E75" s="80">
        <f t="shared" si="11"/>
        <v>9446.6612522966334</v>
      </c>
      <c r="F75" s="80">
        <f t="shared" si="11"/>
        <v>29836.109165492267</v>
      </c>
      <c r="G75" s="80">
        <f t="shared" si="11"/>
        <v>724450.56691276748</v>
      </c>
      <c r="H75" s="80">
        <f t="shared" si="11"/>
        <v>14455053.985684082</v>
      </c>
      <c r="I75" s="80">
        <f t="shared" si="11"/>
        <v>375.4367109144543</v>
      </c>
      <c r="J75" s="80">
        <f t="shared" si="11"/>
        <v>293.57431654676259</v>
      </c>
      <c r="K75" s="80">
        <f t="shared" si="11"/>
        <v>4387.7444444444445</v>
      </c>
      <c r="M75" s="65"/>
      <c r="N75" s="65"/>
      <c r="O75" s="65"/>
    </row>
    <row r="76" spans="2:25" ht="15" customHeight="1" x14ac:dyDescent="0.2">
      <c r="B76" s="60"/>
      <c r="C76" s="60"/>
      <c r="D76" s="60"/>
      <c r="Y76" s="65"/>
    </row>
    <row r="77" spans="2:25" ht="15" customHeight="1" x14ac:dyDescent="0.2">
      <c r="B77" s="76" t="s">
        <v>76</v>
      </c>
      <c r="C77" s="77"/>
      <c r="D77" s="77"/>
      <c r="E77" s="77"/>
      <c r="F77" s="77"/>
      <c r="G77" s="77"/>
      <c r="H77" s="77"/>
      <c r="I77" s="77"/>
      <c r="J77" s="103"/>
      <c r="K77" s="104"/>
      <c r="Y77" s="65"/>
    </row>
    <row r="78" spans="2:25" ht="15" customHeight="1" x14ac:dyDescent="0.2">
      <c r="B78" s="287"/>
      <c r="C78" s="288"/>
      <c r="D78" s="288"/>
      <c r="E78" s="91"/>
      <c r="F78" s="91"/>
      <c r="G78" s="91"/>
      <c r="H78" s="91"/>
      <c r="I78" s="91"/>
      <c r="J78" s="91"/>
      <c r="K78" s="91"/>
      <c r="Y78" s="65"/>
    </row>
    <row r="79" spans="2:25" ht="15" customHeight="1" x14ac:dyDescent="0.2">
      <c r="B79" s="287" t="s">
        <v>196</v>
      </c>
      <c r="C79" s="288"/>
      <c r="D79" s="288"/>
      <c r="E79" s="91">
        <f t="shared" ref="E79:K79" si="12">E62/E69-1</f>
        <v>4.4466341784526131E-2</v>
      </c>
      <c r="F79" s="91">
        <f t="shared" si="12"/>
        <v>1.3030727436604161E-2</v>
      </c>
      <c r="G79" s="91">
        <f t="shared" si="12"/>
        <v>-1.8786722701480407E-3</v>
      </c>
      <c r="H79" s="91">
        <f t="shared" si="12"/>
        <v>-2.7275259101110061E-2</v>
      </c>
      <c r="I79" s="91">
        <f t="shared" si="12"/>
        <v>-8.0973144487228588E-3</v>
      </c>
      <c r="J79" s="91">
        <f t="shared" si="12"/>
        <v>5.9446553416497627E-2</v>
      </c>
      <c r="K79" s="91">
        <f t="shared" si="12"/>
        <v>6.6264699238322011E-2</v>
      </c>
      <c r="Y79" s="65"/>
    </row>
    <row r="80" spans="2:25" ht="15" customHeight="1" x14ac:dyDescent="0.2">
      <c r="B80" s="287"/>
      <c r="C80" s="288"/>
      <c r="D80" s="288"/>
      <c r="E80" s="91"/>
      <c r="F80" s="91"/>
      <c r="G80" s="91"/>
      <c r="H80" s="91"/>
      <c r="I80" s="91"/>
      <c r="J80" s="91"/>
      <c r="K80" s="91"/>
      <c r="Y80" s="65"/>
    </row>
    <row r="81" spans="2:11" ht="15" customHeight="1" x14ac:dyDescent="0.2">
      <c r="B81" s="287" t="str">
        <f t="shared" ref="B81:B92" si="13">B64</f>
        <v xml:space="preserve">2010 Actual </v>
      </c>
      <c r="C81" s="288"/>
      <c r="D81" s="288"/>
      <c r="E81" s="91"/>
      <c r="F81" s="91"/>
      <c r="G81" s="91"/>
      <c r="H81" s="91"/>
      <c r="I81" s="91"/>
      <c r="J81" s="91"/>
      <c r="K81" s="91"/>
    </row>
    <row r="82" spans="2:11" ht="15" customHeight="1" x14ac:dyDescent="0.2">
      <c r="B82" s="287" t="str">
        <f t="shared" si="13"/>
        <v xml:space="preserve">2011 Actual </v>
      </c>
      <c r="C82" s="288"/>
      <c r="D82" s="288"/>
      <c r="E82" s="91">
        <f t="shared" ref="E82:K92" si="14">E65/E64-1</f>
        <v>-2.8685148415963369E-3</v>
      </c>
      <c r="F82" s="91">
        <f t="shared" si="14"/>
        <v>3.5886880974360658E-3</v>
      </c>
      <c r="G82" s="91">
        <f t="shared" si="14"/>
        <v>1.0841959788308264E-2</v>
      </c>
      <c r="H82" s="91">
        <f t="shared" si="14"/>
        <v>-9.6062250847658626E-2</v>
      </c>
      <c r="I82" s="91">
        <f t="shared" si="14"/>
        <v>-3.6465160693403775E-2</v>
      </c>
      <c r="J82" s="91">
        <f t="shared" si="14"/>
        <v>-9.1634773956806859E-2</v>
      </c>
      <c r="K82" s="91">
        <f t="shared" si="14"/>
        <v>-0.4625583844570581</v>
      </c>
    </row>
    <row r="83" spans="2:11" ht="15" customHeight="1" x14ac:dyDescent="0.2">
      <c r="B83" s="287" t="str">
        <f t="shared" si="13"/>
        <v xml:space="preserve">2012 Actual </v>
      </c>
      <c r="C83" s="288"/>
      <c r="D83" s="288"/>
      <c r="E83" s="91">
        <f t="shared" si="14"/>
        <v>-3.1511809944094082E-2</v>
      </c>
      <c r="F83" s="91">
        <f t="shared" si="14"/>
        <v>-9.1862141956045029E-3</v>
      </c>
      <c r="G83" s="91">
        <f t="shared" si="14"/>
        <v>1.8778526222500869E-2</v>
      </c>
      <c r="H83" s="91">
        <f t="shared" si="14"/>
        <v>-3.6780689743856732E-2</v>
      </c>
      <c r="I83" s="91">
        <f t="shared" si="14"/>
        <v>-0.12917238902092343</v>
      </c>
      <c r="J83" s="91">
        <f t="shared" si="14"/>
        <v>7.3821883634283658E-2</v>
      </c>
      <c r="K83" s="91">
        <f t="shared" si="14"/>
        <v>0.11802883293246613</v>
      </c>
    </row>
    <row r="84" spans="2:11" ht="15" customHeight="1" x14ac:dyDescent="0.2">
      <c r="B84" s="287" t="str">
        <f t="shared" si="13"/>
        <v xml:space="preserve">2013 Actual </v>
      </c>
      <c r="C84" s="288"/>
      <c r="D84" s="288"/>
      <c r="E84" s="91">
        <f t="shared" si="14"/>
        <v>3.41824255472436E-2</v>
      </c>
      <c r="F84" s="91">
        <f t="shared" si="14"/>
        <v>4.959423028569887E-4</v>
      </c>
      <c r="G84" s="91">
        <f t="shared" si="14"/>
        <v>-3.5421890048569216E-2</v>
      </c>
      <c r="H84" s="91">
        <f t="shared" si="14"/>
        <v>1.4630435248235152E-3</v>
      </c>
      <c r="I84" s="91">
        <f t="shared" si="14"/>
        <v>-0.15839873960021256</v>
      </c>
      <c r="J84" s="91">
        <f t="shared" si="14"/>
        <v>-4.718499675559551E-2</v>
      </c>
      <c r="K84" s="91">
        <f t="shared" si="14"/>
        <v>0.13728684144885928</v>
      </c>
    </row>
    <row r="85" spans="2:11" ht="15" customHeight="1" x14ac:dyDescent="0.2">
      <c r="B85" s="287" t="str">
        <f t="shared" si="13"/>
        <v xml:space="preserve">2014 Actual </v>
      </c>
      <c r="C85" s="288"/>
      <c r="D85" s="288"/>
      <c r="E85" s="91">
        <f t="shared" si="14"/>
        <v>-9.3564613867934687E-3</v>
      </c>
      <c r="F85" s="91">
        <f t="shared" si="14"/>
        <v>-8.5937707691718934E-5</v>
      </c>
      <c r="G85" s="91">
        <f t="shared" si="14"/>
        <v>1.4809163770516554E-2</v>
      </c>
      <c r="H85" s="91">
        <f t="shared" si="14"/>
        <v>-0.2473367188768365</v>
      </c>
      <c r="I85" s="91">
        <f t="shared" si="14"/>
        <v>-0.11231099761341923</v>
      </c>
      <c r="J85" s="91">
        <f t="shared" si="14"/>
        <v>-4.4955405175467922E-2</v>
      </c>
      <c r="K85" s="91">
        <f t="shared" si="14"/>
        <v>-0.22530543050159502</v>
      </c>
    </row>
    <row r="86" spans="2:11" ht="15" customHeight="1" x14ac:dyDescent="0.2">
      <c r="B86" s="287" t="str">
        <f t="shared" si="13"/>
        <v xml:space="preserve">2015 Actual </v>
      </c>
      <c r="C86" s="288"/>
      <c r="D86" s="288"/>
      <c r="E86" s="91">
        <f t="shared" si="14"/>
        <v>-4.4994150583483772E-2</v>
      </c>
      <c r="F86" s="91">
        <f t="shared" si="14"/>
        <v>-1.7025344005072718E-2</v>
      </c>
      <c r="G86" s="91">
        <f t="shared" si="14"/>
        <v>-1.2428782626417556E-2</v>
      </c>
      <c r="H86" s="91">
        <f t="shared" si="14"/>
        <v>0.31755698787324516</v>
      </c>
      <c r="I86" s="91">
        <f t="shared" si="14"/>
        <v>4.2811854530755422E-3</v>
      </c>
      <c r="J86" s="91">
        <f t="shared" si="14"/>
        <v>-6.3353374136951413E-2</v>
      </c>
      <c r="K86" s="91">
        <f t="shared" si="14"/>
        <v>-6.6837207602122306E-2</v>
      </c>
    </row>
    <row r="87" spans="2:11" ht="15" customHeight="1" x14ac:dyDescent="0.2">
      <c r="B87" s="287" t="str">
        <f t="shared" si="13"/>
        <v xml:space="preserve">2016 Actual </v>
      </c>
      <c r="C87" s="288"/>
      <c r="D87" s="288"/>
      <c r="E87" s="91">
        <f t="shared" si="14"/>
        <v>-4.5690462043556757E-2</v>
      </c>
      <c r="F87" s="91">
        <f t="shared" si="14"/>
        <v>-3.972051287435141E-2</v>
      </c>
      <c r="G87" s="91">
        <f t="shared" si="14"/>
        <v>-6.7353316690326293E-2</v>
      </c>
      <c r="H87" s="91">
        <f t="shared" si="14"/>
        <v>-5.2606299367476406E-2</v>
      </c>
      <c r="I87" s="91">
        <f t="shared" si="14"/>
        <v>2.6418227437294828E-3</v>
      </c>
      <c r="J87" s="91">
        <f t="shared" si="14"/>
        <v>-0.62151821910735805</v>
      </c>
      <c r="K87" s="91">
        <f t="shared" si="14"/>
        <v>-6.9875358676974031E-7</v>
      </c>
    </row>
    <row r="88" spans="2:11" ht="15" customHeight="1" x14ac:dyDescent="0.2">
      <c r="B88" s="287" t="str">
        <f t="shared" si="13"/>
        <v xml:space="preserve">2017 Actual </v>
      </c>
      <c r="C88" s="288"/>
      <c r="D88" s="288"/>
      <c r="E88" s="91">
        <f t="shared" si="14"/>
        <v>-2.026388596261719E-2</v>
      </c>
      <c r="F88" s="91">
        <f t="shared" si="14"/>
        <v>-2.0960493040292683E-2</v>
      </c>
      <c r="G88" s="91">
        <f t="shared" si="14"/>
        <v>-3.3229651534851468E-2</v>
      </c>
      <c r="H88" s="91">
        <f t="shared" si="14"/>
        <v>-1.6823091412267788E-2</v>
      </c>
      <c r="I88" s="91">
        <f t="shared" si="14"/>
        <v>-3.0026219122925024E-3</v>
      </c>
      <c r="J88" s="91">
        <f t="shared" si="14"/>
        <v>-0.15897737318880745</v>
      </c>
      <c r="K88" s="91">
        <f t="shared" si="14"/>
        <v>6.9875407482378193E-7</v>
      </c>
    </row>
    <row r="89" spans="2:11" ht="15" customHeight="1" x14ac:dyDescent="0.2">
      <c r="B89" s="287" t="str">
        <f t="shared" si="13"/>
        <v xml:space="preserve">2018 Actual </v>
      </c>
      <c r="C89" s="288"/>
      <c r="D89" s="288"/>
      <c r="E89" s="91">
        <f t="shared" si="14"/>
        <v>6.4452720844031752E-2</v>
      </c>
      <c r="F89" s="91">
        <f t="shared" si="14"/>
        <v>3.8192855019896443E-2</v>
      </c>
      <c r="G89" s="91">
        <f t="shared" si="14"/>
        <v>9.8732538435812867E-3</v>
      </c>
      <c r="H89" s="91">
        <f t="shared" si="14"/>
        <v>-2.0398054866152093E-2</v>
      </c>
      <c r="I89" s="91">
        <f t="shared" si="14"/>
        <v>-2.3441432551565278E-3</v>
      </c>
      <c r="J89" s="91">
        <f t="shared" si="14"/>
        <v>-8.8708571293986127E-3</v>
      </c>
      <c r="K89" s="91">
        <f t="shared" si="14"/>
        <v>-2.005352918309411E-2</v>
      </c>
    </row>
    <row r="90" spans="2:11" ht="15" customHeight="1" x14ac:dyDescent="0.2">
      <c r="B90" s="287" t="str">
        <f t="shared" si="13"/>
        <v xml:space="preserve">2019 Actual </v>
      </c>
      <c r="C90" s="288"/>
      <c r="D90" s="288"/>
      <c r="E90" s="91">
        <f t="shared" si="14"/>
        <v>2.9917268468389047E-3</v>
      </c>
      <c r="F90" s="91">
        <f t="shared" si="14"/>
        <v>-1.6788585847800963E-2</v>
      </c>
      <c r="G90" s="91">
        <f t="shared" si="14"/>
        <v>-1.9233819972012678E-2</v>
      </c>
      <c r="H90" s="91">
        <f t="shared" si="14"/>
        <v>-5.1450291654033808E-2</v>
      </c>
      <c r="I90" s="91">
        <f t="shared" si="14"/>
        <v>2.349651174108347E-3</v>
      </c>
      <c r="J90" s="91">
        <f t="shared" si="14"/>
        <v>5.2728770253529511E-4</v>
      </c>
      <c r="K90" s="91">
        <f t="shared" si="14"/>
        <v>4.2897838177048619E-2</v>
      </c>
    </row>
    <row r="91" spans="2:11" ht="15" customHeight="1" x14ac:dyDescent="0.2">
      <c r="B91" s="287" t="str">
        <f t="shared" si="13"/>
        <v>2020 Bridge - Normalized</v>
      </c>
      <c r="C91" s="288"/>
      <c r="D91" s="288"/>
      <c r="E91" s="91">
        <f t="shared" si="14"/>
        <v>7.5713116089406451E-3</v>
      </c>
      <c r="F91" s="91">
        <f t="shared" si="14"/>
        <v>-8.8693384686699961E-3</v>
      </c>
      <c r="G91" s="91">
        <f t="shared" si="14"/>
        <v>-2.7447849561297755E-2</v>
      </c>
      <c r="H91" s="91">
        <f t="shared" si="14"/>
        <v>-2.9682640547824546E-2</v>
      </c>
      <c r="I91" s="91">
        <f t="shared" si="14"/>
        <v>0</v>
      </c>
      <c r="J91" s="91">
        <f t="shared" si="14"/>
        <v>0</v>
      </c>
      <c r="K91" s="91">
        <f t="shared" si="14"/>
        <v>0</v>
      </c>
    </row>
    <row r="92" spans="2:11" ht="15" customHeight="1" x14ac:dyDescent="0.2">
      <c r="B92" s="287" t="str">
        <f t="shared" si="13"/>
        <v>2021 Test - Normalized</v>
      </c>
      <c r="C92" s="288"/>
      <c r="D92" s="288"/>
      <c r="E92" s="91">
        <f t="shared" si="14"/>
        <v>8.4274621992646015E-3</v>
      </c>
      <c r="F92" s="91">
        <f t="shared" si="14"/>
        <v>-6.7988333826469738E-3</v>
      </c>
      <c r="G92" s="91">
        <f t="shared" si="14"/>
        <v>-2.0232613453130766E-2</v>
      </c>
      <c r="H92" s="91">
        <f t="shared" si="14"/>
        <v>-2.9682640547824435E-2</v>
      </c>
      <c r="I92" s="91">
        <f t="shared" si="14"/>
        <v>0</v>
      </c>
      <c r="J92" s="91">
        <f t="shared" si="14"/>
        <v>0</v>
      </c>
      <c r="K92" s="91">
        <f t="shared" si="14"/>
        <v>0</v>
      </c>
    </row>
    <row r="93" spans="2:11" ht="16.5" customHeight="1" x14ac:dyDescent="0.2">
      <c r="B93" s="60"/>
      <c r="C93" s="60"/>
      <c r="D93" s="60"/>
    </row>
    <row r="94" spans="2:11" ht="15" customHeight="1" x14ac:dyDescent="0.2">
      <c r="B94" s="61" t="s">
        <v>247</v>
      </c>
      <c r="C94" s="61"/>
      <c r="D94" s="61"/>
      <c r="E94" s="73"/>
      <c r="F94" s="73"/>
      <c r="G94" s="73"/>
    </row>
    <row r="95" spans="2:11" ht="12.75" x14ac:dyDescent="0.2">
      <c r="B95" s="295" t="s">
        <v>77</v>
      </c>
      <c r="C95" s="293"/>
      <c r="D95" s="293"/>
      <c r="E95" s="241" t="s">
        <v>78</v>
      </c>
      <c r="F95" s="74"/>
      <c r="G95" s="74"/>
    </row>
    <row r="96" spans="2:11" ht="15" customHeight="1" x14ac:dyDescent="0.2">
      <c r="B96" s="287" t="s">
        <v>22</v>
      </c>
      <c r="C96" s="288"/>
      <c r="D96" s="288"/>
      <c r="E96" s="75">
        <f>+'Purchased Power Model'!O81</f>
        <v>0.95717145486201205</v>
      </c>
      <c r="F96" s="74"/>
      <c r="G96" s="74"/>
    </row>
    <row r="97" spans="2:9" ht="15" customHeight="1" x14ac:dyDescent="0.2">
      <c r="B97" s="287" t="s">
        <v>23</v>
      </c>
      <c r="C97" s="288"/>
      <c r="D97" s="288"/>
      <c r="E97" s="75">
        <f>+'Purchased Power Model'!O82</f>
        <v>0.95405665157924924</v>
      </c>
      <c r="F97" s="74"/>
      <c r="G97" s="74"/>
    </row>
    <row r="98" spans="2:9" ht="15" customHeight="1" x14ac:dyDescent="0.2">
      <c r="B98" s="287" t="s">
        <v>79</v>
      </c>
      <c r="C98" s="288"/>
      <c r="D98" s="288"/>
      <c r="E98" s="79">
        <f>+'Purchased Power Model'!R88</f>
        <v>307.29756198697243</v>
      </c>
      <c r="F98" s="74"/>
      <c r="G98" s="74"/>
    </row>
    <row r="99" spans="2:9" ht="15" customHeight="1" x14ac:dyDescent="0.2">
      <c r="B99" s="287" t="s">
        <v>141</v>
      </c>
      <c r="C99" s="288"/>
      <c r="D99" s="288"/>
      <c r="E99" s="75">
        <f>+'Purchased Power Model'!M137</f>
        <v>2.3256632764664737E-2</v>
      </c>
      <c r="F99" s="74"/>
      <c r="G99" s="74"/>
    </row>
    <row r="100" spans="2:9" ht="15" customHeight="1" x14ac:dyDescent="0.2">
      <c r="B100" s="287" t="s">
        <v>80</v>
      </c>
      <c r="C100" s="288"/>
      <c r="D100" s="288"/>
      <c r="E100" s="79"/>
      <c r="F100" s="74"/>
      <c r="G100" s="74"/>
    </row>
    <row r="101" spans="2:9" ht="15" customHeight="1" x14ac:dyDescent="0.2">
      <c r="B101" s="92" t="e">
        <f>'Purchased Power Model'!#REF!</f>
        <v>#REF!</v>
      </c>
      <c r="C101" s="288"/>
      <c r="D101" s="288"/>
      <c r="E101" s="93">
        <f>+'Purchased Power Model'!Q94</f>
        <v>29.311016407158615</v>
      </c>
      <c r="F101" s="74"/>
      <c r="G101" s="74"/>
    </row>
    <row r="102" spans="2:9" ht="15" customHeight="1" x14ac:dyDescent="0.2">
      <c r="B102" s="92" t="e">
        <f>'Purchased Power Model'!#REF!</f>
        <v>#REF!</v>
      </c>
      <c r="C102" s="288"/>
      <c r="D102" s="288"/>
      <c r="E102" s="93">
        <f>+'Purchased Power Model'!Q95</f>
        <v>8.9119431426933264</v>
      </c>
      <c r="F102" s="74"/>
      <c r="G102" s="74"/>
    </row>
    <row r="103" spans="2:9" ht="15" customHeight="1" x14ac:dyDescent="0.2">
      <c r="B103" s="92" t="e">
        <f>'Purchased Power Model'!#REF!</f>
        <v>#REF!</v>
      </c>
      <c r="C103" s="288"/>
      <c r="D103" s="288"/>
      <c r="E103" s="93">
        <f>+'Purchased Power Model'!Q96</f>
        <v>3.8290023821111983</v>
      </c>
      <c r="F103" s="74"/>
      <c r="G103" s="74"/>
    </row>
    <row r="104" spans="2:9" ht="15" customHeight="1" x14ac:dyDescent="0.2">
      <c r="B104" s="92" t="e">
        <f>'Purchased Power Model'!#REF!</f>
        <v>#REF!</v>
      </c>
      <c r="C104" s="288"/>
      <c r="D104" s="288"/>
      <c r="E104" s="93">
        <f>+'Purchased Power Model'!Q97</f>
        <v>-5.1116558738331648</v>
      </c>
      <c r="F104" s="74"/>
      <c r="G104" s="74"/>
    </row>
    <row r="105" spans="2:9" ht="15" customHeight="1" x14ac:dyDescent="0.2">
      <c r="B105" s="92" t="s">
        <v>154</v>
      </c>
      <c r="C105" s="288"/>
      <c r="D105" s="288"/>
      <c r="E105" s="93">
        <f>+'Purchased Power Model'!Q93</f>
        <v>1.0171183736513851</v>
      </c>
    </row>
    <row r="106" spans="2:9" ht="15" customHeight="1" x14ac:dyDescent="0.2">
      <c r="B106" s="60"/>
      <c r="C106" s="60"/>
      <c r="D106" s="60"/>
    </row>
    <row r="107" spans="2:9" ht="15" customHeight="1" x14ac:dyDescent="0.2">
      <c r="B107" s="61" t="s">
        <v>248</v>
      </c>
      <c r="C107" s="61"/>
      <c r="D107" s="61"/>
      <c r="E107" s="73"/>
      <c r="F107" s="73"/>
      <c r="G107" s="73"/>
    </row>
    <row r="108" spans="2:9" ht="11.25" x14ac:dyDescent="0.2">
      <c r="B108" s="295" t="s">
        <v>65</v>
      </c>
      <c r="C108" s="293"/>
      <c r="D108" s="293"/>
      <c r="E108" s="241" t="s">
        <v>81</v>
      </c>
      <c r="F108" s="241" t="s">
        <v>82</v>
      </c>
      <c r="G108" s="241" t="s">
        <v>9</v>
      </c>
    </row>
    <row r="109" spans="2:9" ht="15" customHeight="1" x14ac:dyDescent="0.2">
      <c r="B109" s="76" t="s">
        <v>83</v>
      </c>
      <c r="C109" s="77"/>
      <c r="D109" s="77"/>
      <c r="E109" s="77"/>
      <c r="F109" s="77"/>
      <c r="G109" s="78"/>
    </row>
    <row r="110" spans="2:9" ht="15" customHeight="1" x14ac:dyDescent="0.2">
      <c r="B110" s="287">
        <v>2010</v>
      </c>
      <c r="C110" s="288"/>
      <c r="D110" s="288"/>
      <c r="E110" s="83">
        <f>'Rate Class Energy Model'!B11/1000000</f>
        <v>592.10595384615385</v>
      </c>
      <c r="F110" s="83">
        <f>'Rate Class Energy Model'!C11/1000000</f>
        <v>0</v>
      </c>
      <c r="G110" s="94">
        <f t="shared" ref="G110:G119" si="15">F110/E110-1</f>
        <v>-1</v>
      </c>
      <c r="I110" s="105"/>
    </row>
    <row r="111" spans="2:9" ht="15" customHeight="1" x14ac:dyDescent="0.2">
      <c r="B111" s="287">
        <v>2011</v>
      </c>
      <c r="C111" s="288"/>
      <c r="D111" s="288"/>
      <c r="E111" s="83">
        <f>'Rate Class Energy Model'!B12/1000000</f>
        <v>593.73860769230771</v>
      </c>
      <c r="F111" s="83">
        <f>'Rate Class Energy Model'!C12/1000000</f>
        <v>0</v>
      </c>
      <c r="G111" s="94">
        <f t="shared" si="15"/>
        <v>-1</v>
      </c>
      <c r="I111" s="105"/>
    </row>
    <row r="112" spans="2:9" ht="15" customHeight="1" x14ac:dyDescent="0.2">
      <c r="B112" s="287">
        <v>2012</v>
      </c>
      <c r="C112" s="288"/>
      <c r="D112" s="288"/>
      <c r="E112" s="83">
        <f>'Rate Class Energy Model'!B13/1000000</f>
        <v>572.61269267601392</v>
      </c>
      <c r="F112" s="83">
        <f>'Rate Class Energy Model'!C13/1000000</f>
        <v>0</v>
      </c>
      <c r="G112" s="94">
        <f t="shared" si="15"/>
        <v>-1</v>
      </c>
      <c r="I112" s="105"/>
    </row>
    <row r="113" spans="2:15" ht="15" customHeight="1" x14ac:dyDescent="0.2">
      <c r="B113" s="287">
        <v>2013</v>
      </c>
      <c r="C113" s="288"/>
      <c r="D113" s="288"/>
      <c r="E113" s="83">
        <f>'Rate Class Energy Model'!B14/1000000</f>
        <v>573.17208477666668</v>
      </c>
      <c r="F113" s="83">
        <f>'Rate Class Energy Model'!C14/1000000</f>
        <v>0</v>
      </c>
      <c r="G113" s="94">
        <f t="shared" si="15"/>
        <v>-1</v>
      </c>
      <c r="I113" s="105"/>
      <c r="J113"/>
      <c r="K113"/>
    </row>
    <row r="114" spans="2:15" ht="15" customHeight="1" x14ac:dyDescent="0.2">
      <c r="B114" s="287">
        <v>2014</v>
      </c>
      <c r="C114" s="288"/>
      <c r="D114" s="288"/>
      <c r="E114" s="83">
        <f>'Rate Class Energy Model'!B15/1000000</f>
        <v>561.1897317228204</v>
      </c>
      <c r="F114" s="83">
        <f>'Rate Class Energy Model'!C15/1000000</f>
        <v>0</v>
      </c>
      <c r="G114" s="94">
        <f t="shared" si="15"/>
        <v>-1</v>
      </c>
      <c r="I114" s="105"/>
      <c r="J114"/>
      <c r="K114"/>
    </row>
    <row r="115" spans="2:15" ht="15" customHeight="1" x14ac:dyDescent="0.2">
      <c r="B115" s="287">
        <v>2015</v>
      </c>
      <c r="C115" s="288"/>
      <c r="D115" s="288"/>
      <c r="E115" s="83">
        <f>'Rate Class Energy Model'!B16/1000000</f>
        <v>538.32319573999996</v>
      </c>
      <c r="F115" s="83">
        <f>'Rate Class Energy Model'!C16/1000000</f>
        <v>514.9034420226759</v>
      </c>
      <c r="G115" s="94">
        <f t="shared" si="15"/>
        <v>-4.3505005733833091E-2</v>
      </c>
      <c r="I115" s="105"/>
      <c r="J115"/>
      <c r="K115"/>
    </row>
    <row r="116" spans="2:15" ht="15" customHeight="1" x14ac:dyDescent="0.2">
      <c r="B116" s="287">
        <v>2016</v>
      </c>
      <c r="C116" s="288"/>
      <c r="D116" s="288"/>
      <c r="E116" s="83">
        <f>'Rate Class Energy Model'!B17/1000000</f>
        <v>508.98762424000012</v>
      </c>
      <c r="F116" s="83">
        <f>'Rate Class Energy Model'!C17/1000000</f>
        <v>513.92782656305667</v>
      </c>
      <c r="G116" s="94">
        <f t="shared" si="15"/>
        <v>9.705937998852221E-3</v>
      </c>
      <c r="I116" s="105"/>
      <c r="J116"/>
      <c r="K116"/>
    </row>
    <row r="117" spans="2:15" ht="15" customHeight="1" x14ac:dyDescent="0.2">
      <c r="B117" s="287">
        <v>2017</v>
      </c>
      <c r="C117" s="288"/>
      <c r="D117" s="288"/>
      <c r="E117" s="83">
        <f>'Rate Class Energy Model'!B18/1000000</f>
        <v>500.69833918</v>
      </c>
      <c r="F117" s="83">
        <f>'Rate Class Energy Model'!C18/1000000</f>
        <v>507.1212186863732</v>
      </c>
      <c r="G117" s="94">
        <f t="shared" si="15"/>
        <v>1.2827842642522125E-2</v>
      </c>
      <c r="I117" s="105"/>
      <c r="J117"/>
      <c r="K117"/>
    </row>
    <row r="118" spans="2:15" ht="15" customHeight="1" x14ac:dyDescent="0.2">
      <c r="B118" s="287">
        <v>2018</v>
      </c>
      <c r="C118" s="288"/>
      <c r="D118" s="288"/>
      <c r="E118" s="83">
        <f>'Rate Class Energy Model'!B19/1000000</f>
        <v>514.88956540999993</v>
      </c>
      <c r="F118" s="83">
        <f>'Rate Class Energy Model'!C19/1000000</f>
        <v>524.50832263358552</v>
      </c>
      <c r="G118" s="94">
        <f t="shared" si="15"/>
        <v>1.8681204416963304E-2</v>
      </c>
      <c r="I118" s="105"/>
      <c r="J118"/>
      <c r="K118"/>
    </row>
    <row r="119" spans="2:15" ht="15" customHeight="1" x14ac:dyDescent="0.2">
      <c r="B119" s="287">
        <v>2019</v>
      </c>
      <c r="C119" s="288"/>
      <c r="D119" s="288"/>
      <c r="E119" s="83">
        <f>'Rate Class Energy Model'!B20/1000000</f>
        <v>514.14782386999991</v>
      </c>
      <c r="F119" s="83">
        <f>'Rate Class Energy Model'!C20/1000000</f>
        <v>516.58573853430812</v>
      </c>
      <c r="G119" s="94">
        <f t="shared" si="15"/>
        <v>4.7416609603789794E-3</v>
      </c>
      <c r="I119" s="105"/>
      <c r="J119"/>
      <c r="K119"/>
    </row>
    <row r="120" spans="2:15" ht="15" customHeight="1" x14ac:dyDescent="0.2">
      <c r="B120" s="287" t="str">
        <f>B91</f>
        <v>2020 Bridge - Normalized</v>
      </c>
      <c r="C120" s="288"/>
      <c r="D120" s="288"/>
      <c r="E120" s="83"/>
      <c r="F120" s="83">
        <f>'Rate Class Energy Model'!C21/1000000</f>
        <v>513.77107057435785</v>
      </c>
      <c r="G120" s="94"/>
      <c r="I120" s="105"/>
      <c r="J120"/>
      <c r="K120"/>
    </row>
    <row r="121" spans="2:15" ht="15" customHeight="1" x14ac:dyDescent="0.2">
      <c r="B121" s="287" t="str">
        <f>B92</f>
        <v>2021 Test - Normalized</v>
      </c>
      <c r="C121" s="110"/>
      <c r="D121" s="110"/>
      <c r="E121" s="83"/>
      <c r="F121" s="83">
        <f>'Rate Class Energy Model'!C22/1000000</f>
        <v>512.91005640893786</v>
      </c>
      <c r="G121" s="94"/>
      <c r="J121"/>
      <c r="K121"/>
    </row>
    <row r="122" spans="2:15" ht="15" customHeight="1" x14ac:dyDescent="0.2">
      <c r="B122" s="298" t="s">
        <v>212</v>
      </c>
      <c r="C122" s="110"/>
      <c r="D122" s="110"/>
      <c r="E122" s="83"/>
      <c r="F122" s="83">
        <f>+'Purchased Power Model'!H205/1000000</f>
        <v>513.27307621186606</v>
      </c>
      <c r="G122" s="94"/>
      <c r="J122"/>
      <c r="K122"/>
    </row>
    <row r="123" spans="2:15" ht="15" customHeight="1" x14ac:dyDescent="0.2">
      <c r="B123" s="60"/>
      <c r="C123" s="60"/>
      <c r="D123" s="60"/>
    </row>
    <row r="124" spans="2:15" ht="15" customHeight="1" x14ac:dyDescent="0.2">
      <c r="B124" s="60"/>
      <c r="C124" s="60"/>
      <c r="D124" s="60"/>
    </row>
    <row r="125" spans="2:15" ht="15" customHeight="1" x14ac:dyDescent="0.2">
      <c r="B125" s="391" t="s">
        <v>249</v>
      </c>
      <c r="C125" s="61"/>
      <c r="D125" s="61"/>
      <c r="E125" s="73"/>
      <c r="F125" s="73"/>
      <c r="G125" s="73"/>
      <c r="H125" s="73"/>
      <c r="I125" s="73"/>
      <c r="J125" s="73"/>
    </row>
    <row r="126" spans="2:15" ht="33.75" x14ac:dyDescent="0.2">
      <c r="B126" s="295" t="s">
        <v>65</v>
      </c>
      <c r="C126" s="293"/>
      <c r="D126" s="293"/>
      <c r="E126" s="241" t="str">
        <f t="shared" ref="E126:K126" si="16">E59</f>
        <v xml:space="preserve">Residential </v>
      </c>
      <c r="F126" s="241" t="str">
        <f t="shared" si="16"/>
        <v>General Service &lt; 50 kW</v>
      </c>
      <c r="G126" s="241" t="str">
        <f t="shared" si="16"/>
        <v>General Service 50 to 2999 kW</v>
      </c>
      <c r="H126" s="241" t="str">
        <f t="shared" si="16"/>
        <v>General Service 3000 to 4999 kW</v>
      </c>
      <c r="I126" s="241" t="str">
        <f t="shared" si="16"/>
        <v>Street Lighting</v>
      </c>
      <c r="J126" s="241" t="str">
        <f t="shared" si="16"/>
        <v>Sentinel Lighting</v>
      </c>
      <c r="K126" s="241" t="str">
        <f t="shared" si="16"/>
        <v xml:space="preserve">Unmetered Scattered Load </v>
      </c>
      <c r="L126" s="241" t="s">
        <v>10</v>
      </c>
    </row>
    <row r="127" spans="2:15" ht="15" customHeight="1" x14ac:dyDescent="0.2">
      <c r="B127" s="99" t="s">
        <v>74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1"/>
    </row>
    <row r="128" spans="2:15" ht="15" customHeight="1" x14ac:dyDescent="0.2">
      <c r="B128" s="287">
        <f t="shared" ref="B128:B137" si="17">B110</f>
        <v>2010</v>
      </c>
      <c r="C128" s="288"/>
      <c r="D128" s="288"/>
      <c r="E128" s="108">
        <f>'Rate Class Customer Model'!B14</f>
        <v>20952</v>
      </c>
      <c r="F128" s="108">
        <f>'Rate Class Customer Model'!C14</f>
        <v>2633</v>
      </c>
      <c r="G128" s="108">
        <f>'Rate Class Customer Model'!D14</f>
        <v>269</v>
      </c>
      <c r="H128" s="108">
        <f>'Rate Class Customer Model'!E14</f>
        <v>2</v>
      </c>
      <c r="I128" s="108">
        <f>'Rate Class Customer Model'!F14</f>
        <v>5572</v>
      </c>
      <c r="J128" s="108">
        <f>'Rate Class Customer Model'!G14</f>
        <v>509</v>
      </c>
      <c r="K128" s="108">
        <f>'Rate Class Customer Model'!H14</f>
        <v>19</v>
      </c>
      <c r="L128" s="64">
        <f t="shared" ref="L128:L131" si="18">SUM(E128:K128)</f>
        <v>29956</v>
      </c>
      <c r="M128" s="65"/>
      <c r="N128" s="65"/>
      <c r="O128" s="65"/>
    </row>
    <row r="129" spans="2:25" ht="15" customHeight="1" x14ac:dyDescent="0.2">
      <c r="B129" s="287">
        <f t="shared" si="17"/>
        <v>2011</v>
      </c>
      <c r="C129" s="288"/>
      <c r="D129" s="288"/>
      <c r="E129" s="108">
        <f>'Rate Class Customer Model'!B15</f>
        <v>21096</v>
      </c>
      <c r="F129" s="108">
        <f>'Rate Class Customer Model'!C15</f>
        <v>2623</v>
      </c>
      <c r="G129" s="108">
        <f>'Rate Class Customer Model'!D15</f>
        <v>268</v>
      </c>
      <c r="H129" s="108">
        <f>'Rate Class Customer Model'!E15</f>
        <v>2</v>
      </c>
      <c r="I129" s="108">
        <f>'Rate Class Customer Model'!F15</f>
        <v>5574</v>
      </c>
      <c r="J129" s="108">
        <f>'Rate Class Customer Model'!G15</f>
        <v>474</v>
      </c>
      <c r="K129" s="108">
        <f>'Rate Class Customer Model'!H15</f>
        <v>18</v>
      </c>
      <c r="L129" s="64">
        <f t="shared" si="18"/>
        <v>30055</v>
      </c>
      <c r="M129" s="65"/>
      <c r="N129" s="65"/>
      <c r="O129" s="65"/>
    </row>
    <row r="130" spans="2:25" ht="15" customHeight="1" x14ac:dyDescent="0.2">
      <c r="B130" s="287">
        <f t="shared" si="17"/>
        <v>2012</v>
      </c>
      <c r="C130" s="288"/>
      <c r="D130" s="288"/>
      <c r="E130" s="108">
        <f>'Rate Class Customer Model'!B16</f>
        <v>21074</v>
      </c>
      <c r="F130" s="108">
        <f>'Rate Class Customer Model'!C16</f>
        <v>2645</v>
      </c>
      <c r="G130" s="108">
        <f>'Rate Class Customer Model'!D16</f>
        <v>254</v>
      </c>
      <c r="H130" s="108">
        <f>'Rate Class Customer Model'!E16</f>
        <v>2</v>
      </c>
      <c r="I130" s="108">
        <f>'Rate Class Customer Model'!F16</f>
        <v>5574</v>
      </c>
      <c r="J130" s="108">
        <f>'Rate Class Customer Model'!G16</f>
        <v>447</v>
      </c>
      <c r="K130" s="108">
        <f>'Rate Class Customer Model'!H16</f>
        <v>17</v>
      </c>
      <c r="L130" s="64">
        <f t="shared" si="18"/>
        <v>30013</v>
      </c>
      <c r="M130" s="65"/>
      <c r="N130" s="65"/>
      <c r="O130" s="65"/>
    </row>
    <row r="131" spans="2:25" ht="15" customHeight="1" x14ac:dyDescent="0.2">
      <c r="B131" s="287">
        <f t="shared" si="17"/>
        <v>2013</v>
      </c>
      <c r="C131" s="288"/>
      <c r="D131" s="288"/>
      <c r="E131" s="108">
        <f>'Rate Class Customer Model'!B17</f>
        <v>21108</v>
      </c>
      <c r="F131" s="108">
        <f>'Rate Class Customer Model'!C17</f>
        <v>2649</v>
      </c>
      <c r="G131" s="108">
        <f>'Rate Class Customer Model'!D17</f>
        <v>255</v>
      </c>
      <c r="H131" s="108">
        <f>'Rate Class Customer Model'!E17</f>
        <v>2</v>
      </c>
      <c r="I131" s="108">
        <f>'Rate Class Customer Model'!F17</f>
        <v>5574</v>
      </c>
      <c r="J131" s="108">
        <f>'Rate Class Customer Model'!G17</f>
        <v>427</v>
      </c>
      <c r="K131" s="108">
        <f>'Rate Class Customer Model'!H17</f>
        <v>15</v>
      </c>
      <c r="L131" s="64">
        <f t="shared" si="18"/>
        <v>30030</v>
      </c>
      <c r="M131" s="65"/>
      <c r="N131" s="65"/>
      <c r="O131" s="65"/>
    </row>
    <row r="132" spans="2:25" ht="15" customHeight="1" x14ac:dyDescent="0.2">
      <c r="B132" s="287">
        <f t="shared" si="17"/>
        <v>2014</v>
      </c>
      <c r="C132" s="288"/>
      <c r="D132" s="288"/>
      <c r="E132" s="108">
        <f>'Rate Class Customer Model'!B18</f>
        <v>21117</v>
      </c>
      <c r="F132" s="108">
        <f>'Rate Class Customer Model'!C18</f>
        <v>2657</v>
      </c>
      <c r="G132" s="108">
        <f>'Rate Class Customer Model'!D18</f>
        <v>252</v>
      </c>
      <c r="H132" s="108">
        <f>'Rate Class Customer Model'!E18</f>
        <v>2</v>
      </c>
      <c r="I132" s="108">
        <f>'Rate Class Customer Model'!F18</f>
        <v>5419</v>
      </c>
      <c r="J132" s="108">
        <f>'Rate Class Customer Model'!G18</f>
        <v>427</v>
      </c>
      <c r="K132" s="108">
        <f>'Rate Class Customer Model'!H18</f>
        <v>11</v>
      </c>
      <c r="L132" s="64">
        <f t="shared" ref="L132:L137" si="19">SUM(E132:K132)</f>
        <v>29885</v>
      </c>
      <c r="M132" s="65"/>
      <c r="N132" s="65"/>
      <c r="O132" s="65"/>
    </row>
    <row r="133" spans="2:25" ht="15" customHeight="1" x14ac:dyDescent="0.2">
      <c r="B133" s="287">
        <f t="shared" si="17"/>
        <v>2015</v>
      </c>
      <c r="C133" s="288"/>
      <c r="D133" s="288"/>
      <c r="E133" s="108">
        <f>'Rate Class Customer Model'!B19</f>
        <v>21122</v>
      </c>
      <c r="F133" s="108">
        <f>'Rate Class Customer Model'!C19</f>
        <v>2646</v>
      </c>
      <c r="G133" s="108">
        <f>'Rate Class Customer Model'!D19</f>
        <v>254</v>
      </c>
      <c r="H133" s="108">
        <f>'Rate Class Customer Model'!E19</f>
        <v>1</v>
      </c>
      <c r="I133" s="108">
        <f>'Rate Class Customer Model'!F19</f>
        <v>5422</v>
      </c>
      <c r="J133" s="108">
        <f>'Rate Class Customer Model'!G19</f>
        <v>402</v>
      </c>
      <c r="K133" s="108">
        <f>'Rate Class Customer Model'!H19</f>
        <v>10</v>
      </c>
      <c r="L133" s="64">
        <f t="shared" si="19"/>
        <v>29857</v>
      </c>
      <c r="M133" s="65"/>
      <c r="N133" s="65"/>
      <c r="O133" s="65"/>
    </row>
    <row r="134" spans="2:25" ht="15" customHeight="1" x14ac:dyDescent="0.2">
      <c r="B134" s="287">
        <f t="shared" si="17"/>
        <v>2016</v>
      </c>
      <c r="C134" s="288"/>
      <c r="D134" s="288"/>
      <c r="E134" s="108">
        <f>'Rate Class Customer Model'!B20</f>
        <v>21173</v>
      </c>
      <c r="F134" s="108">
        <f>'Rate Class Customer Model'!C20</f>
        <v>2659</v>
      </c>
      <c r="G134" s="108">
        <f>'Rate Class Customer Model'!D20</f>
        <v>253</v>
      </c>
      <c r="H134" s="108">
        <f>'Rate Class Customer Model'!E20</f>
        <v>1</v>
      </c>
      <c r="I134" s="108">
        <f>'Rate Class Customer Model'!F20</f>
        <v>5424</v>
      </c>
      <c r="J134" s="108">
        <f>'Rate Class Customer Model'!G20</f>
        <v>444</v>
      </c>
      <c r="K134" s="108">
        <f>'Rate Class Customer Model'!H20</f>
        <v>10</v>
      </c>
      <c r="L134" s="64">
        <f t="shared" si="19"/>
        <v>29964</v>
      </c>
      <c r="M134" s="65"/>
      <c r="N134" s="65"/>
      <c r="O134" s="65"/>
    </row>
    <row r="135" spans="2:25" ht="15" customHeight="1" x14ac:dyDescent="0.2">
      <c r="B135" s="287">
        <f t="shared" si="17"/>
        <v>2017</v>
      </c>
      <c r="C135" s="288"/>
      <c r="D135" s="288"/>
      <c r="E135" s="108">
        <f>'Rate Class Customer Model'!B21</f>
        <v>21192</v>
      </c>
      <c r="F135" s="108">
        <f>'Rate Class Customer Model'!C21</f>
        <v>2653</v>
      </c>
      <c r="G135" s="108">
        <f>'Rate Class Customer Model'!D21</f>
        <v>261</v>
      </c>
      <c r="H135" s="108">
        <f>'Rate Class Customer Model'!E21</f>
        <v>1</v>
      </c>
      <c r="I135" s="108">
        <f>'Rate Class Customer Model'!F21</f>
        <v>5424</v>
      </c>
      <c r="J135" s="108">
        <f>'Rate Class Customer Model'!G21</f>
        <v>436</v>
      </c>
      <c r="K135" s="108">
        <f>'Rate Class Customer Model'!H21</f>
        <v>10</v>
      </c>
      <c r="L135" s="64">
        <f t="shared" si="19"/>
        <v>29977</v>
      </c>
      <c r="M135" s="65"/>
      <c r="N135" s="65"/>
      <c r="O135" s="65"/>
    </row>
    <row r="136" spans="2:25" ht="15" customHeight="1" x14ac:dyDescent="0.2">
      <c r="B136" s="287">
        <f t="shared" si="17"/>
        <v>2018</v>
      </c>
      <c r="C136" s="288"/>
      <c r="D136" s="288"/>
      <c r="E136" s="108">
        <f>'Rate Class Customer Model'!B22</f>
        <v>21229</v>
      </c>
      <c r="F136" s="108">
        <f>'Rate Class Customer Model'!C22</f>
        <v>2654</v>
      </c>
      <c r="G136" s="108">
        <f>'Rate Class Customer Model'!D22</f>
        <v>258</v>
      </c>
      <c r="H136" s="108">
        <f>'Rate Class Customer Model'!E22</f>
        <v>1</v>
      </c>
      <c r="I136" s="108">
        <f>'Rate Class Customer Model'!F22</f>
        <v>5424</v>
      </c>
      <c r="J136" s="108">
        <f>'Rate Class Customer Model'!G22</f>
        <v>425</v>
      </c>
      <c r="K136" s="108">
        <f>'Rate Class Customer Model'!H22</f>
        <v>10</v>
      </c>
      <c r="L136" s="64">
        <f t="shared" si="19"/>
        <v>30001</v>
      </c>
      <c r="M136" s="65"/>
      <c r="N136" s="65"/>
      <c r="O136" s="65"/>
    </row>
    <row r="137" spans="2:25" ht="15" customHeight="1" x14ac:dyDescent="0.2">
      <c r="B137" s="287">
        <f t="shared" si="17"/>
        <v>2019</v>
      </c>
      <c r="C137" s="288"/>
      <c r="D137" s="288"/>
      <c r="E137" s="108">
        <f>'Rate Class Customer Model'!B23</f>
        <v>21280</v>
      </c>
      <c r="F137" s="108">
        <f>'Rate Class Customer Model'!C23</f>
        <v>2653</v>
      </c>
      <c r="G137" s="108">
        <f>'Rate Class Customer Model'!D23</f>
        <v>263</v>
      </c>
      <c r="H137" s="108">
        <f>'Rate Class Customer Model'!E23</f>
        <v>1</v>
      </c>
      <c r="I137" s="108">
        <f>'Rate Class Customer Model'!F23</f>
        <v>5424</v>
      </c>
      <c r="J137" s="108">
        <f>'Rate Class Customer Model'!G23</f>
        <v>417</v>
      </c>
      <c r="K137" s="108">
        <f>'Rate Class Customer Model'!H23</f>
        <v>9</v>
      </c>
      <c r="L137" s="64">
        <f t="shared" si="19"/>
        <v>30047</v>
      </c>
      <c r="M137" s="65"/>
      <c r="N137" s="65"/>
      <c r="O137" s="65"/>
    </row>
    <row r="138" spans="2:25" ht="15" customHeight="1" x14ac:dyDescent="0.2">
      <c r="B138" s="60"/>
      <c r="C138" s="60"/>
      <c r="D138" s="60"/>
    </row>
    <row r="139" spans="2:25" ht="15" customHeight="1" x14ac:dyDescent="0.2">
      <c r="B139" s="391" t="s">
        <v>250</v>
      </c>
      <c r="C139" s="61"/>
      <c r="D139" s="61"/>
      <c r="E139" s="73"/>
      <c r="F139" s="73"/>
      <c r="G139" s="73"/>
      <c r="H139" s="73"/>
      <c r="I139" s="73"/>
      <c r="J139" s="73"/>
    </row>
    <row r="140" spans="2:25" ht="33.75" x14ac:dyDescent="0.2">
      <c r="B140" s="295" t="s">
        <v>65</v>
      </c>
      <c r="C140" s="293"/>
      <c r="D140" s="293"/>
      <c r="E140" s="241" t="str">
        <f t="shared" ref="E140:K140" si="20">E126</f>
        <v xml:space="preserve">Residential </v>
      </c>
      <c r="F140" s="241" t="str">
        <f t="shared" si="20"/>
        <v>General Service &lt; 50 kW</v>
      </c>
      <c r="G140" s="241" t="str">
        <f t="shared" si="20"/>
        <v>General Service 50 to 2999 kW</v>
      </c>
      <c r="H140" s="241" t="str">
        <f t="shared" si="20"/>
        <v>General Service 3000 to 4999 kW</v>
      </c>
      <c r="I140" s="241" t="str">
        <f t="shared" si="20"/>
        <v>Street Lighting</v>
      </c>
      <c r="J140" s="241" t="str">
        <f t="shared" si="20"/>
        <v>Sentinel Lighting</v>
      </c>
      <c r="K140" s="241" t="str">
        <f t="shared" si="20"/>
        <v xml:space="preserve">Unmetered Scattered Load </v>
      </c>
      <c r="Y140" s="65"/>
    </row>
    <row r="141" spans="2:25" ht="15" customHeight="1" x14ac:dyDescent="0.2">
      <c r="B141" s="99" t="s">
        <v>84</v>
      </c>
      <c r="C141" s="100"/>
      <c r="D141" s="100"/>
      <c r="E141" s="100"/>
      <c r="F141" s="100"/>
      <c r="G141" s="100"/>
      <c r="H141" s="100"/>
      <c r="I141" s="100"/>
      <c r="J141" s="100"/>
      <c r="K141" s="101"/>
      <c r="Y141" s="65"/>
    </row>
    <row r="142" spans="2:25" ht="15" customHeight="1" x14ac:dyDescent="0.2">
      <c r="B142" s="287">
        <f t="shared" ref="B142:B151" si="21">B128</f>
        <v>2010</v>
      </c>
      <c r="C142" s="288"/>
      <c r="D142" s="288"/>
      <c r="E142" s="96"/>
      <c r="F142" s="96"/>
      <c r="G142" s="96"/>
      <c r="H142" s="96"/>
      <c r="I142" s="96"/>
      <c r="J142" s="96"/>
      <c r="K142" s="96"/>
    </row>
    <row r="143" spans="2:25" ht="15" customHeight="1" x14ac:dyDescent="0.2">
      <c r="B143" s="287">
        <f t="shared" si="21"/>
        <v>2011</v>
      </c>
      <c r="C143" s="288"/>
      <c r="D143" s="288"/>
      <c r="E143" s="96">
        <f t="shared" ref="E143:K151" si="22">E129/E128-1</f>
        <v>6.8728522336769515E-3</v>
      </c>
      <c r="F143" s="96">
        <f t="shared" si="22"/>
        <v>-3.7979491074819904E-3</v>
      </c>
      <c r="G143" s="96">
        <f t="shared" si="22"/>
        <v>-3.7174721189591198E-3</v>
      </c>
      <c r="H143" s="96">
        <f t="shared" si="22"/>
        <v>0</v>
      </c>
      <c r="I143" s="96">
        <f t="shared" si="22"/>
        <v>3.5893754486715501E-4</v>
      </c>
      <c r="J143" s="96">
        <f t="shared" si="22"/>
        <v>-6.8762278978389046E-2</v>
      </c>
      <c r="K143" s="96">
        <f t="shared" si="22"/>
        <v>-5.2631578947368474E-2</v>
      </c>
    </row>
    <row r="144" spans="2:25" ht="15" customHeight="1" x14ac:dyDescent="0.2">
      <c r="B144" s="287">
        <f t="shared" si="21"/>
        <v>2012</v>
      </c>
      <c r="C144" s="288"/>
      <c r="D144" s="288"/>
      <c r="E144" s="96">
        <f t="shared" si="22"/>
        <v>-1.0428517254456038E-3</v>
      </c>
      <c r="F144" s="96">
        <f t="shared" si="22"/>
        <v>8.3873427373237774E-3</v>
      </c>
      <c r="G144" s="96">
        <f t="shared" si="22"/>
        <v>-5.2238805970149294E-2</v>
      </c>
      <c r="H144" s="96">
        <f t="shared" si="22"/>
        <v>0</v>
      </c>
      <c r="I144" s="96">
        <f t="shared" si="22"/>
        <v>0</v>
      </c>
      <c r="J144" s="96">
        <f t="shared" si="22"/>
        <v>-5.6962025316455667E-2</v>
      </c>
      <c r="K144" s="96">
        <f t="shared" si="22"/>
        <v>-5.555555555555558E-2</v>
      </c>
    </row>
    <row r="145" spans="2:14" ht="15" customHeight="1" x14ac:dyDescent="0.2">
      <c r="B145" s="287">
        <f t="shared" si="21"/>
        <v>2013</v>
      </c>
      <c r="C145" s="288"/>
      <c r="D145" s="288"/>
      <c r="E145" s="96">
        <f t="shared" si="22"/>
        <v>1.6133624371263977E-3</v>
      </c>
      <c r="F145" s="96">
        <f t="shared" si="22"/>
        <v>1.5122873345936316E-3</v>
      </c>
      <c r="G145" s="96">
        <f t="shared" si="22"/>
        <v>3.937007874015741E-3</v>
      </c>
      <c r="H145" s="96">
        <f t="shared" si="22"/>
        <v>0</v>
      </c>
      <c r="I145" s="96">
        <f t="shared" si="22"/>
        <v>0</v>
      </c>
      <c r="J145" s="96">
        <f t="shared" si="22"/>
        <v>-4.4742729306487705E-2</v>
      </c>
      <c r="K145" s="96">
        <f t="shared" si="22"/>
        <v>-0.11764705882352944</v>
      </c>
    </row>
    <row r="146" spans="2:14" ht="15" customHeight="1" x14ac:dyDescent="0.2">
      <c r="B146" s="287">
        <f t="shared" si="21"/>
        <v>2014</v>
      </c>
      <c r="C146" s="288"/>
      <c r="D146" s="288"/>
      <c r="E146" s="96">
        <f t="shared" si="22"/>
        <v>4.2637862421823769E-4</v>
      </c>
      <c r="F146" s="96">
        <f t="shared" si="22"/>
        <v>3.020007550018855E-3</v>
      </c>
      <c r="G146" s="96">
        <f t="shared" si="22"/>
        <v>-1.1764705882352899E-2</v>
      </c>
      <c r="H146" s="96">
        <f t="shared" si="22"/>
        <v>0</v>
      </c>
      <c r="I146" s="96">
        <f t="shared" si="22"/>
        <v>-2.7807678507355549E-2</v>
      </c>
      <c r="J146" s="96">
        <f t="shared" si="22"/>
        <v>0</v>
      </c>
      <c r="K146" s="96">
        <f t="shared" si="22"/>
        <v>-0.26666666666666672</v>
      </c>
    </row>
    <row r="147" spans="2:14" ht="15" customHeight="1" x14ac:dyDescent="0.2">
      <c r="B147" s="287">
        <f t="shared" si="21"/>
        <v>2015</v>
      </c>
      <c r="C147" s="288"/>
      <c r="D147" s="288"/>
      <c r="E147" s="96">
        <f t="shared" si="22"/>
        <v>2.3677605720506811E-4</v>
      </c>
      <c r="F147" s="96">
        <f t="shared" si="22"/>
        <v>-4.1400075272863823E-3</v>
      </c>
      <c r="G147" s="96">
        <f t="shared" si="22"/>
        <v>7.9365079365079083E-3</v>
      </c>
      <c r="H147" s="96">
        <f t="shared" si="22"/>
        <v>-0.5</v>
      </c>
      <c r="I147" s="96">
        <f t="shared" si="22"/>
        <v>5.5360767669321298E-4</v>
      </c>
      <c r="J147" s="96">
        <f t="shared" si="22"/>
        <v>-5.8548009367681453E-2</v>
      </c>
      <c r="K147" s="96">
        <f t="shared" si="22"/>
        <v>-9.0909090909090939E-2</v>
      </c>
    </row>
    <row r="148" spans="2:14" ht="15" customHeight="1" x14ac:dyDescent="0.2">
      <c r="B148" s="287">
        <f t="shared" si="21"/>
        <v>2016</v>
      </c>
      <c r="C148" s="288"/>
      <c r="D148" s="288"/>
      <c r="E148" s="96">
        <f t="shared" si="22"/>
        <v>2.4145440772653792E-3</v>
      </c>
      <c r="F148" s="96">
        <f t="shared" si="22"/>
        <v>4.9130763416478374E-3</v>
      </c>
      <c r="G148" s="96">
        <f t="shared" si="22"/>
        <v>-3.937007874015741E-3</v>
      </c>
      <c r="H148" s="96">
        <f t="shared" si="22"/>
        <v>0</v>
      </c>
      <c r="I148" s="96">
        <f t="shared" si="22"/>
        <v>3.6886757654008839E-4</v>
      </c>
      <c r="J148" s="96">
        <f t="shared" si="22"/>
        <v>0.10447761194029859</v>
      </c>
      <c r="K148" s="96">
        <f t="shared" si="22"/>
        <v>0</v>
      </c>
    </row>
    <row r="149" spans="2:14" ht="15" customHeight="1" x14ac:dyDescent="0.2">
      <c r="B149" s="287">
        <f t="shared" si="21"/>
        <v>2017</v>
      </c>
      <c r="C149" s="288"/>
      <c r="D149" s="288"/>
      <c r="E149" s="96">
        <f t="shared" si="22"/>
        <v>8.9736929107830932E-4</v>
      </c>
      <c r="F149" s="96">
        <f t="shared" si="22"/>
        <v>-2.2564874012787062E-3</v>
      </c>
      <c r="G149" s="96">
        <f t="shared" si="22"/>
        <v>3.1620553359683834E-2</v>
      </c>
      <c r="H149" s="96">
        <f t="shared" si="22"/>
        <v>0</v>
      </c>
      <c r="I149" s="96">
        <f t="shared" si="22"/>
        <v>0</v>
      </c>
      <c r="J149" s="96">
        <f t="shared" si="22"/>
        <v>-1.8018018018018056E-2</v>
      </c>
      <c r="K149" s="96">
        <f t="shared" si="22"/>
        <v>0</v>
      </c>
    </row>
    <row r="150" spans="2:14" ht="15" customHeight="1" x14ac:dyDescent="0.2">
      <c r="B150" s="287">
        <f t="shared" si="21"/>
        <v>2018</v>
      </c>
      <c r="C150" s="288"/>
      <c r="D150" s="288"/>
      <c r="E150" s="96">
        <f t="shared" si="22"/>
        <v>1.745941864854661E-3</v>
      </c>
      <c r="F150" s="96">
        <f t="shared" si="22"/>
        <v>3.7693177534858791E-4</v>
      </c>
      <c r="G150" s="96">
        <f t="shared" si="22"/>
        <v>-1.1494252873563204E-2</v>
      </c>
      <c r="H150" s="96">
        <f t="shared" si="22"/>
        <v>0</v>
      </c>
      <c r="I150" s="96">
        <f t="shared" si="22"/>
        <v>0</v>
      </c>
      <c r="J150" s="96">
        <f t="shared" si="22"/>
        <v>-2.5229357798165153E-2</v>
      </c>
      <c r="K150" s="96">
        <f t="shared" si="22"/>
        <v>0</v>
      </c>
    </row>
    <row r="151" spans="2:14" ht="15" customHeight="1" x14ac:dyDescent="0.2">
      <c r="B151" s="287">
        <f t="shared" si="21"/>
        <v>2019</v>
      </c>
      <c r="C151" s="288"/>
      <c r="D151" s="288"/>
      <c r="E151" s="96">
        <f t="shared" si="22"/>
        <v>2.402374110886063E-3</v>
      </c>
      <c r="F151" s="96">
        <f t="shared" si="22"/>
        <v>-3.7678975131871795E-4</v>
      </c>
      <c r="G151" s="96">
        <f t="shared" si="22"/>
        <v>1.9379844961240345E-2</v>
      </c>
      <c r="H151" s="96">
        <f t="shared" si="22"/>
        <v>0</v>
      </c>
      <c r="I151" s="96">
        <f t="shared" si="22"/>
        <v>0</v>
      </c>
      <c r="J151" s="96">
        <f t="shared" si="22"/>
        <v>-1.8823529411764683E-2</v>
      </c>
      <c r="K151" s="96">
        <f t="shared" si="22"/>
        <v>-9.9999999999999978E-2</v>
      </c>
    </row>
    <row r="152" spans="2:14" ht="15" customHeight="1" x14ac:dyDescent="0.2">
      <c r="B152" s="287" t="s">
        <v>197</v>
      </c>
      <c r="C152" s="288"/>
      <c r="D152" s="288"/>
      <c r="E152" s="211">
        <f>'Rate Class Customer Model'!B52-1</f>
        <v>1.6817056167395261E-3</v>
      </c>
      <c r="F152" s="96">
        <f>'Rate Class Customer Model'!C52-1</f>
        <v>-7.5272892576294659E-4</v>
      </c>
      <c r="G152" s="96">
        <f>'Rate Class Customer Model'!D52-1</f>
        <v>1.3005357990857558E-2</v>
      </c>
      <c r="H152" s="96">
        <f>'Rate Class Customer Model'!E52-1</f>
        <v>0</v>
      </c>
      <c r="I152" s="96">
        <f>'Rate Class Customer Model'!F52-1</f>
        <v>0</v>
      </c>
      <c r="J152" s="96">
        <f>'Rate Class Customer Model'!G52-1</f>
        <v>-2.0695624434493687E-2</v>
      </c>
      <c r="K152" s="96">
        <f>'Rate Class Customer Model'!H52-1</f>
        <v>0</v>
      </c>
    </row>
    <row r="153" spans="2:14" ht="15" customHeight="1" x14ac:dyDescent="0.2">
      <c r="B153" s="60"/>
      <c r="C153" s="60"/>
      <c r="D153" s="60"/>
      <c r="E153" s="210"/>
      <c r="F153" s="210"/>
      <c r="G153" s="210"/>
      <c r="H153" s="210"/>
      <c r="I153" s="210"/>
      <c r="J153" s="210"/>
      <c r="K153" s="210"/>
    </row>
    <row r="154" spans="2:14" ht="15" customHeight="1" x14ac:dyDescent="0.2">
      <c r="B154" s="391" t="s">
        <v>251</v>
      </c>
      <c r="C154" s="61"/>
      <c r="D154" s="61"/>
      <c r="E154" s="73"/>
      <c r="F154" s="73"/>
      <c r="G154" s="73"/>
      <c r="H154" s="73"/>
      <c r="I154" s="73"/>
    </row>
    <row r="155" spans="2:14" ht="33.75" x14ac:dyDescent="0.2">
      <c r="B155" s="451" t="s">
        <v>65</v>
      </c>
      <c r="C155" s="452"/>
      <c r="D155" s="453"/>
      <c r="E155" s="241" t="str">
        <f t="shared" ref="E155:K155" si="23">E140</f>
        <v xml:space="preserve">Residential </v>
      </c>
      <c r="F155" s="241" t="str">
        <f t="shared" si="23"/>
        <v>General Service &lt; 50 kW</v>
      </c>
      <c r="G155" s="241" t="str">
        <f t="shared" si="23"/>
        <v>General Service 50 to 2999 kW</v>
      </c>
      <c r="H155" s="241" t="str">
        <f t="shared" si="23"/>
        <v>General Service 3000 to 4999 kW</v>
      </c>
      <c r="I155" s="241" t="str">
        <f t="shared" si="23"/>
        <v>Street Lighting</v>
      </c>
      <c r="J155" s="241" t="str">
        <f t="shared" si="23"/>
        <v>Sentinel Lighting</v>
      </c>
      <c r="K155" s="241" t="str">
        <f t="shared" si="23"/>
        <v xml:space="preserve">Unmetered Scattered Load </v>
      </c>
      <c r="L155" s="241" t="s">
        <v>10</v>
      </c>
    </row>
    <row r="156" spans="2:14" ht="11.25" x14ac:dyDescent="0.2">
      <c r="B156" s="76" t="s">
        <v>85</v>
      </c>
      <c r="C156" s="76"/>
      <c r="D156" s="77"/>
      <c r="E156" s="77"/>
      <c r="F156" s="77"/>
      <c r="G156" s="77"/>
      <c r="H156" s="77"/>
      <c r="I156" s="77"/>
      <c r="J156" s="78"/>
      <c r="K156" s="66"/>
      <c r="L156" s="109"/>
    </row>
    <row r="157" spans="2:14" ht="11.25" x14ac:dyDescent="0.2">
      <c r="B157" s="287">
        <v>2020</v>
      </c>
      <c r="C157" s="77"/>
      <c r="D157" s="77"/>
      <c r="E157" s="80">
        <f t="shared" ref="E157:K157" si="24">ROUND(E137*(1+E152),0)</f>
        <v>21316</v>
      </c>
      <c r="F157" s="80">
        <f t="shared" si="24"/>
        <v>2651</v>
      </c>
      <c r="G157" s="80">
        <f t="shared" si="24"/>
        <v>266</v>
      </c>
      <c r="H157" s="80">
        <f t="shared" si="24"/>
        <v>1</v>
      </c>
      <c r="I157" s="80">
        <f t="shared" si="24"/>
        <v>5424</v>
      </c>
      <c r="J157" s="80">
        <f t="shared" si="24"/>
        <v>408</v>
      </c>
      <c r="K157" s="80">
        <f t="shared" si="24"/>
        <v>9</v>
      </c>
      <c r="L157" s="64">
        <f>SUM(E157:K157)</f>
        <v>30075</v>
      </c>
    </row>
    <row r="158" spans="2:14" ht="11.25" x14ac:dyDescent="0.2">
      <c r="B158" s="445">
        <v>2021</v>
      </c>
      <c r="C158" s="446"/>
      <c r="D158" s="447"/>
      <c r="E158" s="80">
        <f t="shared" ref="E158:K158" si="25">ROUND(E157*(1+E152),0)</f>
        <v>21352</v>
      </c>
      <c r="F158" s="80">
        <f t="shared" si="25"/>
        <v>2649</v>
      </c>
      <c r="G158" s="80">
        <f t="shared" si="25"/>
        <v>269</v>
      </c>
      <c r="H158" s="80">
        <f t="shared" si="25"/>
        <v>1</v>
      </c>
      <c r="I158" s="80">
        <f t="shared" si="25"/>
        <v>5424</v>
      </c>
      <c r="J158" s="80">
        <f t="shared" si="25"/>
        <v>400</v>
      </c>
      <c r="K158" s="80">
        <f t="shared" si="25"/>
        <v>9</v>
      </c>
      <c r="L158" s="64">
        <f>SUM(E158:K158)</f>
        <v>30104</v>
      </c>
      <c r="N158" s="65"/>
    </row>
    <row r="159" spans="2:14" ht="15" customHeight="1" x14ac:dyDescent="0.2">
      <c r="B159" s="60"/>
      <c r="C159" s="60"/>
      <c r="D159" s="60"/>
    </row>
    <row r="160" spans="2:14" ht="15" customHeight="1" x14ac:dyDescent="0.2">
      <c r="B160" s="391" t="s">
        <v>252</v>
      </c>
      <c r="C160" s="61"/>
      <c r="D160" s="61"/>
      <c r="E160" s="73"/>
      <c r="F160" s="73"/>
      <c r="G160" s="73"/>
      <c r="H160" s="73"/>
      <c r="I160" s="73"/>
      <c r="J160" s="73"/>
    </row>
    <row r="161" spans="2:12" ht="33.75" x14ac:dyDescent="0.2">
      <c r="B161" s="295" t="s">
        <v>65</v>
      </c>
      <c r="C161" s="293"/>
      <c r="D161" s="293"/>
      <c r="E161" s="241" t="str">
        <f t="shared" ref="E161:K161" si="26">E155</f>
        <v xml:space="preserve">Residential </v>
      </c>
      <c r="F161" s="241" t="str">
        <f t="shared" si="26"/>
        <v>General Service &lt; 50 kW</v>
      </c>
      <c r="G161" s="241" t="str">
        <f t="shared" si="26"/>
        <v>General Service 50 to 2999 kW</v>
      </c>
      <c r="H161" s="241" t="str">
        <f t="shared" si="26"/>
        <v>General Service 3000 to 4999 kW</v>
      </c>
      <c r="I161" s="241" t="str">
        <f t="shared" si="26"/>
        <v>Street Lighting</v>
      </c>
      <c r="J161" s="241" t="str">
        <f t="shared" si="26"/>
        <v>Sentinel Lighting</v>
      </c>
      <c r="K161" s="241" t="str">
        <f t="shared" si="26"/>
        <v xml:space="preserve">Unmetered Scattered Load </v>
      </c>
      <c r="L161"/>
    </row>
    <row r="162" spans="2:12" ht="12.75" x14ac:dyDescent="0.2">
      <c r="B162" s="99" t="s">
        <v>86</v>
      </c>
      <c r="C162" s="100"/>
      <c r="D162" s="100"/>
      <c r="E162" s="100"/>
      <c r="F162" s="100"/>
      <c r="G162" s="100"/>
      <c r="H162" s="100"/>
      <c r="I162" s="100"/>
      <c r="J162" s="100"/>
      <c r="K162" s="101"/>
      <c r="L162"/>
    </row>
    <row r="163" spans="2:12" ht="15" customHeight="1" x14ac:dyDescent="0.2">
      <c r="B163" s="287">
        <f t="shared" ref="B163:B172" si="27">B142</f>
        <v>2010</v>
      </c>
      <c r="C163" s="288"/>
      <c r="D163" s="288"/>
      <c r="E163" s="108">
        <f t="shared" ref="E163:K172" si="28">E64</f>
        <v>9857.5371205611373</v>
      </c>
      <c r="F163" s="108">
        <f t="shared" si="28"/>
        <v>32298.556426130068</v>
      </c>
      <c r="G163" s="108">
        <f t="shared" si="28"/>
        <v>855158.87223048322</v>
      </c>
      <c r="H163" s="108">
        <f t="shared" si="28"/>
        <v>20514051.905000001</v>
      </c>
      <c r="I163" s="108">
        <f t="shared" si="28"/>
        <v>596.58832196697767</v>
      </c>
      <c r="J163" s="108">
        <f t="shared" si="28"/>
        <v>1118.6789194499017</v>
      </c>
      <c r="K163" s="108">
        <f t="shared" si="28"/>
        <v>8690.7042105263154</v>
      </c>
    </row>
    <row r="164" spans="2:12" ht="15" customHeight="1" x14ac:dyDescent="0.2">
      <c r="B164" s="287">
        <f t="shared" si="27"/>
        <v>2011</v>
      </c>
      <c r="C164" s="288"/>
      <c r="D164" s="288"/>
      <c r="E164" s="108">
        <f t="shared" si="28"/>
        <v>9829.2606290292206</v>
      </c>
      <c r="F164" s="108">
        <f t="shared" si="28"/>
        <v>32414.465871140888</v>
      </c>
      <c r="G164" s="108">
        <f t="shared" si="28"/>
        <v>864430.47033582116</v>
      </c>
      <c r="H164" s="108">
        <f t="shared" si="28"/>
        <v>18543425.905000001</v>
      </c>
      <c r="I164" s="108">
        <f t="shared" si="28"/>
        <v>574.83363293864375</v>
      </c>
      <c r="J164" s="108">
        <f t="shared" si="28"/>
        <v>1016.1690295358651</v>
      </c>
      <c r="K164" s="108">
        <f t="shared" si="28"/>
        <v>4670.7461111111106</v>
      </c>
    </row>
    <row r="165" spans="2:12" ht="15" customHeight="1" x14ac:dyDescent="0.2">
      <c r="B165" s="287">
        <f t="shared" si="27"/>
        <v>2012</v>
      </c>
      <c r="C165" s="288"/>
      <c r="D165" s="288"/>
      <c r="E165" s="108">
        <f t="shared" si="28"/>
        <v>9519.5228361962854</v>
      </c>
      <c r="F165" s="108">
        <f t="shared" si="28"/>
        <v>32116.699644612476</v>
      </c>
      <c r="G165" s="108">
        <f t="shared" si="28"/>
        <v>880663.20059055113</v>
      </c>
      <c r="H165" s="108">
        <f t="shared" si="28"/>
        <v>17861385.91</v>
      </c>
      <c r="I165" s="108">
        <f t="shared" si="28"/>
        <v>500.58099928238255</v>
      </c>
      <c r="J165" s="108">
        <f t="shared" si="28"/>
        <v>1091.1845413870246</v>
      </c>
      <c r="K165" s="108">
        <f t="shared" si="28"/>
        <v>5222.0288235294101</v>
      </c>
    </row>
    <row r="166" spans="2:12" ht="15" customHeight="1" x14ac:dyDescent="0.2">
      <c r="B166" s="287">
        <f t="shared" si="27"/>
        <v>2013</v>
      </c>
      <c r="C166" s="288"/>
      <c r="D166" s="288"/>
      <c r="E166" s="108">
        <f t="shared" si="28"/>
        <v>9844.9232167898499</v>
      </c>
      <c r="F166" s="108">
        <f t="shared" si="28"/>
        <v>32132.627674594391</v>
      </c>
      <c r="G166" s="108">
        <f t="shared" si="28"/>
        <v>849468.44552941155</v>
      </c>
      <c r="H166" s="108">
        <f t="shared" si="28"/>
        <v>17887517.895</v>
      </c>
      <c r="I166" s="108">
        <f t="shared" si="28"/>
        <v>421.28959992823826</v>
      </c>
      <c r="J166" s="108">
        <f t="shared" si="28"/>
        <v>1039.6970023419219</v>
      </c>
      <c r="K166" s="108">
        <f t="shared" si="28"/>
        <v>5938.9446666666654</v>
      </c>
    </row>
    <row r="167" spans="2:12" ht="15" customHeight="1" x14ac:dyDescent="0.2">
      <c r="B167" s="287">
        <f t="shared" si="27"/>
        <v>2014</v>
      </c>
      <c r="C167" s="288"/>
      <c r="D167" s="288"/>
      <c r="E167" s="108">
        <f t="shared" si="28"/>
        <v>9752.8095728560093</v>
      </c>
      <c r="F167" s="108">
        <f t="shared" si="28"/>
        <v>32129.866270229926</v>
      </c>
      <c r="G167" s="108">
        <f t="shared" si="28"/>
        <v>862048.36285714281</v>
      </c>
      <c r="H167" s="108">
        <f t="shared" si="28"/>
        <v>13463277.910000002</v>
      </c>
      <c r="I167" s="108">
        <f t="shared" si="28"/>
        <v>373.97414467613953</v>
      </c>
      <c r="J167" s="108">
        <f t="shared" si="28"/>
        <v>992.95700234192145</v>
      </c>
      <c r="K167" s="108">
        <f t="shared" si="28"/>
        <v>4600.8681818181803</v>
      </c>
    </row>
    <row r="168" spans="2:12" ht="15" customHeight="1" x14ac:dyDescent="0.2">
      <c r="B168" s="287">
        <f t="shared" si="27"/>
        <v>2015</v>
      </c>
      <c r="C168" s="288"/>
      <c r="D168" s="288"/>
      <c r="E168" s="108">
        <f t="shared" si="28"/>
        <v>9313.9901903228838</v>
      </c>
      <c r="F168" s="108">
        <f t="shared" si="28"/>
        <v>31582.844244142278</v>
      </c>
      <c r="G168" s="108">
        <f t="shared" si="28"/>
        <v>851334.15114173223</v>
      </c>
      <c r="H168" s="108">
        <f t="shared" si="28"/>
        <v>17738635.890000001</v>
      </c>
      <c r="I168" s="108">
        <f t="shared" si="28"/>
        <v>375.57519734415342</v>
      </c>
      <c r="J168" s="108">
        <f t="shared" si="28"/>
        <v>930.04982587064796</v>
      </c>
      <c r="K168" s="108">
        <f t="shared" si="28"/>
        <v>4293.3589999999995</v>
      </c>
    </row>
    <row r="169" spans="2:12" ht="15" customHeight="1" x14ac:dyDescent="0.2">
      <c r="B169" s="287">
        <f t="shared" si="27"/>
        <v>2016</v>
      </c>
      <c r="C169" s="288"/>
      <c r="D169" s="288"/>
      <c r="E169" s="108">
        <f t="shared" si="28"/>
        <v>8888.429675057876</v>
      </c>
      <c r="F169" s="108">
        <f t="shared" si="28"/>
        <v>30328.357472734187</v>
      </c>
      <c r="G169" s="108">
        <f t="shared" si="28"/>
        <v>793993.97245059302</v>
      </c>
      <c r="H169" s="108">
        <f t="shared" si="28"/>
        <v>16805471.899999999</v>
      </c>
      <c r="I169" s="108">
        <f t="shared" si="28"/>
        <v>376.56740044247789</v>
      </c>
      <c r="J169" s="108">
        <f t="shared" si="28"/>
        <v>352.00691441441444</v>
      </c>
      <c r="K169" s="108">
        <f t="shared" si="28"/>
        <v>4293.3559999999989</v>
      </c>
    </row>
    <row r="170" spans="2:12" ht="15" customHeight="1" x14ac:dyDescent="0.2">
      <c r="B170" s="287">
        <f t="shared" si="27"/>
        <v>2017</v>
      </c>
      <c r="C170" s="288"/>
      <c r="D170" s="288"/>
      <c r="E170" s="108">
        <f t="shared" si="28"/>
        <v>8708.3155497357602</v>
      </c>
      <c r="F170" s="108">
        <f t="shared" si="28"/>
        <v>29692.660147003433</v>
      </c>
      <c r="G170" s="108">
        <f t="shared" si="28"/>
        <v>767609.82942528732</v>
      </c>
      <c r="H170" s="108">
        <f t="shared" si="28"/>
        <v>16522751.91</v>
      </c>
      <c r="I170" s="108">
        <f t="shared" si="28"/>
        <v>375.4367109144543</v>
      </c>
      <c r="J170" s="108">
        <f t="shared" si="28"/>
        <v>296.04577981651346</v>
      </c>
      <c r="K170" s="108">
        <f t="shared" si="28"/>
        <v>4293.3589999999986</v>
      </c>
    </row>
    <row r="171" spans="2:12" ht="15" customHeight="1" x14ac:dyDescent="0.2">
      <c r="B171" s="287">
        <f t="shared" si="27"/>
        <v>2018</v>
      </c>
      <c r="C171" s="288"/>
      <c r="D171" s="288"/>
      <c r="E171" s="108">
        <f t="shared" si="28"/>
        <v>9269.5901808846193</v>
      </c>
      <c r="F171" s="108">
        <f t="shared" si="28"/>
        <v>30826.707611152993</v>
      </c>
      <c r="G171" s="108">
        <f t="shared" si="28"/>
        <v>775188.63612403127</v>
      </c>
      <c r="H171" s="108">
        <f t="shared" si="28"/>
        <v>16185719.91</v>
      </c>
      <c r="I171" s="108">
        <f t="shared" si="28"/>
        <v>374.55663348082601</v>
      </c>
      <c r="J171" s="108">
        <f t="shared" si="28"/>
        <v>293.41959999999978</v>
      </c>
      <c r="K171" s="108">
        <f t="shared" si="28"/>
        <v>4207.2619999999988</v>
      </c>
    </row>
    <row r="172" spans="2:12" ht="15" customHeight="1" x14ac:dyDescent="0.2">
      <c r="B172" s="287">
        <f t="shared" si="27"/>
        <v>2019</v>
      </c>
      <c r="C172" s="288"/>
      <c r="D172" s="288"/>
      <c r="E172" s="108">
        <f t="shared" si="28"/>
        <v>9297.3222626879651</v>
      </c>
      <c r="F172" s="108">
        <f t="shared" si="28"/>
        <v>30309.170784018093</v>
      </c>
      <c r="G172" s="108">
        <f t="shared" si="28"/>
        <v>760278.79745247157</v>
      </c>
      <c r="H172" s="108">
        <f t="shared" si="28"/>
        <v>15352959.899999999</v>
      </c>
      <c r="I172" s="108">
        <f t="shared" si="28"/>
        <v>375.4367109144543</v>
      </c>
      <c r="J172" s="108">
        <f t="shared" si="28"/>
        <v>293.57431654676259</v>
      </c>
      <c r="K172" s="108">
        <f t="shared" si="28"/>
        <v>4387.7444444444445</v>
      </c>
    </row>
    <row r="173" spans="2:12" ht="15" customHeight="1" x14ac:dyDescent="0.2">
      <c r="B173" s="60"/>
      <c r="C173" s="60"/>
      <c r="D173" s="60"/>
    </row>
    <row r="174" spans="2:12" ht="15" customHeight="1" x14ac:dyDescent="0.2">
      <c r="B174" s="391" t="s">
        <v>253</v>
      </c>
      <c r="C174" s="61"/>
      <c r="D174" s="61"/>
      <c r="E174" s="73"/>
      <c r="F174" s="73"/>
      <c r="G174" s="73"/>
      <c r="H174" s="73"/>
      <c r="I174" s="73"/>
    </row>
    <row r="175" spans="2:12" ht="33.75" x14ac:dyDescent="0.2">
      <c r="B175" s="295" t="s">
        <v>65</v>
      </c>
      <c r="C175" s="293"/>
      <c r="D175" s="293"/>
      <c r="E175" s="241" t="str">
        <f t="shared" ref="E175:K175" si="29">E161</f>
        <v xml:space="preserve">Residential </v>
      </c>
      <c r="F175" s="241" t="str">
        <f t="shared" si="29"/>
        <v>General Service &lt; 50 kW</v>
      </c>
      <c r="G175" s="241" t="str">
        <f t="shared" si="29"/>
        <v>General Service 50 to 2999 kW</v>
      </c>
      <c r="H175" s="241" t="str">
        <f t="shared" si="29"/>
        <v>General Service 3000 to 4999 kW</v>
      </c>
      <c r="I175" s="241" t="str">
        <f t="shared" si="29"/>
        <v>Street Lighting</v>
      </c>
      <c r="J175" s="241" t="str">
        <f t="shared" si="29"/>
        <v>Sentinel Lighting</v>
      </c>
      <c r="K175" s="241" t="str">
        <f t="shared" si="29"/>
        <v xml:space="preserve">Unmetered Scattered Load </v>
      </c>
    </row>
    <row r="176" spans="2:12" ht="15" customHeight="1" x14ac:dyDescent="0.2">
      <c r="B176" s="99" t="s">
        <v>87</v>
      </c>
      <c r="C176" s="100"/>
      <c r="D176" s="100"/>
      <c r="E176" s="100"/>
      <c r="F176" s="100"/>
      <c r="G176" s="100"/>
      <c r="H176" s="100"/>
      <c r="I176" s="100"/>
      <c r="J176" s="100"/>
      <c r="K176" s="101"/>
    </row>
    <row r="177" spans="2:11" ht="15" customHeight="1" x14ac:dyDescent="0.2">
      <c r="B177" s="287">
        <f t="shared" ref="B177:B186" si="30">B163</f>
        <v>2010</v>
      </c>
      <c r="C177" s="288"/>
      <c r="D177" s="288"/>
      <c r="E177" s="96"/>
      <c r="F177" s="96"/>
      <c r="G177" s="96"/>
      <c r="H177" s="96"/>
      <c r="I177" s="96"/>
      <c r="J177" s="96"/>
      <c r="K177" s="96"/>
    </row>
    <row r="178" spans="2:11" ht="15" customHeight="1" x14ac:dyDescent="0.2">
      <c r="B178" s="287">
        <f t="shared" si="30"/>
        <v>2011</v>
      </c>
      <c r="C178" s="288"/>
      <c r="D178" s="288"/>
      <c r="E178" s="96">
        <f t="shared" ref="E178:K186" si="31">E164/E163-1</f>
        <v>-2.8685148415963369E-3</v>
      </c>
      <c r="F178" s="96">
        <f t="shared" si="31"/>
        <v>3.5886880974360658E-3</v>
      </c>
      <c r="G178" s="96">
        <f t="shared" si="31"/>
        <v>1.0841959788308264E-2</v>
      </c>
      <c r="H178" s="96">
        <f t="shared" si="31"/>
        <v>-9.6062250847658626E-2</v>
      </c>
      <c r="I178" s="96">
        <f t="shared" si="31"/>
        <v>-3.6465160693403775E-2</v>
      </c>
      <c r="J178" s="96">
        <f t="shared" si="31"/>
        <v>-9.1634773956806859E-2</v>
      </c>
      <c r="K178" s="96">
        <f t="shared" si="31"/>
        <v>-0.4625583844570581</v>
      </c>
    </row>
    <row r="179" spans="2:11" ht="15" customHeight="1" x14ac:dyDescent="0.2">
      <c r="B179" s="287">
        <f t="shared" si="30"/>
        <v>2012</v>
      </c>
      <c r="C179" s="288"/>
      <c r="D179" s="288"/>
      <c r="E179" s="96">
        <f t="shared" si="31"/>
        <v>-3.1511809944094082E-2</v>
      </c>
      <c r="F179" s="96">
        <f t="shared" si="31"/>
        <v>-9.1862141956045029E-3</v>
      </c>
      <c r="G179" s="96">
        <f t="shared" si="31"/>
        <v>1.8778526222500869E-2</v>
      </c>
      <c r="H179" s="96">
        <f t="shared" si="31"/>
        <v>-3.6780689743856732E-2</v>
      </c>
      <c r="I179" s="96">
        <f t="shared" si="31"/>
        <v>-0.12917238902092343</v>
      </c>
      <c r="J179" s="96">
        <f t="shared" si="31"/>
        <v>7.3821883634283658E-2</v>
      </c>
      <c r="K179" s="96">
        <f t="shared" si="31"/>
        <v>0.11802883293246613</v>
      </c>
    </row>
    <row r="180" spans="2:11" ht="15" customHeight="1" x14ac:dyDescent="0.2">
      <c r="B180" s="287">
        <f t="shared" si="30"/>
        <v>2013</v>
      </c>
      <c r="C180" s="288"/>
      <c r="D180" s="288"/>
      <c r="E180" s="96">
        <f t="shared" si="31"/>
        <v>3.41824255472436E-2</v>
      </c>
      <c r="F180" s="96">
        <f t="shared" si="31"/>
        <v>4.959423028569887E-4</v>
      </c>
      <c r="G180" s="96">
        <f t="shared" si="31"/>
        <v>-3.5421890048569216E-2</v>
      </c>
      <c r="H180" s="96">
        <f t="shared" si="31"/>
        <v>1.4630435248235152E-3</v>
      </c>
      <c r="I180" s="96">
        <f t="shared" si="31"/>
        <v>-0.15839873960021256</v>
      </c>
      <c r="J180" s="96">
        <f t="shared" si="31"/>
        <v>-4.718499675559551E-2</v>
      </c>
      <c r="K180" s="96">
        <f t="shared" si="31"/>
        <v>0.13728684144885928</v>
      </c>
    </row>
    <row r="181" spans="2:11" ht="15" customHeight="1" x14ac:dyDescent="0.2">
      <c r="B181" s="287">
        <f t="shared" si="30"/>
        <v>2014</v>
      </c>
      <c r="C181" s="288"/>
      <c r="D181" s="288"/>
      <c r="E181" s="96">
        <f t="shared" si="31"/>
        <v>-9.3564613867934687E-3</v>
      </c>
      <c r="F181" s="96">
        <f t="shared" si="31"/>
        <v>-8.5937707691718934E-5</v>
      </c>
      <c r="G181" s="96">
        <f t="shared" si="31"/>
        <v>1.4809163770516554E-2</v>
      </c>
      <c r="H181" s="96">
        <f t="shared" si="31"/>
        <v>-0.2473367188768365</v>
      </c>
      <c r="I181" s="96">
        <f t="shared" si="31"/>
        <v>-0.11231099761341923</v>
      </c>
      <c r="J181" s="96">
        <f t="shared" si="31"/>
        <v>-4.4955405175467922E-2</v>
      </c>
      <c r="K181" s="96">
        <f t="shared" si="31"/>
        <v>-0.22530543050159502</v>
      </c>
    </row>
    <row r="182" spans="2:11" ht="15" customHeight="1" x14ac:dyDescent="0.2">
      <c r="B182" s="287">
        <f t="shared" si="30"/>
        <v>2015</v>
      </c>
      <c r="C182" s="288"/>
      <c r="D182" s="288"/>
      <c r="E182" s="96">
        <f t="shared" si="31"/>
        <v>-4.4994150583483772E-2</v>
      </c>
      <c r="F182" s="96">
        <f t="shared" si="31"/>
        <v>-1.7025344005072718E-2</v>
      </c>
      <c r="G182" s="96">
        <f t="shared" si="31"/>
        <v>-1.2428782626417556E-2</v>
      </c>
      <c r="H182" s="96">
        <f t="shared" si="31"/>
        <v>0.31755698787324516</v>
      </c>
      <c r="I182" s="96">
        <f t="shared" si="31"/>
        <v>4.2811854530755422E-3</v>
      </c>
      <c r="J182" s="96">
        <f t="shared" si="31"/>
        <v>-6.3353374136951413E-2</v>
      </c>
      <c r="K182" s="96">
        <f t="shared" si="31"/>
        <v>-6.6837207602122306E-2</v>
      </c>
    </row>
    <row r="183" spans="2:11" ht="15" customHeight="1" x14ac:dyDescent="0.2">
      <c r="B183" s="287">
        <f t="shared" si="30"/>
        <v>2016</v>
      </c>
      <c r="C183" s="288"/>
      <c r="D183" s="288"/>
      <c r="E183" s="96">
        <f t="shared" si="31"/>
        <v>-4.5690462043556757E-2</v>
      </c>
      <c r="F183" s="96">
        <f t="shared" si="31"/>
        <v>-3.972051287435141E-2</v>
      </c>
      <c r="G183" s="96">
        <f t="shared" si="31"/>
        <v>-6.7353316690326293E-2</v>
      </c>
      <c r="H183" s="96">
        <f t="shared" si="31"/>
        <v>-5.2606299367476406E-2</v>
      </c>
      <c r="I183" s="96">
        <f t="shared" si="31"/>
        <v>2.6418227437294828E-3</v>
      </c>
      <c r="J183" s="96">
        <f t="shared" si="31"/>
        <v>-0.62151821910735805</v>
      </c>
      <c r="K183" s="96">
        <f t="shared" si="31"/>
        <v>-6.9875358676974031E-7</v>
      </c>
    </row>
    <row r="184" spans="2:11" ht="15" customHeight="1" x14ac:dyDescent="0.2">
      <c r="B184" s="287">
        <f t="shared" si="30"/>
        <v>2017</v>
      </c>
      <c r="C184" s="288"/>
      <c r="D184" s="288"/>
      <c r="E184" s="96">
        <f t="shared" si="31"/>
        <v>-2.026388596261719E-2</v>
      </c>
      <c r="F184" s="96">
        <f t="shared" si="31"/>
        <v>-2.0960493040292683E-2</v>
      </c>
      <c r="G184" s="96">
        <f t="shared" si="31"/>
        <v>-3.3229651534851468E-2</v>
      </c>
      <c r="H184" s="96">
        <f t="shared" si="31"/>
        <v>-1.6823091412267788E-2</v>
      </c>
      <c r="I184" s="96">
        <f t="shared" si="31"/>
        <v>-3.0026219122925024E-3</v>
      </c>
      <c r="J184" s="96">
        <f t="shared" si="31"/>
        <v>-0.15897737318880745</v>
      </c>
      <c r="K184" s="96">
        <f t="shared" si="31"/>
        <v>6.9875407482378193E-7</v>
      </c>
    </row>
    <row r="185" spans="2:11" ht="15" customHeight="1" x14ac:dyDescent="0.2">
      <c r="B185" s="287">
        <f t="shared" si="30"/>
        <v>2018</v>
      </c>
      <c r="C185" s="288"/>
      <c r="D185" s="288"/>
      <c r="E185" s="96">
        <f t="shared" si="31"/>
        <v>6.4452720844031752E-2</v>
      </c>
      <c r="F185" s="96">
        <f t="shared" si="31"/>
        <v>3.8192855019896443E-2</v>
      </c>
      <c r="G185" s="96">
        <f t="shared" si="31"/>
        <v>9.8732538435812867E-3</v>
      </c>
      <c r="H185" s="96">
        <f t="shared" si="31"/>
        <v>-2.0398054866152093E-2</v>
      </c>
      <c r="I185" s="96">
        <f t="shared" si="31"/>
        <v>-2.3441432551565278E-3</v>
      </c>
      <c r="J185" s="96">
        <f t="shared" si="31"/>
        <v>-8.8708571293986127E-3</v>
      </c>
      <c r="K185" s="96">
        <f t="shared" si="31"/>
        <v>-2.005352918309411E-2</v>
      </c>
    </row>
    <row r="186" spans="2:11" ht="15" customHeight="1" x14ac:dyDescent="0.2">
      <c r="B186" s="287">
        <f t="shared" si="30"/>
        <v>2019</v>
      </c>
      <c r="C186" s="288"/>
      <c r="D186" s="288"/>
      <c r="E186" s="96">
        <f t="shared" si="31"/>
        <v>2.9917268468389047E-3</v>
      </c>
      <c r="F186" s="96">
        <f t="shared" si="31"/>
        <v>-1.6788585847800963E-2</v>
      </c>
      <c r="G186" s="96">
        <f t="shared" si="31"/>
        <v>-1.9233819972012678E-2</v>
      </c>
      <c r="H186" s="96">
        <f t="shared" si="31"/>
        <v>-5.1450291654033808E-2</v>
      </c>
      <c r="I186" s="96">
        <f t="shared" si="31"/>
        <v>2.349651174108347E-3</v>
      </c>
      <c r="J186" s="96">
        <f t="shared" si="31"/>
        <v>5.2728770253529511E-4</v>
      </c>
      <c r="K186" s="96">
        <f t="shared" si="31"/>
        <v>4.2897838177048619E-2</v>
      </c>
    </row>
    <row r="187" spans="2:11" ht="15" customHeight="1" x14ac:dyDescent="0.2">
      <c r="B187" s="287" t="str">
        <f>B152</f>
        <v>Geo Mean - 2017 to 2019</v>
      </c>
      <c r="C187" s="288"/>
      <c r="D187" s="288"/>
      <c r="E187" s="96">
        <f>'Rate Class Energy Model'!H64-1</f>
        <v>1.5104955758932226E-2</v>
      </c>
      <c r="F187" s="96">
        <f>'Rate Class Energy Model'!I64-1</f>
        <v>-2.1092181020765377E-4</v>
      </c>
      <c r="G187" s="96">
        <f>'Rate Class Energy Model'!J64-1</f>
        <v>-1.4359460279506853E-2</v>
      </c>
      <c r="H187" s="96">
        <f>'Rate Class Energy Model'!K64-1</f>
        <v>-2.9682640547824435E-2</v>
      </c>
      <c r="I187" s="96">
        <f>'Rate Class Energy Model'!L64-1</f>
        <v>-1.0018773938622605E-3</v>
      </c>
      <c r="J187" s="96">
        <f>'Rate Class Energy Model'!M64-1</f>
        <v>-5.8712507324200969E-2</v>
      </c>
      <c r="K187" s="96">
        <f>'Rate Class Energy Model'!N64-1</f>
        <v>7.2751997992335227E-3</v>
      </c>
    </row>
    <row r="188" spans="2:11" ht="15" customHeight="1" x14ac:dyDescent="0.2">
      <c r="B188" s="60"/>
      <c r="C188" s="60"/>
      <c r="D188" s="60"/>
    </row>
    <row r="189" spans="2:11" ht="15" customHeight="1" x14ac:dyDescent="0.2">
      <c r="B189" s="391" t="s">
        <v>254</v>
      </c>
      <c r="C189" s="61"/>
      <c r="D189" s="61"/>
      <c r="E189" s="73"/>
      <c r="F189" s="73"/>
      <c r="G189" s="73"/>
      <c r="H189" s="73"/>
      <c r="I189" s="73"/>
      <c r="J189" s="73"/>
    </row>
    <row r="190" spans="2:11" ht="33.75" x14ac:dyDescent="0.2">
      <c r="B190" s="243" t="s">
        <v>65</v>
      </c>
      <c r="C190" s="244"/>
      <c r="D190" s="244"/>
      <c r="E190" s="245" t="str">
        <f t="shared" ref="E190:K190" si="32">E175</f>
        <v xml:space="preserve">Residential </v>
      </c>
      <c r="F190" s="245" t="str">
        <f t="shared" si="32"/>
        <v>General Service &lt; 50 kW</v>
      </c>
      <c r="G190" s="245" t="str">
        <f t="shared" si="32"/>
        <v>General Service 50 to 2999 kW</v>
      </c>
      <c r="H190" s="245" t="str">
        <f t="shared" si="32"/>
        <v>General Service 3000 to 4999 kW</v>
      </c>
      <c r="I190" s="245" t="str">
        <f t="shared" si="32"/>
        <v>Street Lighting</v>
      </c>
      <c r="J190" s="245" t="str">
        <f t="shared" si="32"/>
        <v>Sentinel Lighting</v>
      </c>
      <c r="K190" s="245" t="str">
        <f t="shared" si="32"/>
        <v xml:space="preserve">Unmetered Scattered Load </v>
      </c>
    </row>
    <row r="191" spans="2:11" ht="15" customHeight="1" x14ac:dyDescent="0.2">
      <c r="B191" s="99" t="s">
        <v>88</v>
      </c>
      <c r="C191" s="100"/>
      <c r="D191" s="100"/>
      <c r="E191" s="100"/>
      <c r="F191" s="100"/>
      <c r="G191" s="100"/>
      <c r="H191" s="100"/>
      <c r="I191" s="100"/>
      <c r="J191" s="100"/>
      <c r="K191" s="101"/>
    </row>
    <row r="192" spans="2:11" ht="15" customHeight="1" x14ac:dyDescent="0.2">
      <c r="B192" s="445">
        <f>B157</f>
        <v>2020</v>
      </c>
      <c r="C192" s="446"/>
      <c r="D192" s="447"/>
      <c r="E192" s="80">
        <f>E172*(1+E187)</f>
        <v>9437.7579041424033</v>
      </c>
      <c r="F192" s="80">
        <f>F172*(1+F187)</f>
        <v>30302.777918850436</v>
      </c>
      <c r="G192" s="80">
        <f>G172*(1+G187)</f>
        <v>749361.60425910156</v>
      </c>
      <c r="H192" s="80">
        <f>H172*(1+H187)</f>
        <v>14897243.509943135</v>
      </c>
      <c r="I192" s="80">
        <f>I172*(1+I187)</f>
        <v>375.06056936096309</v>
      </c>
      <c r="J192" s="80">
        <f>+'Rate Class Energy Model'!M44</f>
        <v>293.57431654676259</v>
      </c>
      <c r="K192" s="80">
        <f>+'Rate Class Energy Model'!N44</f>
        <v>4387.7444444444445</v>
      </c>
    </row>
    <row r="193" spans="2:22" ht="11.25" x14ac:dyDescent="0.2">
      <c r="B193" s="445">
        <f>B158</f>
        <v>2021</v>
      </c>
      <c r="C193" s="446"/>
      <c r="D193" s="447"/>
      <c r="E193" s="80">
        <f>E192*(1+E187)</f>
        <v>9580.3148197479877</v>
      </c>
      <c r="F193" s="80">
        <f t="shared" ref="F193:I193" si="33">F192*(1+F187)</f>
        <v>30296.386402077471</v>
      </c>
      <c r="G193" s="80">
        <f t="shared" si="33"/>
        <v>738601.17606775544</v>
      </c>
      <c r="H193" s="80">
        <f t="shared" si="33"/>
        <v>14455053.985684082</v>
      </c>
      <c r="I193" s="80">
        <f t="shared" si="33"/>
        <v>374.68480465519121</v>
      </c>
      <c r="J193" s="80">
        <f>+'Rate Class Energy Model'!M45</f>
        <v>293.57431654676259</v>
      </c>
      <c r="K193" s="80">
        <f>+'Rate Class Energy Model'!N45</f>
        <v>4387.7444444444445</v>
      </c>
    </row>
    <row r="194" spans="2:22" ht="15" customHeight="1" x14ac:dyDescent="0.2">
      <c r="B194" s="86"/>
      <c r="C194" s="86"/>
      <c r="D194" s="86"/>
      <c r="E194" s="68"/>
      <c r="F194" s="68"/>
      <c r="G194" s="68"/>
      <c r="H194" s="68"/>
      <c r="I194" s="68"/>
    </row>
    <row r="195" spans="2:22" ht="15" customHeight="1" x14ac:dyDescent="0.2">
      <c r="B195" s="391" t="s">
        <v>255</v>
      </c>
      <c r="C195" s="61"/>
      <c r="D195" s="61"/>
      <c r="E195" s="73"/>
      <c r="F195" s="73"/>
      <c r="G195" s="73"/>
      <c r="H195" s="73"/>
      <c r="I195" s="73"/>
    </row>
    <row r="196" spans="2:22" ht="33.75" x14ac:dyDescent="0.2">
      <c r="B196" s="295" t="s">
        <v>65</v>
      </c>
      <c r="C196" s="293"/>
      <c r="D196" s="293"/>
      <c r="E196" s="241" t="str">
        <f t="shared" ref="E196:K196" si="34">E190</f>
        <v xml:space="preserve">Residential </v>
      </c>
      <c r="F196" s="241" t="str">
        <f t="shared" si="34"/>
        <v>General Service &lt; 50 kW</v>
      </c>
      <c r="G196" s="241" t="str">
        <f t="shared" si="34"/>
        <v>General Service 50 to 2999 kW</v>
      </c>
      <c r="H196" s="241" t="str">
        <f t="shared" si="34"/>
        <v>General Service 3000 to 4999 kW</v>
      </c>
      <c r="I196" s="241" t="str">
        <f t="shared" si="34"/>
        <v>Street Lighting</v>
      </c>
      <c r="J196" s="241" t="str">
        <f t="shared" si="34"/>
        <v>Sentinel Lighting</v>
      </c>
      <c r="K196" s="241" t="str">
        <f t="shared" si="34"/>
        <v xml:space="preserve">Unmetered Scattered Load </v>
      </c>
      <c r="L196" s="241" t="s">
        <v>57</v>
      </c>
    </row>
    <row r="197" spans="2:22" ht="11.25" x14ac:dyDescent="0.2">
      <c r="B197" s="99" t="s">
        <v>89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1"/>
    </row>
    <row r="198" spans="2:22" ht="11.25" x14ac:dyDescent="0.2">
      <c r="B198" s="106" t="s">
        <v>200</v>
      </c>
      <c r="C198" s="100"/>
      <c r="D198" s="100"/>
      <c r="E198" s="213">
        <f t="shared" ref="E198:K199" si="35">E192*E157/1000000</f>
        <v>201.17524748469947</v>
      </c>
      <c r="F198" s="213">
        <f t="shared" si="35"/>
        <v>80.332664262872498</v>
      </c>
      <c r="G198" s="213">
        <f t="shared" si="35"/>
        <v>199.33018673292099</v>
      </c>
      <c r="H198" s="213">
        <f t="shared" si="35"/>
        <v>14.897243509943134</v>
      </c>
      <c r="I198" s="213">
        <f t="shared" si="35"/>
        <v>2.0343285282138637</v>
      </c>
      <c r="J198" s="213">
        <f t="shared" si="35"/>
        <v>0.11977832115107913</v>
      </c>
      <c r="K198" s="213">
        <f t="shared" si="35"/>
        <v>3.9489699999999996E-2</v>
      </c>
      <c r="L198" s="213">
        <f>SUM(E198:K198)</f>
        <v>497.92893853980098</v>
      </c>
    </row>
    <row r="199" spans="2:22" ht="15" customHeight="1" x14ac:dyDescent="0.2">
      <c r="B199" s="106" t="s">
        <v>198</v>
      </c>
      <c r="C199" s="288"/>
      <c r="D199" s="288"/>
      <c r="E199" s="213">
        <f t="shared" si="35"/>
        <v>204.55888203125903</v>
      </c>
      <c r="F199" s="213">
        <f t="shared" si="35"/>
        <v>80.255127579103217</v>
      </c>
      <c r="G199" s="213">
        <f t="shared" si="35"/>
        <v>198.68371636222622</v>
      </c>
      <c r="H199" s="213">
        <f t="shared" si="35"/>
        <v>14.455053985684081</v>
      </c>
      <c r="I199" s="213">
        <f t="shared" si="35"/>
        <v>2.0322903804497572</v>
      </c>
      <c r="J199" s="213">
        <f t="shared" si="35"/>
        <v>0.11742972661870504</v>
      </c>
      <c r="K199" s="213">
        <f t="shared" si="35"/>
        <v>3.9489699999999996E-2</v>
      </c>
      <c r="L199" s="213">
        <f>SUM(E199:K199)</f>
        <v>500.14198976534095</v>
      </c>
    </row>
    <row r="200" spans="2:22" ht="15" customHeight="1" x14ac:dyDescent="0.2">
      <c r="B200" s="86"/>
      <c r="C200" s="86"/>
      <c r="D200" s="86"/>
      <c r="E200" s="69"/>
      <c r="F200" s="69"/>
      <c r="G200" s="69"/>
      <c r="H200" s="69"/>
      <c r="I200" s="69"/>
      <c r="J200" s="69"/>
      <c r="K200" s="69"/>
    </row>
    <row r="201" spans="2:22" ht="15" customHeight="1" x14ac:dyDescent="0.2">
      <c r="B201" s="60"/>
      <c r="C201" s="73"/>
      <c r="D201" s="73"/>
      <c r="E201" s="391" t="s">
        <v>256</v>
      </c>
      <c r="F201" s="73"/>
      <c r="G201" s="73"/>
    </row>
    <row r="202" spans="2:22" ht="33.75" x14ac:dyDescent="0.2">
      <c r="B202" s="60"/>
      <c r="C202" s="60"/>
      <c r="D202" s="60"/>
      <c r="E202" s="241" t="str">
        <f t="shared" ref="E202:K202" si="36">E196</f>
        <v xml:space="preserve">Residential </v>
      </c>
      <c r="F202" s="241" t="str">
        <f t="shared" si="36"/>
        <v>General Service &lt; 50 kW</v>
      </c>
      <c r="G202" s="241" t="str">
        <f t="shared" si="36"/>
        <v>General Service 50 to 2999 kW</v>
      </c>
      <c r="H202" s="241" t="str">
        <f t="shared" si="36"/>
        <v>General Service 3000 to 4999 kW</v>
      </c>
      <c r="I202" s="241" t="str">
        <f t="shared" si="36"/>
        <v>Street Lighting</v>
      </c>
      <c r="J202" s="241" t="str">
        <f t="shared" si="36"/>
        <v>Sentinel Lighting</v>
      </c>
      <c r="K202" s="241" t="str">
        <f t="shared" si="36"/>
        <v xml:space="preserve">Unmetered Scattered Load </v>
      </c>
    </row>
    <row r="203" spans="2:22" ht="15" customHeight="1" x14ac:dyDescent="0.2">
      <c r="B203" s="60"/>
      <c r="C203" s="60"/>
      <c r="D203" s="60"/>
      <c r="E203" s="76" t="s">
        <v>90</v>
      </c>
      <c r="F203" s="77"/>
      <c r="G203" s="77"/>
      <c r="H203" s="77"/>
      <c r="I203" s="77"/>
      <c r="J203" s="110"/>
      <c r="K203" s="104"/>
    </row>
    <row r="204" spans="2:22" ht="15" customHeight="1" x14ac:dyDescent="0.2">
      <c r="B204" s="60"/>
      <c r="C204" s="60"/>
      <c r="D204" s="60"/>
      <c r="E204" s="111">
        <f>'Rate Class Energy Model'!H75</f>
        <v>0.91</v>
      </c>
      <c r="F204" s="111">
        <f>'Rate Class Energy Model'!I75</f>
        <v>0.91</v>
      </c>
      <c r="G204" s="111">
        <f>'Rate Class Energy Model'!J75</f>
        <v>0.81620000000000004</v>
      </c>
      <c r="H204" s="111">
        <f>'Rate Class Energy Model'!K75</f>
        <v>0</v>
      </c>
      <c r="I204" s="111">
        <f>'Rate Class Energy Model'!L75</f>
        <v>0</v>
      </c>
      <c r="J204" s="111">
        <f>'Rate Class Energy Model'!M75</f>
        <v>0</v>
      </c>
      <c r="K204" s="111">
        <f>'Rate Class Energy Model'!N75</f>
        <v>0</v>
      </c>
    </row>
    <row r="205" spans="2:22" ht="15" customHeight="1" x14ac:dyDescent="0.2">
      <c r="B205" s="60"/>
      <c r="C205" s="60"/>
      <c r="D205" s="60"/>
      <c r="E205" s="70"/>
      <c r="F205" s="70"/>
      <c r="G205" s="70"/>
      <c r="H205" s="70"/>
      <c r="I205" s="70"/>
      <c r="J205" s="70"/>
      <c r="O205" s="391" t="s">
        <v>262</v>
      </c>
      <c r="P205" s="299"/>
      <c r="Q205" s="299"/>
      <c r="R205" s="299"/>
      <c r="S205" s="299"/>
      <c r="T205" s="299"/>
      <c r="U205" s="299"/>
    </row>
    <row r="206" spans="2:22" ht="15" customHeight="1" x14ac:dyDescent="0.2">
      <c r="B206" s="60"/>
      <c r="C206" s="60"/>
      <c r="D206" s="60"/>
      <c r="E206" s="70"/>
      <c r="F206" s="70"/>
      <c r="G206" s="70"/>
      <c r="H206" s="70"/>
      <c r="I206" s="70"/>
      <c r="J206" s="70"/>
      <c r="O206" s="402" t="s">
        <v>257</v>
      </c>
      <c r="P206" s="402"/>
      <c r="Q206" s="402"/>
      <c r="R206" s="402"/>
      <c r="S206" s="402"/>
      <c r="T206" s="402"/>
      <c r="U206" s="402"/>
      <c r="V206" s="402"/>
    </row>
    <row r="207" spans="2:22" ht="15" customHeight="1" x14ac:dyDescent="0.25">
      <c r="B207" s="60"/>
      <c r="C207" s="60"/>
      <c r="D207" s="60"/>
      <c r="J207" s="70"/>
      <c r="O207" s="392"/>
      <c r="P207" s="392">
        <v>2015</v>
      </c>
      <c r="Q207" s="392">
        <v>2016</v>
      </c>
      <c r="R207" s="392">
        <v>2017</v>
      </c>
      <c r="S207" s="392">
        <v>2018</v>
      </c>
      <c r="T207" s="392">
        <v>2019</v>
      </c>
      <c r="U207" s="392">
        <v>2020</v>
      </c>
      <c r="V207" s="393">
        <v>2021</v>
      </c>
    </row>
    <row r="208" spans="2:22" ht="15" customHeight="1" x14ac:dyDescent="0.25">
      <c r="B208" s="60"/>
      <c r="C208" s="60"/>
      <c r="D208" s="60"/>
      <c r="J208" s="70"/>
      <c r="O208" s="394" t="s">
        <v>156</v>
      </c>
      <c r="P208" s="395">
        <v>16748850</v>
      </c>
      <c r="Q208" s="395">
        <v>16682974</v>
      </c>
      <c r="R208" s="395">
        <v>16674278</v>
      </c>
      <c r="S208" s="395">
        <v>16670505</v>
      </c>
      <c r="T208" s="395">
        <v>16663767</v>
      </c>
      <c r="U208" s="396">
        <v>16660104</v>
      </c>
      <c r="V208" s="396">
        <v>16656981</v>
      </c>
    </row>
    <row r="209" spans="2:22" ht="15" customHeight="1" x14ac:dyDescent="0.25">
      <c r="B209" s="60"/>
      <c r="C209" s="60"/>
      <c r="D209" s="60"/>
      <c r="J209" s="70"/>
      <c r="O209" s="394" t="s">
        <v>258</v>
      </c>
      <c r="P209" s="395"/>
      <c r="Q209" s="395">
        <v>4554823.860371232</v>
      </c>
      <c r="R209" s="396">
        <v>4554803.702915797</v>
      </c>
      <c r="S209" s="396">
        <v>4554782.545460362</v>
      </c>
      <c r="T209" s="396">
        <v>4554761.388004926</v>
      </c>
      <c r="U209" s="396">
        <v>4554740.230549491</v>
      </c>
      <c r="V209" s="396">
        <v>4554740.230549491</v>
      </c>
    </row>
    <row r="210" spans="2:22" ht="15" customHeight="1" x14ac:dyDescent="0.25">
      <c r="B210" s="60"/>
      <c r="C210" s="60"/>
      <c r="D210" s="60"/>
      <c r="J210" s="70"/>
      <c r="O210" s="394" t="s">
        <v>259</v>
      </c>
      <c r="P210" s="395"/>
      <c r="Q210" s="395"/>
      <c r="R210" s="396">
        <v>6401725.4689382426</v>
      </c>
      <c r="S210" s="396">
        <v>5503682.5579390107</v>
      </c>
      <c r="T210" s="396">
        <v>5502828.6469397796</v>
      </c>
      <c r="U210" s="396">
        <v>5501974.7359405477</v>
      </c>
      <c r="V210" s="396">
        <v>5501831.7359405477</v>
      </c>
    </row>
    <row r="211" spans="2:22" ht="15" customHeight="1" x14ac:dyDescent="0.25">
      <c r="B211" s="60"/>
      <c r="C211" s="60"/>
      <c r="D211" s="60"/>
      <c r="J211" s="70"/>
      <c r="O211" s="394" t="s">
        <v>260</v>
      </c>
      <c r="P211" s="395"/>
      <c r="Q211" s="395"/>
      <c r="R211" s="395"/>
      <c r="S211" s="395">
        <v>4027457.3687953148</v>
      </c>
      <c r="T211" s="395">
        <v>2917353.3566523376</v>
      </c>
      <c r="U211" s="395">
        <v>2907174.0498047457</v>
      </c>
      <c r="V211" s="395">
        <v>2907174.0498047457</v>
      </c>
    </row>
    <row r="212" spans="2:22" ht="15" customHeight="1" x14ac:dyDescent="0.25">
      <c r="B212" s="60"/>
      <c r="C212" s="60"/>
      <c r="D212" s="60"/>
      <c r="J212" s="70"/>
      <c r="O212" s="394" t="s">
        <v>261</v>
      </c>
      <c r="P212" s="395"/>
      <c r="Q212" s="395"/>
      <c r="R212" s="395"/>
      <c r="S212" s="395"/>
      <c r="T212" s="395">
        <v>1827951.0270044717</v>
      </c>
      <c r="U212" s="395">
        <v>1946093.92820378</v>
      </c>
      <c r="V212" s="395">
        <v>2199926.47820378</v>
      </c>
    </row>
    <row r="213" spans="2:22" ht="15" customHeight="1" x14ac:dyDescent="0.25">
      <c r="B213" s="60"/>
      <c r="C213" s="60"/>
      <c r="D213" s="60"/>
      <c r="J213" s="70"/>
      <c r="O213" s="394" t="s">
        <v>155</v>
      </c>
      <c r="P213" s="395">
        <f t="shared" ref="P213:V213" si="37">SUM(P208:P212)</f>
        <v>16748850</v>
      </c>
      <c r="Q213" s="395">
        <f t="shared" si="37"/>
        <v>21237797.860371232</v>
      </c>
      <c r="R213" s="395">
        <f t="shared" si="37"/>
        <v>27630807.171854038</v>
      </c>
      <c r="S213" s="395">
        <f t="shared" si="37"/>
        <v>30756427.472194687</v>
      </c>
      <c r="T213" s="395">
        <f t="shared" si="37"/>
        <v>31466661.418601517</v>
      </c>
      <c r="U213" s="395">
        <f t="shared" si="37"/>
        <v>31570086.944498565</v>
      </c>
      <c r="V213" s="395">
        <f t="shared" si="37"/>
        <v>31820653.494498566</v>
      </c>
    </row>
    <row r="214" spans="2:22" ht="15" customHeight="1" x14ac:dyDescent="0.2">
      <c r="B214" s="60"/>
      <c r="C214" s="60"/>
      <c r="D214" s="60"/>
      <c r="J214" s="70"/>
    </row>
    <row r="215" spans="2:22" ht="15" customHeight="1" x14ac:dyDescent="0.2">
      <c r="B215" s="60"/>
      <c r="C215" s="60"/>
      <c r="D215" s="60"/>
      <c r="J215" s="70"/>
      <c r="O215" s="391" t="s">
        <v>270</v>
      </c>
    </row>
    <row r="216" spans="2:22" ht="15" customHeight="1" x14ac:dyDescent="0.2">
      <c r="B216" s="60"/>
      <c r="C216" s="60"/>
      <c r="D216" s="60"/>
      <c r="J216" s="70"/>
      <c r="O216" s="397" t="s">
        <v>65</v>
      </c>
      <c r="P216" s="398" t="s">
        <v>98</v>
      </c>
      <c r="Q216" s="398" t="s">
        <v>263</v>
      </c>
      <c r="R216" s="398" t="s">
        <v>264</v>
      </c>
      <c r="S216" s="398" t="s">
        <v>57</v>
      </c>
    </row>
    <row r="217" spans="2:22" ht="15" customHeight="1" x14ac:dyDescent="0.2">
      <c r="B217" s="60"/>
      <c r="C217" s="60"/>
      <c r="D217" s="60"/>
      <c r="J217" s="70"/>
      <c r="L217" s="66"/>
      <c r="O217" s="399" t="s">
        <v>265</v>
      </c>
      <c r="P217" s="400">
        <v>19861.168113020118</v>
      </c>
      <c r="Q217" s="400">
        <v>107438.56857965494</v>
      </c>
      <c r="R217" s="400">
        <v>972663.50240921509</v>
      </c>
      <c r="S217" s="401">
        <v>1099963.2391018902</v>
      </c>
    </row>
    <row r="218" spans="2:22" ht="15" customHeight="1" x14ac:dyDescent="0.2">
      <c r="B218" s="60"/>
      <c r="C218" s="60"/>
      <c r="D218" s="60"/>
      <c r="J218" s="70"/>
      <c r="O218" s="399" t="s">
        <v>266</v>
      </c>
      <c r="P218" s="400">
        <v>0</v>
      </c>
      <c r="Q218" s="400">
        <v>0</v>
      </c>
      <c r="R218" s="400">
        <v>-777539</v>
      </c>
      <c r="S218" s="401">
        <v>-777539</v>
      </c>
    </row>
    <row r="219" spans="2:22" ht="15" customHeight="1" x14ac:dyDescent="0.2">
      <c r="B219" s="60"/>
      <c r="C219" s="60"/>
      <c r="D219" s="60"/>
      <c r="J219" s="70"/>
      <c r="O219" s="399" t="s">
        <v>10</v>
      </c>
      <c r="P219" s="400">
        <v>19861.168113020118</v>
      </c>
      <c r="Q219" s="400">
        <v>107438.56857965494</v>
      </c>
      <c r="R219" s="400">
        <v>195124.50240921509</v>
      </c>
      <c r="S219" s="401">
        <v>322424.23910189013</v>
      </c>
    </row>
    <row r="220" spans="2:22" ht="15" customHeight="1" x14ac:dyDescent="0.2">
      <c r="B220" s="60"/>
      <c r="C220" s="60"/>
      <c r="D220" s="60"/>
      <c r="J220" s="70"/>
      <c r="O220" s="399"/>
      <c r="P220" s="400"/>
      <c r="Q220" s="400"/>
      <c r="R220" s="400"/>
      <c r="S220" s="401"/>
    </row>
    <row r="221" spans="2:22" ht="15" customHeight="1" x14ac:dyDescent="0.2">
      <c r="B221" s="60"/>
      <c r="C221" s="60"/>
      <c r="D221" s="60"/>
      <c r="E221" s="70"/>
      <c r="F221" s="70"/>
      <c r="G221" s="70"/>
      <c r="H221" s="70"/>
      <c r="I221" s="70"/>
      <c r="J221" s="70"/>
      <c r="O221" s="399" t="s">
        <v>267</v>
      </c>
      <c r="P221" s="400">
        <v>0</v>
      </c>
      <c r="Q221" s="400">
        <v>0</v>
      </c>
      <c r="R221" s="400">
        <v>2322262</v>
      </c>
      <c r="S221" s="401">
        <v>2322262</v>
      </c>
    </row>
    <row r="222" spans="2:22" ht="15" customHeight="1" x14ac:dyDescent="0.2">
      <c r="B222" s="60"/>
      <c r="C222" s="60"/>
      <c r="D222" s="60"/>
      <c r="E222" s="70"/>
      <c r="F222" s="70"/>
      <c r="G222" s="70"/>
      <c r="H222" s="70"/>
      <c r="I222" s="70"/>
      <c r="J222" s="70"/>
      <c r="O222" s="399" t="s">
        <v>268</v>
      </c>
      <c r="P222" s="400">
        <v>19861.168113020118</v>
      </c>
      <c r="Q222" s="400">
        <v>107438.56857965494</v>
      </c>
      <c r="R222" s="400">
        <v>2517386.5024092151</v>
      </c>
      <c r="S222" s="401">
        <v>2644686.23910189</v>
      </c>
    </row>
    <row r="223" spans="2:22" ht="15" customHeight="1" x14ac:dyDescent="0.2">
      <c r="B223" s="60"/>
      <c r="C223" s="60"/>
      <c r="D223" s="60"/>
      <c r="E223" s="70"/>
      <c r="F223" s="70"/>
      <c r="G223" s="70"/>
      <c r="H223" s="70"/>
      <c r="I223" s="70"/>
      <c r="J223" s="70"/>
      <c r="O223" s="399"/>
      <c r="P223" s="400"/>
      <c r="Q223" s="400"/>
      <c r="R223" s="400"/>
      <c r="S223" s="401"/>
    </row>
    <row r="224" spans="2:22" ht="15" customHeight="1" x14ac:dyDescent="0.2">
      <c r="B224" s="60"/>
      <c r="C224" s="60"/>
      <c r="D224" s="60"/>
      <c r="E224" s="70"/>
      <c r="F224" s="70"/>
      <c r="G224" s="70"/>
      <c r="H224" s="70"/>
      <c r="I224" s="70"/>
      <c r="J224" s="70"/>
      <c r="O224" s="399" t="s">
        <v>269</v>
      </c>
      <c r="P224" s="400">
        <v>0</v>
      </c>
      <c r="Q224" s="400">
        <v>0</v>
      </c>
      <c r="R224" s="400">
        <v>1371.647090189995</v>
      </c>
      <c r="S224" s="401">
        <v>1371.647090189995</v>
      </c>
    </row>
    <row r="225" spans="2:22" ht="15" customHeight="1" x14ac:dyDescent="0.2">
      <c r="B225" s="60"/>
      <c r="C225" s="60"/>
      <c r="D225" s="60"/>
      <c r="E225" s="70"/>
      <c r="F225" s="70"/>
      <c r="G225" s="70"/>
      <c r="H225" s="70"/>
      <c r="I225" s="70"/>
      <c r="J225" s="70"/>
      <c r="O225" s="399" t="s">
        <v>266</v>
      </c>
      <c r="P225" s="400">
        <v>0</v>
      </c>
      <c r="Q225" s="400">
        <v>0</v>
      </c>
      <c r="R225" s="400">
        <v>-990</v>
      </c>
      <c r="S225" s="401">
        <v>-990</v>
      </c>
    </row>
    <row r="226" spans="2:22" ht="15" customHeight="1" x14ac:dyDescent="0.2">
      <c r="B226" s="60"/>
      <c r="C226" s="60"/>
      <c r="D226" s="60"/>
      <c r="E226" s="70"/>
      <c r="F226" s="70"/>
      <c r="G226" s="70"/>
      <c r="H226" s="70"/>
      <c r="I226" s="70"/>
      <c r="J226" s="70"/>
      <c r="O226" s="399" t="s">
        <v>10</v>
      </c>
      <c r="P226" s="400">
        <v>0</v>
      </c>
      <c r="Q226" s="400">
        <v>0</v>
      </c>
      <c r="R226" s="400">
        <v>381.64709018999497</v>
      </c>
      <c r="S226" s="401">
        <v>381.64709018999497</v>
      </c>
    </row>
    <row r="227" spans="2:22" ht="15" customHeight="1" x14ac:dyDescent="0.2">
      <c r="B227" s="60"/>
      <c r="C227" s="60"/>
      <c r="D227" s="60"/>
      <c r="E227" s="70"/>
      <c r="F227" s="70"/>
      <c r="G227" s="70"/>
      <c r="H227" s="70"/>
      <c r="I227" s="70"/>
      <c r="J227" s="70"/>
      <c r="O227"/>
    </row>
    <row r="228" spans="2:22" ht="15" customHeight="1" x14ac:dyDescent="0.2">
      <c r="B228" s="60"/>
      <c r="C228" s="60"/>
      <c r="D228" s="60"/>
      <c r="E228" s="70"/>
      <c r="F228" s="70"/>
      <c r="G228" s="70"/>
      <c r="H228" s="70"/>
      <c r="I228" s="70"/>
      <c r="J228" s="70"/>
      <c r="O228"/>
    </row>
    <row r="229" spans="2:22" ht="15" customHeight="1" x14ac:dyDescent="0.2">
      <c r="B229" s="60"/>
      <c r="C229" s="60"/>
      <c r="D229" s="60"/>
      <c r="E229" s="70"/>
      <c r="F229" s="70"/>
      <c r="G229" s="70"/>
      <c r="H229" s="70"/>
      <c r="I229" s="70"/>
      <c r="J229" s="70"/>
      <c r="O229" s="239"/>
      <c r="P229" s="239"/>
      <c r="Q229" s="240"/>
      <c r="R229" s="240"/>
      <c r="S229" s="240"/>
      <c r="T229" s="240"/>
      <c r="U229" s="240"/>
      <c r="V229"/>
    </row>
    <row r="230" spans="2:22" ht="15" customHeight="1" x14ac:dyDescent="0.2">
      <c r="B230" s="60"/>
      <c r="C230" s="60"/>
      <c r="D230" s="60"/>
      <c r="E230" s="70"/>
      <c r="F230" s="70"/>
      <c r="G230" s="70"/>
      <c r="H230" s="70"/>
      <c r="I230" s="70"/>
      <c r="J230" s="70"/>
      <c r="O230" s="239"/>
      <c r="P230" s="239"/>
      <c r="Q230" s="240"/>
      <c r="R230" s="240"/>
      <c r="S230" s="240"/>
      <c r="T230" s="240"/>
      <c r="U230" s="240"/>
      <c r="V230"/>
    </row>
    <row r="231" spans="2:22" ht="15" customHeight="1" x14ac:dyDescent="0.2">
      <c r="B231" s="391" t="s">
        <v>271</v>
      </c>
      <c r="C231" s="61"/>
      <c r="D231" s="61"/>
      <c r="E231" s="73"/>
      <c r="F231" s="73"/>
      <c r="G231" s="73"/>
      <c r="H231" s="73"/>
      <c r="I231" s="73"/>
      <c r="J231" s="73"/>
    </row>
    <row r="232" spans="2:22" ht="33.75" x14ac:dyDescent="0.2">
      <c r="B232" s="295" t="s">
        <v>65</v>
      </c>
      <c r="C232" s="293"/>
      <c r="D232" s="293"/>
      <c r="E232" s="241" t="str">
        <f t="shared" ref="E232:K232" si="38">E202</f>
        <v xml:space="preserve">Residential </v>
      </c>
      <c r="F232" s="241" t="str">
        <f t="shared" si="38"/>
        <v>General Service &lt; 50 kW</v>
      </c>
      <c r="G232" s="241" t="str">
        <f t="shared" si="38"/>
        <v>General Service 50 to 2999 kW</v>
      </c>
      <c r="H232" s="241" t="str">
        <f t="shared" si="38"/>
        <v>General Service 3000 to 4999 kW</v>
      </c>
      <c r="I232" s="241" t="str">
        <f t="shared" si="38"/>
        <v>Street Lighting</v>
      </c>
      <c r="J232" s="241" t="str">
        <f t="shared" si="38"/>
        <v>Sentinel Lighting</v>
      </c>
      <c r="K232" s="241" t="str">
        <f t="shared" si="38"/>
        <v xml:space="preserve">Unmetered Scattered Load </v>
      </c>
      <c r="L232" s="241" t="s">
        <v>57</v>
      </c>
    </row>
    <row r="233" spans="2:22" ht="15" customHeight="1" x14ac:dyDescent="0.2">
      <c r="B233" s="214" t="s">
        <v>91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04"/>
    </row>
    <row r="234" spans="2:22" ht="15" customHeight="1" x14ac:dyDescent="0.2">
      <c r="B234" s="106" t="str">
        <f>B198</f>
        <v>2020 (Not Normalized)</v>
      </c>
      <c r="C234" s="300"/>
      <c r="D234" s="300"/>
      <c r="E234" s="213">
        <f t="shared" ref="E234:K235" si="39">E198</f>
        <v>201.17524748469947</v>
      </c>
      <c r="F234" s="213">
        <f t="shared" si="39"/>
        <v>80.332664262872498</v>
      </c>
      <c r="G234" s="213">
        <f t="shared" si="39"/>
        <v>199.33018673292099</v>
      </c>
      <c r="H234" s="213">
        <f t="shared" si="39"/>
        <v>14.897243509943134</v>
      </c>
      <c r="I234" s="213">
        <f t="shared" si="39"/>
        <v>2.0343285282138637</v>
      </c>
      <c r="J234" s="213">
        <f t="shared" si="39"/>
        <v>0.11977832115107913</v>
      </c>
      <c r="K234" s="250">
        <f t="shared" si="39"/>
        <v>3.9489699999999996E-2</v>
      </c>
      <c r="L234" s="213">
        <f>SUM(E234:K234)</f>
        <v>497.92893853980098</v>
      </c>
    </row>
    <row r="235" spans="2:22" ht="15" customHeight="1" x14ac:dyDescent="0.2">
      <c r="B235" s="106" t="str">
        <f>B199</f>
        <v>2021 (Not Normalized)</v>
      </c>
      <c r="C235" s="112"/>
      <c r="D235" s="112"/>
      <c r="E235" s="213">
        <f t="shared" si="39"/>
        <v>204.55888203125903</v>
      </c>
      <c r="F235" s="213">
        <f t="shared" si="39"/>
        <v>80.255127579103217</v>
      </c>
      <c r="G235" s="213">
        <f t="shared" si="39"/>
        <v>198.68371636222622</v>
      </c>
      <c r="H235" s="213">
        <f t="shared" si="39"/>
        <v>14.455053985684081</v>
      </c>
      <c r="I235" s="213">
        <f t="shared" si="39"/>
        <v>2.0322903804497572</v>
      </c>
      <c r="J235" s="213">
        <f t="shared" si="39"/>
        <v>0.11742972661870504</v>
      </c>
      <c r="K235" s="250">
        <f t="shared" si="39"/>
        <v>3.9489699999999996E-2</v>
      </c>
      <c r="L235" s="213">
        <f>SUM(E235:K235)</f>
        <v>500.14198976534095</v>
      </c>
    </row>
    <row r="236" spans="2:22" ht="15" customHeight="1" x14ac:dyDescent="0.2">
      <c r="B236" s="214" t="s">
        <v>92</v>
      </c>
      <c r="C236" s="110"/>
      <c r="D236" s="110"/>
      <c r="E236" s="110"/>
      <c r="F236" s="110"/>
      <c r="G236" s="110"/>
      <c r="H236" s="110"/>
      <c r="I236" s="110"/>
      <c r="J236" s="110"/>
      <c r="K236" s="251"/>
      <c r="L236" s="104"/>
    </row>
    <row r="237" spans="2:22" ht="15" customHeight="1" x14ac:dyDescent="0.2">
      <c r="B237" s="439">
        <f>B192</f>
        <v>2020</v>
      </c>
      <c r="C237" s="440"/>
      <c r="D237" s="441"/>
      <c r="E237" s="215">
        <f>'Rate Class Energy Model'!H80/1000000</f>
        <v>-1.4731695656947041</v>
      </c>
      <c r="F237" s="215">
        <f>'Rate Class Energy Model'!I80/1000000</f>
        <v>-0.58826141686359856</v>
      </c>
      <c r="G237" s="215">
        <f>'Rate Class Energy Model'!J80/1000000</f>
        <v>-1.3092014137574508</v>
      </c>
      <c r="H237" s="215">
        <f>'Rate Class Energy Model'!K80/1000000</f>
        <v>0</v>
      </c>
      <c r="I237" s="215">
        <f>'Rate Class Energy Model'!L80/1000000</f>
        <v>0</v>
      </c>
      <c r="J237" s="215">
        <f>'Rate Class Energy Model'!M80/1000000</f>
        <v>0</v>
      </c>
      <c r="K237" s="250">
        <f>'Rate Class Energy Model'!N80/1000000</f>
        <v>0</v>
      </c>
      <c r="L237" s="215">
        <f>SUM(E237:K237)</f>
        <v>-3.3706323963157536</v>
      </c>
    </row>
    <row r="238" spans="2:22" ht="15" customHeight="1" x14ac:dyDescent="0.2">
      <c r="B238" s="439">
        <f>B193</f>
        <v>2021</v>
      </c>
      <c r="C238" s="440"/>
      <c r="D238" s="441"/>
      <c r="E238" s="215">
        <f>'Rate Class Energy Model'!H81/1000000</f>
        <v>-2.8339099722213055</v>
      </c>
      <c r="F238" s="215">
        <f>'Rate Class Energy Model'!I81/1000000</f>
        <v>-1.1118353997141948</v>
      </c>
      <c r="G238" s="215">
        <f>'Rate Class Energy Model'!J81/1000000</f>
        <v>-2.468795862691747</v>
      </c>
      <c r="H238" s="215">
        <f>'Rate Class Energy Model'!K81/1000000</f>
        <v>0</v>
      </c>
      <c r="I238" s="215">
        <f>'Rate Class Energy Model'!L81/1000000</f>
        <v>0</v>
      </c>
      <c r="J238" s="215">
        <f>'Rate Class Energy Model'!M81/1000000</f>
        <v>0</v>
      </c>
      <c r="K238" s="250">
        <f>'Rate Class Energy Model'!N81/1000000</f>
        <v>0</v>
      </c>
      <c r="L238" s="215">
        <f>SUM(E238:K238)</f>
        <v>-6.4145412346272472</v>
      </c>
    </row>
    <row r="239" spans="2:22" ht="15" customHeight="1" x14ac:dyDescent="0.2">
      <c r="B239" s="214" t="s">
        <v>115</v>
      </c>
      <c r="C239" s="110"/>
      <c r="D239" s="110"/>
      <c r="E239" s="110"/>
      <c r="F239" s="110"/>
      <c r="G239" s="110"/>
      <c r="H239" s="110"/>
      <c r="I239" s="110"/>
      <c r="J239" s="110"/>
      <c r="K239" s="251"/>
      <c r="L239" s="104"/>
    </row>
    <row r="240" spans="2:22" ht="15" customHeight="1" x14ac:dyDescent="0.2">
      <c r="B240" s="439">
        <f>B237</f>
        <v>2020</v>
      </c>
      <c r="C240" s="440"/>
      <c r="D240" s="441"/>
      <c r="E240" s="216">
        <f>-'Rate Class Energy Model'!H83/1000000</f>
        <v>-1.9861E-2</v>
      </c>
      <c r="F240" s="216">
        <f>-'Rate Class Energy Model'!I83/1000000</f>
        <v>-0.10743900000000001</v>
      </c>
      <c r="G240" s="216">
        <f>-'Rate Class Energy Model'!J83/1000000</f>
        <v>-1.337718</v>
      </c>
      <c r="H240" s="216">
        <f>-'Rate Class Energy Model'!K83/1000000</f>
        <v>0</v>
      </c>
      <c r="I240" s="216">
        <f>-'Rate Class Energy Model'!L83/1000000</f>
        <v>0</v>
      </c>
      <c r="J240" s="216">
        <f>-'Rate Class Energy Model'!M83/1000000</f>
        <v>0</v>
      </c>
      <c r="K240" s="250">
        <f>-'Rate Class Energy Model'!N83/1000000</f>
        <v>0</v>
      </c>
      <c r="L240" s="215">
        <f>SUM(E240:K240)</f>
        <v>-1.4650179999999999</v>
      </c>
    </row>
    <row r="241" spans="2:14" ht="15" customHeight="1" x14ac:dyDescent="0.2">
      <c r="B241" s="439">
        <f>B238</f>
        <v>2021</v>
      </c>
      <c r="C241" s="440"/>
      <c r="D241" s="441"/>
      <c r="E241" s="216">
        <f>-'Rate Class Energy Model'!H84/1000000</f>
        <v>-1.9861E-2</v>
      </c>
      <c r="F241" s="216">
        <f>-'Rate Class Energy Model'!I84/1000000</f>
        <v>-0.10743900000000001</v>
      </c>
      <c r="G241" s="216">
        <f>-'Rate Class Energy Model'!J84/1000000</f>
        <v>-1.337718</v>
      </c>
      <c r="H241" s="216">
        <f>-'Rate Class Energy Model'!K84/1000000</f>
        <v>0</v>
      </c>
      <c r="I241" s="216">
        <f>-'Rate Class Energy Model'!L84/1000000</f>
        <v>0</v>
      </c>
      <c r="J241" s="216">
        <f>-'Rate Class Energy Model'!M84/1000000</f>
        <v>0</v>
      </c>
      <c r="K241" s="250">
        <f>-'Rate Class Energy Model'!N84/1000000</f>
        <v>0</v>
      </c>
      <c r="L241" s="215">
        <f>SUM(E241:K241)</f>
        <v>-1.4650179999999999</v>
      </c>
    </row>
    <row r="242" spans="2:14" ht="15" customHeight="1" x14ac:dyDescent="0.2">
      <c r="B242" s="214" t="s">
        <v>93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04"/>
    </row>
    <row r="243" spans="2:14" ht="15" customHeight="1" x14ac:dyDescent="0.2">
      <c r="B243" s="439" t="str">
        <f>B120</f>
        <v>2020 Bridge - Normalized</v>
      </c>
      <c r="C243" s="440"/>
      <c r="D243" s="441"/>
      <c r="E243" s="216">
        <f t="shared" ref="E243:L244" si="40">E234+E237+E240</f>
        <v>199.68221691900476</v>
      </c>
      <c r="F243" s="216">
        <f t="shared" si="40"/>
        <v>79.636963846008896</v>
      </c>
      <c r="G243" s="216">
        <f t="shared" si="40"/>
        <v>196.68326731916355</v>
      </c>
      <c r="H243" s="216">
        <f t="shared" si="40"/>
        <v>14.897243509943134</v>
      </c>
      <c r="I243" s="216">
        <f t="shared" si="40"/>
        <v>2.0343285282138637</v>
      </c>
      <c r="J243" s="216">
        <f t="shared" si="40"/>
        <v>0.11977832115107913</v>
      </c>
      <c r="K243" s="216">
        <f t="shared" si="40"/>
        <v>3.9489699999999996E-2</v>
      </c>
      <c r="L243" s="216">
        <f t="shared" si="40"/>
        <v>493.09328814348527</v>
      </c>
    </row>
    <row r="244" spans="2:14" ht="11.25" x14ac:dyDescent="0.2">
      <c r="B244" s="439" t="str">
        <f>B121</f>
        <v>2021 Test - Normalized</v>
      </c>
      <c r="C244" s="440"/>
      <c r="D244" s="441"/>
      <c r="E244" s="216">
        <f t="shared" si="40"/>
        <v>201.70511105903773</v>
      </c>
      <c r="F244" s="216">
        <f t="shared" si="40"/>
        <v>79.035853179389022</v>
      </c>
      <c r="G244" s="216">
        <f t="shared" si="40"/>
        <v>194.87720249953449</v>
      </c>
      <c r="H244" s="216">
        <f t="shared" si="40"/>
        <v>14.455053985684081</v>
      </c>
      <c r="I244" s="216">
        <f t="shared" si="40"/>
        <v>2.0322903804497572</v>
      </c>
      <c r="J244" s="216">
        <f t="shared" si="40"/>
        <v>0.11742972661870504</v>
      </c>
      <c r="K244" s="216">
        <f t="shared" si="40"/>
        <v>3.9489699999999996E-2</v>
      </c>
      <c r="L244" s="216">
        <f t="shared" si="40"/>
        <v>492.26243053071374</v>
      </c>
      <c r="N244" s="98"/>
    </row>
    <row r="245" spans="2:14" ht="15" customHeight="1" x14ac:dyDescent="0.2">
      <c r="B245" s="86"/>
      <c r="C245" s="86"/>
      <c r="D245" s="86"/>
      <c r="E245" s="71"/>
      <c r="F245" s="71"/>
      <c r="G245" s="71"/>
      <c r="H245" s="71"/>
      <c r="I245" s="71"/>
      <c r="J245" s="71"/>
      <c r="K245" s="69"/>
    </row>
    <row r="246" spans="2:14" ht="15" customHeight="1" x14ac:dyDescent="0.2">
      <c r="B246" s="391" t="s">
        <v>272</v>
      </c>
      <c r="C246" s="61"/>
      <c r="D246" s="61"/>
      <c r="E246" s="73"/>
      <c r="F246" s="73"/>
      <c r="G246" s="73"/>
      <c r="H246" s="73"/>
      <c r="I246" s="73"/>
      <c r="J246" s="73"/>
      <c r="M246" s="328"/>
    </row>
    <row r="247" spans="2:14" ht="33.75" x14ac:dyDescent="0.2">
      <c r="B247" s="243" t="s">
        <v>65</v>
      </c>
      <c r="C247" s="244"/>
      <c r="D247" s="244"/>
      <c r="E247" s="245" t="str">
        <f>G232</f>
        <v>General Service 50 to 2999 kW</v>
      </c>
      <c r="F247" s="245" t="str">
        <f>H232</f>
        <v>General Service 3000 to 4999 kW</v>
      </c>
      <c r="G247" s="245" t="str">
        <f>I232</f>
        <v>Street Lighting</v>
      </c>
      <c r="H247" s="241" t="str">
        <f>J232</f>
        <v>Sentinel Lighting</v>
      </c>
      <c r="I247" s="241" t="str">
        <f>L232</f>
        <v>TOTAL</v>
      </c>
    </row>
    <row r="248" spans="2:14" ht="15" customHeight="1" x14ac:dyDescent="0.2">
      <c r="B248" s="99" t="s">
        <v>94</v>
      </c>
      <c r="C248" s="100"/>
      <c r="D248" s="100"/>
      <c r="E248" s="100"/>
      <c r="F248" s="100"/>
      <c r="G248" s="100"/>
      <c r="H248" s="100"/>
      <c r="I248" s="101"/>
    </row>
    <row r="249" spans="2:14" ht="15" customHeight="1" x14ac:dyDescent="0.2">
      <c r="B249" s="106">
        <f>'Exhibit 3 Tables'!B177</f>
        <v>2010</v>
      </c>
      <c r="C249" s="107"/>
      <c r="D249" s="107"/>
      <c r="E249" s="108">
        <f>'Rate Class Load Model'!B13</f>
        <v>588203.21</v>
      </c>
      <c r="F249" s="108">
        <f>'Rate Class Load Model'!C13</f>
        <v>78059.55</v>
      </c>
      <c r="G249" s="108">
        <f>'Rate Class Load Model'!D13</f>
        <v>9284.76</v>
      </c>
      <c r="H249" s="108">
        <f>'Rate Class Load Model'!E13</f>
        <v>1541.04</v>
      </c>
      <c r="I249" s="64">
        <f t="shared" ref="I249:I258" si="41">SUM(E249:H249)</f>
        <v>677088.56</v>
      </c>
      <c r="K249" s="65"/>
      <c r="M249" s="65"/>
    </row>
    <row r="250" spans="2:14" ht="15" customHeight="1" x14ac:dyDescent="0.2">
      <c r="B250" s="106">
        <f>'Exhibit 3 Tables'!B178</f>
        <v>2011</v>
      </c>
      <c r="C250" s="107"/>
      <c r="D250" s="107"/>
      <c r="E250" s="108">
        <f>'Rate Class Load Model'!B14</f>
        <v>582945.86</v>
      </c>
      <c r="F250" s="108">
        <f>'Rate Class Load Model'!C14</f>
        <v>70473.350000000006</v>
      </c>
      <c r="G250" s="108">
        <f>'Rate Class Load Model'!D14</f>
        <v>9041.75</v>
      </c>
      <c r="H250" s="108">
        <f>'Rate Class Load Model'!E14</f>
        <v>1286.7100000000016</v>
      </c>
      <c r="I250" s="64">
        <f t="shared" si="41"/>
        <v>663747.66999999993</v>
      </c>
      <c r="K250" s="65"/>
      <c r="M250" s="65"/>
    </row>
    <row r="251" spans="2:14" ht="15" customHeight="1" x14ac:dyDescent="0.2">
      <c r="B251" s="106">
        <f>'Exhibit 3 Tables'!B179</f>
        <v>2012</v>
      </c>
      <c r="C251" s="107"/>
      <c r="D251" s="107"/>
      <c r="E251" s="108">
        <f>'Rate Class Load Model'!B15</f>
        <v>540969</v>
      </c>
      <c r="F251" s="108">
        <f>'Rate Class Load Model'!C15</f>
        <v>68480</v>
      </c>
      <c r="G251" s="108">
        <f>'Rate Class Load Model'!D15</f>
        <v>7788</v>
      </c>
      <c r="H251" s="108">
        <f>'Rate Class Load Model'!E15</f>
        <v>1601</v>
      </c>
      <c r="I251" s="64">
        <f t="shared" si="41"/>
        <v>618838</v>
      </c>
      <c r="K251" s="65"/>
      <c r="M251" s="65"/>
    </row>
    <row r="252" spans="2:14" ht="15" customHeight="1" x14ac:dyDescent="0.2">
      <c r="B252" s="106">
        <f>'Exhibit 3 Tables'!B180</f>
        <v>2013</v>
      </c>
      <c r="C252" s="107"/>
      <c r="D252" s="107"/>
      <c r="E252" s="108">
        <f>'Rate Class Load Model'!B16</f>
        <v>535312.51999999979</v>
      </c>
      <c r="F252" s="108">
        <f>'Rate Class Load Model'!C16</f>
        <v>69448.33</v>
      </c>
      <c r="G252" s="108">
        <f>'Rate Class Load Model'!D16</f>
        <v>6559.4</v>
      </c>
      <c r="H252" s="108">
        <f>'Rate Class Load Model'!E16</f>
        <v>1224.070000000002</v>
      </c>
      <c r="I252" s="64">
        <f t="shared" si="41"/>
        <v>612544.31999999972</v>
      </c>
      <c r="K252" s="65"/>
      <c r="M252" s="65"/>
    </row>
    <row r="253" spans="2:14" ht="15" customHeight="1" x14ac:dyDescent="0.2">
      <c r="B253" s="106">
        <f>'Exhibit 3 Tables'!B181</f>
        <v>2014</v>
      </c>
      <c r="C253" s="107"/>
      <c r="D253" s="107"/>
      <c r="E253" s="108">
        <f>'Rate Class Load Model'!B17</f>
        <v>533378.05000000005</v>
      </c>
      <c r="F253" s="108">
        <f>'Rate Class Load Model'!C17</f>
        <v>54354.869999999995</v>
      </c>
      <c r="G253" s="108">
        <f>'Rate Class Load Model'!D17</f>
        <v>5677.1200000000008</v>
      </c>
      <c r="H253" s="108">
        <f>'Rate Class Load Model'!E17</f>
        <v>1178.6100000000022</v>
      </c>
      <c r="I253" s="64">
        <f t="shared" si="41"/>
        <v>594588.65</v>
      </c>
      <c r="K253" s="65"/>
      <c r="M253" s="65"/>
    </row>
    <row r="254" spans="2:14" ht="15" customHeight="1" x14ac:dyDescent="0.2">
      <c r="B254" s="106">
        <f>'Exhibit 3 Tables'!B182</f>
        <v>2015</v>
      </c>
      <c r="C254" s="107"/>
      <c r="D254" s="107"/>
      <c r="E254" s="108">
        <f>'Rate Class Load Model'!B18</f>
        <v>537897.68000000017</v>
      </c>
      <c r="F254" s="108">
        <f>'Rate Class Load Model'!C18</f>
        <v>39466.039999999994</v>
      </c>
      <c r="G254" s="108">
        <f>'Rate Class Load Model'!D18</f>
        <v>5690.27</v>
      </c>
      <c r="H254" s="108">
        <f>'Rate Class Load Model'!E18</f>
        <v>1033.7400000000014</v>
      </c>
      <c r="I254" s="64">
        <f t="shared" si="41"/>
        <v>584087.73000000021</v>
      </c>
      <c r="K254" s="65"/>
      <c r="M254" s="65"/>
    </row>
    <row r="255" spans="2:14" ht="15" customHeight="1" x14ac:dyDescent="0.2">
      <c r="B255" s="106">
        <f>'Exhibit 3 Tables'!B183</f>
        <v>2016</v>
      </c>
      <c r="C255" s="107"/>
      <c r="D255" s="107"/>
      <c r="E255" s="108">
        <f>'Rate Class Load Model'!B19</f>
        <v>529360.3600000001</v>
      </c>
      <c r="F255" s="108">
        <f>'Rate Class Load Model'!C19</f>
        <v>35717.369999999995</v>
      </c>
      <c r="G255" s="108">
        <f>'Rate Class Load Model'!D19</f>
        <v>5690.28</v>
      </c>
      <c r="H255" s="108">
        <f>'Rate Class Load Model'!E19</f>
        <v>406.11999999999938</v>
      </c>
      <c r="I255" s="64">
        <f t="shared" si="41"/>
        <v>571174.13000000012</v>
      </c>
      <c r="K255" s="65"/>
      <c r="M255" s="65"/>
    </row>
    <row r="256" spans="2:14" ht="15" customHeight="1" x14ac:dyDescent="0.2">
      <c r="B256" s="106">
        <f>'Exhibit 3 Tables'!B184</f>
        <v>2017</v>
      </c>
      <c r="C256" s="107"/>
      <c r="D256" s="107"/>
      <c r="E256" s="108">
        <f>'Rate Class Load Model'!B20</f>
        <v>528741.1399999999</v>
      </c>
      <c r="F256" s="108">
        <f>'Rate Class Load Model'!C20</f>
        <v>30516.22</v>
      </c>
      <c r="G256" s="108">
        <f>'Rate Class Load Model'!D20</f>
        <v>5690.28</v>
      </c>
      <c r="H256" s="108">
        <f>'Rate Class Load Model'!E20</f>
        <v>329.73999999999944</v>
      </c>
      <c r="I256" s="64">
        <f t="shared" si="41"/>
        <v>565277.37999999989</v>
      </c>
      <c r="K256" s="65"/>
      <c r="M256" s="65"/>
    </row>
    <row r="257" spans="2:13" ht="15" customHeight="1" x14ac:dyDescent="0.2">
      <c r="B257" s="106">
        <f>'Exhibit 3 Tables'!B185</f>
        <v>2018</v>
      </c>
      <c r="C257" s="107"/>
      <c r="D257" s="107"/>
      <c r="E257" s="108">
        <f>'Rate Class Load Model'!B21</f>
        <v>522247.32</v>
      </c>
      <c r="F257" s="108">
        <f>'Rate Class Load Model'!C21</f>
        <v>30271.190000000002</v>
      </c>
      <c r="G257" s="108">
        <f>'Rate Class Load Model'!D21</f>
        <v>5690.28</v>
      </c>
      <c r="H257" s="108">
        <f>'Rate Class Load Model'!E21</f>
        <v>315.71999999999952</v>
      </c>
      <c r="I257" s="64">
        <f t="shared" si="41"/>
        <v>558524.51</v>
      </c>
      <c r="K257" s="65"/>
      <c r="M257" s="65"/>
    </row>
    <row r="258" spans="2:13" ht="15" customHeight="1" x14ac:dyDescent="0.2">
      <c r="B258" s="106">
        <f>'Exhibit 3 Tables'!B186</f>
        <v>2019</v>
      </c>
      <c r="C258" s="107"/>
      <c r="D258" s="107"/>
      <c r="E258" s="108">
        <f>'Rate Class Load Model'!B22</f>
        <v>523294.41</v>
      </c>
      <c r="F258" s="108">
        <f>'Rate Class Load Model'!C22</f>
        <v>29275.15</v>
      </c>
      <c r="G258" s="108">
        <f>'Rate Class Load Model'!D22</f>
        <v>5690.28</v>
      </c>
      <c r="H258" s="108">
        <f>'Rate Class Load Model'!E22</f>
        <v>310.34000000000003</v>
      </c>
      <c r="I258" s="64">
        <f t="shared" si="41"/>
        <v>558570.17999999993</v>
      </c>
      <c r="K258" s="65"/>
      <c r="M258" s="65"/>
    </row>
    <row r="259" spans="2:13" ht="15" customHeight="1" x14ac:dyDescent="0.2">
      <c r="B259" s="86"/>
      <c r="C259" s="86"/>
      <c r="D259" s="86"/>
      <c r="E259" s="68"/>
      <c r="F259" s="68"/>
      <c r="G259" s="68"/>
      <c r="H259" s="68"/>
    </row>
    <row r="260" spans="2:13" ht="15.75" customHeight="1" x14ac:dyDescent="0.2">
      <c r="B260" s="391" t="s">
        <v>273</v>
      </c>
      <c r="C260" s="61"/>
      <c r="D260" s="61"/>
      <c r="E260" s="73"/>
      <c r="F260" s="73"/>
      <c r="G260" s="73"/>
      <c r="H260" s="73"/>
    </row>
    <row r="261" spans="2:13" ht="33.75" x14ac:dyDescent="0.2">
      <c r="B261" s="295" t="s">
        <v>65</v>
      </c>
      <c r="C261" s="293"/>
      <c r="D261" s="293"/>
      <c r="E261" s="241" t="str">
        <f>E247</f>
        <v>General Service 50 to 2999 kW</v>
      </c>
      <c r="F261" s="241" t="str">
        <f>F247</f>
        <v>General Service 3000 to 4999 kW</v>
      </c>
      <c r="G261" s="241" t="str">
        <f>G247</f>
        <v>Street Lighting</v>
      </c>
      <c r="H261" s="241" t="str">
        <f>H247</f>
        <v>Sentinel Lighting</v>
      </c>
    </row>
    <row r="262" spans="2:13" ht="15" customHeight="1" x14ac:dyDescent="0.2">
      <c r="B262" s="99" t="s">
        <v>95</v>
      </c>
      <c r="C262" s="100"/>
      <c r="D262" s="100"/>
      <c r="E262" s="100"/>
      <c r="F262" s="100"/>
      <c r="G262" s="100"/>
      <c r="H262" s="101"/>
    </row>
    <row r="263" spans="2:13" ht="15" customHeight="1" x14ac:dyDescent="0.2">
      <c r="B263" s="106">
        <f t="shared" ref="B263:B272" si="42">B249</f>
        <v>2010</v>
      </c>
      <c r="C263" s="107"/>
      <c r="D263" s="107"/>
      <c r="E263" s="113">
        <f>'Rate Class Load Model'!B42</f>
        <v>2.5569857303286057E-3</v>
      </c>
      <c r="F263" s="113">
        <f>'Rate Class Load Model'!C42</f>
        <v>1.9025873182317073E-3</v>
      </c>
      <c r="G263" s="113">
        <f>'Rate Class Load Model'!D42</f>
        <v>2.7930893351157384E-3</v>
      </c>
      <c r="H263" s="113">
        <f>'Rate Class Load Model'!E42</f>
        <v>2.7063918380993779E-3</v>
      </c>
    </row>
    <row r="264" spans="2:13" ht="15" customHeight="1" x14ac:dyDescent="0.2">
      <c r="B264" s="106">
        <f t="shared" si="42"/>
        <v>2011</v>
      </c>
      <c r="C264" s="107"/>
      <c r="D264" s="107"/>
      <c r="E264" s="113">
        <f>'Rate Class Load Model'!B43</f>
        <v>2.5163054682211241E-3</v>
      </c>
      <c r="F264" s="113">
        <f>'Rate Class Load Model'!C43</f>
        <v>1.9002246499930132E-3</v>
      </c>
      <c r="G264" s="113">
        <f>'Rate Class Load Model'!D43</f>
        <v>2.821911309656568E-3</v>
      </c>
      <c r="H264" s="113">
        <f>'Rate Class Load Model'!E43</f>
        <v>2.6713843663505629E-3</v>
      </c>
    </row>
    <row r="265" spans="2:13" ht="15" customHeight="1" x14ac:dyDescent="0.2">
      <c r="B265" s="106">
        <f t="shared" si="42"/>
        <v>2012</v>
      </c>
      <c r="C265" s="107"/>
      <c r="D265" s="107"/>
      <c r="E265" s="113">
        <f>'Rate Class Load Model'!B44</f>
        <v>2.4184037792997757E-3</v>
      </c>
      <c r="F265" s="113">
        <f>'Rate Class Load Model'!C44</f>
        <v>1.9169845034718248E-3</v>
      </c>
      <c r="G265" s="113">
        <f>'Rate Class Load Model'!D44</f>
        <v>2.7911592603684565E-3</v>
      </c>
      <c r="H265" s="113">
        <f>'Rate Class Load Model'!E44</f>
        <v>3.2823554084001525E-3</v>
      </c>
    </row>
    <row r="266" spans="2:13" ht="15" customHeight="1" x14ac:dyDescent="0.2">
      <c r="B266" s="106">
        <f t="shared" si="42"/>
        <v>2013</v>
      </c>
      <c r="C266" s="107"/>
      <c r="D266" s="107"/>
      <c r="E266" s="113">
        <f>'Rate Class Load Model'!B45</f>
        <v>2.471268703813249E-3</v>
      </c>
      <c r="F266" s="113">
        <f>'Rate Class Load Model'!C45</f>
        <v>1.9412511676483778E-3</v>
      </c>
      <c r="G266" s="113">
        <f>'Rate Class Load Model'!D45</f>
        <v>2.7932924851604367E-3</v>
      </c>
      <c r="H266" s="113">
        <f>'Rate Class Load Model'!E45</f>
        <v>2.7572210621082138E-3</v>
      </c>
    </row>
    <row r="267" spans="2:13" ht="15" customHeight="1" x14ac:dyDescent="0.2">
      <c r="B267" s="106">
        <f t="shared" si="42"/>
        <v>2014</v>
      </c>
      <c r="C267" s="107"/>
      <c r="D267" s="107"/>
      <c r="E267" s="113">
        <f>'Rate Class Load Model'!B46</f>
        <v>2.4552909728602079E-3</v>
      </c>
      <c r="F267" s="113">
        <f>'Rate Class Load Model'!C46</f>
        <v>2.0186343312287754E-3</v>
      </c>
      <c r="G267" s="113">
        <f>'Rate Class Load Model'!D46</f>
        <v>2.8013498243573023E-3</v>
      </c>
      <c r="H267" s="113">
        <f>'Rate Class Load Model'!E46</f>
        <v>2.7797888189757276E-3</v>
      </c>
    </row>
    <row r="268" spans="2:13" ht="15" customHeight="1" x14ac:dyDescent="0.2">
      <c r="B268" s="106">
        <f t="shared" si="42"/>
        <v>2015</v>
      </c>
      <c r="C268" s="107"/>
      <c r="D268" s="107"/>
      <c r="E268" s="113">
        <f>'Rate Class Load Model'!B47</f>
        <v>2.4875160931048363E-3</v>
      </c>
      <c r="F268" s="113">
        <f>'Rate Class Load Model'!C47</f>
        <v>2.224863300917554E-3</v>
      </c>
      <c r="G268" s="113">
        <f>'Rate Class Load Model'!D47</f>
        <v>2.7943220420317593E-3</v>
      </c>
      <c r="H268" s="113">
        <f>'Rate Class Load Model'!E47</f>
        <v>2.764897606325751E-3</v>
      </c>
    </row>
    <row r="269" spans="2:13" ht="15" customHeight="1" x14ac:dyDescent="0.2">
      <c r="B269" s="106">
        <f t="shared" si="42"/>
        <v>2016</v>
      </c>
      <c r="C269" s="107"/>
      <c r="D269" s="107"/>
      <c r="E269" s="113">
        <f>'Rate Class Load Model'!B48</f>
        <v>2.6352006581074842E-3</v>
      </c>
      <c r="F269" s="113">
        <f>'Rate Class Load Model'!C48</f>
        <v>2.1253416870727682E-3</v>
      </c>
      <c r="G269" s="113">
        <f>'Rate Class Load Model'!D48</f>
        <v>2.7859366453953979E-3</v>
      </c>
      <c r="H269" s="113">
        <f>'Rate Class Load Model'!E48</f>
        <v>2.5984849934164462E-3</v>
      </c>
    </row>
    <row r="270" spans="2:13" ht="15" customHeight="1" x14ac:dyDescent="0.2">
      <c r="B270" s="106">
        <f t="shared" si="42"/>
        <v>2017</v>
      </c>
      <c r="C270" s="107"/>
      <c r="D270" s="107"/>
      <c r="E270" s="113">
        <f>'Rate Class Load Model'!B49</f>
        <v>2.6391378079695898E-3</v>
      </c>
      <c r="F270" s="113">
        <f>'Rate Class Load Model'!C49</f>
        <v>1.846921152494627E-3</v>
      </c>
      <c r="G270" s="113">
        <f>'Rate Class Load Model'!D49</f>
        <v>2.7943269527337853E-3</v>
      </c>
      <c r="H270" s="113">
        <f>'Rate Class Load Model'!E49</f>
        <v>2.5546197758281228E-3</v>
      </c>
    </row>
    <row r="271" spans="2:13" ht="15" customHeight="1" x14ac:dyDescent="0.2">
      <c r="B271" s="106">
        <f t="shared" si="42"/>
        <v>2018</v>
      </c>
      <c r="C271" s="107"/>
      <c r="D271" s="107"/>
      <c r="E271" s="113">
        <f>'Rate Class Load Model'!B50</f>
        <v>2.6112539893848163E-3</v>
      </c>
      <c r="F271" s="113">
        <f>'Rate Class Load Model'!C50</f>
        <v>1.8702405681255856E-3</v>
      </c>
      <c r="G271" s="113">
        <f>'Rate Class Load Model'!D50</f>
        <v>2.8008926463391191E-3</v>
      </c>
      <c r="H271" s="113">
        <f>'Rate Class Load Model'!E50</f>
        <v>2.5317687987963093E-3</v>
      </c>
    </row>
    <row r="272" spans="2:13" ht="15" customHeight="1" x14ac:dyDescent="0.2">
      <c r="B272" s="106">
        <f t="shared" si="42"/>
        <v>2019</v>
      </c>
      <c r="C272" s="107"/>
      <c r="D272" s="107"/>
      <c r="E272" s="113">
        <f>'Rate Class Load Model'!B51</f>
        <v>2.6170828283235354E-3</v>
      </c>
      <c r="F272" s="113">
        <f>'Rate Class Load Model'!C51</f>
        <v>1.9068082109691437E-3</v>
      </c>
      <c r="G272" s="113">
        <f>'Rate Class Load Model'!D51</f>
        <v>2.7943269527337853E-3</v>
      </c>
      <c r="H272" s="113">
        <f>'Rate Class Load Model'!E51</f>
        <v>2.5350331468204385E-3</v>
      </c>
    </row>
    <row r="273" spans="2:12" ht="15" customHeight="1" x14ac:dyDescent="0.2">
      <c r="B273" s="287" t="s">
        <v>199</v>
      </c>
      <c r="C273" s="288"/>
      <c r="D273" s="288"/>
      <c r="E273" s="217">
        <f>'Rate Class Load Model'!B56</f>
        <v>2.6224915418926477E-3</v>
      </c>
      <c r="F273" s="217">
        <f>'Rate Class Load Model'!C56</f>
        <v>1.8746566438631188E-3</v>
      </c>
      <c r="G273" s="217">
        <f>'Rate Class Load Model'!D56</f>
        <v>2.7965155172688968E-3</v>
      </c>
      <c r="H273" s="217">
        <f>'Rate Class Load Model'!E56</f>
        <v>2.5404739071482902E-3</v>
      </c>
      <c r="K273" s="348">
        <f>+I243</f>
        <v>2.0343285282138637</v>
      </c>
      <c r="L273" s="349">
        <f>+K273*1000000</f>
        <v>2034328.5282138637</v>
      </c>
    </row>
    <row r="274" spans="2:12" ht="15" customHeight="1" x14ac:dyDescent="0.2">
      <c r="B274" s="86"/>
      <c r="C274" s="86"/>
      <c r="D274" s="86"/>
      <c r="E274" s="72"/>
      <c r="F274" s="72"/>
      <c r="G274" s="72"/>
      <c r="K274" s="348">
        <f>+I244</f>
        <v>2.0322903804497572</v>
      </c>
      <c r="L274" s="349">
        <f>+K274*1000000</f>
        <v>2032290.3804497572</v>
      </c>
    </row>
    <row r="275" spans="2:12" ht="15" customHeight="1" x14ac:dyDescent="0.2">
      <c r="B275" s="391" t="s">
        <v>274</v>
      </c>
      <c r="C275" s="61"/>
      <c r="D275" s="61"/>
      <c r="E275" s="73"/>
      <c r="F275" s="73"/>
      <c r="G275" s="73"/>
    </row>
    <row r="276" spans="2:12" ht="33.75" x14ac:dyDescent="0.2">
      <c r="B276" s="295" t="s">
        <v>65</v>
      </c>
      <c r="C276" s="293"/>
      <c r="D276" s="293"/>
      <c r="E276" s="241" t="str">
        <f>E261</f>
        <v>General Service 50 to 2999 kW</v>
      </c>
      <c r="F276" s="241" t="str">
        <f>F261</f>
        <v>General Service 3000 to 4999 kW</v>
      </c>
      <c r="G276" s="241" t="str">
        <f>G261</f>
        <v>Street Lighting</v>
      </c>
      <c r="H276" s="241" t="str">
        <f>H261</f>
        <v>Sentinel Lighting</v>
      </c>
      <c r="I276" s="241" t="str">
        <f>I247</f>
        <v>TOTAL</v>
      </c>
    </row>
    <row r="277" spans="2:12" ht="15" customHeight="1" x14ac:dyDescent="0.2">
      <c r="B277" s="287" t="s">
        <v>96</v>
      </c>
      <c r="C277" s="288"/>
      <c r="D277" s="288"/>
      <c r="E277" s="288"/>
      <c r="F277" s="288"/>
      <c r="G277" s="289"/>
      <c r="H277" s="110"/>
      <c r="I277" s="104"/>
    </row>
    <row r="278" spans="2:12" ht="11.25" x14ac:dyDescent="0.2">
      <c r="B278" s="287" t="str">
        <f>B243</f>
        <v>2020 Bridge - Normalized</v>
      </c>
      <c r="C278" s="288"/>
      <c r="D278" s="288"/>
      <c r="E278" s="80">
        <f>E273*G243*1000000+6602-382</f>
        <v>522020.20497631707</v>
      </c>
      <c r="F278" s="80">
        <f>F273*H243*1000000</f>
        <v>27927.216521161627</v>
      </c>
      <c r="G278" s="80">
        <f>+'Rate Class Load Model'!D23</f>
        <v>5690.28</v>
      </c>
      <c r="H278" s="80">
        <f>H273*J243*1000000</f>
        <v>304.29369952634471</v>
      </c>
      <c r="I278" s="64">
        <f>SUM(E278:H278)</f>
        <v>555941.9951970051</v>
      </c>
      <c r="K278" s="65"/>
    </row>
    <row r="279" spans="2:12" ht="15" customHeight="1" x14ac:dyDescent="0.2">
      <c r="B279" s="287" t="str">
        <f>B244</f>
        <v>2021 Test - Normalized</v>
      </c>
      <c r="C279" s="288"/>
      <c r="D279" s="288"/>
      <c r="E279" s="80">
        <f>E273*G244*1000000+6602-382</f>
        <v>517283.81526272994</v>
      </c>
      <c r="F279" s="80">
        <f>F273*H244*1000000</f>
        <v>27098.262991662719</v>
      </c>
      <c r="G279" s="80">
        <f>+'Rate Class Load Model'!D24</f>
        <v>5690.28</v>
      </c>
      <c r="H279" s="80">
        <f>H273*J244*1000000</f>
        <v>298.32715639837721</v>
      </c>
      <c r="I279" s="64">
        <f>SUM(E279:H279)</f>
        <v>550370.68541079096</v>
      </c>
      <c r="K279" s="65"/>
      <c r="L279" s="65"/>
    </row>
    <row r="280" spans="2:12" ht="15" customHeight="1" x14ac:dyDescent="0.2">
      <c r="B280" s="60"/>
      <c r="C280" s="60"/>
      <c r="D280" s="60"/>
    </row>
    <row r="281" spans="2:12" ht="15" customHeight="1" x14ac:dyDescent="0.2">
      <c r="B281" s="391" t="s">
        <v>275</v>
      </c>
      <c r="C281" s="61"/>
      <c r="D281" s="61"/>
      <c r="E281" s="73"/>
      <c r="F281" s="73"/>
      <c r="G281" s="73"/>
    </row>
    <row r="282" spans="2:12" ht="22.5" x14ac:dyDescent="0.2">
      <c r="B282" s="442"/>
      <c r="C282" s="443"/>
      <c r="D282" s="443"/>
      <c r="E282" s="444"/>
      <c r="F282" s="294" t="s">
        <v>169</v>
      </c>
      <c r="G282" s="294" t="s">
        <v>170</v>
      </c>
      <c r="H282" s="294" t="s">
        <v>171</v>
      </c>
      <c r="I282" s="294" t="s">
        <v>172</v>
      </c>
      <c r="J282" s="294" t="s">
        <v>173</v>
      </c>
      <c r="K282" s="242" t="str">
        <f>B19</f>
        <v>2020 Bridge - Normalized</v>
      </c>
      <c r="L282" s="242" t="str">
        <f>B20</f>
        <v>2021 Test - Normalized</v>
      </c>
    </row>
    <row r="283" spans="2:12" ht="15" customHeight="1" x14ac:dyDescent="0.2">
      <c r="B283" s="436" t="s">
        <v>50</v>
      </c>
      <c r="C283" s="437"/>
      <c r="D283" s="437"/>
      <c r="E283" s="438"/>
      <c r="F283" s="82">
        <f>Summary!G4</f>
        <v>538323195.74000001</v>
      </c>
      <c r="G283" s="82">
        <f>Summary!H4</f>
        <v>508987624.24000013</v>
      </c>
      <c r="H283" s="82">
        <f>Summary!I4</f>
        <v>500698339.18000001</v>
      </c>
      <c r="I283" s="82">
        <f>Summary!J4</f>
        <v>514889565.40999997</v>
      </c>
      <c r="J283" s="82">
        <f>Summary!K4</f>
        <v>514147823.86999995</v>
      </c>
      <c r="K283" s="82">
        <v>0</v>
      </c>
      <c r="L283" s="82">
        <v>0</v>
      </c>
    </row>
    <row r="284" spans="2:12" ht="15" customHeight="1" x14ac:dyDescent="0.2">
      <c r="B284" s="436" t="s">
        <v>116</v>
      </c>
      <c r="C284" s="437"/>
      <c r="D284" s="437"/>
      <c r="E284" s="438"/>
      <c r="F284" s="82">
        <f>Summary!G5</f>
        <v>514903442.02267593</v>
      </c>
      <c r="G284" s="82">
        <f>Summary!H5</f>
        <v>513927826.56305665</v>
      </c>
      <c r="H284" s="82">
        <f>Summary!I5</f>
        <v>507121218.68637317</v>
      </c>
      <c r="I284" s="82">
        <f>Summary!J5</f>
        <v>524508322.63358557</v>
      </c>
      <c r="J284" s="82">
        <f>Summary!K5</f>
        <v>516585738.53430808</v>
      </c>
      <c r="K284" s="82">
        <f>Summary!L5</f>
        <v>513771070.57435787</v>
      </c>
      <c r="L284" s="82">
        <f>Summary!M5</f>
        <v>512910056.40893781</v>
      </c>
    </row>
    <row r="285" spans="2:12" ht="11.25" x14ac:dyDescent="0.2">
      <c r="B285" s="445" t="s">
        <v>97</v>
      </c>
      <c r="C285" s="446"/>
      <c r="D285" s="446"/>
      <c r="E285" s="447"/>
      <c r="F285" s="94">
        <f>F284/F283-1</f>
        <v>-4.3505005733833091E-2</v>
      </c>
      <c r="G285" s="94">
        <f>G284/G283-1</f>
        <v>9.705937998852221E-3</v>
      </c>
      <c r="H285" s="94">
        <f>H284/H283-1</f>
        <v>1.2827842642522125E-2</v>
      </c>
      <c r="I285" s="94">
        <f>I284/I283-1</f>
        <v>1.8681204416963304E-2</v>
      </c>
      <c r="J285" s="94">
        <f>J284/J283-1</f>
        <v>4.7416609603789794E-3</v>
      </c>
      <c r="K285" s="63"/>
      <c r="L285" s="63"/>
    </row>
    <row r="286" spans="2:12" ht="11.25" x14ac:dyDescent="0.2">
      <c r="B286" s="290"/>
      <c r="C286" s="291"/>
      <c r="D286" s="291"/>
      <c r="E286" s="292"/>
      <c r="F286" s="292"/>
      <c r="G286" s="95"/>
      <c r="H286" s="95"/>
      <c r="I286" s="95"/>
      <c r="J286" s="95"/>
      <c r="K286" s="63"/>
      <c r="L286" s="63"/>
    </row>
    <row r="287" spans="2:12" ht="11.25" x14ac:dyDescent="0.2">
      <c r="B287" s="290" t="s">
        <v>1</v>
      </c>
      <c r="C287" s="291"/>
      <c r="D287" s="291"/>
      <c r="E287" s="292"/>
      <c r="F287" s="292"/>
      <c r="G287" s="95"/>
      <c r="H287" s="95"/>
      <c r="I287" s="95"/>
      <c r="J287" s="95"/>
      <c r="K287" s="218">
        <f>'Rate Class Energy Model'!F26</f>
        <v>1.0388440447792455</v>
      </c>
      <c r="L287" s="218">
        <f>K287</f>
        <v>1.0388440447792455</v>
      </c>
    </row>
    <row r="288" spans="2:12" ht="11.25" x14ac:dyDescent="0.2">
      <c r="B288" s="290"/>
      <c r="C288" s="291"/>
      <c r="D288" s="291"/>
      <c r="E288" s="292"/>
      <c r="F288" s="292"/>
      <c r="G288" s="95"/>
      <c r="H288" s="95"/>
      <c r="I288" s="95"/>
      <c r="J288" s="95"/>
      <c r="K288" s="82"/>
      <c r="L288" s="63"/>
    </row>
    <row r="289" spans="2:18" ht="11.25" x14ac:dyDescent="0.2">
      <c r="B289" s="448" t="s">
        <v>147</v>
      </c>
      <c r="C289" s="449"/>
      <c r="D289" s="449"/>
      <c r="E289" s="450"/>
      <c r="F289" s="296"/>
      <c r="G289" s="95"/>
      <c r="H289" s="95"/>
      <c r="I289" s="95"/>
      <c r="J289" s="95"/>
      <c r="K289" s="82">
        <f>K284/K287</f>
        <v>494560346.33527142</v>
      </c>
      <c r="L289" s="82">
        <f>L284/L287</f>
        <v>493731526.87026399</v>
      </c>
    </row>
    <row r="290" spans="2:18" ht="11.25" x14ac:dyDescent="0.2">
      <c r="B290" s="433" t="s">
        <v>117</v>
      </c>
      <c r="C290" s="434"/>
      <c r="D290" s="434"/>
      <c r="E290" s="435"/>
      <c r="F290" s="297"/>
      <c r="G290" s="95"/>
      <c r="H290" s="95"/>
      <c r="I290" s="95"/>
      <c r="J290" s="95"/>
      <c r="K290" s="64">
        <f>'Rate Class Energy Model'!P71</f>
        <v>1465018</v>
      </c>
      <c r="L290" s="64">
        <f>'Rate Class Energy Model'!P72</f>
        <v>1465018</v>
      </c>
    </row>
    <row r="291" spans="2:18" ht="11.25" x14ac:dyDescent="0.2">
      <c r="B291" s="436" t="s">
        <v>148</v>
      </c>
      <c r="C291" s="437"/>
      <c r="D291" s="437"/>
      <c r="E291" s="438"/>
      <c r="F291" s="82">
        <f>Summary!G12</f>
        <v>516728999.29000038</v>
      </c>
      <c r="G291" s="82">
        <f>Summary!H12</f>
        <v>488765497.17000061</v>
      </c>
      <c r="H291" s="82">
        <f>Summary!I12</f>
        <v>482398546.16000038</v>
      </c>
      <c r="I291" s="82">
        <f>Summary!J12</f>
        <v>496980971.10999972</v>
      </c>
      <c r="J291" s="82">
        <f>Summary!K12</f>
        <v>495761810.37999994</v>
      </c>
      <c r="K291" s="82">
        <f>K289-K290</f>
        <v>493095328.33527142</v>
      </c>
      <c r="L291" s="82">
        <f>L289-L290</f>
        <v>492266508.87026399</v>
      </c>
    </row>
    <row r="292" spans="2:18" customFormat="1" ht="14.25" customHeight="1" x14ac:dyDescent="0.2"/>
    <row r="293" spans="2:18" customFormat="1" ht="15" customHeight="1" x14ac:dyDescent="0.2"/>
    <row r="294" spans="2:18" customFormat="1" ht="15" customHeight="1" x14ac:dyDescent="0.2">
      <c r="B294" s="391" t="s">
        <v>276</v>
      </c>
    </row>
    <row r="295" spans="2:18" ht="22.5" x14ac:dyDescent="0.2">
      <c r="B295" s="246"/>
      <c r="C295" s="247"/>
      <c r="D295" s="247"/>
      <c r="E295" s="242" t="str">
        <f>B7</f>
        <v>2015 Board Approved</v>
      </c>
      <c r="F295" s="242" t="str">
        <f>+F282</f>
        <v>2015 Actual</v>
      </c>
      <c r="G295" s="242" t="str">
        <f t="shared" ref="G295:L295" si="43">+G282</f>
        <v>2016 Actual</v>
      </c>
      <c r="H295" s="242" t="str">
        <f t="shared" si="43"/>
        <v>2017 Actual</v>
      </c>
      <c r="I295" s="242" t="str">
        <f t="shared" si="43"/>
        <v>2018 Actual</v>
      </c>
      <c r="J295" s="242" t="str">
        <f t="shared" si="43"/>
        <v>2019 Actual</v>
      </c>
      <c r="K295" s="242" t="str">
        <f t="shared" si="43"/>
        <v>2020 Bridge - Normalized</v>
      </c>
      <c r="L295" s="242" t="str">
        <f t="shared" si="43"/>
        <v>2021 Test - Normalized</v>
      </c>
    </row>
    <row r="296" spans="2:18" ht="15" customHeight="1" x14ac:dyDescent="0.2">
      <c r="B296" s="427" t="s">
        <v>98</v>
      </c>
      <c r="C296" s="428"/>
      <c r="D296" s="428"/>
      <c r="E296" s="428"/>
      <c r="F296" s="428"/>
      <c r="G296" s="428"/>
      <c r="H296" s="428"/>
      <c r="I296" s="428"/>
      <c r="J296" s="428"/>
      <c r="K296" s="428"/>
      <c r="L296" s="429"/>
    </row>
    <row r="297" spans="2:18" ht="15" customHeight="1" x14ac:dyDescent="0.2">
      <c r="B297" s="287" t="s">
        <v>44</v>
      </c>
      <c r="C297" s="288"/>
      <c r="D297" s="288"/>
      <c r="E297" s="90">
        <f>E43</f>
        <v>21124</v>
      </c>
      <c r="F297" s="82">
        <f>Summary!G20</f>
        <v>21122</v>
      </c>
      <c r="G297" s="82">
        <f>Summary!H20</f>
        <v>21173</v>
      </c>
      <c r="H297" s="82">
        <f>Summary!I20</f>
        <v>21192</v>
      </c>
      <c r="I297" s="82">
        <f>Summary!J20</f>
        <v>21229</v>
      </c>
      <c r="J297" s="82">
        <f>Summary!K20</f>
        <v>21280</v>
      </c>
      <c r="K297" s="82">
        <f>Summary!L20</f>
        <v>21316</v>
      </c>
      <c r="L297" s="82">
        <f>Summary!M20</f>
        <v>21352</v>
      </c>
    </row>
    <row r="298" spans="2:18" ht="15" customHeight="1" x14ac:dyDescent="0.2">
      <c r="B298" s="287" t="s">
        <v>223</v>
      </c>
      <c r="C298" s="288"/>
      <c r="D298" s="288"/>
      <c r="E298" s="90">
        <f>E26*1000000</f>
        <v>205497425</v>
      </c>
      <c r="F298" s="82">
        <f>Summary!G21</f>
        <v>196730100.79999995</v>
      </c>
      <c r="G298" s="82">
        <f>Summary!H21</f>
        <v>188194721.51000041</v>
      </c>
      <c r="H298" s="82">
        <f>Summary!I21</f>
        <v>184546623.13000023</v>
      </c>
      <c r="I298" s="82">
        <f>Summary!J21</f>
        <v>196784129.94999957</v>
      </c>
      <c r="J298" s="82">
        <f>Summary!K21</f>
        <v>197847017.74999991</v>
      </c>
      <c r="K298" s="82">
        <f>Summary!L21</f>
        <v>199682216.91900477</v>
      </c>
      <c r="L298" s="82">
        <f>Summary!M21</f>
        <v>201705111.05903772</v>
      </c>
      <c r="R298" s="60">
        <v>408868804</v>
      </c>
    </row>
    <row r="299" spans="2:18" ht="15" customHeight="1" x14ac:dyDescent="0.2">
      <c r="B299" s="330" t="s">
        <v>224</v>
      </c>
      <c r="C299" s="331"/>
      <c r="D299" s="331"/>
      <c r="E299" s="90">
        <f>+E298</f>
        <v>205497425</v>
      </c>
      <c r="F299" s="90">
        <f>+'Rate Class Energy Model'!R16</f>
        <v>187442874.27547359</v>
      </c>
      <c r="G299" s="90">
        <f>+'Rate Class Energy Model'!R17</f>
        <v>189963368.34516984</v>
      </c>
      <c r="H299" s="90">
        <f>+'Rate Class Energy Model'!R18</f>
        <v>189047599.06874555</v>
      </c>
      <c r="I299" s="90">
        <f>+'Rate Class Energy Model'!R19</f>
        <v>196027587.22186714</v>
      </c>
      <c r="J299" s="90">
        <f>+'Rate Class Energy Model'!R20</f>
        <v>197370717.76491809</v>
      </c>
      <c r="K299" s="90">
        <f>+K298</f>
        <v>199682216.91900477</v>
      </c>
      <c r="L299" s="90">
        <f>+L298</f>
        <v>201705111.05903772</v>
      </c>
      <c r="R299" s="60">
        <v>49453</v>
      </c>
    </row>
    <row r="300" spans="2:18" ht="15" customHeight="1" x14ac:dyDescent="0.2">
      <c r="B300" s="330" t="s">
        <v>225</v>
      </c>
      <c r="C300" s="331"/>
      <c r="D300" s="331"/>
      <c r="E300" s="90">
        <f t="shared" ref="E300:L300" si="44">+E298/E297</f>
        <v>9728.149261503504</v>
      </c>
      <c r="F300" s="90">
        <f t="shared" si="44"/>
        <v>9313.9901903228838</v>
      </c>
      <c r="G300" s="90">
        <f t="shared" si="44"/>
        <v>8888.429675057876</v>
      </c>
      <c r="H300" s="90">
        <f t="shared" si="44"/>
        <v>8708.3155497357602</v>
      </c>
      <c r="I300" s="90">
        <f t="shared" si="44"/>
        <v>9269.5901808846193</v>
      </c>
      <c r="J300" s="90">
        <f t="shared" si="44"/>
        <v>9297.3222626879651</v>
      </c>
      <c r="K300" s="90">
        <f t="shared" si="44"/>
        <v>9367.7151866675158</v>
      </c>
      <c r="L300" s="90">
        <f t="shared" si="44"/>
        <v>9446.6612522966334</v>
      </c>
      <c r="R300" s="60">
        <f>+R298/R299</f>
        <v>8267.8260975067242</v>
      </c>
    </row>
    <row r="301" spans="2:18" ht="15" customHeight="1" x14ac:dyDescent="0.2">
      <c r="B301" s="330" t="s">
        <v>226</v>
      </c>
      <c r="C301" s="331"/>
      <c r="D301" s="331"/>
      <c r="E301" s="90">
        <f t="shared" ref="E301:L301" si="45">+E299/E297</f>
        <v>9728.149261503504</v>
      </c>
      <c r="F301" s="90">
        <f t="shared" si="45"/>
        <v>8874.2957236754846</v>
      </c>
      <c r="G301" s="90">
        <f t="shared" si="45"/>
        <v>8971.9627990917597</v>
      </c>
      <c r="H301" s="90">
        <f t="shared" si="45"/>
        <v>8920.7058828211375</v>
      </c>
      <c r="I301" s="90">
        <f t="shared" si="45"/>
        <v>9233.9529521817858</v>
      </c>
      <c r="J301" s="90">
        <f t="shared" si="45"/>
        <v>9274.9397445920149</v>
      </c>
      <c r="K301" s="90">
        <f t="shared" si="45"/>
        <v>9367.7151866675158</v>
      </c>
      <c r="L301" s="90">
        <f t="shared" si="45"/>
        <v>9446.6612522966334</v>
      </c>
    </row>
    <row r="302" spans="2:18" ht="15" customHeight="1" x14ac:dyDescent="0.2">
      <c r="B302" s="421" t="s">
        <v>149</v>
      </c>
      <c r="C302" s="422"/>
      <c r="D302" s="422"/>
      <c r="E302" s="422"/>
      <c r="F302" s="422"/>
      <c r="G302" s="422"/>
      <c r="H302" s="422"/>
      <c r="I302" s="422"/>
      <c r="J302" s="422"/>
      <c r="K302" s="422"/>
      <c r="L302" s="423"/>
    </row>
    <row r="303" spans="2:18" ht="15" customHeight="1" x14ac:dyDescent="0.2">
      <c r="B303" s="287" t="str">
        <f>B297</f>
        <v xml:space="preserve">  Customers</v>
      </c>
      <c r="C303" s="288"/>
      <c r="D303" s="288"/>
      <c r="E303" s="90"/>
      <c r="F303" s="219">
        <f t="shared" ref="F303:L304" si="46">IF(ISERROR((F297-$E297)/$E297),0,(F297-$E297)/$E297)</f>
        <v>-9.4679038060973297E-5</v>
      </c>
      <c r="G303" s="219">
        <f t="shared" si="46"/>
        <v>2.3196364324938458E-3</v>
      </c>
      <c r="H303" s="219">
        <f t="shared" si="46"/>
        <v>3.2190872940730921E-3</v>
      </c>
      <c r="I303" s="219">
        <f t="shared" si="46"/>
        <v>4.9706494982010982E-3</v>
      </c>
      <c r="J303" s="219">
        <f t="shared" si="46"/>
        <v>7.3849649687559174E-3</v>
      </c>
      <c r="K303" s="219">
        <f t="shared" si="46"/>
        <v>9.089187653853437E-3</v>
      </c>
      <c r="L303" s="219">
        <f t="shared" si="46"/>
        <v>1.0793410338950956E-2</v>
      </c>
    </row>
    <row r="304" spans="2:18" ht="15" customHeight="1" x14ac:dyDescent="0.2">
      <c r="B304" s="287" t="str">
        <f>B298</f>
        <v xml:space="preserve">  kWh - Actuals</v>
      </c>
      <c r="C304" s="288"/>
      <c r="D304" s="288"/>
      <c r="E304" s="90"/>
      <c r="F304" s="219">
        <f t="shared" si="46"/>
        <v>-4.2663912698663001E-2</v>
      </c>
      <c r="G304" s="219">
        <f t="shared" si="46"/>
        <v>-8.4199125560817087E-2</v>
      </c>
      <c r="H304" s="219">
        <f t="shared" si="46"/>
        <v>-0.10195165155962303</v>
      </c>
      <c r="I304" s="219">
        <f t="shared" si="46"/>
        <v>-4.2400993832406558E-2</v>
      </c>
      <c r="J304" s="219">
        <f t="shared" si="46"/>
        <v>-3.7228725615418727E-2</v>
      </c>
      <c r="K304" s="219">
        <f t="shared" si="46"/>
        <v>-2.8298204130758484E-2</v>
      </c>
      <c r="L304" s="219">
        <f t="shared" si="46"/>
        <v>-1.8454313677956233E-2</v>
      </c>
    </row>
    <row r="305" spans="2:12" ht="15" customHeight="1" x14ac:dyDescent="0.2">
      <c r="B305" s="330" t="str">
        <f>B299</f>
        <v xml:space="preserve">  kWh - weather normalized</v>
      </c>
      <c r="C305" s="112"/>
      <c r="D305" s="112"/>
      <c r="E305" s="90"/>
      <c r="F305" s="219">
        <f>IF(ISERROR((F299-$E299)/$E299),0,(F299-$E299)/$E299)</f>
        <v>-8.7857795417759635E-2</v>
      </c>
      <c r="G305" s="219">
        <f t="shared" ref="G305:L305" si="47">IF(ISERROR((G299-$E299)/$E299),0,(G299-$E299)/$E299)</f>
        <v>-7.5592463773354615E-2</v>
      </c>
      <c r="H305" s="219">
        <f t="shared" si="47"/>
        <v>-8.0048817795427107E-2</v>
      </c>
      <c r="I305" s="219">
        <f t="shared" si="47"/>
        <v>-4.6082513092963844E-2</v>
      </c>
      <c r="J305" s="219">
        <f t="shared" si="47"/>
        <v>-3.9546516142875812E-2</v>
      </c>
      <c r="K305" s="219">
        <f t="shared" si="47"/>
        <v>-2.8298204130758484E-2</v>
      </c>
      <c r="L305" s="219">
        <f t="shared" si="47"/>
        <v>-1.8454313677956233E-2</v>
      </c>
    </row>
    <row r="306" spans="2:12" ht="9" customHeight="1" x14ac:dyDescent="0.2">
      <c r="B306" s="424"/>
      <c r="C306" s="425"/>
      <c r="D306" s="425"/>
      <c r="E306" s="425"/>
      <c r="F306" s="425"/>
      <c r="G306" s="425"/>
      <c r="H306" s="425"/>
      <c r="I306" s="425"/>
      <c r="J306" s="425"/>
      <c r="K306" s="425"/>
      <c r="L306" s="426"/>
    </row>
    <row r="307" spans="2:12" ht="15" customHeight="1" x14ac:dyDescent="0.2">
      <c r="B307" s="427" t="str">
        <f>F232</f>
        <v>General Service &lt; 50 kW</v>
      </c>
      <c r="C307" s="428"/>
      <c r="D307" s="428"/>
      <c r="E307" s="428"/>
      <c r="F307" s="428"/>
      <c r="G307" s="428"/>
      <c r="H307" s="428"/>
      <c r="I307" s="428"/>
      <c r="J307" s="428"/>
      <c r="K307" s="428"/>
      <c r="L307" s="429"/>
    </row>
    <row r="308" spans="2:12" ht="15" customHeight="1" x14ac:dyDescent="0.2">
      <c r="B308" s="287" t="s">
        <v>44</v>
      </c>
      <c r="C308" s="288"/>
      <c r="D308" s="288"/>
      <c r="E308" s="90">
        <f>F43</f>
        <v>2668</v>
      </c>
      <c r="F308" s="82">
        <f>Summary!G24</f>
        <v>2646</v>
      </c>
      <c r="G308" s="82">
        <f>Summary!H24</f>
        <v>2659</v>
      </c>
      <c r="H308" s="82">
        <f>Summary!I24</f>
        <v>2653</v>
      </c>
      <c r="I308" s="82">
        <f>Summary!J24</f>
        <v>2654</v>
      </c>
      <c r="J308" s="82">
        <f>Summary!K24</f>
        <v>2653</v>
      </c>
      <c r="K308" s="82">
        <f>Summary!L24</f>
        <v>2651</v>
      </c>
      <c r="L308" s="82">
        <f>Summary!M24</f>
        <v>2649</v>
      </c>
    </row>
    <row r="309" spans="2:12" ht="15" customHeight="1" x14ac:dyDescent="0.2">
      <c r="B309" s="330" t="s">
        <v>223</v>
      </c>
      <c r="C309" s="288"/>
      <c r="D309" s="288"/>
      <c r="E309" s="90">
        <f>F26*1000000</f>
        <v>85361037</v>
      </c>
      <c r="F309" s="82">
        <f>Summary!G25</f>
        <v>83568205.870000467</v>
      </c>
      <c r="G309" s="82">
        <f>Summary!H25</f>
        <v>80643102.520000204</v>
      </c>
      <c r="H309" s="82">
        <f>Summary!I25</f>
        <v>78774627.370000109</v>
      </c>
      <c r="I309" s="82">
        <f>Summary!J25</f>
        <v>81814082.000000045</v>
      </c>
      <c r="J309" s="82">
        <f>Summary!K25</f>
        <v>80410230.090000004</v>
      </c>
      <c r="K309" s="82">
        <f>Summary!L25</f>
        <v>79636963.846008897</v>
      </c>
      <c r="L309" s="82">
        <f>Summary!M25</f>
        <v>79035853.179389015</v>
      </c>
    </row>
    <row r="310" spans="2:12" ht="15" customHeight="1" x14ac:dyDescent="0.2">
      <c r="B310" s="330" t="s">
        <v>224</v>
      </c>
      <c r="C310" s="331"/>
      <c r="D310" s="331"/>
      <c r="E310" s="90">
        <f>+E309</f>
        <v>85361037</v>
      </c>
      <c r="F310" s="90">
        <f>+'Rate Class Energy Model'!S16</f>
        <v>79623121.437029213</v>
      </c>
      <c r="G310" s="90">
        <f>+'Rate Class Energy Model'!S17</f>
        <v>81400983.330396175</v>
      </c>
      <c r="H310" s="90">
        <f>+'Rate Class Energy Model'!S18</f>
        <v>80695890.931274995</v>
      </c>
      <c r="I310" s="90">
        <f>+'Rate Class Energy Model'!S19</f>
        <v>81499545.208787978</v>
      </c>
      <c r="J310" s="90">
        <f>+'Rate Class Energy Model'!S20</f>
        <v>80216649.252503186</v>
      </c>
      <c r="K310" s="90">
        <f>+K309</f>
        <v>79636963.846008897</v>
      </c>
      <c r="L310" s="90">
        <f>+L309</f>
        <v>79035853.179389015</v>
      </c>
    </row>
    <row r="311" spans="2:12" ht="15" customHeight="1" x14ac:dyDescent="0.2">
      <c r="B311" s="330" t="s">
        <v>225</v>
      </c>
      <c r="C311" s="331"/>
      <c r="D311" s="331"/>
      <c r="E311" s="90">
        <f t="shared" ref="E311:L311" si="48">+E309/E308</f>
        <v>31994.391679160421</v>
      </c>
      <c r="F311" s="90">
        <f t="shared" si="48"/>
        <v>31582.844244142278</v>
      </c>
      <c r="G311" s="90">
        <f t="shared" si="48"/>
        <v>30328.357472734187</v>
      </c>
      <c r="H311" s="90">
        <f t="shared" si="48"/>
        <v>29692.660147003433</v>
      </c>
      <c r="I311" s="90">
        <f t="shared" si="48"/>
        <v>30826.707611152993</v>
      </c>
      <c r="J311" s="90">
        <f t="shared" si="48"/>
        <v>30309.170784018093</v>
      </c>
      <c r="K311" s="90">
        <f t="shared" si="48"/>
        <v>30040.348489629912</v>
      </c>
      <c r="L311" s="90">
        <f t="shared" si="48"/>
        <v>29836.109165492267</v>
      </c>
    </row>
    <row r="312" spans="2:12" ht="15" customHeight="1" x14ac:dyDescent="0.2">
      <c r="B312" s="330" t="s">
        <v>226</v>
      </c>
      <c r="C312" s="331"/>
      <c r="D312" s="331"/>
      <c r="E312" s="90">
        <f t="shared" ref="E312:L312" si="49">+E310/E308</f>
        <v>31994.391679160421</v>
      </c>
      <c r="F312" s="90">
        <f t="shared" si="49"/>
        <v>30091.882629262742</v>
      </c>
      <c r="G312" s="90">
        <f t="shared" si="49"/>
        <v>30613.382222789085</v>
      </c>
      <c r="H312" s="90">
        <f t="shared" si="49"/>
        <v>30416.845432067468</v>
      </c>
      <c r="I312" s="90">
        <f t="shared" si="49"/>
        <v>30708.193371811598</v>
      </c>
      <c r="J312" s="90">
        <f t="shared" si="49"/>
        <v>30236.20401526694</v>
      </c>
      <c r="K312" s="90">
        <f t="shared" si="49"/>
        <v>30040.348489629912</v>
      </c>
      <c r="L312" s="90">
        <f t="shared" si="49"/>
        <v>29836.109165492267</v>
      </c>
    </row>
    <row r="313" spans="2:12" ht="15" customHeight="1" x14ac:dyDescent="0.2">
      <c r="B313" s="421" t="s">
        <v>149</v>
      </c>
      <c r="C313" s="422"/>
      <c r="D313" s="422"/>
      <c r="E313" s="422"/>
      <c r="F313" s="422"/>
      <c r="G313" s="422"/>
      <c r="H313" s="422"/>
      <c r="I313" s="422"/>
      <c r="J313" s="422"/>
      <c r="K313" s="422"/>
      <c r="L313" s="423"/>
    </row>
    <row r="314" spans="2:12" ht="15" customHeight="1" x14ac:dyDescent="0.2">
      <c r="B314" s="287" t="str">
        <f>B308</f>
        <v xml:space="preserve">  Customers</v>
      </c>
      <c r="C314" s="288"/>
      <c r="D314" s="288"/>
      <c r="E314" s="90"/>
      <c r="F314" s="219">
        <f t="shared" ref="F314:L315" si="50">IF(ISERROR((F308-$E308)/$E308),0,(F308-$E308)/$E308)</f>
        <v>-8.2458770614692659E-3</v>
      </c>
      <c r="G314" s="219">
        <f t="shared" si="50"/>
        <v>-3.373313343328336E-3</v>
      </c>
      <c r="H314" s="219">
        <f t="shared" si="50"/>
        <v>-5.6221889055472268E-3</v>
      </c>
      <c r="I314" s="219">
        <f t="shared" si="50"/>
        <v>-5.2473763118440781E-3</v>
      </c>
      <c r="J314" s="219">
        <f t="shared" si="50"/>
        <v>-5.6221889055472268E-3</v>
      </c>
      <c r="K314" s="219">
        <f t="shared" si="50"/>
        <v>-6.3718140929535233E-3</v>
      </c>
      <c r="L314" s="219">
        <f t="shared" si="50"/>
        <v>-7.1214392803598198E-3</v>
      </c>
    </row>
    <row r="315" spans="2:12" ht="15" customHeight="1" x14ac:dyDescent="0.2">
      <c r="B315" s="330" t="str">
        <f>B309</f>
        <v xml:space="preserve">  kWh - Actuals</v>
      </c>
      <c r="C315" s="288"/>
      <c r="D315" s="288"/>
      <c r="E315" s="90"/>
      <c r="F315" s="219">
        <f t="shared" si="50"/>
        <v>-2.1002921157102779E-2</v>
      </c>
      <c r="G315" s="219">
        <f t="shared" si="50"/>
        <v>-5.5270351038493072E-2</v>
      </c>
      <c r="H315" s="219">
        <f t="shared" si="50"/>
        <v>-7.7159437859217792E-2</v>
      </c>
      <c r="I315" s="219">
        <f t="shared" si="50"/>
        <v>-4.1552388825828762E-2</v>
      </c>
      <c r="J315" s="219">
        <f t="shared" si="50"/>
        <v>-5.7998439147359429E-2</v>
      </c>
      <c r="K315" s="219">
        <f t="shared" si="50"/>
        <v>-6.7057211992294599E-2</v>
      </c>
      <c r="L315" s="219">
        <f t="shared" si="50"/>
        <v>-7.409919142161997E-2</v>
      </c>
    </row>
    <row r="316" spans="2:12" ht="15" customHeight="1" x14ac:dyDescent="0.2">
      <c r="B316" s="330" t="str">
        <f>B310</f>
        <v xml:space="preserve">  kWh - weather normalized</v>
      </c>
      <c r="C316" s="112"/>
      <c r="D316" s="112"/>
      <c r="E316" s="337"/>
      <c r="F316" s="219">
        <f>IF(ISERROR((F310-$E310)/$E310),0,(F310-$E310)/$E310)</f>
        <v>-6.7219375075900117E-2</v>
      </c>
      <c r="G316" s="219">
        <f t="shared" ref="G316:L316" si="51">IF(ISERROR((G310-$E310)/$E310),0,(G310-$E310)/$E310)</f>
        <v>-4.6391817728313502E-2</v>
      </c>
      <c r="H316" s="219">
        <f t="shared" si="51"/>
        <v>-5.4651937613234537E-2</v>
      </c>
      <c r="I316" s="219">
        <f t="shared" si="51"/>
        <v>-4.5237170574814155E-2</v>
      </c>
      <c r="J316" s="219">
        <f t="shared" si="51"/>
        <v>-6.0266228343697527E-2</v>
      </c>
      <c r="K316" s="219">
        <f t="shared" si="51"/>
        <v>-6.7057211992294599E-2</v>
      </c>
      <c r="L316" s="219">
        <f t="shared" si="51"/>
        <v>-7.409919142161997E-2</v>
      </c>
    </row>
    <row r="317" spans="2:12" ht="9" customHeight="1" x14ac:dyDescent="0.2">
      <c r="B317" s="424"/>
      <c r="C317" s="425"/>
      <c r="D317" s="425"/>
      <c r="E317" s="425"/>
      <c r="F317" s="425"/>
      <c r="G317" s="425"/>
      <c r="H317" s="425"/>
      <c r="I317" s="425"/>
      <c r="J317" s="425"/>
      <c r="K317" s="425"/>
      <c r="L317" s="426"/>
    </row>
    <row r="318" spans="2:12" ht="15" customHeight="1" x14ac:dyDescent="0.2">
      <c r="B318" s="427" t="str">
        <f>Summary!A27</f>
        <v>General Service 50 to 2999 kW</v>
      </c>
      <c r="C318" s="428"/>
      <c r="D318" s="428"/>
      <c r="E318" s="428"/>
      <c r="F318" s="428"/>
      <c r="G318" s="428"/>
      <c r="H318" s="428"/>
      <c r="I318" s="428"/>
      <c r="J318" s="428"/>
      <c r="K318" s="428"/>
      <c r="L318" s="429"/>
    </row>
    <row r="319" spans="2:12" ht="15" customHeight="1" x14ac:dyDescent="0.2">
      <c r="B319" s="287" t="s">
        <v>44</v>
      </c>
      <c r="C319" s="288"/>
      <c r="D319" s="288"/>
      <c r="E319" s="90">
        <f>G43</f>
        <v>247</v>
      </c>
      <c r="F319" s="82">
        <f>Summary!G28</f>
        <v>254</v>
      </c>
      <c r="G319" s="82">
        <f>Summary!H28</f>
        <v>253</v>
      </c>
      <c r="H319" s="82">
        <f>Summary!I28</f>
        <v>261</v>
      </c>
      <c r="I319" s="82">
        <f>Summary!J28</f>
        <v>258</v>
      </c>
      <c r="J319" s="82">
        <f>Summary!K28</f>
        <v>263</v>
      </c>
      <c r="K319" s="82">
        <f>Summary!L28</f>
        <v>266</v>
      </c>
      <c r="L319" s="82">
        <f>Summary!M28</f>
        <v>269</v>
      </c>
    </row>
    <row r="320" spans="2:12" ht="15" customHeight="1" x14ac:dyDescent="0.2">
      <c r="B320" s="330" t="s">
        <v>223</v>
      </c>
      <c r="C320" s="288"/>
      <c r="D320" s="288"/>
      <c r="E320" s="90">
        <f>G26*1000000</f>
        <v>209884489</v>
      </c>
      <c r="F320" s="82">
        <f>Summary!G29</f>
        <v>216238874.38999999</v>
      </c>
      <c r="G320" s="82">
        <f>Summary!H29</f>
        <v>200880475.03000003</v>
      </c>
      <c r="H320" s="82">
        <f>Summary!I29</f>
        <v>200346165.47999999</v>
      </c>
      <c r="I320" s="82">
        <f>Summary!J29</f>
        <v>199998668.12000006</v>
      </c>
      <c r="J320" s="82">
        <f>Summary!K29</f>
        <v>199953323.73000002</v>
      </c>
      <c r="K320" s="82">
        <f>Summary!L29</f>
        <v>196683267.31916356</v>
      </c>
      <c r="L320" s="82">
        <f>Summary!M29</f>
        <v>194877202.49953446</v>
      </c>
    </row>
    <row r="321" spans="2:12" ht="15" customHeight="1" x14ac:dyDescent="0.2">
      <c r="B321" s="330" t="s">
        <v>224</v>
      </c>
      <c r="C321" s="331"/>
      <c r="D321" s="331"/>
      <c r="E321" s="90">
        <f>+E320</f>
        <v>209884489</v>
      </c>
      <c r="F321" s="82">
        <f>+'Rate Class Energy Model'!T16</f>
        <v>206030678.48250046</v>
      </c>
      <c r="G321" s="82">
        <f>+'Rate Class Energy Model'!T17</f>
        <v>202768342.09427509</v>
      </c>
      <c r="H321" s="82">
        <f>+'Rate Class Energy Model'!T18</f>
        <v>205232482.30851299</v>
      </c>
      <c r="I321" s="82">
        <f>+'Rate Class Energy Model'!T19</f>
        <v>199229766.99956521</v>
      </c>
      <c r="J321" s="82">
        <f>+'Rate Class Energy Model'!T20</f>
        <v>199471952.99116987</v>
      </c>
      <c r="K321" s="90">
        <f>+K320</f>
        <v>196683267.31916356</v>
      </c>
      <c r="L321" s="90">
        <f>+L320</f>
        <v>194877202.49953446</v>
      </c>
    </row>
    <row r="322" spans="2:12" ht="15" customHeight="1" x14ac:dyDescent="0.2">
      <c r="B322" s="287" t="s">
        <v>227</v>
      </c>
      <c r="C322" s="288"/>
      <c r="D322" s="288"/>
      <c r="E322" s="90">
        <v>519864.63481550448</v>
      </c>
      <c r="F322" s="82">
        <f>Summary!G30</f>
        <v>537897.68000000017</v>
      </c>
      <c r="G322" s="82">
        <f>Summary!H30</f>
        <v>529360.3600000001</v>
      </c>
      <c r="H322" s="82">
        <f>Summary!I30</f>
        <v>528741.1399999999</v>
      </c>
      <c r="I322" s="82">
        <f>Summary!J30</f>
        <v>522247.32</v>
      </c>
      <c r="J322" s="82">
        <f>Summary!K30</f>
        <v>523294.41</v>
      </c>
      <c r="K322" s="82">
        <f>Summary!L30</f>
        <v>522020.53109148762</v>
      </c>
      <c r="L322" s="82">
        <f>Summary!M30</f>
        <v>517284.14137790038</v>
      </c>
    </row>
    <row r="323" spans="2:12" ht="15" customHeight="1" x14ac:dyDescent="0.2">
      <c r="B323" s="330" t="s">
        <v>228</v>
      </c>
      <c r="C323" s="331"/>
      <c r="D323" s="331"/>
      <c r="E323" s="90">
        <f>+E322</f>
        <v>519864.63481550448</v>
      </c>
      <c r="F323" s="90">
        <f>+'Rate Class Load Model'!N18</f>
        <v>523491.9375038062</v>
      </c>
      <c r="G323" s="90">
        <f>+'Rate Class Load Model'!N19</f>
        <v>515202.84769815218</v>
      </c>
      <c r="H323" s="90">
        <f>+'Rate Class Load Model'!N20</f>
        <v>521463.84506288206</v>
      </c>
      <c r="I323" s="90">
        <f>+'Rate Class Load Model'!N21</f>
        <v>506211.87826594833</v>
      </c>
      <c r="J323" s="90">
        <f>+'Rate Class Load Model'!N22</f>
        <v>506827.23523567343</v>
      </c>
      <c r="K323" s="90">
        <f>+K322</f>
        <v>522020.53109148762</v>
      </c>
      <c r="L323" s="90">
        <f>+L322</f>
        <v>517284.14137790038</v>
      </c>
    </row>
    <row r="324" spans="2:12" ht="15" customHeight="1" x14ac:dyDescent="0.2">
      <c r="B324" s="330" t="s">
        <v>229</v>
      </c>
      <c r="C324" s="331"/>
      <c r="D324" s="331"/>
      <c r="E324" s="90">
        <f>+E322/E319</f>
        <v>2104.7151207105444</v>
      </c>
      <c r="F324" s="90">
        <f t="shared" ref="F324:L324" si="52">+F322/F319</f>
        <v>2117.707401574804</v>
      </c>
      <c r="G324" s="90">
        <f t="shared" si="52"/>
        <v>2092.3334387351783</v>
      </c>
      <c r="H324" s="90">
        <f t="shared" si="52"/>
        <v>2025.8281226053637</v>
      </c>
      <c r="I324" s="90">
        <f t="shared" si="52"/>
        <v>2024.2144186046512</v>
      </c>
      <c r="J324" s="90">
        <f t="shared" si="52"/>
        <v>1989.7125855513307</v>
      </c>
      <c r="K324" s="90">
        <f t="shared" si="52"/>
        <v>1962.4831995920588</v>
      </c>
      <c r="L324" s="90">
        <f t="shared" si="52"/>
        <v>1922.989373152046</v>
      </c>
    </row>
    <row r="325" spans="2:12" ht="15" customHeight="1" x14ac:dyDescent="0.2">
      <c r="B325" s="330" t="s">
        <v>230</v>
      </c>
      <c r="C325" s="331"/>
      <c r="D325" s="331"/>
      <c r="E325" s="90">
        <f>+E323/E319</f>
        <v>2104.7151207105444</v>
      </c>
      <c r="F325" s="90">
        <f t="shared" ref="F325:L325" si="53">+F323/F319</f>
        <v>2060.9918799362449</v>
      </c>
      <c r="G325" s="90">
        <f t="shared" si="53"/>
        <v>2036.374892087558</v>
      </c>
      <c r="H325" s="90">
        <f t="shared" si="53"/>
        <v>1997.9457665244524</v>
      </c>
      <c r="I325" s="90">
        <f t="shared" si="53"/>
        <v>1962.0615436664664</v>
      </c>
      <c r="J325" s="90">
        <f t="shared" si="53"/>
        <v>1927.0997537478077</v>
      </c>
      <c r="K325" s="90">
        <f t="shared" si="53"/>
        <v>1962.4831995920588</v>
      </c>
      <c r="L325" s="90">
        <f t="shared" si="53"/>
        <v>1922.989373152046</v>
      </c>
    </row>
    <row r="326" spans="2:12" ht="15" customHeight="1" x14ac:dyDescent="0.2">
      <c r="B326" s="330"/>
      <c r="C326" s="331"/>
      <c r="D326" s="331"/>
      <c r="E326" s="335"/>
      <c r="F326" s="335"/>
      <c r="G326" s="335"/>
      <c r="H326" s="335"/>
      <c r="I326" s="335"/>
      <c r="J326" s="335"/>
      <c r="K326" s="335"/>
      <c r="L326" s="82"/>
    </row>
    <row r="327" spans="2:12" ht="15" customHeight="1" x14ac:dyDescent="0.2">
      <c r="B327" s="421" t="s">
        <v>149</v>
      </c>
      <c r="C327" s="422"/>
      <c r="D327" s="422"/>
      <c r="E327" s="422"/>
      <c r="F327" s="422"/>
      <c r="G327" s="422"/>
      <c r="H327" s="422"/>
      <c r="I327" s="422"/>
      <c r="J327" s="422"/>
      <c r="K327" s="422"/>
      <c r="L327" s="423"/>
    </row>
    <row r="328" spans="2:12" ht="15" customHeight="1" x14ac:dyDescent="0.2">
      <c r="B328" s="287" t="str">
        <f>B319</f>
        <v xml:space="preserve">  Customers</v>
      </c>
      <c r="C328" s="288"/>
      <c r="D328" s="288"/>
      <c r="E328" s="90"/>
      <c r="F328" s="219">
        <f t="shared" ref="F328:L329" si="54">IF(ISERROR((F319-$E319)/$E319),0,(F319-$E319)/$E319)</f>
        <v>2.8340080971659919E-2</v>
      </c>
      <c r="G328" s="219">
        <f t="shared" si="54"/>
        <v>2.4291497975708502E-2</v>
      </c>
      <c r="H328" s="219">
        <f t="shared" si="54"/>
        <v>5.6680161943319839E-2</v>
      </c>
      <c r="I328" s="219">
        <f t="shared" si="54"/>
        <v>4.4534412955465584E-2</v>
      </c>
      <c r="J328" s="219">
        <f t="shared" si="54"/>
        <v>6.4777327935222673E-2</v>
      </c>
      <c r="K328" s="219">
        <f t="shared" si="54"/>
        <v>7.6923076923076927E-2</v>
      </c>
      <c r="L328" s="219">
        <f t="shared" si="54"/>
        <v>8.9068825910931168E-2</v>
      </c>
    </row>
    <row r="329" spans="2:12" ht="15" customHeight="1" x14ac:dyDescent="0.2">
      <c r="B329" s="287" t="str">
        <f>B320</f>
        <v xml:space="preserve">  kWh - Actuals</v>
      </c>
      <c r="C329" s="288"/>
      <c r="D329" s="288"/>
      <c r="E329" s="90"/>
      <c r="F329" s="219">
        <f t="shared" si="54"/>
        <v>3.027563123066224E-2</v>
      </c>
      <c r="G329" s="219">
        <f t="shared" si="54"/>
        <v>-4.2899854166926883E-2</v>
      </c>
      <c r="H329" s="219">
        <f t="shared" si="54"/>
        <v>-4.5445585643062981E-2</v>
      </c>
      <c r="I329" s="219">
        <f t="shared" si="54"/>
        <v>-4.71012456761392E-2</v>
      </c>
      <c r="J329" s="219">
        <f t="shared" si="54"/>
        <v>-4.731729017859905E-2</v>
      </c>
      <c r="K329" s="219">
        <f t="shared" si="54"/>
        <v>-6.2897557336104234E-2</v>
      </c>
      <c r="L329" s="219">
        <f t="shared" si="54"/>
        <v>-7.1502599224783789E-2</v>
      </c>
    </row>
    <row r="330" spans="2:12" ht="15" customHeight="1" x14ac:dyDescent="0.2">
      <c r="B330" s="330" t="str">
        <f>B321</f>
        <v xml:space="preserve">  kWh - weather normalized</v>
      </c>
      <c r="C330" s="331"/>
      <c r="D330" s="331"/>
      <c r="E330" s="90"/>
      <c r="F330" s="219">
        <f>IF(ISERROR((F321-$E321)/$E321),0,(F321-$E321)/$E321)</f>
        <v>-1.8361578484723261E-2</v>
      </c>
      <c r="G330" s="219">
        <f t="shared" ref="G330:L330" si="55">IF(ISERROR((G321-$E321)/$E321),0,(G321-$E321)/$E321)</f>
        <v>-3.3905063397633509E-2</v>
      </c>
      <c r="H330" s="219">
        <f t="shared" si="55"/>
        <v>-2.2164604510088472E-2</v>
      </c>
      <c r="I330" s="219">
        <f t="shared" si="55"/>
        <v>-5.0764694671814388E-2</v>
      </c>
      <c r="J330" s="219">
        <f t="shared" si="55"/>
        <v>-4.9610793338950028E-2</v>
      </c>
      <c r="K330" s="219">
        <f t="shared" si="55"/>
        <v>-6.2897557336104234E-2</v>
      </c>
      <c r="L330" s="219">
        <f t="shared" si="55"/>
        <v>-7.1502599224783789E-2</v>
      </c>
    </row>
    <row r="331" spans="2:12" ht="15" customHeight="1" x14ac:dyDescent="0.2">
      <c r="B331" s="287" t="str">
        <f>B322</f>
        <v xml:space="preserve">  kW - Actuals</v>
      </c>
      <c r="C331" s="288"/>
      <c r="D331" s="288"/>
      <c r="E331" s="90"/>
      <c r="F331" s="219">
        <f>IF(ISERROR((F322-$E322)/$E322),0,(F322-$E322)/$E322)</f>
        <v>3.468796293653531E-2</v>
      </c>
      <c r="G331" s="219">
        <f t="shared" ref="G331:L331" si="56">IF(ISERROR((G322-$E322)/$E322),0,(G322-$E322)/$E322)</f>
        <v>1.8265764871398821E-2</v>
      </c>
      <c r="H331" s="219">
        <f t="shared" si="56"/>
        <v>1.7074647110099362E-2</v>
      </c>
      <c r="I331" s="219">
        <f t="shared" si="56"/>
        <v>4.5832800019972855E-3</v>
      </c>
      <c r="J331" s="219">
        <f t="shared" si="56"/>
        <v>6.5974389385280822E-3</v>
      </c>
      <c r="K331" s="219">
        <f t="shared" si="56"/>
        <v>4.1470339230677677E-3</v>
      </c>
      <c r="L331" s="219">
        <f t="shared" si="56"/>
        <v>-4.9637795394947394E-3</v>
      </c>
    </row>
    <row r="332" spans="2:12" ht="15" customHeight="1" x14ac:dyDescent="0.2">
      <c r="B332" s="330" t="str">
        <f>B323</f>
        <v xml:space="preserve">  kW - Weather Normaiized</v>
      </c>
      <c r="C332" s="112"/>
      <c r="D332" s="112"/>
      <c r="E332" s="90"/>
      <c r="F332" s="219">
        <f>IF(ISERROR((F323-$E323)/$E323),0,(F323-$E323)/$E323)</f>
        <v>6.9773984329382479E-3</v>
      </c>
      <c r="G332" s="219">
        <f t="shared" ref="G332:L332" si="57">IF(ISERROR((G323-$E323)/$E323),0,(G323-$E323)/$E323)</f>
        <v>-8.9673095747448382E-3</v>
      </c>
      <c r="H332" s="219">
        <f t="shared" si="57"/>
        <v>3.0762051124041548E-3</v>
      </c>
      <c r="I332" s="219">
        <f t="shared" si="57"/>
        <v>-2.6262137555099135E-2</v>
      </c>
      <c r="J332" s="219">
        <f t="shared" si="57"/>
        <v>-2.5078450632553435E-2</v>
      </c>
      <c r="K332" s="219">
        <f t="shared" si="57"/>
        <v>4.1470339230677677E-3</v>
      </c>
      <c r="L332" s="219">
        <f t="shared" si="57"/>
        <v>-4.9637795394947394E-3</v>
      </c>
    </row>
    <row r="333" spans="2:12" ht="9" customHeight="1" x14ac:dyDescent="0.2">
      <c r="B333" s="424"/>
      <c r="C333" s="425"/>
      <c r="D333" s="425"/>
      <c r="E333" s="425"/>
      <c r="F333" s="425"/>
      <c r="G333" s="425"/>
      <c r="H333" s="425"/>
      <c r="I333" s="425"/>
      <c r="J333" s="425"/>
      <c r="K333" s="425"/>
      <c r="L333" s="426"/>
    </row>
    <row r="334" spans="2:12" ht="15" customHeight="1" x14ac:dyDescent="0.2">
      <c r="B334" s="427" t="str">
        <f>Summary!A32</f>
        <v>General Service 3000 to 4999 kW</v>
      </c>
      <c r="C334" s="428"/>
      <c r="D334" s="428"/>
      <c r="E334" s="428"/>
      <c r="F334" s="428"/>
      <c r="G334" s="428"/>
      <c r="H334" s="428"/>
      <c r="I334" s="428"/>
      <c r="J334" s="428"/>
      <c r="K334" s="428"/>
      <c r="L334" s="429"/>
    </row>
    <row r="335" spans="2:12" ht="15" customHeight="1" x14ac:dyDescent="0.2">
      <c r="B335" s="287" t="s">
        <v>44</v>
      </c>
      <c r="C335" s="288"/>
      <c r="D335" s="288"/>
      <c r="E335" s="90">
        <f>+H43</f>
        <v>1</v>
      </c>
      <c r="F335" s="82">
        <f>Summary!G33</f>
        <v>1</v>
      </c>
      <c r="G335" s="82">
        <f>Summary!H33</f>
        <v>1</v>
      </c>
      <c r="H335" s="82">
        <f>Summary!I33</f>
        <v>1</v>
      </c>
      <c r="I335" s="82">
        <f>Summary!J33</f>
        <v>1</v>
      </c>
      <c r="J335" s="82">
        <f>Summary!K33</f>
        <v>1</v>
      </c>
      <c r="K335" s="82">
        <f>Summary!L33</f>
        <v>1</v>
      </c>
      <c r="L335" s="82">
        <f>Summary!M33</f>
        <v>1</v>
      </c>
    </row>
    <row r="336" spans="2:12" ht="15" customHeight="1" x14ac:dyDescent="0.2">
      <c r="B336" s="330" t="s">
        <v>223</v>
      </c>
      <c r="C336" s="288"/>
      <c r="D336" s="288"/>
      <c r="E336" s="90">
        <f>H26*1000000</f>
        <v>17254810</v>
      </c>
      <c r="F336" s="82">
        <f>Summary!G34</f>
        <v>17738635.890000001</v>
      </c>
      <c r="G336" s="82">
        <f>Summary!H34</f>
        <v>16805471.899999999</v>
      </c>
      <c r="H336" s="82">
        <f>Summary!I34</f>
        <v>16522751.91</v>
      </c>
      <c r="I336" s="82">
        <f>Summary!J34</f>
        <v>16185719.91</v>
      </c>
      <c r="J336" s="82">
        <f>Summary!K34</f>
        <v>15352959.899999999</v>
      </c>
      <c r="K336" s="82">
        <f>Summary!L34</f>
        <v>14897243.509943135</v>
      </c>
      <c r="L336" s="82">
        <f>Summary!M34</f>
        <v>14455053.985684082</v>
      </c>
    </row>
    <row r="337" spans="2:12" ht="15" customHeight="1" x14ac:dyDescent="0.2">
      <c r="B337" s="330" t="s">
        <v>224</v>
      </c>
      <c r="C337" s="331"/>
      <c r="D337" s="331"/>
      <c r="E337" s="90">
        <f>+E336</f>
        <v>17254810</v>
      </c>
      <c r="F337" s="82">
        <f>+'Rate Class Energy Model'!U16</f>
        <v>16901231.094919842</v>
      </c>
      <c r="G337" s="82">
        <f>+'Rate Class Energy Model'!U17</f>
        <v>16963409.085756212</v>
      </c>
      <c r="H337" s="82">
        <f>+'Rate Class Energy Model'!U18</f>
        <v>16925731.425568707</v>
      </c>
      <c r="I337" s="82">
        <f>+'Rate Class Energy Model'!U19</f>
        <v>16123493.40473959</v>
      </c>
      <c r="J337" s="82">
        <f>+'Rate Class Energy Model'!U20</f>
        <v>15315998.945751134</v>
      </c>
      <c r="K337" s="82">
        <f>+K336</f>
        <v>14897243.509943135</v>
      </c>
      <c r="L337" s="82">
        <f>+L336</f>
        <v>14455053.985684082</v>
      </c>
    </row>
    <row r="338" spans="2:12" ht="15" customHeight="1" x14ac:dyDescent="0.2">
      <c r="B338" s="330" t="s">
        <v>227</v>
      </c>
      <c r="C338" s="288"/>
      <c r="D338" s="288"/>
      <c r="E338" s="90">
        <v>33801.425697666316</v>
      </c>
      <c r="F338" s="82">
        <f>Summary!G35</f>
        <v>39466.039999999994</v>
      </c>
      <c r="G338" s="82">
        <f>Summary!H35</f>
        <v>35717.369999999995</v>
      </c>
      <c r="H338" s="82">
        <f>Summary!I35</f>
        <v>30516.22</v>
      </c>
      <c r="I338" s="82">
        <f>Summary!J35</f>
        <v>30271.190000000002</v>
      </c>
      <c r="J338" s="82">
        <f>Summary!K35</f>
        <v>29275.15</v>
      </c>
      <c r="K338" s="82">
        <f>Summary!L35</f>
        <v>27927.216521161627</v>
      </c>
      <c r="L338" s="82">
        <f>Summary!M35</f>
        <v>27098.262991662719</v>
      </c>
    </row>
    <row r="339" spans="2:12" ht="15" customHeight="1" x14ac:dyDescent="0.2">
      <c r="B339" s="330" t="s">
        <v>228</v>
      </c>
      <c r="C339" s="331"/>
      <c r="D339" s="331"/>
      <c r="E339" s="90">
        <f>+E338</f>
        <v>33801.425697666316</v>
      </c>
      <c r="F339" s="90">
        <f>+'Rate Class Load Model'!O18</f>
        <v>33217.437720696485</v>
      </c>
      <c r="G339" s="90">
        <f>+'Rate Class Load Model'!O19</f>
        <v>33339.641454058015</v>
      </c>
      <c r="H339" s="90">
        <f>+'Rate Class Load Model'!O20</f>
        <v>33265.590319929914</v>
      </c>
      <c r="I339" s="90">
        <f>+'Rate Class Load Model'!O21</f>
        <v>31688.883194608377</v>
      </c>
      <c r="J339" s="90">
        <f>+'Rate Class Load Model'!O22</f>
        <v>30101.845140953283</v>
      </c>
      <c r="K339" s="90">
        <f>+K338</f>
        <v>27927.216521161627</v>
      </c>
      <c r="L339" s="90">
        <f>+L338</f>
        <v>27098.262991662719</v>
      </c>
    </row>
    <row r="340" spans="2:12" ht="15" customHeight="1" x14ac:dyDescent="0.2">
      <c r="B340" s="330" t="s">
        <v>229</v>
      </c>
      <c r="C340" s="331"/>
      <c r="D340" s="331"/>
      <c r="E340" s="90">
        <f>+E338/E335</f>
        <v>33801.425697666316</v>
      </c>
      <c r="F340" s="90">
        <f t="shared" ref="F340:L340" si="58">+F338/F335</f>
        <v>39466.039999999994</v>
      </c>
      <c r="G340" s="90">
        <f t="shared" si="58"/>
        <v>35717.369999999995</v>
      </c>
      <c r="H340" s="90">
        <f t="shared" si="58"/>
        <v>30516.22</v>
      </c>
      <c r="I340" s="90">
        <f t="shared" si="58"/>
        <v>30271.190000000002</v>
      </c>
      <c r="J340" s="90">
        <f t="shared" si="58"/>
        <v>29275.15</v>
      </c>
      <c r="K340" s="90">
        <f t="shared" si="58"/>
        <v>27927.216521161627</v>
      </c>
      <c r="L340" s="90">
        <f t="shared" si="58"/>
        <v>27098.262991662719</v>
      </c>
    </row>
    <row r="341" spans="2:12" ht="15" customHeight="1" x14ac:dyDescent="0.2">
      <c r="B341" s="330" t="s">
        <v>230</v>
      </c>
      <c r="C341" s="331"/>
      <c r="D341" s="331"/>
      <c r="E341" s="90">
        <f>+E339/E335</f>
        <v>33801.425697666316</v>
      </c>
      <c r="F341" s="90">
        <f t="shared" ref="F341:L341" si="59">+F339/F335</f>
        <v>33217.437720696485</v>
      </c>
      <c r="G341" s="90">
        <f t="shared" si="59"/>
        <v>33339.641454058015</v>
      </c>
      <c r="H341" s="90">
        <f t="shared" si="59"/>
        <v>33265.590319929914</v>
      </c>
      <c r="I341" s="90">
        <f t="shared" si="59"/>
        <v>31688.883194608377</v>
      </c>
      <c r="J341" s="90">
        <f t="shared" si="59"/>
        <v>30101.845140953283</v>
      </c>
      <c r="K341" s="90">
        <f t="shared" si="59"/>
        <v>27927.216521161627</v>
      </c>
      <c r="L341" s="90">
        <f t="shared" si="59"/>
        <v>27098.262991662719</v>
      </c>
    </row>
    <row r="342" spans="2:12" ht="15" customHeight="1" x14ac:dyDescent="0.2">
      <c r="B342" s="421" t="s">
        <v>149</v>
      </c>
      <c r="C342" s="422"/>
      <c r="D342" s="422"/>
      <c r="E342" s="422"/>
      <c r="F342" s="422"/>
      <c r="G342" s="422"/>
      <c r="H342" s="422"/>
      <c r="I342" s="422"/>
      <c r="J342" s="422"/>
      <c r="K342" s="422"/>
      <c r="L342" s="423"/>
    </row>
    <row r="343" spans="2:12" ht="15" customHeight="1" x14ac:dyDescent="0.2">
      <c r="B343" s="287" t="str">
        <f>B335</f>
        <v xml:space="preserve">  Customers</v>
      </c>
      <c r="C343" s="288"/>
      <c r="D343" s="288"/>
      <c r="E343" s="90"/>
      <c r="F343" s="219">
        <f t="shared" ref="F343:L344" si="60">IF(ISERROR((F335-$E335)/$E335),0,(F335-$E335)/$E335)</f>
        <v>0</v>
      </c>
      <c r="G343" s="219">
        <f t="shared" si="60"/>
        <v>0</v>
      </c>
      <c r="H343" s="219">
        <f t="shared" si="60"/>
        <v>0</v>
      </c>
      <c r="I343" s="219">
        <f t="shared" si="60"/>
        <v>0</v>
      </c>
      <c r="J343" s="219">
        <f t="shared" si="60"/>
        <v>0</v>
      </c>
      <c r="K343" s="219">
        <f t="shared" si="60"/>
        <v>0</v>
      </c>
      <c r="L343" s="219">
        <f t="shared" si="60"/>
        <v>0</v>
      </c>
    </row>
    <row r="344" spans="2:12" ht="15" customHeight="1" x14ac:dyDescent="0.2">
      <c r="B344" s="287" t="str">
        <f>B336</f>
        <v xml:space="preserve">  kWh - Actuals</v>
      </c>
      <c r="C344" s="288"/>
      <c r="D344" s="288"/>
      <c r="E344" s="90"/>
      <c r="F344" s="219">
        <f t="shared" si="60"/>
        <v>2.8040058974859797E-2</v>
      </c>
      <c r="G344" s="219">
        <f t="shared" si="60"/>
        <v>-2.6041324129329822E-2</v>
      </c>
      <c r="H344" s="219">
        <f t="shared" si="60"/>
        <v>-4.2426319965273442E-2</v>
      </c>
      <c r="I344" s="219">
        <f t="shared" si="60"/>
        <v>-6.1958960429005006E-2</v>
      </c>
      <c r="J344" s="219">
        <f t="shared" si="60"/>
        <v>-0.11022144549838575</v>
      </c>
      <c r="K344" s="219">
        <f t="shared" si="60"/>
        <v>-0.13663242249882004</v>
      </c>
      <c r="L344" s="219">
        <f t="shared" si="60"/>
        <v>-0.16225945196243355</v>
      </c>
    </row>
    <row r="345" spans="2:12" ht="15" customHeight="1" x14ac:dyDescent="0.2">
      <c r="B345" s="330" t="str">
        <f t="shared" ref="B345:B347" si="61">B337</f>
        <v xml:space="preserve">  kWh - weather normalized</v>
      </c>
      <c r="C345" s="331"/>
      <c r="D345" s="331"/>
      <c r="E345" s="90"/>
      <c r="F345" s="219">
        <f>IF(ISERROR((F337-$E337)/$E337),0,(F337-$E337)/$E337)</f>
        <v>-2.0491613937224359E-2</v>
      </c>
      <c r="G345" s="219">
        <f t="shared" ref="G345:L345" si="62">IF(ISERROR((G337-$E337)/$E337),0,(G337-$E337)/$E337)</f>
        <v>-1.6888097535921145E-2</v>
      </c>
      <c r="H345" s="219">
        <f t="shared" si="62"/>
        <v>-1.9071700843491916E-2</v>
      </c>
      <c r="I345" s="219">
        <f t="shared" si="62"/>
        <v>-6.556528847668619E-2</v>
      </c>
      <c r="J345" s="219">
        <f t="shared" si="62"/>
        <v>-0.11236351221768688</v>
      </c>
      <c r="K345" s="219">
        <f t="shared" si="62"/>
        <v>-0.13663242249882004</v>
      </c>
      <c r="L345" s="219">
        <f t="shared" si="62"/>
        <v>-0.16225945196243355</v>
      </c>
    </row>
    <row r="346" spans="2:12" ht="15" customHeight="1" x14ac:dyDescent="0.2">
      <c r="B346" s="330" t="str">
        <f t="shared" si="61"/>
        <v xml:space="preserve">  kW - Actuals</v>
      </c>
      <c r="C346" s="288"/>
      <c r="D346" s="288"/>
      <c r="E346" s="90"/>
      <c r="F346" s="219">
        <f>IF(ISERROR((F338-$E338)/$E338),0,(F338-$E338)/$E338)</f>
        <v>0.16758507031627271</v>
      </c>
      <c r="G346" s="219">
        <f t="shared" ref="G346:L346" si="63">IF(ISERROR((G338-$E338)/$E338),0,(G338-$E338)/$E338)</f>
        <v>5.6682351788077318E-2</v>
      </c>
      <c r="H346" s="219">
        <f t="shared" si="63"/>
        <v>-9.7191335272379623E-2</v>
      </c>
      <c r="I346" s="219">
        <f t="shared" si="63"/>
        <v>-0.10444043778632819</v>
      </c>
      <c r="J346" s="219">
        <f t="shared" si="63"/>
        <v>-0.13390783389290037</v>
      </c>
      <c r="K346" s="219">
        <f t="shared" si="63"/>
        <v>-0.17378584054548477</v>
      </c>
      <c r="L346" s="219">
        <f t="shared" si="63"/>
        <v>-0.19831005845609612</v>
      </c>
    </row>
    <row r="347" spans="2:12" ht="15" customHeight="1" x14ac:dyDescent="0.2">
      <c r="B347" s="330" t="str">
        <f t="shared" si="61"/>
        <v xml:space="preserve">  kW - Weather Normaiized</v>
      </c>
      <c r="C347" s="112"/>
      <c r="D347" s="112"/>
      <c r="E347" s="90"/>
      <c r="F347" s="219">
        <f>IF(ISERROR((F339-$E339)/$E339),0,(F339-$E339)/$E339)</f>
        <v>-1.7277022046148487E-2</v>
      </c>
      <c r="G347" s="219">
        <f t="shared" ref="G347:L347" si="64">IF(ISERROR((G339-$E339)/$E339),0,(G339-$E339)/$E339)</f>
        <v>-1.3661679472892265E-2</v>
      </c>
      <c r="H347" s="219">
        <f t="shared" si="64"/>
        <v>-1.5852449021799615E-2</v>
      </c>
      <c r="I347" s="219">
        <f t="shared" si="64"/>
        <v>-6.2498621269806112E-2</v>
      </c>
      <c r="J347" s="219">
        <f t="shared" si="64"/>
        <v>-0.10945042939323285</v>
      </c>
      <c r="K347" s="219">
        <f t="shared" si="64"/>
        <v>-0.17378584054548477</v>
      </c>
      <c r="L347" s="219">
        <f t="shared" si="64"/>
        <v>-0.19831005845609612</v>
      </c>
    </row>
    <row r="348" spans="2:12" ht="9" customHeight="1" x14ac:dyDescent="0.2">
      <c r="B348" s="424"/>
      <c r="C348" s="425"/>
      <c r="D348" s="425"/>
      <c r="E348" s="425"/>
      <c r="F348" s="425"/>
      <c r="G348" s="425"/>
      <c r="H348" s="425"/>
      <c r="I348" s="425"/>
      <c r="J348" s="425"/>
      <c r="K348" s="425"/>
      <c r="L348" s="426"/>
    </row>
    <row r="349" spans="2:12" ht="15" customHeight="1" x14ac:dyDescent="0.2">
      <c r="B349" s="427" t="str">
        <f>Summary!A37</f>
        <v>Street Lighting</v>
      </c>
      <c r="C349" s="428"/>
      <c r="D349" s="428"/>
      <c r="E349" s="428"/>
      <c r="F349" s="428"/>
      <c r="G349" s="428"/>
      <c r="H349" s="428"/>
      <c r="I349" s="428"/>
      <c r="J349" s="428"/>
      <c r="K349" s="428"/>
      <c r="L349" s="429"/>
    </row>
    <row r="350" spans="2:12" ht="15" customHeight="1" x14ac:dyDescent="0.2">
      <c r="B350" s="287" t="s">
        <v>47</v>
      </c>
      <c r="C350" s="288"/>
      <c r="D350" s="288"/>
      <c r="E350" s="90">
        <f>I43</f>
        <v>5419</v>
      </c>
      <c r="F350" s="82">
        <f>Summary!G38</f>
        <v>5422</v>
      </c>
      <c r="G350" s="82">
        <f>Summary!H38</f>
        <v>5424</v>
      </c>
      <c r="H350" s="82">
        <f>Summary!I38</f>
        <v>5424</v>
      </c>
      <c r="I350" s="82">
        <f>Summary!J38</f>
        <v>5424</v>
      </c>
      <c r="J350" s="82">
        <f>Summary!K38</f>
        <v>5424</v>
      </c>
      <c r="K350" s="82">
        <f>Summary!L38</f>
        <v>5424</v>
      </c>
      <c r="L350" s="82">
        <f>Summary!M38</f>
        <v>5424</v>
      </c>
    </row>
    <row r="351" spans="2:12" ht="15" customHeight="1" x14ac:dyDescent="0.2">
      <c r="B351" s="330" t="s">
        <v>223</v>
      </c>
      <c r="C351" s="288"/>
      <c r="D351" s="288"/>
      <c r="E351" s="90">
        <f>I26*1000000</f>
        <v>2018762.0000000002</v>
      </c>
      <c r="F351" s="82">
        <f>Summary!G39</f>
        <v>2036368.7200000002</v>
      </c>
      <c r="G351" s="82">
        <f>Summary!H39</f>
        <v>2042501.58</v>
      </c>
      <c r="H351" s="82">
        <f>Summary!I39</f>
        <v>2036368.7200000002</v>
      </c>
      <c r="I351" s="82">
        <f>Summary!J39</f>
        <v>2031595.1800000002</v>
      </c>
      <c r="J351" s="82">
        <f>Summary!K39</f>
        <v>2036368.7200000002</v>
      </c>
      <c r="K351" s="82">
        <f>Summary!L39</f>
        <v>2036368.7200000002</v>
      </c>
      <c r="L351" s="82">
        <f>Summary!M39</f>
        <v>2036368.7200000002</v>
      </c>
    </row>
    <row r="352" spans="2:12" ht="15" customHeight="1" x14ac:dyDescent="0.2">
      <c r="B352" s="330" t="s">
        <v>224</v>
      </c>
      <c r="C352" s="331"/>
      <c r="D352" s="331"/>
      <c r="E352" s="90">
        <f>+E351</f>
        <v>2018762.0000000002</v>
      </c>
      <c r="F352" s="82">
        <f>+'Rate Class Energy Model'!V16</f>
        <v>1940235.9090412627</v>
      </c>
      <c r="G352" s="82">
        <f>+'Rate Class Energy Model'!V17</f>
        <v>2061696.9321666847</v>
      </c>
      <c r="H352" s="82">
        <f>+'Rate Class Energy Model'!V18</f>
        <v>2086034.4708854936</v>
      </c>
      <c r="I352" s="82">
        <f>+'Rate Class Energy Model'!V19</f>
        <v>2023784.6489356894</v>
      </c>
      <c r="J352" s="82">
        <f>+'Rate Class Energy Model'!V20</f>
        <v>2031466.3342982221</v>
      </c>
      <c r="K352" s="82">
        <f>+K351</f>
        <v>2036368.7200000002</v>
      </c>
      <c r="L352" s="82">
        <f>+L351</f>
        <v>2036368.7200000002</v>
      </c>
    </row>
    <row r="353" spans="2:12" ht="15" customHeight="1" x14ac:dyDescent="0.2">
      <c r="B353" s="330" t="s">
        <v>227</v>
      </c>
      <c r="C353" s="288"/>
      <c r="D353" s="288"/>
      <c r="E353" s="90">
        <v>5641.08</v>
      </c>
      <c r="F353" s="82">
        <f>Summary!G40</f>
        <v>5690.27</v>
      </c>
      <c r="G353" s="82">
        <f>Summary!H40</f>
        <v>5690.28</v>
      </c>
      <c r="H353" s="82">
        <f>Summary!I40</f>
        <v>5690.28</v>
      </c>
      <c r="I353" s="82">
        <f>Summary!J40</f>
        <v>5690.28</v>
      </c>
      <c r="J353" s="82">
        <f>Summary!K40</f>
        <v>5690.28</v>
      </c>
      <c r="K353" s="82">
        <f>Summary!L40</f>
        <v>5690.28</v>
      </c>
      <c r="L353" s="82">
        <f>Summary!M40</f>
        <v>5690.28</v>
      </c>
    </row>
    <row r="354" spans="2:12" ht="15" customHeight="1" x14ac:dyDescent="0.2">
      <c r="B354" s="330" t="s">
        <v>228</v>
      </c>
      <c r="C354" s="331"/>
      <c r="D354" s="331"/>
      <c r="E354" s="90">
        <f>+E353</f>
        <v>5641.08</v>
      </c>
      <c r="F354" s="90">
        <f>+'Rate Class Load Model'!P18</f>
        <v>5426.957697973914</v>
      </c>
      <c r="G354" s="90">
        <f>+'Rate Class Load Model'!P19</f>
        <v>5766.691557852846</v>
      </c>
      <c r="H354" s="90">
        <f>+'Rate Class Load Model'!P20</f>
        <v>5834.7651320426166</v>
      </c>
      <c r="I354" s="90">
        <f>+'Rate Class Load Model'!P21</f>
        <v>5660.6485986593498</v>
      </c>
      <c r="J354" s="90">
        <f>+'Rate Class Load Model'!P22</f>
        <v>5682.1347392453217</v>
      </c>
      <c r="K354" s="90">
        <f>+K353</f>
        <v>5690.28</v>
      </c>
      <c r="L354" s="90">
        <f>+L353</f>
        <v>5690.28</v>
      </c>
    </row>
    <row r="355" spans="2:12" ht="15" customHeight="1" x14ac:dyDescent="0.2">
      <c r="B355" s="330" t="s">
        <v>229</v>
      </c>
      <c r="C355" s="331"/>
      <c r="D355" s="331"/>
      <c r="E355" s="83">
        <f>+E353/E350</f>
        <v>1.0409817309466691</v>
      </c>
      <c r="F355" s="83">
        <f t="shared" ref="F355:L355" si="65">+F353/F350</f>
        <v>1.049478052379196</v>
      </c>
      <c r="G355" s="83">
        <f t="shared" si="65"/>
        <v>1.0490929203539823</v>
      </c>
      <c r="H355" s="83">
        <f t="shared" si="65"/>
        <v>1.0490929203539823</v>
      </c>
      <c r="I355" s="83">
        <f t="shared" si="65"/>
        <v>1.0490929203539823</v>
      </c>
      <c r="J355" s="83">
        <f t="shared" si="65"/>
        <v>1.0490929203539823</v>
      </c>
      <c r="K355" s="83">
        <f t="shared" si="65"/>
        <v>1.0490929203539823</v>
      </c>
      <c r="L355" s="83">
        <f t="shared" si="65"/>
        <v>1.0490929203539823</v>
      </c>
    </row>
    <row r="356" spans="2:12" ht="15" customHeight="1" x14ac:dyDescent="0.2">
      <c r="B356" s="330" t="s">
        <v>230</v>
      </c>
      <c r="C356" s="331"/>
      <c r="D356" s="331"/>
      <c r="E356" s="83">
        <f>+E354/E350</f>
        <v>1.0409817309466691</v>
      </c>
      <c r="F356" s="83">
        <f t="shared" ref="F356:L356" si="66">+F354/F350</f>
        <v>1.0009143670184275</v>
      </c>
      <c r="G356" s="83">
        <f t="shared" si="66"/>
        <v>1.0631805969492709</v>
      </c>
      <c r="H356" s="83">
        <f t="shared" si="66"/>
        <v>1.075731034668624</v>
      </c>
      <c r="I356" s="83">
        <f t="shared" si="66"/>
        <v>1.0436299038826236</v>
      </c>
      <c r="J356" s="83">
        <f t="shared" si="66"/>
        <v>1.0475912129877067</v>
      </c>
      <c r="K356" s="83">
        <f t="shared" si="66"/>
        <v>1.0490929203539823</v>
      </c>
      <c r="L356" s="83">
        <f t="shared" si="66"/>
        <v>1.0490929203539823</v>
      </c>
    </row>
    <row r="357" spans="2:12" ht="15" customHeight="1" x14ac:dyDescent="0.2">
      <c r="B357" s="421" t="s">
        <v>149</v>
      </c>
      <c r="C357" s="422"/>
      <c r="D357" s="422"/>
      <c r="E357" s="422"/>
      <c r="F357" s="422"/>
      <c r="G357" s="422"/>
      <c r="H357" s="422"/>
      <c r="I357" s="422"/>
      <c r="J357" s="422"/>
      <c r="K357" s="422"/>
      <c r="L357" s="423"/>
    </row>
    <row r="358" spans="2:12" ht="15" customHeight="1" x14ac:dyDescent="0.2">
      <c r="B358" s="287" t="str">
        <f>B350</f>
        <v xml:space="preserve">  Connections</v>
      </c>
      <c r="C358" s="288"/>
      <c r="D358" s="288"/>
      <c r="E358" s="90"/>
      <c r="F358" s="219">
        <f t="shared" ref="F358:L358" si="67">IF(ISERROR((F350-$E350)/$E350),0,(F350-$E350)/$E350)</f>
        <v>5.5360767669311681E-4</v>
      </c>
      <c r="G358" s="219">
        <f t="shared" si="67"/>
        <v>9.2267946115519469E-4</v>
      </c>
      <c r="H358" s="219">
        <f t="shared" si="67"/>
        <v>9.2267946115519469E-4</v>
      </c>
      <c r="I358" s="219">
        <f t="shared" si="67"/>
        <v>9.2267946115519469E-4</v>
      </c>
      <c r="J358" s="219">
        <f t="shared" si="67"/>
        <v>9.2267946115519469E-4</v>
      </c>
      <c r="K358" s="219">
        <f t="shared" si="67"/>
        <v>9.2267946115519469E-4</v>
      </c>
      <c r="L358" s="219">
        <f t="shared" si="67"/>
        <v>9.2267946115519469E-4</v>
      </c>
    </row>
    <row r="359" spans="2:12" ht="15" customHeight="1" x14ac:dyDescent="0.2">
      <c r="B359" s="287" t="str">
        <f>B351</f>
        <v xml:space="preserve">  kWh - Actuals</v>
      </c>
      <c r="C359" s="288"/>
      <c r="D359" s="288"/>
      <c r="E359" s="90"/>
      <c r="F359" s="219">
        <f>IF(ISERROR((F351-$E351)/$E351),0,(F351-$E351)/$E351)</f>
        <v>8.7215432032106653E-3</v>
      </c>
      <c r="G359" s="219">
        <f t="shared" ref="G359:L359" si="68">IF(ISERROR((G351-$E351)/$E351),0,(G351-$E351)/$E351)</f>
        <v>1.1759474370926261E-2</v>
      </c>
      <c r="H359" s="219">
        <f t="shared" si="68"/>
        <v>8.7215432032106653E-3</v>
      </c>
      <c r="I359" s="219">
        <f t="shared" si="68"/>
        <v>6.3569554013796241E-3</v>
      </c>
      <c r="J359" s="219">
        <f t="shared" si="68"/>
        <v>8.7215432032106653E-3</v>
      </c>
      <c r="K359" s="219">
        <f t="shared" si="68"/>
        <v>8.7215432032106653E-3</v>
      </c>
      <c r="L359" s="219">
        <f t="shared" si="68"/>
        <v>8.7215432032106653E-3</v>
      </c>
    </row>
    <row r="360" spans="2:12" ht="15" customHeight="1" x14ac:dyDescent="0.2">
      <c r="B360" s="330" t="str">
        <f t="shared" ref="B360:B362" si="69">B352</f>
        <v xml:space="preserve">  kWh - weather normalized</v>
      </c>
      <c r="C360" s="331"/>
      <c r="D360" s="331"/>
      <c r="E360" s="90"/>
      <c r="F360" s="219">
        <f t="shared" ref="F360:L362" si="70">IF(ISERROR((F352-$E352)/$E352),0,(F352-$E352)/$E352)</f>
        <v>-3.8898142009180639E-2</v>
      </c>
      <c r="G360" s="219">
        <f t="shared" si="70"/>
        <v>2.1267951430968293E-2</v>
      </c>
      <c r="H360" s="219">
        <f t="shared" si="70"/>
        <v>3.332362650252646E-2</v>
      </c>
      <c r="I360" s="219">
        <f t="shared" si="70"/>
        <v>2.4879846835283827E-3</v>
      </c>
      <c r="J360" s="219">
        <f t="shared" si="70"/>
        <v>6.2931312845307466E-3</v>
      </c>
      <c r="K360" s="219">
        <f t="shared" si="70"/>
        <v>8.7215432032106653E-3</v>
      </c>
      <c r="L360" s="219">
        <f t="shared" si="70"/>
        <v>8.7215432032106653E-3</v>
      </c>
    </row>
    <row r="361" spans="2:12" ht="15" customHeight="1" x14ac:dyDescent="0.2">
      <c r="B361" s="330" t="str">
        <f t="shared" si="69"/>
        <v xml:space="preserve">  kW - Actuals</v>
      </c>
      <c r="C361" s="288"/>
      <c r="D361" s="288"/>
      <c r="E361" s="90"/>
      <c r="F361" s="219">
        <f t="shared" si="70"/>
        <v>8.7199614258263499E-3</v>
      </c>
      <c r="G361" s="219">
        <f t="shared" si="70"/>
        <v>8.7217341360164759E-3</v>
      </c>
      <c r="H361" s="219">
        <f t="shared" si="70"/>
        <v>8.7217341360164759E-3</v>
      </c>
      <c r="I361" s="219">
        <f t="shared" si="70"/>
        <v>8.7217341360164759E-3</v>
      </c>
      <c r="J361" s="219">
        <f t="shared" si="70"/>
        <v>8.7217341360164759E-3</v>
      </c>
      <c r="K361" s="219">
        <f t="shared" si="70"/>
        <v>8.7217341360164759E-3</v>
      </c>
      <c r="L361" s="219">
        <f t="shared" si="70"/>
        <v>8.7217341360164759E-3</v>
      </c>
    </row>
    <row r="362" spans="2:12" ht="15" customHeight="1" x14ac:dyDescent="0.2">
      <c r="B362" s="330" t="str">
        <f t="shared" si="69"/>
        <v xml:space="preserve">  kW - Weather Normaiized</v>
      </c>
      <c r="C362" s="112"/>
      <c r="D362" s="112"/>
      <c r="E362" s="90"/>
      <c r="F362" s="219">
        <f t="shared" si="70"/>
        <v>-3.795767867608435E-2</v>
      </c>
      <c r="G362" s="219">
        <f t="shared" si="70"/>
        <v>2.2267288861857321E-2</v>
      </c>
      <c r="H362" s="219">
        <f t="shared" si="70"/>
        <v>3.4334760727133228E-2</v>
      </c>
      <c r="I362" s="219">
        <f t="shared" si="70"/>
        <v>3.4689454252288298E-3</v>
      </c>
      <c r="J362" s="219">
        <f t="shared" si="70"/>
        <v>7.277815461812596E-3</v>
      </c>
      <c r="K362" s="219">
        <f t="shared" si="70"/>
        <v>8.7217341360164759E-3</v>
      </c>
      <c r="L362" s="219">
        <f t="shared" si="70"/>
        <v>8.7217341360164759E-3</v>
      </c>
    </row>
    <row r="363" spans="2:12" ht="9" customHeight="1" x14ac:dyDescent="0.2">
      <c r="B363" s="424"/>
      <c r="C363" s="425"/>
      <c r="D363" s="425"/>
      <c r="E363" s="425"/>
      <c r="F363" s="425"/>
      <c r="G363" s="425"/>
      <c r="H363" s="425"/>
      <c r="I363" s="425"/>
      <c r="J363" s="425"/>
      <c r="K363" s="425"/>
      <c r="L363" s="426"/>
    </row>
    <row r="364" spans="2:12" ht="15" customHeight="1" x14ac:dyDescent="0.2">
      <c r="B364" s="427" t="str">
        <f>Summary!A42</f>
        <v>Sentinel Lighting</v>
      </c>
      <c r="C364" s="428"/>
      <c r="D364" s="428"/>
      <c r="E364" s="428"/>
      <c r="F364" s="428"/>
      <c r="G364" s="428"/>
      <c r="H364" s="428"/>
      <c r="I364" s="428"/>
      <c r="J364" s="428"/>
      <c r="K364" s="428"/>
      <c r="L364" s="429"/>
    </row>
    <row r="365" spans="2:12" ht="15" customHeight="1" x14ac:dyDescent="0.2">
      <c r="B365" s="287" t="s">
        <v>47</v>
      </c>
      <c r="C365" s="288"/>
      <c r="D365" s="288"/>
      <c r="E365" s="90">
        <f>+J43</f>
        <v>412</v>
      </c>
      <c r="F365" s="82">
        <f>Summary!G43</f>
        <v>402</v>
      </c>
      <c r="G365" s="82">
        <f>Summary!H43</f>
        <v>444</v>
      </c>
      <c r="H365" s="82">
        <f>Summary!I43</f>
        <v>436</v>
      </c>
      <c r="I365" s="82">
        <f>Summary!J43</f>
        <v>425</v>
      </c>
      <c r="J365" s="82">
        <f>Summary!K43</f>
        <v>417</v>
      </c>
      <c r="K365" s="82">
        <f>Summary!L43</f>
        <v>408</v>
      </c>
      <c r="L365" s="82">
        <f>Summary!M43</f>
        <v>400</v>
      </c>
    </row>
    <row r="366" spans="2:12" ht="15" customHeight="1" x14ac:dyDescent="0.2">
      <c r="B366" s="330" t="s">
        <v>223</v>
      </c>
      <c r="C366" s="288"/>
      <c r="D366" s="288"/>
      <c r="E366" s="90">
        <f>J26*1000000</f>
        <v>405959.29</v>
      </c>
      <c r="F366" s="82">
        <f>Summary!G44</f>
        <v>373880.03000000049</v>
      </c>
      <c r="G366" s="82">
        <f>Summary!H44</f>
        <v>156291.07</v>
      </c>
      <c r="H366" s="82">
        <f>Summary!I44</f>
        <v>129075.95999999989</v>
      </c>
      <c r="I366" s="82">
        <f>Summary!J44</f>
        <v>124703.3299999999</v>
      </c>
      <c r="J366" s="82">
        <f>Summary!K44</f>
        <v>122420.49</v>
      </c>
      <c r="K366" s="82">
        <f>Summary!L44</f>
        <v>119778.32115107913</v>
      </c>
      <c r="L366" s="82">
        <f>Summary!M44</f>
        <v>117429.72661870504</v>
      </c>
    </row>
    <row r="367" spans="2:12" ht="15" customHeight="1" x14ac:dyDescent="0.2">
      <c r="B367" s="330" t="s">
        <v>224</v>
      </c>
      <c r="C367" s="331"/>
      <c r="D367" s="331"/>
      <c r="E367" s="90">
        <f>+E366</f>
        <v>405959.29</v>
      </c>
      <c r="F367" s="82">
        <f>+'Rate Class Energy Model'!W16</f>
        <v>356229.91688824672</v>
      </c>
      <c r="G367" s="82">
        <f>+'Rate Class Energy Model'!W17</f>
        <v>157759.88753166524</v>
      </c>
      <c r="H367" s="82">
        <f>+'Rate Class Energy Model'!W18</f>
        <v>132224.04139199154</v>
      </c>
      <c r="I367" s="82">
        <f>+'Rate Class Energy Model'!W19</f>
        <v>124223.90415651666</v>
      </c>
      <c r="J367" s="82">
        <f>+'Rate Class Energy Model'!W20</f>
        <v>122125.77300995475</v>
      </c>
      <c r="K367" s="90">
        <f>+K366</f>
        <v>119778.32115107913</v>
      </c>
      <c r="L367" s="90">
        <f>+L366</f>
        <v>117429.72661870504</v>
      </c>
    </row>
    <row r="368" spans="2:12" ht="15" customHeight="1" x14ac:dyDescent="0.2">
      <c r="B368" s="330" t="s">
        <v>227</v>
      </c>
      <c r="C368" s="288"/>
      <c r="D368" s="288"/>
      <c r="E368" s="90">
        <v>1193.4344347067597</v>
      </c>
      <c r="F368" s="90">
        <f>Summary!G45</f>
        <v>1033.7400000000014</v>
      </c>
      <c r="G368" s="90">
        <f>Summary!H45</f>
        <v>406.11999999999938</v>
      </c>
      <c r="H368" s="90">
        <f>Summary!I45</f>
        <v>329.73999999999944</v>
      </c>
      <c r="I368" s="90">
        <f>Summary!J45</f>
        <v>315.71999999999952</v>
      </c>
      <c r="J368" s="90">
        <f>Summary!K45</f>
        <v>310.34000000000003</v>
      </c>
      <c r="K368" s="90">
        <f>Summary!L45</f>
        <v>304.29369952634471</v>
      </c>
      <c r="L368" s="90">
        <f>Summary!M45</f>
        <v>298.32715639837716</v>
      </c>
    </row>
    <row r="369" spans="2:12" ht="15" customHeight="1" x14ac:dyDescent="0.2">
      <c r="B369" s="330" t="s">
        <v>228</v>
      </c>
      <c r="C369" s="331"/>
      <c r="D369" s="331"/>
      <c r="E369" s="90">
        <f>+E368</f>
        <v>1193.4344347067597</v>
      </c>
      <c r="F369" s="90">
        <f>+'Rate Class Load Model'!Q18</f>
        <v>968.30222985814169</v>
      </c>
      <c r="G369" s="90">
        <f>+'Rate Class Load Model'!Q19</f>
        <v>428.82207146853239</v>
      </c>
      <c r="H369" s="90">
        <f>+'Rate Class Load Model'!Q20</f>
        <v>359.41067285734442</v>
      </c>
      <c r="I369" s="90">
        <f>+'Rate Class Load Model'!Q21</f>
        <v>337.66474317252329</v>
      </c>
      <c r="J369" s="90">
        <f>+'Rate Class Load Model'!Q22</f>
        <v>331.96161445863692</v>
      </c>
      <c r="K369" s="90">
        <f>+K368</f>
        <v>304.29369952634471</v>
      </c>
      <c r="L369" s="90">
        <f>+L368</f>
        <v>298.32715639837716</v>
      </c>
    </row>
    <row r="370" spans="2:12" ht="15" customHeight="1" x14ac:dyDescent="0.2">
      <c r="B370" s="330" t="s">
        <v>229</v>
      </c>
      <c r="C370" s="331"/>
      <c r="D370" s="331"/>
      <c r="E370" s="90">
        <f>+E368/E365</f>
        <v>2.8966855211329121</v>
      </c>
      <c r="F370" s="90">
        <f t="shared" ref="F370:L370" si="71">+F368/F365</f>
        <v>2.5714925373134361</v>
      </c>
      <c r="G370" s="90">
        <f t="shared" si="71"/>
        <v>0.91468468468468334</v>
      </c>
      <c r="H370" s="90">
        <f t="shared" si="71"/>
        <v>0.75628440366972349</v>
      </c>
      <c r="I370" s="90">
        <f t="shared" si="71"/>
        <v>0.74287058823529295</v>
      </c>
      <c r="J370" s="90">
        <f t="shared" si="71"/>
        <v>0.74422062350119911</v>
      </c>
      <c r="K370" s="90">
        <f t="shared" si="71"/>
        <v>0.74581789099594287</v>
      </c>
      <c r="L370" s="90">
        <f t="shared" si="71"/>
        <v>0.74581789099594287</v>
      </c>
    </row>
    <row r="371" spans="2:12" ht="15" customHeight="1" x14ac:dyDescent="0.2">
      <c r="B371" s="330" t="s">
        <v>230</v>
      </c>
      <c r="C371" s="331"/>
      <c r="D371" s="331"/>
      <c r="E371" s="90">
        <f>+E369/E365</f>
        <v>2.8966855211329121</v>
      </c>
      <c r="F371" s="90">
        <f t="shared" ref="F371:L371" si="72">+F369/F365</f>
        <v>2.4087120145724916</v>
      </c>
      <c r="G371" s="90">
        <f t="shared" si="72"/>
        <v>0.96581547628047837</v>
      </c>
      <c r="H371" s="90">
        <f t="shared" si="72"/>
        <v>0.8243364056361111</v>
      </c>
      <c r="I371" s="90">
        <f t="shared" si="72"/>
        <v>0.79450527805299598</v>
      </c>
      <c r="J371" s="90">
        <f t="shared" si="72"/>
        <v>0.79607101788641943</v>
      </c>
      <c r="K371" s="90">
        <f t="shared" si="72"/>
        <v>0.74581789099594287</v>
      </c>
      <c r="L371" s="90">
        <f t="shared" si="72"/>
        <v>0.74581789099594287</v>
      </c>
    </row>
    <row r="372" spans="2:12" ht="15" customHeight="1" x14ac:dyDescent="0.2">
      <c r="B372" s="421" t="s">
        <v>149</v>
      </c>
      <c r="C372" s="422"/>
      <c r="D372" s="422"/>
      <c r="E372" s="422"/>
      <c r="F372" s="422"/>
      <c r="G372" s="422"/>
      <c r="H372" s="422"/>
      <c r="I372" s="422"/>
      <c r="J372" s="422"/>
      <c r="K372" s="422"/>
      <c r="L372" s="423"/>
    </row>
    <row r="373" spans="2:12" ht="15" customHeight="1" x14ac:dyDescent="0.2">
      <c r="B373" s="287" t="str">
        <f>B365</f>
        <v xml:space="preserve">  Connections</v>
      </c>
      <c r="C373" s="288"/>
      <c r="D373" s="288"/>
      <c r="E373" s="90"/>
      <c r="F373" s="219">
        <f t="shared" ref="F373:L373" si="73">IF(ISERROR((F365-$E365)/$E365),0,(F365-$E365)/$E365)</f>
        <v>-2.4271844660194174E-2</v>
      </c>
      <c r="G373" s="219">
        <f t="shared" si="73"/>
        <v>7.7669902912621352E-2</v>
      </c>
      <c r="H373" s="219">
        <f t="shared" si="73"/>
        <v>5.8252427184466021E-2</v>
      </c>
      <c r="I373" s="219">
        <f t="shared" si="73"/>
        <v>3.1553398058252427E-2</v>
      </c>
      <c r="J373" s="219">
        <f t="shared" si="73"/>
        <v>1.2135922330097087E-2</v>
      </c>
      <c r="K373" s="219">
        <f t="shared" si="73"/>
        <v>-9.7087378640776691E-3</v>
      </c>
      <c r="L373" s="219">
        <f t="shared" si="73"/>
        <v>-2.9126213592233011E-2</v>
      </c>
    </row>
    <row r="374" spans="2:12" ht="15" customHeight="1" x14ac:dyDescent="0.2">
      <c r="B374" s="287" t="str">
        <f>B366</f>
        <v xml:space="preserve">  kWh - Actuals</v>
      </c>
      <c r="C374" s="288"/>
      <c r="D374" s="288"/>
      <c r="E374" s="90"/>
      <c r="F374" s="219">
        <f>IF(ISERROR((F366-$E366)/$E366),0,(F366-$E366)/$E366)</f>
        <v>-7.902087916253743E-2</v>
      </c>
      <c r="G374" s="219">
        <f t="shared" ref="G374:L374" si="74">IF(ISERROR((G366-$E366)/$E366),0,(G366-$E366)/$E366)</f>
        <v>-0.6150080221098031</v>
      </c>
      <c r="H374" s="219">
        <f t="shared" si="74"/>
        <v>-0.68204703481474727</v>
      </c>
      <c r="I374" s="219">
        <f t="shared" si="74"/>
        <v>-0.6928181394740347</v>
      </c>
      <c r="J374" s="219">
        <f t="shared" si="74"/>
        <v>-0.69844146195053203</v>
      </c>
      <c r="K374" s="219">
        <f t="shared" si="74"/>
        <v>-0.70494991960627595</v>
      </c>
      <c r="L374" s="219">
        <f t="shared" si="74"/>
        <v>-0.71073521530027051</v>
      </c>
    </row>
    <row r="375" spans="2:12" ht="15" customHeight="1" x14ac:dyDescent="0.2">
      <c r="B375" s="330" t="str">
        <f t="shared" ref="B375:B377" si="75">B367</f>
        <v xml:space="preserve">  kWh - weather normalized</v>
      </c>
      <c r="C375" s="331"/>
      <c r="D375" s="331"/>
      <c r="E375" s="90"/>
      <c r="F375" s="219">
        <f t="shared" ref="F375:L377" si="76">IF(ISERROR((F367-$E367)/$E367),0,(F367-$E367)/$E367)</f>
        <v>-0.1224984237009412</v>
      </c>
      <c r="G375" s="219">
        <f t="shared" si="76"/>
        <v>-0.61138988214393308</v>
      </c>
      <c r="H375" s="219">
        <f t="shared" si="76"/>
        <v>-0.67429236219229871</v>
      </c>
      <c r="I375" s="219">
        <f t="shared" si="76"/>
        <v>-0.69399910972226631</v>
      </c>
      <c r="J375" s="219">
        <f t="shared" si="76"/>
        <v>-0.69916743866126385</v>
      </c>
      <c r="K375" s="219">
        <f t="shared" si="76"/>
        <v>-0.70494991960627595</v>
      </c>
      <c r="L375" s="219">
        <f t="shared" si="76"/>
        <v>-0.71073521530027051</v>
      </c>
    </row>
    <row r="376" spans="2:12" ht="15" customHeight="1" x14ac:dyDescent="0.2">
      <c r="B376" s="330" t="str">
        <f t="shared" si="75"/>
        <v xml:space="preserve">  kW - Actuals</v>
      </c>
      <c r="C376" s="288"/>
      <c r="D376" s="288"/>
      <c r="E376" s="90"/>
      <c r="F376" s="219">
        <f t="shared" si="76"/>
        <v>-0.13381081529292144</v>
      </c>
      <c r="G376" s="219">
        <f t="shared" si="76"/>
        <v>-0.6597048080820731</v>
      </c>
      <c r="H376" s="219">
        <f t="shared" si="76"/>
        <v>-0.72370497246376142</v>
      </c>
      <c r="I376" s="219">
        <f t="shared" si="76"/>
        <v>-0.73545258053696472</v>
      </c>
      <c r="J376" s="219">
        <f t="shared" si="76"/>
        <v>-0.73996057849943464</v>
      </c>
      <c r="K376" s="219">
        <f t="shared" si="76"/>
        <v>-0.74502688151350938</v>
      </c>
      <c r="L376" s="219">
        <f t="shared" si="76"/>
        <v>-0.75002635442500909</v>
      </c>
    </row>
    <row r="377" spans="2:12" ht="15" customHeight="1" x14ac:dyDescent="0.2">
      <c r="B377" s="330" t="str">
        <f t="shared" si="75"/>
        <v xml:space="preserve">  kW - Weather Normaiized</v>
      </c>
      <c r="C377" s="112"/>
      <c r="D377" s="112"/>
      <c r="E377" s="90"/>
      <c r="F377" s="219">
        <f t="shared" si="76"/>
        <v>-0.18864229010111941</v>
      </c>
      <c r="G377" s="219">
        <f t="shared" si="76"/>
        <v>-0.64068233746422876</v>
      </c>
      <c r="H377" s="219">
        <f t="shared" si="76"/>
        <v>-0.69884338644405231</v>
      </c>
      <c r="I377" s="219">
        <f t="shared" si="76"/>
        <v>-0.71706468880672836</v>
      </c>
      <c r="J377" s="219">
        <f t="shared" si="76"/>
        <v>-0.72184344208217555</v>
      </c>
      <c r="K377" s="219">
        <f t="shared" si="76"/>
        <v>-0.74502688151350938</v>
      </c>
      <c r="L377" s="219">
        <f t="shared" si="76"/>
        <v>-0.75002635442500909</v>
      </c>
    </row>
    <row r="378" spans="2:12" ht="9" customHeight="1" x14ac:dyDescent="0.2">
      <c r="B378" s="424"/>
      <c r="C378" s="425"/>
      <c r="D378" s="425"/>
      <c r="E378" s="425"/>
      <c r="F378" s="425"/>
      <c r="G378" s="425"/>
      <c r="H378" s="425"/>
      <c r="I378" s="425"/>
      <c r="J378" s="425"/>
      <c r="K378" s="425"/>
      <c r="L378" s="426"/>
    </row>
    <row r="379" spans="2:12" ht="15" customHeight="1" x14ac:dyDescent="0.2">
      <c r="B379" s="427" t="str">
        <f>Summary!A47</f>
        <v xml:space="preserve">Unmetered Scattered Load </v>
      </c>
      <c r="C379" s="428"/>
      <c r="D379" s="428"/>
      <c r="E379" s="428"/>
      <c r="F379" s="428"/>
      <c r="G379" s="428"/>
      <c r="H379" s="428"/>
      <c r="I379" s="428"/>
      <c r="J379" s="428"/>
      <c r="K379" s="428"/>
      <c r="L379" s="429"/>
    </row>
    <row r="380" spans="2:12" ht="15" customHeight="1" x14ac:dyDescent="0.2">
      <c r="B380" s="287" t="s">
        <v>44</v>
      </c>
      <c r="C380" s="288"/>
      <c r="D380" s="288"/>
      <c r="E380" s="90">
        <f>K43</f>
        <v>7</v>
      </c>
      <c r="F380" s="82">
        <f>Summary!G48</f>
        <v>10</v>
      </c>
      <c r="G380" s="82">
        <f>Summary!H48</f>
        <v>10</v>
      </c>
      <c r="H380" s="82">
        <f>Summary!I48</f>
        <v>10</v>
      </c>
      <c r="I380" s="82">
        <f>Summary!J48</f>
        <v>10</v>
      </c>
      <c r="J380" s="82">
        <f>Summary!K48</f>
        <v>9</v>
      </c>
      <c r="K380" s="82">
        <f>Summary!L48</f>
        <v>9</v>
      </c>
      <c r="L380" s="82">
        <f>Summary!M48</f>
        <v>9</v>
      </c>
    </row>
    <row r="381" spans="2:12" ht="15" customHeight="1" x14ac:dyDescent="0.2">
      <c r="B381" s="330" t="s">
        <v>223</v>
      </c>
      <c r="C381" s="288"/>
      <c r="D381" s="288"/>
      <c r="E381" s="90">
        <f>K26*1000000</f>
        <v>32044.999999999996</v>
      </c>
      <c r="F381" s="90">
        <f>Summary!G49</f>
        <v>42933.59</v>
      </c>
      <c r="G381" s="90">
        <f>Summary!H49</f>
        <v>42933.55999999999</v>
      </c>
      <c r="H381" s="90">
        <f>Summary!I49</f>
        <v>42933.589999999989</v>
      </c>
      <c r="I381" s="90">
        <f>Summary!J49</f>
        <v>42072.619999999988</v>
      </c>
      <c r="J381" s="90">
        <f>Summary!K49</f>
        <v>39489.699999999997</v>
      </c>
      <c r="K381" s="90">
        <f>Summary!L49</f>
        <v>39489.699999999997</v>
      </c>
      <c r="L381" s="90">
        <f>Summary!M49</f>
        <v>39489.699999999997</v>
      </c>
    </row>
    <row r="382" spans="2:12" ht="15" customHeight="1" x14ac:dyDescent="0.2">
      <c r="B382" s="330" t="s">
        <v>224</v>
      </c>
      <c r="C382" s="331"/>
      <c r="D382" s="331"/>
      <c r="E382" s="90">
        <f>+E381</f>
        <v>32044.999999999996</v>
      </c>
      <c r="F382" s="90">
        <f>+'Rate Class Energy Model'!X16</f>
        <v>40906.78284532619</v>
      </c>
      <c r="G382" s="90">
        <f>+'Rate Class Energy Model'!X17</f>
        <v>43337.047963994359</v>
      </c>
      <c r="H382" s="90">
        <f>+'Rate Class Energy Model'!X18</f>
        <v>43980.713227054817</v>
      </c>
      <c r="I382" s="90">
        <f>+'Rate Class Energy Model'!X19</f>
        <v>41910.870499557212</v>
      </c>
      <c r="J382" s="90">
        <f>+'Rate Class Energy Model'!X20</f>
        <v>39394.631882548492</v>
      </c>
      <c r="K382" s="90">
        <f>+K381</f>
        <v>39489.699999999997</v>
      </c>
      <c r="L382" s="90">
        <f>+L381</f>
        <v>39489.699999999997</v>
      </c>
    </row>
    <row r="383" spans="2:12" ht="15" customHeight="1" x14ac:dyDescent="0.2">
      <c r="B383" s="330" t="s">
        <v>225</v>
      </c>
      <c r="C383" s="331"/>
      <c r="D383" s="331"/>
      <c r="E383" s="90">
        <f t="shared" ref="E383:L383" si="77">+E381/E380</f>
        <v>4577.8571428571422</v>
      </c>
      <c r="F383" s="90">
        <f t="shared" si="77"/>
        <v>4293.3589999999995</v>
      </c>
      <c r="G383" s="90">
        <f t="shared" si="77"/>
        <v>4293.3559999999989</v>
      </c>
      <c r="H383" s="90">
        <f t="shared" si="77"/>
        <v>4293.3589999999986</v>
      </c>
      <c r="I383" s="90">
        <f t="shared" si="77"/>
        <v>4207.2619999999988</v>
      </c>
      <c r="J383" s="90">
        <f t="shared" si="77"/>
        <v>4387.7444444444445</v>
      </c>
      <c r="K383" s="90">
        <f t="shared" si="77"/>
        <v>4387.7444444444445</v>
      </c>
      <c r="L383" s="90">
        <f t="shared" si="77"/>
        <v>4387.7444444444445</v>
      </c>
    </row>
    <row r="384" spans="2:12" ht="15" customHeight="1" x14ac:dyDescent="0.2">
      <c r="B384" s="330" t="s">
        <v>226</v>
      </c>
      <c r="C384" s="331"/>
      <c r="D384" s="331"/>
      <c r="E384" s="90">
        <f t="shared" ref="E384:L384" si="78">+E382/E380</f>
        <v>4577.8571428571422</v>
      </c>
      <c r="F384" s="90">
        <f t="shared" si="78"/>
        <v>4090.6782845326188</v>
      </c>
      <c r="G384" s="90">
        <f t="shared" si="78"/>
        <v>4333.7047963994355</v>
      </c>
      <c r="H384" s="90">
        <f t="shared" si="78"/>
        <v>4398.0713227054821</v>
      </c>
      <c r="I384" s="90">
        <f t="shared" si="78"/>
        <v>4191.0870499557213</v>
      </c>
      <c r="J384" s="90">
        <f t="shared" si="78"/>
        <v>4377.1813202831654</v>
      </c>
      <c r="K384" s="90">
        <f t="shared" si="78"/>
        <v>4387.7444444444445</v>
      </c>
      <c r="L384" s="90">
        <f t="shared" si="78"/>
        <v>4387.7444444444445</v>
      </c>
    </row>
    <row r="385" spans="2:12" ht="15" customHeight="1" x14ac:dyDescent="0.2">
      <c r="B385" s="421" t="s">
        <v>149</v>
      </c>
      <c r="C385" s="422"/>
      <c r="D385" s="422"/>
      <c r="E385" s="422"/>
      <c r="F385" s="422"/>
      <c r="G385" s="422"/>
      <c r="H385" s="422"/>
      <c r="I385" s="422"/>
      <c r="J385" s="422"/>
      <c r="K385" s="422"/>
      <c r="L385" s="423"/>
    </row>
    <row r="386" spans="2:12" ht="15" customHeight="1" x14ac:dyDescent="0.2">
      <c r="B386" s="287" t="str">
        <f>B380</f>
        <v xml:space="preserve">  Customers</v>
      </c>
      <c r="C386" s="288"/>
      <c r="D386" s="288"/>
      <c r="E386" s="90"/>
      <c r="F386" s="219">
        <f t="shared" ref="F386:L386" si="79">IF(ISERROR((F380-$E380)/$E380),0,(F380-$E380)/$E380)</f>
        <v>0.42857142857142855</v>
      </c>
      <c r="G386" s="219">
        <f t="shared" si="79"/>
        <v>0.42857142857142855</v>
      </c>
      <c r="H386" s="219">
        <f t="shared" si="79"/>
        <v>0.42857142857142855</v>
      </c>
      <c r="I386" s="219">
        <f t="shared" si="79"/>
        <v>0.42857142857142855</v>
      </c>
      <c r="J386" s="219">
        <f t="shared" si="79"/>
        <v>0.2857142857142857</v>
      </c>
      <c r="K386" s="219">
        <f t="shared" si="79"/>
        <v>0.2857142857142857</v>
      </c>
      <c r="L386" s="219">
        <f t="shared" si="79"/>
        <v>0.2857142857142857</v>
      </c>
    </row>
    <row r="387" spans="2:12" ht="15" customHeight="1" x14ac:dyDescent="0.2">
      <c r="B387" s="287" t="str">
        <f>B381</f>
        <v xml:space="preserve">  kWh - Actuals</v>
      </c>
      <c r="C387" s="288"/>
      <c r="D387" s="288"/>
      <c r="E387" s="90"/>
      <c r="F387" s="219">
        <f>IF(ISERROR((F381-$E381)/$E381),0,(F381-$E381)/$E381)</f>
        <v>0.33979060695896401</v>
      </c>
      <c r="G387" s="219">
        <f t="shared" ref="G387:L387" si="80">IF(ISERROR((G381-$E381)/$E381),0,(G381-$E381)/$E381)</f>
        <v>0.33978967077547184</v>
      </c>
      <c r="H387" s="219">
        <f t="shared" si="80"/>
        <v>0.33979060695896379</v>
      </c>
      <c r="I387" s="219">
        <f t="shared" si="80"/>
        <v>0.31292307692307669</v>
      </c>
      <c r="J387" s="219">
        <f t="shared" si="80"/>
        <v>0.23232017475425187</v>
      </c>
      <c r="K387" s="219">
        <f t="shared" si="80"/>
        <v>0.23232017475425187</v>
      </c>
      <c r="L387" s="219">
        <f t="shared" si="80"/>
        <v>0.23232017475425187</v>
      </c>
    </row>
    <row r="388" spans="2:12" ht="15" customHeight="1" x14ac:dyDescent="0.2">
      <c r="B388" s="330" t="str">
        <f>B382</f>
        <v xml:space="preserve">  kWh - weather normalized</v>
      </c>
      <c r="C388" s="112"/>
      <c r="D388" s="112"/>
      <c r="E388" s="90"/>
      <c r="F388" s="219">
        <f>IF(ISERROR((F382-$E382)/$E382),0,(F382-$E382)/$E382)</f>
        <v>0.27654182697226382</v>
      </c>
      <c r="G388" s="219">
        <f t="shared" ref="G388:L388" si="81">IF(ISERROR((G382-$E382)/$E382),0,(G382-$E382)/$E382)</f>
        <v>0.35238096314540063</v>
      </c>
      <c r="H388" s="219">
        <f t="shared" si="81"/>
        <v>0.37246725626633864</v>
      </c>
      <c r="I388" s="219">
        <f t="shared" si="81"/>
        <v>0.30787550318480938</v>
      </c>
      <c r="J388" s="219">
        <f t="shared" si="81"/>
        <v>0.22935346801524409</v>
      </c>
      <c r="K388" s="219">
        <f t="shared" si="81"/>
        <v>0.23232017475425187</v>
      </c>
      <c r="L388" s="219">
        <f t="shared" si="81"/>
        <v>0.23232017475425187</v>
      </c>
    </row>
    <row r="389" spans="2:12" ht="15" customHeight="1" x14ac:dyDescent="0.2">
      <c r="B389" s="336"/>
      <c r="C389" s="112"/>
      <c r="D389" s="112"/>
      <c r="E389" s="337"/>
      <c r="F389" s="338"/>
      <c r="G389" s="338"/>
      <c r="H389" s="338"/>
      <c r="I389" s="338"/>
      <c r="J389" s="338"/>
      <c r="K389" s="338"/>
      <c r="L389" s="339"/>
    </row>
    <row r="390" spans="2:12" ht="9" customHeight="1" x14ac:dyDescent="0.2">
      <c r="B390" s="424"/>
      <c r="C390" s="425"/>
      <c r="D390" s="425"/>
      <c r="E390" s="425"/>
      <c r="F390" s="425"/>
      <c r="G390" s="425"/>
      <c r="H390" s="425"/>
      <c r="I390" s="425"/>
      <c r="J390" s="425"/>
      <c r="K390" s="425"/>
      <c r="L390" s="426"/>
    </row>
    <row r="391" spans="2:12" ht="15" customHeight="1" x14ac:dyDescent="0.2">
      <c r="B391" s="430" t="s">
        <v>10</v>
      </c>
      <c r="C391" s="431"/>
      <c r="D391" s="431"/>
      <c r="E391" s="431"/>
      <c r="F391" s="431"/>
      <c r="G391" s="431"/>
      <c r="H391" s="431"/>
      <c r="I391" s="431"/>
      <c r="J391" s="431"/>
      <c r="K391" s="431"/>
      <c r="L391" s="432"/>
    </row>
    <row r="392" spans="2:12" ht="15" customHeight="1" x14ac:dyDescent="0.2">
      <c r="B392" s="287" t="s">
        <v>49</v>
      </c>
      <c r="C392" s="288"/>
      <c r="D392" s="288"/>
      <c r="E392" s="90">
        <f t="shared" ref="E392:L394" si="82">E297+E308+E319+E335+E350+E365+E380</f>
        <v>29878</v>
      </c>
      <c r="F392" s="90">
        <f t="shared" si="82"/>
        <v>29857</v>
      </c>
      <c r="G392" s="90">
        <f t="shared" si="82"/>
        <v>29964</v>
      </c>
      <c r="H392" s="90">
        <f t="shared" si="82"/>
        <v>29977</v>
      </c>
      <c r="I392" s="90">
        <f t="shared" si="82"/>
        <v>30001</v>
      </c>
      <c r="J392" s="90">
        <f t="shared" si="82"/>
        <v>30047</v>
      </c>
      <c r="K392" s="90">
        <f t="shared" si="82"/>
        <v>30075</v>
      </c>
      <c r="L392" s="90">
        <f t="shared" si="82"/>
        <v>30104</v>
      </c>
    </row>
    <row r="393" spans="2:12" ht="15" customHeight="1" x14ac:dyDescent="0.2">
      <c r="B393" s="287" t="s">
        <v>45</v>
      </c>
      <c r="C393" s="288"/>
      <c r="D393" s="288"/>
      <c r="E393" s="64">
        <f t="shared" si="82"/>
        <v>520454527.29000002</v>
      </c>
      <c r="F393" s="64">
        <f t="shared" si="82"/>
        <v>516728999.29000038</v>
      </c>
      <c r="G393" s="64">
        <f t="shared" si="82"/>
        <v>488765497.17000061</v>
      </c>
      <c r="H393" s="64">
        <f t="shared" si="82"/>
        <v>482398546.16000038</v>
      </c>
      <c r="I393" s="64">
        <f t="shared" si="82"/>
        <v>496980971.10999972</v>
      </c>
      <c r="J393" s="64">
        <f t="shared" si="82"/>
        <v>495761810.37999994</v>
      </c>
      <c r="K393" s="64">
        <f t="shared" si="82"/>
        <v>493095328.33527148</v>
      </c>
      <c r="L393" s="64">
        <f t="shared" si="82"/>
        <v>492266508.87026399</v>
      </c>
    </row>
    <row r="394" spans="2:12" ht="15" customHeight="1" x14ac:dyDescent="0.2">
      <c r="B394" s="330" t="s">
        <v>231</v>
      </c>
      <c r="C394" s="331"/>
      <c r="D394" s="331"/>
      <c r="E394" s="64">
        <f t="shared" si="82"/>
        <v>520454527.29000002</v>
      </c>
      <c r="F394" s="64">
        <f t="shared" si="82"/>
        <v>492335277.89869797</v>
      </c>
      <c r="G394" s="64">
        <f t="shared" si="82"/>
        <v>493358896.72325957</v>
      </c>
      <c r="H394" s="64">
        <f t="shared" si="82"/>
        <v>494163942.95960677</v>
      </c>
      <c r="I394" s="64">
        <f t="shared" si="82"/>
        <v>495070312.25855172</v>
      </c>
      <c r="J394" s="64">
        <f t="shared" si="82"/>
        <v>494568305.69353294</v>
      </c>
      <c r="K394" s="64">
        <f t="shared" si="82"/>
        <v>493095328.33527148</v>
      </c>
      <c r="L394" s="64">
        <f t="shared" si="82"/>
        <v>492266508.87026399</v>
      </c>
    </row>
    <row r="395" spans="2:12" ht="15" customHeight="1" x14ac:dyDescent="0.2">
      <c r="B395" s="287" t="s">
        <v>48</v>
      </c>
      <c r="C395" s="288"/>
      <c r="D395" s="288"/>
      <c r="E395" s="90">
        <f t="shared" ref="E395:L395" si="83">E368+E353+E338+E322</f>
        <v>560500.57494787755</v>
      </c>
      <c r="F395" s="90">
        <f t="shared" si="83"/>
        <v>584087.73000000021</v>
      </c>
      <c r="G395" s="90">
        <f t="shared" si="83"/>
        <v>571174.13000000012</v>
      </c>
      <c r="H395" s="90">
        <f t="shared" si="83"/>
        <v>565277.37999999989</v>
      </c>
      <c r="I395" s="90">
        <f t="shared" si="83"/>
        <v>558524.51</v>
      </c>
      <c r="J395" s="90">
        <f t="shared" si="83"/>
        <v>558570.17999999993</v>
      </c>
      <c r="K395" s="90">
        <f t="shared" si="83"/>
        <v>555942.3213121756</v>
      </c>
      <c r="L395" s="90">
        <f t="shared" si="83"/>
        <v>550371.01152596145</v>
      </c>
    </row>
    <row r="396" spans="2:12" ht="15" customHeight="1" x14ac:dyDescent="0.2">
      <c r="B396" s="330" t="s">
        <v>232</v>
      </c>
      <c r="C396" s="331"/>
      <c r="D396" s="331"/>
      <c r="E396" s="90">
        <f>E369+E354+E339+E323</f>
        <v>560500.57494787755</v>
      </c>
      <c r="F396" s="90">
        <f t="shared" ref="F396:L396" si="84">F369+F354+F339+F323</f>
        <v>563104.6351523347</v>
      </c>
      <c r="G396" s="90">
        <f t="shared" si="84"/>
        <v>554738.00278153154</v>
      </c>
      <c r="H396" s="90">
        <f t="shared" si="84"/>
        <v>560923.61118771194</v>
      </c>
      <c r="I396" s="90">
        <f t="shared" si="84"/>
        <v>543899.07480238855</v>
      </c>
      <c r="J396" s="90">
        <f t="shared" si="84"/>
        <v>542943.17673033068</v>
      </c>
      <c r="K396" s="90">
        <f t="shared" si="84"/>
        <v>555942.3213121756</v>
      </c>
      <c r="L396" s="90">
        <f t="shared" si="84"/>
        <v>550371.01152596145</v>
      </c>
    </row>
    <row r="397" spans="2:12" ht="15" customHeight="1" x14ac:dyDescent="0.2">
      <c r="B397" s="421" t="s">
        <v>149</v>
      </c>
      <c r="C397" s="422"/>
      <c r="D397" s="422"/>
      <c r="E397" s="422"/>
      <c r="F397" s="422"/>
      <c r="G397" s="422"/>
      <c r="H397" s="422"/>
      <c r="I397" s="422"/>
      <c r="J397" s="422"/>
      <c r="K397" s="422"/>
      <c r="L397" s="423"/>
    </row>
    <row r="398" spans="2:12" ht="15" customHeight="1" x14ac:dyDescent="0.2">
      <c r="B398" s="287" t="str">
        <f>B392</f>
        <v xml:space="preserve">  Customer/Connections</v>
      </c>
      <c r="C398" s="288"/>
      <c r="D398" s="288"/>
      <c r="E398" s="90"/>
      <c r="F398" s="219">
        <f t="shared" ref="F398:L398" si="85">IF(ISERROR((F392-$E392)/$E392),0,(F392-$E392)/$E392)</f>
        <v>-7.0285829038088221E-4</v>
      </c>
      <c r="G398" s="219">
        <f t="shared" si="85"/>
        <v>2.8783720463217083E-3</v>
      </c>
      <c r="H398" s="219">
        <f t="shared" si="85"/>
        <v>3.3134747975098735E-3</v>
      </c>
      <c r="I398" s="219">
        <f t="shared" si="85"/>
        <v>4.1167414150880249E-3</v>
      </c>
      <c r="J398" s="219">
        <f t="shared" si="85"/>
        <v>5.6563357654461476E-3</v>
      </c>
      <c r="K398" s="219">
        <f t="shared" si="85"/>
        <v>6.5934801526206571E-3</v>
      </c>
      <c r="L398" s="219">
        <f t="shared" si="85"/>
        <v>7.5640939821942565E-3</v>
      </c>
    </row>
    <row r="399" spans="2:12" ht="15" customHeight="1" x14ac:dyDescent="0.2">
      <c r="B399" s="287" t="str">
        <f>B393</f>
        <v xml:space="preserve">  kWh</v>
      </c>
      <c r="C399" s="288"/>
      <c r="D399" s="288"/>
      <c r="E399" s="90"/>
      <c r="F399" s="219">
        <f>IF(ISERROR((F393-$E393)/$E393),0,(F393-$E393)/$E393)</f>
        <v>-7.1582199878218343E-3</v>
      </c>
      <c r="G399" s="219">
        <f t="shared" ref="G399:L399" si="86">IF(ISERROR((G393-$E393)/$E393),0,(G393-$E393)/$E393)</f>
        <v>-6.0887221569584142E-2</v>
      </c>
      <c r="H399" s="219">
        <f t="shared" si="86"/>
        <v>-7.3120664985194067E-2</v>
      </c>
      <c r="I399" s="219">
        <f t="shared" si="86"/>
        <v>-4.5102030915605267E-2</v>
      </c>
      <c r="J399" s="219">
        <f t="shared" si="86"/>
        <v>-4.7444523229675302E-2</v>
      </c>
      <c r="K399" s="219">
        <f t="shared" si="86"/>
        <v>-5.2567895022813116E-2</v>
      </c>
      <c r="L399" s="219">
        <f t="shared" si="86"/>
        <v>-5.4160386626879151E-2</v>
      </c>
    </row>
    <row r="400" spans="2:12" ht="15" customHeight="1" x14ac:dyDescent="0.2">
      <c r="B400" s="330" t="str">
        <f>B394</f>
        <v xml:space="preserve">  kWh- Weather Normailized</v>
      </c>
      <c r="C400" s="331"/>
      <c r="D400" s="331"/>
      <c r="E400" s="90"/>
      <c r="F400" s="219">
        <f>IF(ISERROR((F394-$E394)/$E394),0,(F394-$E394)/$E394)</f>
        <v>-5.4028253991215365E-2</v>
      </c>
      <c r="G400" s="219">
        <f t="shared" ref="G400:L400" si="87">IF(ISERROR((G394-$E394)/$E394),0,(G394-$E394)/$E394)</f>
        <v>-5.2061475395030282E-2</v>
      </c>
      <c r="H400" s="219">
        <f t="shared" si="87"/>
        <v>-5.0514661611818397E-2</v>
      </c>
      <c r="I400" s="219">
        <f t="shared" si="87"/>
        <v>-4.8773165954811813E-2</v>
      </c>
      <c r="J400" s="219">
        <f t="shared" si="87"/>
        <v>-4.9737720087202043E-2</v>
      </c>
      <c r="K400" s="219">
        <f t="shared" si="87"/>
        <v>-5.2567895022813116E-2</v>
      </c>
      <c r="L400" s="219">
        <f t="shared" si="87"/>
        <v>-5.4160386626879151E-2</v>
      </c>
    </row>
    <row r="401" spans="2:19" ht="15" customHeight="1" x14ac:dyDescent="0.2">
      <c r="B401" s="287" t="str">
        <f>B395</f>
        <v xml:space="preserve">  kW from applicable classes</v>
      </c>
      <c r="C401" s="288"/>
      <c r="D401" s="288"/>
      <c r="E401" s="90"/>
      <c r="F401" s="219">
        <f t="shared" ref="F401:L402" si="88">IF(ISERROR((F395-$E395)/$E395),0,(F395-$E395)/$E395)</f>
        <v>4.2082303045480537E-2</v>
      </c>
      <c r="G401" s="219">
        <f t="shared" si="88"/>
        <v>1.9042897597589672E-2</v>
      </c>
      <c r="H401" s="219">
        <f t="shared" si="88"/>
        <v>8.5223909940976283E-3</v>
      </c>
      <c r="I401" s="219">
        <f t="shared" si="88"/>
        <v>-3.5255359872936876E-3</v>
      </c>
      <c r="J401" s="219">
        <f t="shared" si="88"/>
        <v>-3.4440552501790599E-3</v>
      </c>
      <c r="K401" s="219">
        <f t="shared" si="88"/>
        <v>-8.13246915246401E-3</v>
      </c>
      <c r="L401" s="219">
        <f t="shared" si="88"/>
        <v>-1.8072351527664489E-2</v>
      </c>
    </row>
    <row r="402" spans="2:19" ht="15" customHeight="1" x14ac:dyDescent="0.2">
      <c r="B402" s="330" t="str">
        <f>B396</f>
        <v xml:space="preserve">  kW from applicable classes - wn</v>
      </c>
      <c r="C402" s="331"/>
      <c r="D402" s="331"/>
      <c r="E402" s="90"/>
      <c r="F402" s="219">
        <f t="shared" si="88"/>
        <v>4.6459545642737318E-3</v>
      </c>
      <c r="G402" s="219">
        <f t="shared" si="88"/>
        <v>-1.0281117315324592E-2</v>
      </c>
      <c r="H402" s="219">
        <f t="shared" si="88"/>
        <v>7.5474720052468318E-4</v>
      </c>
      <c r="I402" s="219">
        <f t="shared" si="88"/>
        <v>-2.9619059975153135E-2</v>
      </c>
      <c r="J402" s="219">
        <f t="shared" si="88"/>
        <v>-3.1324496356100219E-2</v>
      </c>
      <c r="K402" s="219">
        <f t="shared" si="88"/>
        <v>-8.13246915246401E-3</v>
      </c>
      <c r="L402" s="219">
        <f t="shared" si="88"/>
        <v>-1.8072351527664489E-2</v>
      </c>
    </row>
    <row r="403" spans="2:19" ht="15" customHeight="1" x14ac:dyDescent="0.2">
      <c r="F403" s="65"/>
      <c r="G403" s="65"/>
      <c r="H403" s="65"/>
      <c r="I403" s="65"/>
      <c r="J403" s="65"/>
      <c r="K403" s="65"/>
    </row>
    <row r="404" spans="2:19" ht="15" customHeight="1" x14ac:dyDescent="0.2">
      <c r="B404" s="420" t="s">
        <v>277</v>
      </c>
      <c r="C404" s="420"/>
      <c r="D404" s="420"/>
      <c r="E404" s="420"/>
      <c r="F404" s="420"/>
      <c r="G404" s="420"/>
      <c r="H404" s="420"/>
      <c r="I404" s="420"/>
      <c r="J404" s="420"/>
      <c r="K404" s="420"/>
      <c r="L404" s="420"/>
      <c r="N404" s="60" t="s">
        <v>213</v>
      </c>
    </row>
    <row r="405" spans="2:19" ht="15" customHeight="1" x14ac:dyDescent="0.2">
      <c r="B405" s="410"/>
      <c r="C405" s="411"/>
      <c r="D405" s="412"/>
      <c r="E405" s="410" t="s">
        <v>150</v>
      </c>
      <c r="F405" s="411"/>
      <c r="G405" s="412"/>
      <c r="H405" s="409" t="s">
        <v>129</v>
      </c>
      <c r="I405" s="409"/>
      <c r="J405" s="409" t="s">
        <v>151</v>
      </c>
      <c r="K405" s="409"/>
      <c r="L405" s="248"/>
    </row>
    <row r="406" spans="2:19" ht="22.5" x14ac:dyDescent="0.2">
      <c r="B406" s="414" t="s">
        <v>153</v>
      </c>
      <c r="C406" s="415"/>
      <c r="D406" s="416"/>
      <c r="E406" s="220" t="s">
        <v>201</v>
      </c>
      <c r="F406" s="221" t="s">
        <v>189</v>
      </c>
      <c r="G406" s="221" t="s">
        <v>39</v>
      </c>
      <c r="H406" s="220" t="str">
        <f>E406</f>
        <v xml:space="preserve">2015 Board Approved </v>
      </c>
      <c r="I406" s="221" t="str">
        <f>F406</f>
        <v xml:space="preserve">2015 Actual </v>
      </c>
      <c r="J406" s="220" t="str">
        <f>E406</f>
        <v xml:space="preserve">2015 Board Approved </v>
      </c>
      <c r="K406" s="221" t="str">
        <f>F406</f>
        <v xml:space="preserve">2015 Actual </v>
      </c>
      <c r="L406" s="220" t="s">
        <v>152</v>
      </c>
      <c r="N406" s="60" t="s">
        <v>99</v>
      </c>
    </row>
    <row r="407" spans="2:19" ht="15" customHeight="1" x14ac:dyDescent="0.2">
      <c r="B407" s="227" t="str">
        <f>Summary!A19</f>
        <v xml:space="preserve">Residential </v>
      </c>
      <c r="C407" s="228"/>
      <c r="D407" s="229"/>
      <c r="E407" s="325">
        <f>E297</f>
        <v>21124</v>
      </c>
      <c r="F407" s="325">
        <f>$F$297</f>
        <v>21122</v>
      </c>
      <c r="G407" s="326">
        <f>F407-E407</f>
        <v>-2</v>
      </c>
      <c r="H407" s="327">
        <f>E298</f>
        <v>205497425</v>
      </c>
      <c r="I407" s="327">
        <f>$F$298</f>
        <v>196730100.79999995</v>
      </c>
      <c r="J407" s="325"/>
      <c r="K407" s="225"/>
      <c r="L407" s="226">
        <f>I407-H407</f>
        <v>-8767324.2000000477</v>
      </c>
      <c r="N407" s="54">
        <f>+SUM('Purchased Power Model'!C77:C88)</f>
        <v>5158.0499999999993</v>
      </c>
      <c r="O407" s="301">
        <v>4971</v>
      </c>
      <c r="P407" s="60">
        <f>+L407/H407</f>
        <v>-4.2663912698663001E-2</v>
      </c>
      <c r="Q407" s="328"/>
    </row>
    <row r="408" spans="2:19" ht="15" customHeight="1" x14ac:dyDescent="0.2">
      <c r="B408" s="227" t="str">
        <f>Summary!A23</f>
        <v>General Service &lt; 50 kW</v>
      </c>
      <c r="C408" s="228"/>
      <c r="D408" s="229"/>
      <c r="E408" s="325">
        <f>E308</f>
        <v>2668</v>
      </c>
      <c r="F408" s="325">
        <f>$F$308</f>
        <v>2646</v>
      </c>
      <c r="G408" s="326">
        <f t="shared" ref="G408:G413" si="89">F408-E408</f>
        <v>-22</v>
      </c>
      <c r="H408" s="327">
        <f>E309</f>
        <v>85361037</v>
      </c>
      <c r="I408" s="327">
        <f>$F$309</f>
        <v>83568205.870000467</v>
      </c>
      <c r="J408" s="325"/>
      <c r="K408" s="225"/>
      <c r="L408" s="226">
        <f>I408-H408</f>
        <v>-1792831.1299995333</v>
      </c>
      <c r="M408" s="60">
        <f>+L408/H408</f>
        <v>-2.1002921157102779E-2</v>
      </c>
      <c r="O408" s="301"/>
      <c r="Q408" s="328"/>
    </row>
    <row r="409" spans="2:19" ht="15" customHeight="1" x14ac:dyDescent="0.2">
      <c r="B409" s="227" t="str">
        <f>Summary!A27</f>
        <v>General Service 50 to 2999 kW</v>
      </c>
      <c r="C409" s="228"/>
      <c r="D409" s="229"/>
      <c r="E409" s="325">
        <f>E319</f>
        <v>247</v>
      </c>
      <c r="F409" s="325">
        <f>$F$319</f>
        <v>254</v>
      </c>
      <c r="G409" s="326">
        <f t="shared" si="89"/>
        <v>7</v>
      </c>
      <c r="H409" s="327"/>
      <c r="I409" s="327"/>
      <c r="J409" s="325">
        <f>E322</f>
        <v>519864.63481550448</v>
      </c>
      <c r="K409" s="222">
        <f>$F$322</f>
        <v>537897.68000000017</v>
      </c>
      <c r="L409" s="226">
        <f>K409-J409</f>
        <v>18033.045184495684</v>
      </c>
      <c r="M409" s="60">
        <f>+L409/J409</f>
        <v>3.468796293653531E-2</v>
      </c>
      <c r="N409" s="60">
        <f>+G409/E409</f>
        <v>2.8340080971659919E-2</v>
      </c>
      <c r="O409" s="301"/>
      <c r="Q409" s="328"/>
    </row>
    <row r="410" spans="2:19" ht="15" customHeight="1" x14ac:dyDescent="0.2">
      <c r="B410" s="227" t="str">
        <f>Summary!A32</f>
        <v>General Service 3000 to 4999 kW</v>
      </c>
      <c r="C410" s="228"/>
      <c r="D410" s="229"/>
      <c r="E410" s="325">
        <f>E335</f>
        <v>1</v>
      </c>
      <c r="F410" s="325">
        <f>$F$335</f>
        <v>1</v>
      </c>
      <c r="G410" s="326">
        <f t="shared" si="89"/>
        <v>0</v>
      </c>
      <c r="H410" s="327"/>
      <c r="I410" s="327"/>
      <c r="J410" s="325">
        <f>E338</f>
        <v>33801.425697666316</v>
      </c>
      <c r="K410" s="222">
        <f>$F$338</f>
        <v>39466.039999999994</v>
      </c>
      <c r="L410" s="226">
        <f>K410-J410</f>
        <v>5664.6143023336772</v>
      </c>
      <c r="M410" s="329">
        <f>-L410/J410</f>
        <v>-0.16758507031627271</v>
      </c>
      <c r="O410" s="301"/>
      <c r="Q410" s="328" t="s">
        <v>214</v>
      </c>
      <c r="R410" s="60">
        <v>1.1278999999999999</v>
      </c>
    </row>
    <row r="411" spans="2:19" ht="15" customHeight="1" x14ac:dyDescent="0.2">
      <c r="B411" s="227" t="str">
        <f>Summary!A37</f>
        <v>Street Lighting</v>
      </c>
      <c r="C411" s="228"/>
      <c r="D411" s="229"/>
      <c r="E411" s="325">
        <f>E350</f>
        <v>5419</v>
      </c>
      <c r="F411" s="325">
        <f>$F$350</f>
        <v>5422</v>
      </c>
      <c r="G411" s="326">
        <f t="shared" si="89"/>
        <v>3</v>
      </c>
      <c r="H411" s="327"/>
      <c r="I411" s="327"/>
      <c r="J411" s="325">
        <f>E353</f>
        <v>5641.08</v>
      </c>
      <c r="K411" s="222">
        <f>$F$353</f>
        <v>5690.27</v>
      </c>
      <c r="L411" s="226">
        <f>K411-J411</f>
        <v>49.190000000000509</v>
      </c>
      <c r="O411" s="301"/>
      <c r="Q411" s="328"/>
      <c r="R411" s="60">
        <v>1.72E-2</v>
      </c>
    </row>
    <row r="412" spans="2:19" ht="15" customHeight="1" x14ac:dyDescent="0.2">
      <c r="B412" s="227" t="str">
        <f>Summary!A42</f>
        <v>Sentinel Lighting</v>
      </c>
      <c r="C412" s="228"/>
      <c r="D412" s="229"/>
      <c r="E412" s="325">
        <f>E365</f>
        <v>412</v>
      </c>
      <c r="F412" s="325">
        <f>$F$365</f>
        <v>402</v>
      </c>
      <c r="G412" s="326">
        <f t="shared" si="89"/>
        <v>-10</v>
      </c>
      <c r="H412" s="327"/>
      <c r="I412" s="327"/>
      <c r="J412" s="325">
        <f>E368</f>
        <v>1193.4344347067597</v>
      </c>
      <c r="K412" s="222">
        <f>$F$368</f>
        <v>1033.7400000000014</v>
      </c>
      <c r="L412" s="226">
        <f>K412-J412</f>
        <v>-159.69443470675833</v>
      </c>
      <c r="O412" s="301"/>
      <c r="Q412" s="328"/>
      <c r="R412" s="60">
        <f>+R411+R410</f>
        <v>1.1451</v>
      </c>
      <c r="S412" s="328">
        <f>+R412*L410</f>
        <v>6486.5498376022933</v>
      </c>
    </row>
    <row r="413" spans="2:19" ht="15" customHeight="1" x14ac:dyDescent="0.2">
      <c r="B413" s="227" t="str">
        <f>Summary!A47</f>
        <v xml:space="preserve">Unmetered Scattered Load </v>
      </c>
      <c r="C413" s="228"/>
      <c r="D413" s="229"/>
      <c r="E413" s="325">
        <f>E380</f>
        <v>7</v>
      </c>
      <c r="F413" s="325">
        <f>$F$380</f>
        <v>10</v>
      </c>
      <c r="G413" s="326">
        <f t="shared" si="89"/>
        <v>3</v>
      </c>
      <c r="H413" s="327">
        <f>E381</f>
        <v>32044.999999999996</v>
      </c>
      <c r="I413" s="327">
        <f>$F$381</f>
        <v>42933.59</v>
      </c>
      <c r="J413" s="325"/>
      <c r="K413" s="225"/>
      <c r="L413" s="226">
        <f>I413-H413</f>
        <v>10888.59</v>
      </c>
      <c r="O413" s="301"/>
      <c r="Q413" s="328"/>
    </row>
    <row r="414" spans="2:19" ht="15" customHeight="1" x14ac:dyDescent="0.2">
      <c r="B414" s="227" t="s">
        <v>16</v>
      </c>
      <c r="C414" s="228"/>
      <c r="D414" s="229"/>
      <c r="E414" s="325">
        <f t="shared" ref="E414:K414" si="90">SUM(E407:E413)</f>
        <v>29878</v>
      </c>
      <c r="F414" s="325">
        <f t="shared" si="90"/>
        <v>29857</v>
      </c>
      <c r="G414" s="326">
        <f t="shared" si="90"/>
        <v>-21</v>
      </c>
      <c r="H414" s="327">
        <f t="shared" si="90"/>
        <v>290890507</v>
      </c>
      <c r="I414" s="327">
        <f t="shared" si="90"/>
        <v>280341240.26000041</v>
      </c>
      <c r="J414" s="327">
        <f t="shared" si="90"/>
        <v>560500.57494787755</v>
      </c>
      <c r="K414" s="224">
        <f t="shared" si="90"/>
        <v>584087.73000000021</v>
      </c>
      <c r="L414" s="226"/>
    </row>
    <row r="416" spans="2:19" ht="15" customHeight="1" x14ac:dyDescent="0.2">
      <c r="B416" s="420" t="s">
        <v>278</v>
      </c>
      <c r="C416" s="420"/>
      <c r="D416" s="420"/>
      <c r="E416" s="420"/>
      <c r="F416" s="420"/>
      <c r="G416" s="420"/>
      <c r="H416" s="420"/>
      <c r="I416" s="420"/>
      <c r="J416" s="420"/>
      <c r="K416" s="420"/>
      <c r="L416" s="420"/>
    </row>
    <row r="417" spans="2:13" ht="15" customHeight="1" x14ac:dyDescent="0.2">
      <c r="B417" s="410"/>
      <c r="C417" s="411"/>
      <c r="D417" s="412"/>
      <c r="E417" s="410" t="s">
        <v>150</v>
      </c>
      <c r="F417" s="411"/>
      <c r="G417" s="412"/>
      <c r="H417" s="409" t="s">
        <v>129</v>
      </c>
      <c r="I417" s="409"/>
      <c r="J417" s="409" t="s">
        <v>151</v>
      </c>
      <c r="K417" s="409"/>
      <c r="L417" s="248"/>
    </row>
    <row r="418" spans="2:13" ht="22.5" x14ac:dyDescent="0.2">
      <c r="B418" s="414" t="s">
        <v>153</v>
      </c>
      <c r="C418" s="415"/>
      <c r="D418" s="416"/>
      <c r="E418" s="221" t="str">
        <f>+F406</f>
        <v xml:space="preserve">2015 Actual </v>
      </c>
      <c r="F418" s="221" t="s">
        <v>190</v>
      </c>
      <c r="G418" s="221" t="s">
        <v>39</v>
      </c>
      <c r="H418" s="220" t="str">
        <f>E418</f>
        <v xml:space="preserve">2015 Actual </v>
      </c>
      <c r="I418" s="221" t="str">
        <f>F418</f>
        <v xml:space="preserve">2016 Actual </v>
      </c>
      <c r="J418" s="220" t="str">
        <f>E418</f>
        <v xml:space="preserve">2015 Actual </v>
      </c>
      <c r="K418" s="221" t="str">
        <f>F418</f>
        <v xml:space="preserve">2016 Actual </v>
      </c>
      <c r="L418" s="220" t="s">
        <v>152</v>
      </c>
    </row>
    <row r="419" spans="2:13" ht="15" customHeight="1" x14ac:dyDescent="0.2">
      <c r="B419" s="227" t="str">
        <f>B407</f>
        <v xml:space="preserve">Residential </v>
      </c>
      <c r="C419" s="228"/>
      <c r="D419" s="229"/>
      <c r="E419" s="222">
        <f>F297</f>
        <v>21122</v>
      </c>
      <c r="F419" s="222">
        <f>$G$297</f>
        <v>21173</v>
      </c>
      <c r="G419" s="223">
        <f>F419-E419</f>
        <v>51</v>
      </c>
      <c r="H419" s="224">
        <f>F298</f>
        <v>196730100.79999995</v>
      </c>
      <c r="I419" s="224">
        <f>$G$298</f>
        <v>188194721.51000041</v>
      </c>
      <c r="J419" s="222"/>
      <c r="K419" s="225"/>
      <c r="L419" s="226">
        <f>I419-H419</f>
        <v>-8535379.2899995446</v>
      </c>
      <c r="M419" s="329">
        <f>-L419/H419</f>
        <v>4.3386239600806155E-2</v>
      </c>
    </row>
    <row r="420" spans="2:13" ht="15" customHeight="1" x14ac:dyDescent="0.2">
      <c r="B420" s="227" t="str">
        <f t="shared" ref="B420:B425" si="91">B408</f>
        <v>General Service &lt; 50 kW</v>
      </c>
      <c r="C420" s="228"/>
      <c r="D420" s="229"/>
      <c r="E420" s="222">
        <f>F308</f>
        <v>2646</v>
      </c>
      <c r="F420" s="222">
        <f>$G$308</f>
        <v>2659</v>
      </c>
      <c r="G420" s="223">
        <f t="shared" ref="G420:G425" si="92">F420-E420</f>
        <v>13</v>
      </c>
      <c r="H420" s="224">
        <f>F309</f>
        <v>83568205.870000467</v>
      </c>
      <c r="I420" s="224">
        <f>$G$309</f>
        <v>80643102.520000204</v>
      </c>
      <c r="J420" s="222"/>
      <c r="K420" s="225"/>
      <c r="L420" s="226">
        <f>I420-H420</f>
        <v>-2925103.3500002623</v>
      </c>
      <c r="M420" s="329">
        <f>-L420/H420</f>
        <v>3.5002586444784781E-2</v>
      </c>
    </row>
    <row r="421" spans="2:13" ht="15" customHeight="1" x14ac:dyDescent="0.2">
      <c r="B421" s="227" t="str">
        <f t="shared" si="91"/>
        <v>General Service 50 to 2999 kW</v>
      </c>
      <c r="C421" s="228"/>
      <c r="D421" s="229"/>
      <c r="E421" s="222">
        <f>F319</f>
        <v>254</v>
      </c>
      <c r="F421" s="222">
        <f>$G$319</f>
        <v>253</v>
      </c>
      <c r="G421" s="223">
        <f t="shared" si="92"/>
        <v>-1</v>
      </c>
      <c r="H421" s="224"/>
      <c r="I421" s="224"/>
      <c r="J421" s="222">
        <f>F322</f>
        <v>537897.68000000017</v>
      </c>
      <c r="K421" s="222">
        <f>$G$322</f>
        <v>529360.3600000001</v>
      </c>
      <c r="L421" s="226">
        <f>K421-J421</f>
        <v>-8537.3200000000652</v>
      </c>
      <c r="M421" s="329">
        <f>-L421/J421</f>
        <v>1.5871643097624184E-2</v>
      </c>
    </row>
    <row r="422" spans="2:13" ht="15" customHeight="1" x14ac:dyDescent="0.2">
      <c r="B422" s="227" t="str">
        <f t="shared" si="91"/>
        <v>General Service 3000 to 4999 kW</v>
      </c>
      <c r="C422" s="228"/>
      <c r="D422" s="229"/>
      <c r="E422" s="222">
        <f>F335</f>
        <v>1</v>
      </c>
      <c r="F422" s="222">
        <f>$G$335</f>
        <v>1</v>
      </c>
      <c r="G422" s="223">
        <f t="shared" si="92"/>
        <v>0</v>
      </c>
      <c r="H422" s="224"/>
      <c r="I422" s="224"/>
      <c r="J422" s="222">
        <f>F338</f>
        <v>39466.039999999994</v>
      </c>
      <c r="K422" s="222">
        <f>$G$338</f>
        <v>35717.369999999995</v>
      </c>
      <c r="L422" s="226">
        <f>K422-J422</f>
        <v>-3748.6699999999983</v>
      </c>
      <c r="M422" s="329">
        <f>-L422/J422</f>
        <v>9.498470077058653E-2</v>
      </c>
    </row>
    <row r="423" spans="2:13" ht="15" customHeight="1" x14ac:dyDescent="0.2">
      <c r="B423" s="227" t="str">
        <f t="shared" si="91"/>
        <v>Street Lighting</v>
      </c>
      <c r="C423" s="228"/>
      <c r="D423" s="229"/>
      <c r="E423" s="222">
        <f>F350</f>
        <v>5422</v>
      </c>
      <c r="F423" s="222">
        <f>$G$350</f>
        <v>5424</v>
      </c>
      <c r="G423" s="223">
        <f t="shared" si="92"/>
        <v>2</v>
      </c>
      <c r="H423" s="224"/>
      <c r="I423" s="224"/>
      <c r="J423" s="222">
        <f>F353</f>
        <v>5690.27</v>
      </c>
      <c r="K423" s="222">
        <f>$G$353</f>
        <v>5690.28</v>
      </c>
      <c r="L423" s="226">
        <f>K423-J423</f>
        <v>9.999999999308784E-3</v>
      </c>
      <c r="M423" s="329"/>
    </row>
    <row r="424" spans="2:13" ht="15" customHeight="1" x14ac:dyDescent="0.2">
      <c r="B424" s="227" t="str">
        <f t="shared" si="91"/>
        <v>Sentinel Lighting</v>
      </c>
      <c r="C424" s="228"/>
      <c r="D424" s="229"/>
      <c r="E424" s="222">
        <f>F365</f>
        <v>402</v>
      </c>
      <c r="F424" s="222">
        <f>$G$365</f>
        <v>444</v>
      </c>
      <c r="G424" s="223">
        <f t="shared" si="92"/>
        <v>42</v>
      </c>
      <c r="H424" s="224"/>
      <c r="I424" s="224"/>
      <c r="J424" s="222">
        <f>F368</f>
        <v>1033.7400000000014</v>
      </c>
      <c r="K424" s="222">
        <f>$G$368</f>
        <v>406.11999999999938</v>
      </c>
      <c r="L424" s="226">
        <f>K424-J424</f>
        <v>-627.62000000000194</v>
      </c>
      <c r="M424" s="329">
        <f>-L424/J424</f>
        <v>0.60713525644746369</v>
      </c>
    </row>
    <row r="425" spans="2:13" ht="15" customHeight="1" x14ac:dyDescent="0.2">
      <c r="B425" s="227" t="str">
        <f t="shared" si="91"/>
        <v xml:space="preserve">Unmetered Scattered Load </v>
      </c>
      <c r="C425" s="228"/>
      <c r="D425" s="229"/>
      <c r="E425" s="222">
        <f>F380</f>
        <v>10</v>
      </c>
      <c r="F425" s="222">
        <f>$G$380</f>
        <v>10</v>
      </c>
      <c r="G425" s="223">
        <f t="shared" si="92"/>
        <v>0</v>
      </c>
      <c r="H425" s="224">
        <f>F381</f>
        <v>42933.59</v>
      </c>
      <c r="I425" s="224">
        <f>$G$381</f>
        <v>42933.55999999999</v>
      </c>
      <c r="J425" s="222"/>
      <c r="K425" s="225"/>
      <c r="L425" s="226">
        <f>I425-H425</f>
        <v>-3.0000000006111804E-2</v>
      </c>
    </row>
    <row r="426" spans="2:13" ht="15" customHeight="1" x14ac:dyDescent="0.2">
      <c r="B426" s="227" t="s">
        <v>16</v>
      </c>
      <c r="C426" s="228"/>
      <c r="D426" s="229"/>
      <c r="E426" s="222">
        <f>SUM(E419:E425)</f>
        <v>29857</v>
      </c>
      <c r="F426" s="222">
        <f>SUM(F419:F425)</f>
        <v>29964</v>
      </c>
      <c r="G426" s="223">
        <f>SUM(G419:G425)</f>
        <v>107</v>
      </c>
      <c r="H426" s="224">
        <f>I414</f>
        <v>280341240.26000041</v>
      </c>
      <c r="I426" s="224">
        <f>SUM(I419:I425)</f>
        <v>268880757.59000063</v>
      </c>
      <c r="J426" s="224">
        <f>SUM(J419:J425)</f>
        <v>584087.73000000021</v>
      </c>
      <c r="K426" s="224">
        <f>SUM(K419:K425)</f>
        <v>571174.13000000012</v>
      </c>
      <c r="L426" s="226"/>
    </row>
    <row r="428" spans="2:13" ht="15" customHeight="1" x14ac:dyDescent="0.2">
      <c r="B428" s="420" t="s">
        <v>279</v>
      </c>
      <c r="C428" s="420"/>
      <c r="D428" s="420"/>
      <c r="E428" s="420"/>
      <c r="F428" s="420"/>
      <c r="G428" s="420"/>
      <c r="H428" s="420"/>
      <c r="I428" s="420"/>
      <c r="J428" s="420"/>
      <c r="K428" s="420"/>
      <c r="L428" s="420"/>
    </row>
    <row r="429" spans="2:13" ht="15" customHeight="1" x14ac:dyDescent="0.2">
      <c r="B429" s="410"/>
      <c r="C429" s="411"/>
      <c r="D429" s="412"/>
      <c r="E429" s="410" t="s">
        <v>150</v>
      </c>
      <c r="F429" s="411"/>
      <c r="G429" s="412"/>
      <c r="H429" s="409" t="s">
        <v>129</v>
      </c>
      <c r="I429" s="409"/>
      <c r="J429" s="409" t="s">
        <v>151</v>
      </c>
      <c r="K429" s="409"/>
      <c r="L429" s="248"/>
    </row>
    <row r="430" spans="2:13" ht="22.5" x14ac:dyDescent="0.2">
      <c r="B430" s="414" t="s">
        <v>153</v>
      </c>
      <c r="C430" s="415"/>
      <c r="D430" s="416"/>
      <c r="E430" s="221" t="str">
        <f>+F418</f>
        <v xml:space="preserve">2016 Actual </v>
      </c>
      <c r="F430" s="221" t="s">
        <v>171</v>
      </c>
      <c r="G430" s="221" t="s">
        <v>39</v>
      </c>
      <c r="H430" s="220" t="str">
        <f>E430</f>
        <v xml:space="preserve">2016 Actual </v>
      </c>
      <c r="I430" s="221" t="str">
        <f>F430</f>
        <v>2017 Actual</v>
      </c>
      <c r="J430" s="220" t="str">
        <f>E430</f>
        <v xml:space="preserve">2016 Actual </v>
      </c>
      <c r="K430" s="221" t="str">
        <f>F430</f>
        <v>2017 Actual</v>
      </c>
      <c r="L430" s="220" t="s">
        <v>152</v>
      </c>
    </row>
    <row r="431" spans="2:13" ht="15" customHeight="1" x14ac:dyDescent="0.2">
      <c r="B431" s="227" t="str">
        <f>B419</f>
        <v xml:space="preserve">Residential </v>
      </c>
      <c r="C431" s="228"/>
      <c r="D431" s="229"/>
      <c r="E431" s="222">
        <f>G297</f>
        <v>21173</v>
      </c>
      <c r="F431" s="222">
        <f>$H$297</f>
        <v>21192</v>
      </c>
      <c r="G431" s="223">
        <f>F431-E431</f>
        <v>19</v>
      </c>
      <c r="H431" s="224">
        <f>G298</f>
        <v>188194721.51000041</v>
      </c>
      <c r="I431" s="224">
        <f>$H$298</f>
        <v>184546623.13000023</v>
      </c>
      <c r="J431" s="222"/>
      <c r="K431" s="225"/>
      <c r="L431" s="226">
        <f>I431-H431</f>
        <v>-3648098.380000174</v>
      </c>
      <c r="M431" s="329">
        <f>-L431/H431</f>
        <v>1.9384700860519719E-2</v>
      </c>
    </row>
    <row r="432" spans="2:13" ht="15" customHeight="1" x14ac:dyDescent="0.2">
      <c r="B432" s="227" t="str">
        <f t="shared" ref="B432:B437" si="93">B420</f>
        <v>General Service &lt; 50 kW</v>
      </c>
      <c r="C432" s="228"/>
      <c r="D432" s="229"/>
      <c r="E432" s="222">
        <f>G308</f>
        <v>2659</v>
      </c>
      <c r="F432" s="222">
        <f>$H$308</f>
        <v>2653</v>
      </c>
      <c r="G432" s="223">
        <f t="shared" ref="G432:G437" si="94">F432-E432</f>
        <v>-6</v>
      </c>
      <c r="H432" s="224">
        <f>G309</f>
        <v>80643102.520000204</v>
      </c>
      <c r="I432" s="224">
        <f>$H$309</f>
        <v>78774627.370000109</v>
      </c>
      <c r="J432" s="222"/>
      <c r="K432" s="225"/>
      <c r="L432" s="226">
        <f>I432-H432</f>
        <v>-1868475.1500000954</v>
      </c>
      <c r="M432" s="329">
        <f>-L432/H432</f>
        <v>2.3169683353101364E-2</v>
      </c>
    </row>
    <row r="433" spans="2:13" ht="15" customHeight="1" x14ac:dyDescent="0.2">
      <c r="B433" s="227" t="str">
        <f t="shared" si="93"/>
        <v>General Service 50 to 2999 kW</v>
      </c>
      <c r="C433" s="228"/>
      <c r="D433" s="229"/>
      <c r="E433" s="222">
        <f>G319</f>
        <v>253</v>
      </c>
      <c r="F433" s="222">
        <f>$H$319</f>
        <v>261</v>
      </c>
      <c r="G433" s="223">
        <f t="shared" si="94"/>
        <v>8</v>
      </c>
      <c r="H433" s="224"/>
      <c r="I433" s="224"/>
      <c r="J433" s="222">
        <f>G322</f>
        <v>529360.3600000001</v>
      </c>
      <c r="K433" s="222">
        <f>$H$322</f>
        <v>528741.1399999999</v>
      </c>
      <c r="L433" s="226">
        <f>K433-J433</f>
        <v>-619.22000000020489</v>
      </c>
      <c r="M433" s="329">
        <f>-L433/J433</f>
        <v>1.1697513580355824E-3</v>
      </c>
    </row>
    <row r="434" spans="2:13" ht="15" customHeight="1" x14ac:dyDescent="0.2">
      <c r="B434" s="227" t="str">
        <f t="shared" si="93"/>
        <v>General Service 3000 to 4999 kW</v>
      </c>
      <c r="C434" s="228"/>
      <c r="D434" s="229"/>
      <c r="E434" s="222">
        <f>G335</f>
        <v>1</v>
      </c>
      <c r="F434" s="222">
        <f>$H$335</f>
        <v>1</v>
      </c>
      <c r="G434" s="223">
        <f t="shared" si="94"/>
        <v>0</v>
      </c>
      <c r="H434" s="224"/>
      <c r="I434" s="224"/>
      <c r="J434" s="222">
        <f>G338</f>
        <v>35717.369999999995</v>
      </c>
      <c r="K434" s="222">
        <f>$H$338</f>
        <v>30516.22</v>
      </c>
      <c r="L434" s="226">
        <f>K434-J434</f>
        <v>-5201.1499999999942</v>
      </c>
      <c r="M434" s="329">
        <f>-L434/J434</f>
        <v>0.14561962428924624</v>
      </c>
    </row>
    <row r="435" spans="2:13" ht="15" customHeight="1" x14ac:dyDescent="0.2">
      <c r="B435" s="227" t="str">
        <f t="shared" si="93"/>
        <v>Street Lighting</v>
      </c>
      <c r="C435" s="228"/>
      <c r="D435" s="229"/>
      <c r="E435" s="222">
        <f>G350</f>
        <v>5424</v>
      </c>
      <c r="F435" s="222">
        <f>$H$350</f>
        <v>5424</v>
      </c>
      <c r="G435" s="223">
        <f t="shared" si="94"/>
        <v>0</v>
      </c>
      <c r="H435" s="224"/>
      <c r="I435" s="224"/>
      <c r="J435" s="222">
        <f>G353</f>
        <v>5690.28</v>
      </c>
      <c r="K435" s="222">
        <f>$H$353</f>
        <v>5690.28</v>
      </c>
      <c r="L435" s="226">
        <f>K435-J435</f>
        <v>0</v>
      </c>
      <c r="M435" s="329"/>
    </row>
    <row r="436" spans="2:13" ht="15" customHeight="1" x14ac:dyDescent="0.2">
      <c r="B436" s="227" t="str">
        <f t="shared" si="93"/>
        <v>Sentinel Lighting</v>
      </c>
      <c r="C436" s="228"/>
      <c r="D436" s="229"/>
      <c r="E436" s="222">
        <f>G365</f>
        <v>444</v>
      </c>
      <c r="F436" s="222">
        <f>$H$365</f>
        <v>436</v>
      </c>
      <c r="G436" s="223">
        <f t="shared" si="94"/>
        <v>-8</v>
      </c>
      <c r="H436" s="224"/>
      <c r="I436" s="224"/>
      <c r="J436" s="222">
        <f>G368</f>
        <v>406.11999999999938</v>
      </c>
      <c r="K436" s="222">
        <f>$H$368</f>
        <v>329.73999999999944</v>
      </c>
      <c r="L436" s="226">
        <f>K436-J436</f>
        <v>-76.379999999999939</v>
      </c>
      <c r="M436" s="329">
        <f>-L436/J436</f>
        <v>0.18807249088939243</v>
      </c>
    </row>
    <row r="437" spans="2:13" ht="15" customHeight="1" x14ac:dyDescent="0.2">
      <c r="B437" s="227" t="str">
        <f t="shared" si="93"/>
        <v xml:space="preserve">Unmetered Scattered Load </v>
      </c>
      <c r="C437" s="228"/>
      <c r="D437" s="229"/>
      <c r="E437" s="222">
        <f>G380</f>
        <v>10</v>
      </c>
      <c r="F437" s="222">
        <f>$H$380</f>
        <v>10</v>
      </c>
      <c r="G437" s="223">
        <f t="shared" si="94"/>
        <v>0</v>
      </c>
      <c r="H437" s="224">
        <f>G381</f>
        <v>42933.55999999999</v>
      </c>
      <c r="I437" s="224">
        <f>$H$381</f>
        <v>42933.589999999989</v>
      </c>
      <c r="J437" s="222"/>
      <c r="K437" s="225"/>
      <c r="L437" s="226">
        <f>I437-H437</f>
        <v>2.9999999998835847E-2</v>
      </c>
      <c r="M437" s="329">
        <f>-L437/H437</f>
        <v>-6.9875407487373168E-7</v>
      </c>
    </row>
    <row r="438" spans="2:13" ht="15" customHeight="1" x14ac:dyDescent="0.2">
      <c r="B438" s="227" t="s">
        <v>16</v>
      </c>
      <c r="C438" s="228"/>
      <c r="D438" s="229"/>
      <c r="E438" s="222">
        <f>SUM(E431:E437)</f>
        <v>29964</v>
      </c>
      <c r="F438" s="222">
        <f>SUM(F431:F437)</f>
        <v>29977</v>
      </c>
      <c r="G438" s="223">
        <f>SUM(G431:G437)</f>
        <v>13</v>
      </c>
      <c r="H438" s="224">
        <f>I426</f>
        <v>268880757.59000063</v>
      </c>
      <c r="I438" s="224">
        <f>SUM(I431:I437)</f>
        <v>263364184.09000036</v>
      </c>
      <c r="J438" s="224">
        <f>SUM(J431:J437)</f>
        <v>571174.13000000012</v>
      </c>
      <c r="K438" s="224">
        <f>SUM(K431:K437)</f>
        <v>565277.37999999989</v>
      </c>
      <c r="L438" s="226"/>
    </row>
    <row r="440" spans="2:13" ht="15" customHeight="1" x14ac:dyDescent="0.2">
      <c r="B440" s="420" t="s">
        <v>280</v>
      </c>
      <c r="C440" s="420"/>
      <c r="D440" s="420"/>
      <c r="E440" s="420"/>
      <c r="F440" s="420"/>
      <c r="G440" s="420"/>
      <c r="H440" s="420"/>
      <c r="I440" s="420"/>
      <c r="J440" s="420"/>
      <c r="K440" s="420"/>
      <c r="L440" s="420"/>
    </row>
    <row r="441" spans="2:13" ht="15" customHeight="1" x14ac:dyDescent="0.2">
      <c r="B441" s="410"/>
      <c r="C441" s="411"/>
      <c r="D441" s="412"/>
      <c r="E441" s="410" t="s">
        <v>150</v>
      </c>
      <c r="F441" s="411"/>
      <c r="G441" s="412"/>
      <c r="H441" s="409" t="s">
        <v>129</v>
      </c>
      <c r="I441" s="409"/>
      <c r="J441" s="409" t="s">
        <v>151</v>
      </c>
      <c r="K441" s="409"/>
      <c r="L441" s="248"/>
    </row>
    <row r="442" spans="2:13" ht="22.5" x14ac:dyDescent="0.2">
      <c r="B442" s="414" t="s">
        <v>153</v>
      </c>
      <c r="C442" s="415"/>
      <c r="D442" s="416"/>
      <c r="E442" s="221" t="str">
        <f>+F430</f>
        <v>2017 Actual</v>
      </c>
      <c r="F442" s="221" t="s">
        <v>172</v>
      </c>
      <c r="G442" s="221" t="s">
        <v>39</v>
      </c>
      <c r="H442" s="220" t="str">
        <f>E442</f>
        <v>2017 Actual</v>
      </c>
      <c r="I442" s="221" t="str">
        <f>F442</f>
        <v>2018 Actual</v>
      </c>
      <c r="J442" s="220" t="str">
        <f>E442</f>
        <v>2017 Actual</v>
      </c>
      <c r="K442" s="221" t="str">
        <f>F442</f>
        <v>2018 Actual</v>
      </c>
      <c r="L442" s="220" t="s">
        <v>152</v>
      </c>
    </row>
    <row r="443" spans="2:13" ht="15" customHeight="1" x14ac:dyDescent="0.2">
      <c r="B443" s="227" t="str">
        <f>B431</f>
        <v xml:space="preserve">Residential </v>
      </c>
      <c r="C443" s="228"/>
      <c r="D443" s="229"/>
      <c r="E443" s="222">
        <f>H297</f>
        <v>21192</v>
      </c>
      <c r="F443" s="222">
        <f>$I$297</f>
        <v>21229</v>
      </c>
      <c r="G443" s="223">
        <f>F443-E443</f>
        <v>37</v>
      </c>
      <c r="H443" s="224">
        <f>H298</f>
        <v>184546623.13000023</v>
      </c>
      <c r="I443" s="224">
        <f>$I$298</f>
        <v>196784129.94999957</v>
      </c>
      <c r="J443" s="222"/>
      <c r="K443" s="225"/>
      <c r="L443" s="226">
        <f>I443-H443</f>
        <v>12237506.819999337</v>
      </c>
      <c r="M443" s="329">
        <f>-L443/H443</f>
        <v>-6.6311193412511626E-2</v>
      </c>
    </row>
    <row r="444" spans="2:13" ht="15" customHeight="1" x14ac:dyDescent="0.2">
      <c r="B444" s="227" t="str">
        <f t="shared" ref="B444:B449" si="95">B432</f>
        <v>General Service &lt; 50 kW</v>
      </c>
      <c r="C444" s="228"/>
      <c r="D444" s="229"/>
      <c r="E444" s="222">
        <f>H308</f>
        <v>2653</v>
      </c>
      <c r="F444" s="222">
        <f>$I$308</f>
        <v>2654</v>
      </c>
      <c r="G444" s="223">
        <f t="shared" ref="G444:G449" si="96">F444-E444</f>
        <v>1</v>
      </c>
      <c r="H444" s="224">
        <f>H309</f>
        <v>78774627.370000109</v>
      </c>
      <c r="I444" s="224">
        <f>$I$309</f>
        <v>81814082.000000045</v>
      </c>
      <c r="J444" s="222"/>
      <c r="K444" s="225"/>
      <c r="L444" s="226">
        <f>I444-H444</f>
        <v>3039454.6299999356</v>
      </c>
      <c r="M444" s="329">
        <f>-L444/H444</f>
        <v>-3.8584182895893417E-2</v>
      </c>
    </row>
    <row r="445" spans="2:13" ht="15" customHeight="1" x14ac:dyDescent="0.2">
      <c r="B445" s="227" t="str">
        <f t="shared" si="95"/>
        <v>General Service 50 to 2999 kW</v>
      </c>
      <c r="C445" s="228"/>
      <c r="D445" s="229"/>
      <c r="E445" s="222">
        <f>H319</f>
        <v>261</v>
      </c>
      <c r="F445" s="222">
        <f>$I$319</f>
        <v>258</v>
      </c>
      <c r="G445" s="223">
        <f t="shared" si="96"/>
        <v>-3</v>
      </c>
      <c r="H445" s="224"/>
      <c r="I445" s="224"/>
      <c r="J445" s="222">
        <f>H322</f>
        <v>528741.1399999999</v>
      </c>
      <c r="K445" s="222">
        <f>$I$322</f>
        <v>522247.32</v>
      </c>
      <c r="L445" s="226">
        <f>K445-J445</f>
        <v>-6493.8199999998906</v>
      </c>
      <c r="M445" s="329">
        <f>-L445/J445</f>
        <v>1.2281662062460076E-2</v>
      </c>
    </row>
    <row r="446" spans="2:13" ht="15" customHeight="1" x14ac:dyDescent="0.2">
      <c r="B446" s="227" t="str">
        <f t="shared" si="95"/>
        <v>General Service 3000 to 4999 kW</v>
      </c>
      <c r="C446" s="228"/>
      <c r="D446" s="229"/>
      <c r="E446" s="222">
        <f>H335</f>
        <v>1</v>
      </c>
      <c r="F446" s="222">
        <f>$I$335</f>
        <v>1</v>
      </c>
      <c r="G446" s="223">
        <f t="shared" si="96"/>
        <v>0</v>
      </c>
      <c r="H446" s="224"/>
      <c r="I446" s="224"/>
      <c r="J446" s="222">
        <f>H338</f>
        <v>30516.22</v>
      </c>
      <c r="K446" s="222">
        <f>$I$338</f>
        <v>30271.190000000002</v>
      </c>
      <c r="L446" s="226">
        <f>K446-J446</f>
        <v>-245.02999999999884</v>
      </c>
      <c r="M446" s="329">
        <f>-L446/J446</f>
        <v>8.0295003771764274E-3</v>
      </c>
    </row>
    <row r="447" spans="2:13" ht="15" customHeight="1" x14ac:dyDescent="0.2">
      <c r="B447" s="227" t="str">
        <f t="shared" si="95"/>
        <v>Street Lighting</v>
      </c>
      <c r="C447" s="228"/>
      <c r="D447" s="229"/>
      <c r="E447" s="222">
        <f>H350</f>
        <v>5424</v>
      </c>
      <c r="F447" s="222">
        <f>$I$350</f>
        <v>5424</v>
      </c>
      <c r="G447" s="223">
        <f t="shared" si="96"/>
        <v>0</v>
      </c>
      <c r="H447" s="224"/>
      <c r="I447" s="224"/>
      <c r="J447" s="222">
        <f>H353</f>
        <v>5690.28</v>
      </c>
      <c r="K447" s="222">
        <f>$I$353</f>
        <v>5690.28</v>
      </c>
      <c r="L447" s="226">
        <f>K447-J447</f>
        <v>0</v>
      </c>
      <c r="M447" s="329">
        <f>-L447/J447</f>
        <v>0</v>
      </c>
    </row>
    <row r="448" spans="2:13" ht="15" customHeight="1" x14ac:dyDescent="0.2">
      <c r="B448" s="227" t="str">
        <f t="shared" si="95"/>
        <v>Sentinel Lighting</v>
      </c>
      <c r="C448" s="228"/>
      <c r="D448" s="229"/>
      <c r="E448" s="222">
        <f>H365</f>
        <v>436</v>
      </c>
      <c r="F448" s="222">
        <f>$I$365</f>
        <v>425</v>
      </c>
      <c r="G448" s="223">
        <f t="shared" si="96"/>
        <v>-11</v>
      </c>
      <c r="H448" s="224"/>
      <c r="I448" s="224"/>
      <c r="J448" s="222">
        <f>H368</f>
        <v>329.73999999999944</v>
      </c>
      <c r="K448" s="222">
        <f>$I$368</f>
        <v>315.71999999999952</v>
      </c>
      <c r="L448" s="226">
        <f>K448-J448</f>
        <v>-14.019999999999925</v>
      </c>
      <c r="M448" s="329">
        <f>-L448/J448</f>
        <v>4.251834778916707E-2</v>
      </c>
    </row>
    <row r="449" spans="2:13" ht="15" customHeight="1" x14ac:dyDescent="0.2">
      <c r="B449" s="227" t="str">
        <f t="shared" si="95"/>
        <v xml:space="preserve">Unmetered Scattered Load </v>
      </c>
      <c r="C449" s="228"/>
      <c r="D449" s="229"/>
      <c r="E449" s="222">
        <f>H380</f>
        <v>10</v>
      </c>
      <c r="F449" s="222">
        <f>$I$380</f>
        <v>10</v>
      </c>
      <c r="G449" s="223">
        <f t="shared" si="96"/>
        <v>0</v>
      </c>
      <c r="H449" s="224">
        <f>H381</f>
        <v>42933.589999999989</v>
      </c>
      <c r="I449" s="224">
        <f>$I$381</f>
        <v>42072.619999999988</v>
      </c>
      <c r="J449" s="222"/>
      <c r="K449" s="225"/>
      <c r="L449" s="226">
        <f>I449-H449</f>
        <v>-860.97000000000116</v>
      </c>
      <c r="M449" s="329">
        <f>-L449/H449</f>
        <v>2.00535291830942E-2</v>
      </c>
    </row>
    <row r="450" spans="2:13" ht="15" customHeight="1" x14ac:dyDescent="0.2">
      <c r="B450" s="227" t="s">
        <v>16</v>
      </c>
      <c r="C450" s="228"/>
      <c r="D450" s="229"/>
      <c r="E450" s="222">
        <f>SUM(E443:E449)</f>
        <v>29977</v>
      </c>
      <c r="F450" s="222">
        <f>SUM(F443:F449)</f>
        <v>30001</v>
      </c>
      <c r="G450" s="223">
        <f>SUM(G443:G449)</f>
        <v>24</v>
      </c>
      <c r="H450" s="224">
        <f>I438</f>
        <v>263364184.09000036</v>
      </c>
      <c r="I450" s="224">
        <f>SUM(I443:I449)</f>
        <v>278640284.56999964</v>
      </c>
      <c r="J450" s="224">
        <f>SUM(J443:J449)</f>
        <v>565277.37999999989</v>
      </c>
      <c r="K450" s="224">
        <f>SUM(K443:K449)</f>
        <v>558524.51</v>
      </c>
      <c r="L450" s="226"/>
    </row>
    <row r="452" spans="2:13" ht="15" customHeight="1" x14ac:dyDescent="0.2">
      <c r="B452" s="420" t="s">
        <v>281</v>
      </c>
      <c r="C452" s="420"/>
      <c r="D452" s="420"/>
      <c r="E452" s="420"/>
      <c r="F452" s="420"/>
      <c r="G452" s="420"/>
      <c r="H452" s="420"/>
      <c r="I452" s="420"/>
      <c r="J452" s="420"/>
      <c r="K452" s="420"/>
      <c r="L452" s="420"/>
    </row>
    <row r="453" spans="2:13" ht="15" customHeight="1" x14ac:dyDescent="0.2">
      <c r="B453" s="410"/>
      <c r="C453" s="411"/>
      <c r="D453" s="412"/>
      <c r="E453" s="410" t="s">
        <v>150</v>
      </c>
      <c r="F453" s="411"/>
      <c r="G453" s="412"/>
      <c r="H453" s="409" t="s">
        <v>129</v>
      </c>
      <c r="I453" s="409"/>
      <c r="J453" s="409" t="s">
        <v>151</v>
      </c>
      <c r="K453" s="409"/>
      <c r="L453" s="248"/>
    </row>
    <row r="454" spans="2:13" ht="22.5" x14ac:dyDescent="0.2">
      <c r="B454" s="414" t="s">
        <v>153</v>
      </c>
      <c r="C454" s="415"/>
      <c r="D454" s="416"/>
      <c r="E454" s="221" t="str">
        <f>+F442</f>
        <v>2018 Actual</v>
      </c>
      <c r="F454" s="221" t="s">
        <v>173</v>
      </c>
      <c r="G454" s="221" t="s">
        <v>39</v>
      </c>
      <c r="H454" s="220" t="str">
        <f>E454</f>
        <v>2018 Actual</v>
      </c>
      <c r="I454" s="221" t="str">
        <f>F454</f>
        <v>2019 Actual</v>
      </c>
      <c r="J454" s="220" t="str">
        <f>E454</f>
        <v>2018 Actual</v>
      </c>
      <c r="K454" s="221" t="str">
        <f>F454</f>
        <v>2019 Actual</v>
      </c>
      <c r="L454" s="220" t="s">
        <v>152</v>
      </c>
    </row>
    <row r="455" spans="2:13" ht="15" customHeight="1" x14ac:dyDescent="0.2">
      <c r="B455" s="227" t="str">
        <f>B443</f>
        <v xml:space="preserve">Residential </v>
      </c>
      <c r="C455" s="228"/>
      <c r="D455" s="229"/>
      <c r="E455" s="222">
        <f>I297</f>
        <v>21229</v>
      </c>
      <c r="F455" s="222">
        <f>$J$297</f>
        <v>21280</v>
      </c>
      <c r="G455" s="223">
        <f>F455-E455</f>
        <v>51</v>
      </c>
      <c r="H455" s="224">
        <f>I298</f>
        <v>196784129.94999957</v>
      </c>
      <c r="I455" s="224">
        <f>$J$298</f>
        <v>197847017.74999991</v>
      </c>
      <c r="J455" s="222"/>
      <c r="K455" s="225"/>
      <c r="L455" s="226">
        <f>I455-H455</f>
        <v>1062887.8000003397</v>
      </c>
      <c r="M455" s="329">
        <f>-L455/H455</f>
        <v>-5.4012882048486656E-3</v>
      </c>
    </row>
    <row r="456" spans="2:13" ht="15" customHeight="1" x14ac:dyDescent="0.2">
      <c r="B456" s="227" t="str">
        <f t="shared" ref="B456:B461" si="97">B444</f>
        <v>General Service &lt; 50 kW</v>
      </c>
      <c r="C456" s="228"/>
      <c r="D456" s="229"/>
      <c r="E456" s="222">
        <f>I308</f>
        <v>2654</v>
      </c>
      <c r="F456" s="222">
        <f>$J$308</f>
        <v>2653</v>
      </c>
      <c r="G456" s="223">
        <f t="shared" ref="G456:G461" si="98">F456-E456</f>
        <v>-1</v>
      </c>
      <c r="H456" s="224">
        <f>I309</f>
        <v>81814082.000000045</v>
      </c>
      <c r="I456" s="224">
        <f>$J$309</f>
        <v>80410230.090000004</v>
      </c>
      <c r="J456" s="222"/>
      <c r="K456" s="225"/>
      <c r="L456" s="226">
        <f>I456-H456</f>
        <v>-1403851.9100000411</v>
      </c>
      <c r="M456" s="329">
        <f>-L456/H456</f>
        <v>1.7159049832033077E-2</v>
      </c>
    </row>
    <row r="457" spans="2:13" ht="15" customHeight="1" x14ac:dyDescent="0.2">
      <c r="B457" s="227" t="str">
        <f t="shared" si="97"/>
        <v>General Service 50 to 2999 kW</v>
      </c>
      <c r="C457" s="228"/>
      <c r="D457" s="229"/>
      <c r="E457" s="222">
        <f>I319</f>
        <v>258</v>
      </c>
      <c r="F457" s="222">
        <f>$J$319</f>
        <v>263</v>
      </c>
      <c r="G457" s="223">
        <f t="shared" si="98"/>
        <v>5</v>
      </c>
      <c r="H457" s="224"/>
      <c r="I457" s="224"/>
      <c r="J457" s="222">
        <f>I322</f>
        <v>522247.32</v>
      </c>
      <c r="K457" s="222">
        <f>$J$322</f>
        <v>523294.41</v>
      </c>
      <c r="L457" s="226">
        <f>K457-J457</f>
        <v>1047.0899999999674</v>
      </c>
      <c r="M457" s="329">
        <f>-L457/J457</f>
        <v>-2.0049695994609745E-3</v>
      </c>
    </row>
    <row r="458" spans="2:13" ht="15" customHeight="1" x14ac:dyDescent="0.2">
      <c r="B458" s="227" t="str">
        <f t="shared" si="97"/>
        <v>General Service 3000 to 4999 kW</v>
      </c>
      <c r="C458" s="228"/>
      <c r="D458" s="229"/>
      <c r="E458" s="222">
        <f>I335</f>
        <v>1</v>
      </c>
      <c r="F458" s="222">
        <f>$J$335</f>
        <v>1</v>
      </c>
      <c r="G458" s="223">
        <f t="shared" si="98"/>
        <v>0</v>
      </c>
      <c r="H458" s="224"/>
      <c r="I458" s="224"/>
      <c r="J458" s="222">
        <f>I338</f>
        <v>30271.190000000002</v>
      </c>
      <c r="K458" s="222">
        <f>$J$338</f>
        <v>29275.15</v>
      </c>
      <c r="L458" s="226">
        <f>K458-J458</f>
        <v>-996.04000000000087</v>
      </c>
      <c r="M458" s="329">
        <f>-L458/J458</f>
        <v>3.2903893107604977E-2</v>
      </c>
    </row>
    <row r="459" spans="2:13" ht="15" customHeight="1" x14ac:dyDescent="0.2">
      <c r="B459" s="227" t="str">
        <f t="shared" si="97"/>
        <v>Street Lighting</v>
      </c>
      <c r="C459" s="228"/>
      <c r="D459" s="229"/>
      <c r="E459" s="222">
        <f>I350</f>
        <v>5424</v>
      </c>
      <c r="F459" s="222">
        <f>$J$350</f>
        <v>5424</v>
      </c>
      <c r="G459" s="223">
        <f t="shared" si="98"/>
        <v>0</v>
      </c>
      <c r="H459" s="224"/>
      <c r="I459" s="224"/>
      <c r="J459" s="222">
        <f>I353</f>
        <v>5690.28</v>
      </c>
      <c r="K459" s="222">
        <f>$J$353</f>
        <v>5690.28</v>
      </c>
      <c r="L459" s="226">
        <f>K459-J459</f>
        <v>0</v>
      </c>
      <c r="M459" s="329">
        <f>-L459/J459</f>
        <v>0</v>
      </c>
    </row>
    <row r="460" spans="2:13" ht="15" customHeight="1" x14ac:dyDescent="0.2">
      <c r="B460" s="227" t="str">
        <f t="shared" si="97"/>
        <v>Sentinel Lighting</v>
      </c>
      <c r="C460" s="228"/>
      <c r="D460" s="229"/>
      <c r="E460" s="222">
        <f>I365</f>
        <v>425</v>
      </c>
      <c r="F460" s="222">
        <f>$J$365</f>
        <v>417</v>
      </c>
      <c r="G460" s="223">
        <f t="shared" si="98"/>
        <v>-8</v>
      </c>
      <c r="H460" s="224"/>
      <c r="I460" s="224"/>
      <c r="J460" s="222">
        <f>I368</f>
        <v>315.71999999999952</v>
      </c>
      <c r="K460" s="222">
        <f>$J$368</f>
        <v>310.34000000000003</v>
      </c>
      <c r="L460" s="226">
        <f>K460-J460</f>
        <v>-5.3799999999994839</v>
      </c>
      <c r="M460" s="329">
        <f>-L460/J460</f>
        <v>1.7040415558087836E-2</v>
      </c>
    </row>
    <row r="461" spans="2:13" ht="15" customHeight="1" x14ac:dyDescent="0.2">
      <c r="B461" s="227" t="str">
        <f t="shared" si="97"/>
        <v xml:space="preserve">Unmetered Scattered Load </v>
      </c>
      <c r="C461" s="228"/>
      <c r="D461" s="229"/>
      <c r="E461" s="222">
        <f>I380</f>
        <v>10</v>
      </c>
      <c r="F461" s="222">
        <f>$J$380</f>
        <v>9</v>
      </c>
      <c r="G461" s="223">
        <f t="shared" si="98"/>
        <v>-1</v>
      </c>
      <c r="H461" s="224">
        <f>I381</f>
        <v>42072.619999999988</v>
      </c>
      <c r="I461" s="224">
        <f>$J$381</f>
        <v>39489.699999999997</v>
      </c>
      <c r="J461" s="222"/>
      <c r="K461" s="225"/>
      <c r="L461" s="226">
        <f>I461-H461</f>
        <v>-2582.919999999991</v>
      </c>
      <c r="M461" s="329">
        <f>-L461/H461</f>
        <v>6.1391945640656365E-2</v>
      </c>
    </row>
    <row r="462" spans="2:13" ht="15" customHeight="1" x14ac:dyDescent="0.2">
      <c r="B462" s="227" t="s">
        <v>16</v>
      </c>
      <c r="C462" s="228"/>
      <c r="D462" s="229"/>
      <c r="E462" s="222">
        <f>SUM(E455:E461)</f>
        <v>30001</v>
      </c>
      <c r="F462" s="222">
        <f>SUM(F455:F461)</f>
        <v>30047</v>
      </c>
      <c r="G462" s="223">
        <f>SUM(G455:G461)</f>
        <v>46</v>
      </c>
      <c r="H462" s="224">
        <f>I450</f>
        <v>278640284.56999964</v>
      </c>
      <c r="I462" s="224">
        <f>SUM(I455:I461)</f>
        <v>278296737.5399999</v>
      </c>
      <c r="J462" s="224">
        <f>SUM(J455:J461)</f>
        <v>558524.51</v>
      </c>
      <c r="K462" s="224">
        <f>SUM(K455:K461)</f>
        <v>558570.17999999993</v>
      </c>
      <c r="L462" s="226"/>
    </row>
    <row r="464" spans="2:13" ht="15" customHeight="1" x14ac:dyDescent="0.2">
      <c r="B464" s="420" t="s">
        <v>282</v>
      </c>
      <c r="C464" s="420"/>
      <c r="D464" s="420"/>
      <c r="E464" s="420"/>
      <c r="F464" s="420"/>
      <c r="G464" s="420"/>
      <c r="H464" s="420"/>
      <c r="I464" s="420"/>
      <c r="J464" s="420"/>
      <c r="K464" s="420"/>
      <c r="L464" s="420"/>
    </row>
    <row r="465" spans="2:13" ht="15" customHeight="1" x14ac:dyDescent="0.2">
      <c r="B465" s="410"/>
      <c r="C465" s="411"/>
      <c r="D465" s="412"/>
      <c r="E465" s="410" t="s">
        <v>150</v>
      </c>
      <c r="F465" s="411"/>
      <c r="G465" s="412"/>
      <c r="H465" s="409" t="s">
        <v>129</v>
      </c>
      <c r="I465" s="409"/>
      <c r="J465" s="409" t="s">
        <v>151</v>
      </c>
      <c r="K465" s="409"/>
      <c r="L465" s="248"/>
    </row>
    <row r="466" spans="2:13" ht="22.5" x14ac:dyDescent="0.2">
      <c r="B466" s="414" t="s">
        <v>153</v>
      </c>
      <c r="C466" s="415"/>
      <c r="D466" s="416"/>
      <c r="E466" s="221" t="str">
        <f>+F454</f>
        <v>2019 Actual</v>
      </c>
      <c r="F466" s="221" t="s">
        <v>202</v>
      </c>
      <c r="G466" s="221" t="s">
        <v>39</v>
      </c>
      <c r="H466" s="220" t="str">
        <f>E466</f>
        <v>2019 Actual</v>
      </c>
      <c r="I466" s="221" t="str">
        <f>F466</f>
        <v>2020 Bridge</v>
      </c>
      <c r="J466" s="220" t="str">
        <f>E466</f>
        <v>2019 Actual</v>
      </c>
      <c r="K466" s="221" t="str">
        <f>F466</f>
        <v>2020 Bridge</v>
      </c>
      <c r="L466" s="220" t="s">
        <v>152</v>
      </c>
    </row>
    <row r="467" spans="2:13" ht="15" customHeight="1" x14ac:dyDescent="0.2">
      <c r="B467" s="227" t="str">
        <f>B455</f>
        <v xml:space="preserve">Residential </v>
      </c>
      <c r="C467" s="228"/>
      <c r="D467" s="229"/>
      <c r="E467" s="222">
        <f>J297</f>
        <v>21280</v>
      </c>
      <c r="F467" s="222">
        <f>K297</f>
        <v>21316</v>
      </c>
      <c r="G467" s="223">
        <f>F467-E467</f>
        <v>36</v>
      </c>
      <c r="H467" s="224">
        <f>J298</f>
        <v>197847017.74999991</v>
      </c>
      <c r="I467" s="224">
        <f>K298</f>
        <v>199682216.91900477</v>
      </c>
      <c r="J467" s="222"/>
      <c r="K467" s="225"/>
      <c r="L467" s="226">
        <f>I467-H467</f>
        <v>1835199.1690048575</v>
      </c>
      <c r="M467" s="329">
        <f>-L467/H467</f>
        <v>-9.2758495421134974E-3</v>
      </c>
    </row>
    <row r="468" spans="2:13" ht="15" customHeight="1" x14ac:dyDescent="0.2">
      <c r="B468" s="227" t="str">
        <f t="shared" ref="B468:B473" si="99">B456</f>
        <v>General Service &lt; 50 kW</v>
      </c>
      <c r="C468" s="228"/>
      <c r="D468" s="229"/>
      <c r="E468" s="222">
        <f>J308</f>
        <v>2653</v>
      </c>
      <c r="F468" s="222">
        <f>K308</f>
        <v>2651</v>
      </c>
      <c r="G468" s="223">
        <f t="shared" ref="G468:G473" si="100">F468-E468</f>
        <v>-2</v>
      </c>
      <c r="H468" s="224">
        <f>J309</f>
        <v>80410230.090000004</v>
      </c>
      <c r="I468" s="224">
        <f>K309</f>
        <v>79636963.846008897</v>
      </c>
      <c r="J468" s="222"/>
      <c r="K468" s="225"/>
      <c r="L468" s="226">
        <f>I468-H468</f>
        <v>-773266.24399110675</v>
      </c>
      <c r="M468" s="329">
        <f>-L468/H468</f>
        <v>9.6165157483770452E-3</v>
      </c>
    </row>
    <row r="469" spans="2:13" ht="15" customHeight="1" x14ac:dyDescent="0.2">
      <c r="B469" s="227" t="str">
        <f t="shared" si="99"/>
        <v>General Service 50 to 2999 kW</v>
      </c>
      <c r="C469" s="228"/>
      <c r="D469" s="229"/>
      <c r="E469" s="222">
        <f>J319</f>
        <v>263</v>
      </c>
      <c r="F469" s="222">
        <f>K319</f>
        <v>266</v>
      </c>
      <c r="G469" s="223">
        <f t="shared" si="100"/>
        <v>3</v>
      </c>
      <c r="H469" s="224"/>
      <c r="I469" s="224"/>
      <c r="J469" s="222">
        <f>J322</f>
        <v>523294.41</v>
      </c>
      <c r="K469" s="222">
        <f>K322</f>
        <v>522020.53109148762</v>
      </c>
      <c r="L469" s="226">
        <f>K469-J469</f>
        <v>-1273.8789085123572</v>
      </c>
      <c r="M469" s="329">
        <f>-L469/J469</f>
        <v>2.4343445757663592E-3</v>
      </c>
    </row>
    <row r="470" spans="2:13" ht="15" customHeight="1" x14ac:dyDescent="0.2">
      <c r="B470" s="227" t="str">
        <f t="shared" si="99"/>
        <v>General Service 3000 to 4999 kW</v>
      </c>
      <c r="C470" s="228"/>
      <c r="D470" s="229"/>
      <c r="E470" s="222">
        <f>J335</f>
        <v>1</v>
      </c>
      <c r="F470" s="222">
        <f>K335</f>
        <v>1</v>
      </c>
      <c r="G470" s="223">
        <f t="shared" si="100"/>
        <v>0</v>
      </c>
      <c r="H470" s="224"/>
      <c r="I470" s="224"/>
      <c r="J470" s="222">
        <f>J338</f>
        <v>29275.15</v>
      </c>
      <c r="K470" s="222">
        <f>K338</f>
        <v>27927.216521161627</v>
      </c>
      <c r="L470" s="226">
        <f>K470-J470</f>
        <v>-1347.9334788383749</v>
      </c>
      <c r="M470" s="329">
        <f>-L470/J470</f>
        <v>4.6043606227068858E-2</v>
      </c>
    </row>
    <row r="471" spans="2:13" ht="15" customHeight="1" x14ac:dyDescent="0.2">
      <c r="B471" s="227" t="str">
        <f t="shared" si="99"/>
        <v>Street Lighting</v>
      </c>
      <c r="C471" s="228"/>
      <c r="D471" s="229"/>
      <c r="E471" s="222">
        <f>J350</f>
        <v>5424</v>
      </c>
      <c r="F471" s="222">
        <f>K350</f>
        <v>5424</v>
      </c>
      <c r="G471" s="223">
        <f t="shared" si="100"/>
        <v>0</v>
      </c>
      <c r="H471" s="224"/>
      <c r="I471" s="224"/>
      <c r="J471" s="222">
        <f>J353</f>
        <v>5690.28</v>
      </c>
      <c r="K471" s="222">
        <f>K353</f>
        <v>5690.28</v>
      </c>
      <c r="L471" s="226">
        <f>K471-J471</f>
        <v>0</v>
      </c>
      <c r="M471" s="329">
        <f>-L471/J471</f>
        <v>0</v>
      </c>
    </row>
    <row r="472" spans="2:13" ht="15" customHeight="1" x14ac:dyDescent="0.2">
      <c r="B472" s="227" t="str">
        <f t="shared" si="99"/>
        <v>Sentinel Lighting</v>
      </c>
      <c r="C472" s="228"/>
      <c r="D472" s="229"/>
      <c r="E472" s="222">
        <f>J365</f>
        <v>417</v>
      </c>
      <c r="F472" s="222">
        <f>K365</f>
        <v>408</v>
      </c>
      <c r="G472" s="223">
        <f t="shared" si="100"/>
        <v>-9</v>
      </c>
      <c r="H472" s="224"/>
      <c r="I472" s="224"/>
      <c r="J472" s="222">
        <f>J368</f>
        <v>310.34000000000003</v>
      </c>
      <c r="K472" s="222">
        <f>K368</f>
        <v>304.29369952634471</v>
      </c>
      <c r="L472" s="226">
        <f>K472-J472</f>
        <v>-6.0463004736553216</v>
      </c>
      <c r="M472" s="329">
        <f>-L472/J472</f>
        <v>1.9482826814639819E-2</v>
      </c>
    </row>
    <row r="473" spans="2:13" ht="15" customHeight="1" x14ac:dyDescent="0.2">
      <c r="B473" s="227" t="str">
        <f t="shared" si="99"/>
        <v xml:space="preserve">Unmetered Scattered Load </v>
      </c>
      <c r="C473" s="228"/>
      <c r="D473" s="229"/>
      <c r="E473" s="222">
        <f>J380</f>
        <v>9</v>
      </c>
      <c r="F473" s="222">
        <f>K380</f>
        <v>9</v>
      </c>
      <c r="G473" s="223">
        <f t="shared" si="100"/>
        <v>0</v>
      </c>
      <c r="H473" s="224">
        <f>J381</f>
        <v>39489.699999999997</v>
      </c>
      <c r="I473" s="224">
        <f>K381</f>
        <v>39489.699999999997</v>
      </c>
      <c r="J473" s="222"/>
      <c r="K473" s="225"/>
      <c r="L473" s="226">
        <f>I473-H473</f>
        <v>0</v>
      </c>
      <c r="M473" s="329">
        <f>-L473/H473</f>
        <v>0</v>
      </c>
    </row>
    <row r="474" spans="2:13" ht="15" customHeight="1" x14ac:dyDescent="0.2">
      <c r="B474" s="227" t="s">
        <v>16</v>
      </c>
      <c r="C474" s="228"/>
      <c r="D474" s="229"/>
      <c r="E474" s="222">
        <f>SUM(E467:E473)</f>
        <v>30047</v>
      </c>
      <c r="F474" s="222">
        <f>SUM(F467:F473)</f>
        <v>30075</v>
      </c>
      <c r="G474" s="223">
        <f>SUM(G467:G473)</f>
        <v>28</v>
      </c>
      <c r="H474" s="224">
        <f>I462</f>
        <v>278296737.5399999</v>
      </c>
      <c r="I474" s="224">
        <f>SUM(I467:I473)</f>
        <v>279358670.46501368</v>
      </c>
      <c r="J474" s="224">
        <f>SUM(J467:J473)</f>
        <v>558570.17999999993</v>
      </c>
      <c r="K474" s="224">
        <f>SUM(K467:K473)</f>
        <v>555942.3213121756</v>
      </c>
      <c r="L474" s="226"/>
    </row>
    <row r="476" spans="2:13" ht="15" customHeight="1" x14ac:dyDescent="0.2">
      <c r="B476" s="420" t="s">
        <v>283</v>
      </c>
      <c r="C476" s="420"/>
      <c r="D476" s="420"/>
      <c r="E476" s="420"/>
      <c r="F476" s="420"/>
      <c r="G476" s="420"/>
      <c r="H476" s="420"/>
      <c r="I476" s="420"/>
      <c r="J476" s="420"/>
      <c r="K476" s="420"/>
      <c r="L476" s="420"/>
    </row>
    <row r="477" spans="2:13" ht="15" customHeight="1" x14ac:dyDescent="0.2">
      <c r="B477" s="410"/>
      <c r="C477" s="411"/>
      <c r="D477" s="412"/>
      <c r="E477" s="410" t="s">
        <v>150</v>
      </c>
      <c r="F477" s="411"/>
      <c r="G477" s="412"/>
      <c r="H477" s="409" t="s">
        <v>129</v>
      </c>
      <c r="I477" s="409"/>
      <c r="J477" s="409" t="s">
        <v>151</v>
      </c>
      <c r="K477" s="409"/>
      <c r="L477" s="248"/>
    </row>
    <row r="478" spans="2:13" ht="22.5" x14ac:dyDescent="0.2">
      <c r="B478" s="414" t="s">
        <v>153</v>
      </c>
      <c r="C478" s="415"/>
      <c r="D478" s="416"/>
      <c r="E478" s="221" t="str">
        <f>+F466</f>
        <v>2020 Bridge</v>
      </c>
      <c r="F478" s="221" t="s">
        <v>203</v>
      </c>
      <c r="G478" s="221" t="s">
        <v>39</v>
      </c>
      <c r="H478" s="220" t="str">
        <f>E478</f>
        <v>2020 Bridge</v>
      </c>
      <c r="I478" s="221" t="str">
        <f>F478</f>
        <v>2021 Test</v>
      </c>
      <c r="J478" s="220" t="str">
        <f>E478</f>
        <v>2020 Bridge</v>
      </c>
      <c r="K478" s="221" t="str">
        <f>F478</f>
        <v>2021 Test</v>
      </c>
      <c r="L478" s="220" t="s">
        <v>152</v>
      </c>
    </row>
    <row r="479" spans="2:13" ht="15" customHeight="1" x14ac:dyDescent="0.2">
      <c r="B479" s="227" t="str">
        <f>B467</f>
        <v xml:space="preserve">Residential </v>
      </c>
      <c r="C479" s="228"/>
      <c r="D479" s="229"/>
      <c r="E479" s="222">
        <f>+F467</f>
        <v>21316</v>
      </c>
      <c r="F479" s="222">
        <f>+L297</f>
        <v>21352</v>
      </c>
      <c r="G479" s="223">
        <f>F479-E479</f>
        <v>36</v>
      </c>
      <c r="H479" s="224">
        <f>+I467</f>
        <v>199682216.91900477</v>
      </c>
      <c r="I479" s="224">
        <f>+L298</f>
        <v>201705111.05903772</v>
      </c>
      <c r="J479" s="222"/>
      <c r="K479" s="225"/>
      <c r="L479" s="226">
        <f>I479-H479</f>
        <v>2022894.1400329471</v>
      </c>
      <c r="M479" s="329">
        <f>-L479/H479</f>
        <v>-1.0130567314632102E-2</v>
      </c>
    </row>
    <row r="480" spans="2:13" ht="15" customHeight="1" x14ac:dyDescent="0.2">
      <c r="B480" s="227" t="str">
        <f t="shared" ref="B480:B485" si="101">B468</f>
        <v>General Service &lt; 50 kW</v>
      </c>
      <c r="C480" s="228"/>
      <c r="D480" s="229"/>
      <c r="E480" s="222">
        <f t="shared" ref="E480:E485" si="102">+F468</f>
        <v>2651</v>
      </c>
      <c r="F480" s="222">
        <f>+L308</f>
        <v>2649</v>
      </c>
      <c r="G480" s="223">
        <f t="shared" ref="G480:G485" si="103">F480-E480</f>
        <v>-2</v>
      </c>
      <c r="H480" s="224">
        <f>+I468</f>
        <v>79636963.846008897</v>
      </c>
      <c r="I480" s="224">
        <f>+L309</f>
        <v>79035853.179389015</v>
      </c>
      <c r="J480" s="222"/>
      <c r="K480" s="225"/>
      <c r="L480" s="226">
        <f>I480-H480</f>
        <v>-601110.66661988199</v>
      </c>
      <c r="M480" s="329">
        <f>-L480/H480</f>
        <v>7.5481364129128259E-3</v>
      </c>
    </row>
    <row r="481" spans="2:13" ht="15" customHeight="1" x14ac:dyDescent="0.2">
      <c r="B481" s="227" t="str">
        <f t="shared" si="101"/>
        <v>General Service 50 to 2999 kW</v>
      </c>
      <c r="C481" s="228"/>
      <c r="D481" s="229"/>
      <c r="E481" s="222">
        <f t="shared" si="102"/>
        <v>266</v>
      </c>
      <c r="F481" s="222">
        <f>+L319</f>
        <v>269</v>
      </c>
      <c r="G481" s="223">
        <f t="shared" si="103"/>
        <v>3</v>
      </c>
      <c r="H481" s="224"/>
      <c r="I481" s="224"/>
      <c r="J481" s="224">
        <f>+K469</f>
        <v>522020.53109148762</v>
      </c>
      <c r="K481" s="222">
        <f>+L322</f>
        <v>517284.14137790038</v>
      </c>
      <c r="L481" s="226">
        <f>K481-J481</f>
        <v>-4736.3897135872394</v>
      </c>
      <c r="M481" s="329">
        <f>-L481/J481</f>
        <v>9.0731866497357275E-3</v>
      </c>
    </row>
    <row r="482" spans="2:13" ht="15" customHeight="1" x14ac:dyDescent="0.2">
      <c r="B482" s="227" t="str">
        <f t="shared" si="101"/>
        <v>General Service 3000 to 4999 kW</v>
      </c>
      <c r="C482" s="228"/>
      <c r="D482" s="229"/>
      <c r="E482" s="222">
        <f t="shared" si="102"/>
        <v>1</v>
      </c>
      <c r="F482" s="222">
        <f>+L335</f>
        <v>1</v>
      </c>
      <c r="G482" s="223">
        <f t="shared" si="103"/>
        <v>0</v>
      </c>
      <c r="H482" s="224"/>
      <c r="I482" s="224"/>
      <c r="J482" s="224">
        <f>+K470</f>
        <v>27927.216521161627</v>
      </c>
      <c r="K482" s="222">
        <f>+L338</f>
        <v>27098.262991662719</v>
      </c>
      <c r="L482" s="226">
        <f>K482-J482</f>
        <v>-828.9535294989073</v>
      </c>
      <c r="M482" s="329">
        <f>-L482/J482</f>
        <v>2.9682640547824532E-2</v>
      </c>
    </row>
    <row r="483" spans="2:13" ht="15" customHeight="1" x14ac:dyDescent="0.2">
      <c r="B483" s="227" t="str">
        <f t="shared" si="101"/>
        <v>Street Lighting</v>
      </c>
      <c r="C483" s="228"/>
      <c r="D483" s="229"/>
      <c r="E483" s="222">
        <f t="shared" si="102"/>
        <v>5424</v>
      </c>
      <c r="F483" s="222">
        <f>+L350</f>
        <v>5424</v>
      </c>
      <c r="G483" s="223">
        <f t="shared" si="103"/>
        <v>0</v>
      </c>
      <c r="H483" s="224"/>
      <c r="I483" s="224"/>
      <c r="J483" s="224">
        <f>+K471</f>
        <v>5690.28</v>
      </c>
      <c r="K483" s="222">
        <f>+L353</f>
        <v>5690.28</v>
      </c>
      <c r="L483" s="226">
        <f>K483-J483</f>
        <v>0</v>
      </c>
      <c r="M483" s="329">
        <f>-L483/J483</f>
        <v>0</v>
      </c>
    </row>
    <row r="484" spans="2:13" ht="15" customHeight="1" x14ac:dyDescent="0.2">
      <c r="B484" s="227" t="str">
        <f t="shared" si="101"/>
        <v>Sentinel Lighting</v>
      </c>
      <c r="C484" s="228"/>
      <c r="D484" s="229"/>
      <c r="E484" s="222">
        <f t="shared" si="102"/>
        <v>408</v>
      </c>
      <c r="F484" s="222">
        <f>+L365</f>
        <v>400</v>
      </c>
      <c r="G484" s="223">
        <f t="shared" si="103"/>
        <v>-8</v>
      </c>
      <c r="H484" s="224"/>
      <c r="I484" s="224"/>
      <c r="J484" s="224">
        <f>+K472</f>
        <v>304.29369952634471</v>
      </c>
      <c r="K484" s="222">
        <f>+L368</f>
        <v>298.32715639837716</v>
      </c>
      <c r="L484" s="226">
        <f>K484-J484</f>
        <v>-5.9665431279675545</v>
      </c>
      <c r="M484" s="329">
        <f>-L484/J484</f>
        <v>1.960784313725494E-2</v>
      </c>
    </row>
    <row r="485" spans="2:13" ht="15" customHeight="1" x14ac:dyDescent="0.2">
      <c r="B485" s="227" t="str">
        <f t="shared" si="101"/>
        <v xml:space="preserve">Unmetered Scattered Load </v>
      </c>
      <c r="C485" s="228"/>
      <c r="D485" s="229"/>
      <c r="E485" s="222">
        <f t="shared" si="102"/>
        <v>9</v>
      </c>
      <c r="F485" s="222">
        <f>+L380</f>
        <v>9</v>
      </c>
      <c r="G485" s="223">
        <f t="shared" si="103"/>
        <v>0</v>
      </c>
      <c r="H485" s="224">
        <f>+I473</f>
        <v>39489.699999999997</v>
      </c>
      <c r="I485" s="224">
        <f>+L381</f>
        <v>39489.699999999997</v>
      </c>
      <c r="J485" s="222"/>
      <c r="K485" s="225"/>
      <c r="L485" s="226">
        <f>I485-H485</f>
        <v>0</v>
      </c>
      <c r="M485" s="329">
        <f>-L485/H485</f>
        <v>0</v>
      </c>
    </row>
    <row r="486" spans="2:13" ht="15" customHeight="1" x14ac:dyDescent="0.2">
      <c r="B486" s="227" t="s">
        <v>16</v>
      </c>
      <c r="C486" s="228"/>
      <c r="D486" s="229"/>
      <c r="E486" s="222">
        <f>SUM(E479:E485)</f>
        <v>30075</v>
      </c>
      <c r="F486" s="222">
        <f>SUM(F479:F485)</f>
        <v>30104</v>
      </c>
      <c r="G486" s="223">
        <f>SUM(G479:G485)</f>
        <v>29</v>
      </c>
      <c r="H486" s="224">
        <f>I474</f>
        <v>279358670.46501368</v>
      </c>
      <c r="I486" s="224">
        <f>SUM(I479:I485)</f>
        <v>280780453.93842673</v>
      </c>
      <c r="J486" s="224">
        <f>SUM(J479:J485)</f>
        <v>555942.3213121756</v>
      </c>
      <c r="K486" s="224">
        <f>SUM(K479:K485)</f>
        <v>550371.01152596145</v>
      </c>
      <c r="L486" s="226"/>
    </row>
    <row r="489" spans="2:13" ht="15" customHeight="1" x14ac:dyDescent="0.2">
      <c r="B489" s="62" t="s">
        <v>233</v>
      </c>
    </row>
    <row r="490" spans="2:13" ht="15" customHeight="1" x14ac:dyDescent="0.2">
      <c r="B490" s="410"/>
      <c r="C490" s="411"/>
      <c r="D490" s="412"/>
      <c r="E490" s="410" t="s">
        <v>150</v>
      </c>
      <c r="F490" s="411"/>
      <c r="G490" s="412"/>
      <c r="H490" s="409" t="s">
        <v>129</v>
      </c>
      <c r="I490" s="409"/>
      <c r="J490" s="409" t="s">
        <v>151</v>
      </c>
      <c r="K490" s="409"/>
      <c r="L490" s="248"/>
    </row>
    <row r="491" spans="2:13" ht="32.25" customHeight="1" x14ac:dyDescent="0.2">
      <c r="B491" s="414" t="s">
        <v>153</v>
      </c>
      <c r="C491" s="415"/>
      <c r="D491" s="416"/>
      <c r="E491" s="221" t="str">
        <f t="shared" ref="E491:E498" si="104">+E406</f>
        <v xml:space="preserve">2015 Board Approved </v>
      </c>
      <c r="F491" s="221" t="str">
        <f t="shared" ref="F491:F498" si="105">+F478</f>
        <v>2021 Test</v>
      </c>
      <c r="G491" s="221" t="s">
        <v>39</v>
      </c>
      <c r="H491" s="220" t="str">
        <f>E491</f>
        <v xml:space="preserve">2015 Board Approved </v>
      </c>
      <c r="I491" s="221" t="str">
        <f>F491</f>
        <v>2021 Test</v>
      </c>
      <c r="J491" s="220" t="str">
        <f>E491</f>
        <v xml:space="preserve">2015 Board Approved </v>
      </c>
      <c r="K491" s="221" t="str">
        <f>F491</f>
        <v>2021 Test</v>
      </c>
      <c r="L491" s="220" t="s">
        <v>152</v>
      </c>
    </row>
    <row r="492" spans="2:13" ht="15" customHeight="1" x14ac:dyDescent="0.2">
      <c r="B492" s="227" t="s">
        <v>2</v>
      </c>
      <c r="C492" s="228"/>
      <c r="D492" s="229"/>
      <c r="E492" s="221">
        <f t="shared" si="104"/>
        <v>21124</v>
      </c>
      <c r="F492" s="221">
        <f t="shared" si="105"/>
        <v>21352</v>
      </c>
      <c r="G492" s="223">
        <f>F492-E492</f>
        <v>228</v>
      </c>
      <c r="H492" s="224">
        <f>+H407</f>
        <v>205497425</v>
      </c>
      <c r="I492" s="224">
        <f>+I479</f>
        <v>201705111.05903772</v>
      </c>
      <c r="J492" s="222"/>
      <c r="K492" s="225"/>
      <c r="L492" s="226">
        <f>I492-H492</f>
        <v>-3792313.9409622848</v>
      </c>
    </row>
    <row r="493" spans="2:13" ht="15" customHeight="1" x14ac:dyDescent="0.2">
      <c r="B493" s="227" t="s">
        <v>208</v>
      </c>
      <c r="C493" s="228"/>
      <c r="D493" s="229"/>
      <c r="E493" s="221">
        <f t="shared" si="104"/>
        <v>2668</v>
      </c>
      <c r="F493" s="221">
        <f t="shared" si="105"/>
        <v>2649</v>
      </c>
      <c r="G493" s="223">
        <f t="shared" ref="G493:G498" si="106">F493-E493</f>
        <v>-19</v>
      </c>
      <c r="H493" s="224">
        <f>+H408</f>
        <v>85361037</v>
      </c>
      <c r="I493" s="224">
        <f>+I480</f>
        <v>79035853.179389015</v>
      </c>
      <c r="J493" s="222"/>
      <c r="K493" s="225"/>
      <c r="L493" s="226">
        <f>I493-H493</f>
        <v>-6325183.8206109852</v>
      </c>
    </row>
    <row r="494" spans="2:13" ht="15" customHeight="1" x14ac:dyDescent="0.2">
      <c r="B494" s="227" t="s">
        <v>209</v>
      </c>
      <c r="C494" s="228"/>
      <c r="D494" s="229"/>
      <c r="E494" s="221">
        <f t="shared" si="104"/>
        <v>247</v>
      </c>
      <c r="F494" s="221">
        <f t="shared" si="105"/>
        <v>269</v>
      </c>
      <c r="G494" s="223">
        <f t="shared" si="106"/>
        <v>22</v>
      </c>
      <c r="H494" s="224"/>
      <c r="I494" s="224"/>
      <c r="J494" s="224">
        <f>+J409</f>
        <v>519864.63481550448</v>
      </c>
      <c r="K494" s="222">
        <f>+K481</f>
        <v>517284.14137790038</v>
      </c>
      <c r="L494" s="226">
        <f>K494-J494</f>
        <v>-2580.4934376041056</v>
      </c>
    </row>
    <row r="495" spans="2:13" ht="15" customHeight="1" x14ac:dyDescent="0.2">
      <c r="B495" s="227" t="s">
        <v>210</v>
      </c>
      <c r="C495" s="228"/>
      <c r="D495" s="229"/>
      <c r="E495" s="221">
        <f t="shared" si="104"/>
        <v>1</v>
      </c>
      <c r="F495" s="221">
        <f t="shared" si="105"/>
        <v>1</v>
      </c>
      <c r="G495" s="223">
        <f t="shared" si="106"/>
        <v>0</v>
      </c>
      <c r="H495" s="224"/>
      <c r="I495" s="224"/>
      <c r="J495" s="224">
        <f>+J410</f>
        <v>33801.425697666316</v>
      </c>
      <c r="K495" s="222">
        <f>+K482</f>
        <v>27098.262991662719</v>
      </c>
      <c r="L495" s="226">
        <f>K495-J495</f>
        <v>-6703.1627060035971</v>
      </c>
    </row>
    <row r="496" spans="2:13" ht="15" customHeight="1" x14ac:dyDescent="0.2">
      <c r="B496" s="227" t="s">
        <v>142</v>
      </c>
      <c r="C496" s="228"/>
      <c r="D496" s="229"/>
      <c r="E496" s="221">
        <f t="shared" si="104"/>
        <v>5419</v>
      </c>
      <c r="F496" s="221">
        <f t="shared" si="105"/>
        <v>5424</v>
      </c>
      <c r="G496" s="223">
        <f t="shared" si="106"/>
        <v>5</v>
      </c>
      <c r="H496" s="224"/>
      <c r="I496" s="224"/>
      <c r="J496" s="224">
        <f>+J411</f>
        <v>5641.08</v>
      </c>
      <c r="K496" s="222">
        <f>+K483</f>
        <v>5690.28</v>
      </c>
      <c r="L496" s="226">
        <f>K496-J496</f>
        <v>49.199999999999818</v>
      </c>
    </row>
    <row r="497" spans="2:12" ht="15" customHeight="1" x14ac:dyDescent="0.2">
      <c r="B497" s="227" t="s">
        <v>143</v>
      </c>
      <c r="C497" s="228"/>
      <c r="D497" s="229"/>
      <c r="E497" s="221">
        <f t="shared" si="104"/>
        <v>412</v>
      </c>
      <c r="F497" s="221">
        <f t="shared" si="105"/>
        <v>400</v>
      </c>
      <c r="G497" s="223">
        <f t="shared" si="106"/>
        <v>-12</v>
      </c>
      <c r="H497" s="224"/>
      <c r="I497" s="224"/>
      <c r="J497" s="224">
        <f>+J412</f>
        <v>1193.4344347067597</v>
      </c>
      <c r="K497" s="222">
        <f>+K484</f>
        <v>298.32715639837716</v>
      </c>
      <c r="L497" s="226">
        <f>K497-J497</f>
        <v>-895.10727830838255</v>
      </c>
    </row>
    <row r="498" spans="2:12" ht="15" customHeight="1" x14ac:dyDescent="0.2">
      <c r="B498" s="227" t="s">
        <v>146</v>
      </c>
      <c r="C498" s="228"/>
      <c r="D498" s="229"/>
      <c r="E498" s="221">
        <f t="shared" si="104"/>
        <v>7</v>
      </c>
      <c r="F498" s="221">
        <f t="shared" si="105"/>
        <v>9</v>
      </c>
      <c r="G498" s="223">
        <f t="shared" si="106"/>
        <v>2</v>
      </c>
      <c r="H498" s="224">
        <f>+H413</f>
        <v>32044.999999999996</v>
      </c>
      <c r="I498" s="224">
        <f>+I485</f>
        <v>39489.699999999997</v>
      </c>
      <c r="J498" s="222"/>
      <c r="K498" s="225"/>
      <c r="L498" s="226">
        <f>I498-H498</f>
        <v>7444.7000000000007</v>
      </c>
    </row>
    <row r="499" spans="2:12" ht="15" customHeight="1" x14ac:dyDescent="0.2">
      <c r="B499" s="227" t="s">
        <v>16</v>
      </c>
      <c r="C499" s="228"/>
      <c r="D499" s="229"/>
      <c r="E499" s="222">
        <f>SUM(E492:E498)</f>
        <v>29878</v>
      </c>
      <c r="F499" s="222">
        <f>SUM(F492:F498)</f>
        <v>30104</v>
      </c>
      <c r="G499" s="223">
        <f>SUM(G492:G498)</f>
        <v>226</v>
      </c>
      <c r="H499" s="224">
        <f>I485</f>
        <v>39489.699999999997</v>
      </c>
      <c r="I499" s="224">
        <f>SUM(I492:I498)</f>
        <v>280780453.93842673</v>
      </c>
      <c r="J499" s="224">
        <f>SUM(J492:J498)</f>
        <v>560500.57494787755</v>
      </c>
      <c r="K499" s="224">
        <f>SUM(K492:K498)</f>
        <v>550371.01152596145</v>
      </c>
      <c r="L499" s="226"/>
    </row>
    <row r="504" spans="2:12" ht="15" customHeight="1" x14ac:dyDescent="0.2">
      <c r="B504" s="62" t="s">
        <v>284</v>
      </c>
    </row>
    <row r="505" spans="2:12" ht="32.25" customHeight="1" x14ac:dyDescent="0.2">
      <c r="B505" s="403" t="s">
        <v>241</v>
      </c>
      <c r="C505" s="404"/>
      <c r="D505" s="405"/>
      <c r="E505" s="409" t="s">
        <v>234</v>
      </c>
      <c r="F505" s="413" t="s">
        <v>187</v>
      </c>
      <c r="G505" s="409" t="s">
        <v>235</v>
      </c>
      <c r="H505" s="409"/>
      <c r="I505" s="409" t="s">
        <v>237</v>
      </c>
      <c r="J505" s="409"/>
    </row>
    <row r="506" spans="2:12" ht="11.25" x14ac:dyDescent="0.2">
      <c r="B506" s="406"/>
      <c r="C506" s="407"/>
      <c r="D506" s="408"/>
      <c r="E506" s="409"/>
      <c r="F506" s="413"/>
      <c r="G506" s="341" t="s">
        <v>13</v>
      </c>
      <c r="H506" s="340" t="s">
        <v>236</v>
      </c>
      <c r="I506" s="341" t="s">
        <v>13</v>
      </c>
      <c r="J506" s="340" t="s">
        <v>236</v>
      </c>
    </row>
    <row r="507" spans="2:12" ht="15" customHeight="1" x14ac:dyDescent="0.2">
      <c r="B507" s="227" t="s">
        <v>2</v>
      </c>
      <c r="C507" s="228"/>
      <c r="D507" s="229"/>
      <c r="E507" s="221" t="s">
        <v>129</v>
      </c>
      <c r="F507" s="221">
        <f>+E301</f>
        <v>9728.149261503504</v>
      </c>
      <c r="G507" s="221">
        <f>+F300</f>
        <v>9313.9901903228838</v>
      </c>
      <c r="H507" s="342">
        <f>+(G507-F507)/F507</f>
        <v>-4.2573264456327961E-2</v>
      </c>
      <c r="I507" s="224">
        <f>+F301</f>
        <v>8874.2957236754846</v>
      </c>
      <c r="J507" s="342">
        <f t="shared" ref="J507:J513" si="107">+(I507-F507)/F507</f>
        <v>-8.7771426493928481E-2</v>
      </c>
    </row>
    <row r="508" spans="2:12" ht="15" customHeight="1" x14ac:dyDescent="0.2">
      <c r="B508" s="227" t="s">
        <v>208</v>
      </c>
      <c r="C508" s="228"/>
      <c r="D508" s="229"/>
      <c r="E508" s="221" t="s">
        <v>129</v>
      </c>
      <c r="F508" s="221">
        <f>+E311</f>
        <v>31994.391679160421</v>
      </c>
      <c r="G508" s="221">
        <f>+F311</f>
        <v>31582.844244142278</v>
      </c>
      <c r="H508" s="342">
        <f t="shared" ref="H508:H513" si="108">+(G508-F508)/F508</f>
        <v>-1.2863111733616889E-2</v>
      </c>
      <c r="I508" s="224">
        <f>+F312</f>
        <v>30091.882629262742</v>
      </c>
      <c r="J508" s="342">
        <f t="shared" si="107"/>
        <v>-5.9463829441610543E-2</v>
      </c>
    </row>
    <row r="509" spans="2:12" ht="15" customHeight="1" x14ac:dyDescent="0.2">
      <c r="B509" s="227" t="s">
        <v>209</v>
      </c>
      <c r="C509" s="228"/>
      <c r="D509" s="229"/>
      <c r="E509" s="221" t="s">
        <v>183</v>
      </c>
      <c r="F509" s="221">
        <f>+E324</f>
        <v>2104.7151207105444</v>
      </c>
      <c r="G509" s="221">
        <f>+F324</f>
        <v>2117.707401574804</v>
      </c>
      <c r="H509" s="342">
        <f t="shared" si="108"/>
        <v>6.1729403359222354E-3</v>
      </c>
      <c r="I509" s="224">
        <f>+F325</f>
        <v>2060.9918799362449</v>
      </c>
      <c r="J509" s="342">
        <f t="shared" si="107"/>
        <v>-2.07739471931663E-2</v>
      </c>
    </row>
    <row r="510" spans="2:12" ht="15" customHeight="1" x14ac:dyDescent="0.2">
      <c r="B510" s="227" t="s">
        <v>210</v>
      </c>
      <c r="C510" s="228"/>
      <c r="D510" s="229"/>
      <c r="E510" s="221" t="s">
        <v>183</v>
      </c>
      <c r="F510" s="221">
        <f>+E339</f>
        <v>33801.425697666316</v>
      </c>
      <c r="G510" s="221">
        <f>+F338</f>
        <v>39466.039999999994</v>
      </c>
      <c r="H510" s="342">
        <f t="shared" si="108"/>
        <v>0.16758507031627271</v>
      </c>
      <c r="I510" s="224">
        <f>+F339</f>
        <v>33217.437720696485</v>
      </c>
      <c r="J510" s="342">
        <f t="shared" si="107"/>
        <v>-1.7277022046148487E-2</v>
      </c>
    </row>
    <row r="511" spans="2:12" ht="15" customHeight="1" x14ac:dyDescent="0.2">
      <c r="B511" s="227" t="s">
        <v>142</v>
      </c>
      <c r="C511" s="228"/>
      <c r="D511" s="229"/>
      <c r="E511" s="221" t="s">
        <v>183</v>
      </c>
      <c r="F511" s="346">
        <f>+E355</f>
        <v>1.0409817309466691</v>
      </c>
      <c r="G511" s="346">
        <f>+F355</f>
        <v>1.049478052379196</v>
      </c>
      <c r="H511" s="342">
        <f t="shared" si="108"/>
        <v>8.1618352944583562E-3</v>
      </c>
      <c r="I511" s="347">
        <f>+F356</f>
        <v>1.0009143670184275</v>
      </c>
      <c r="J511" s="342">
        <f t="shared" si="107"/>
        <v>-3.8489978005477911E-2</v>
      </c>
    </row>
    <row r="512" spans="2:12" ht="15" customHeight="1" x14ac:dyDescent="0.2">
      <c r="B512" s="227" t="s">
        <v>143</v>
      </c>
      <c r="C512" s="228"/>
      <c r="D512" s="229"/>
      <c r="E512" s="221" t="s">
        <v>183</v>
      </c>
      <c r="F512" s="346">
        <f>+E370</f>
        <v>2.8966855211329121</v>
      </c>
      <c r="G512" s="346">
        <f>+F370</f>
        <v>2.5714925373134361</v>
      </c>
      <c r="H512" s="342">
        <f t="shared" si="108"/>
        <v>-0.11226382064846686</v>
      </c>
      <c r="I512" s="347">
        <f>+F371</f>
        <v>2.4087120145724916</v>
      </c>
      <c r="J512" s="342">
        <f t="shared" si="107"/>
        <v>-0.16845926249169463</v>
      </c>
    </row>
    <row r="513" spans="2:11" ht="15" customHeight="1" x14ac:dyDescent="0.2">
      <c r="B513" s="227" t="s">
        <v>146</v>
      </c>
      <c r="C513" s="228"/>
      <c r="D513" s="229"/>
      <c r="E513" s="221" t="s">
        <v>129</v>
      </c>
      <c r="F513" s="221">
        <f>+E383</f>
        <v>4577.8571428571422</v>
      </c>
      <c r="G513" s="221">
        <f>+F383</f>
        <v>4293.3589999999995</v>
      </c>
      <c r="H513" s="342">
        <f t="shared" si="108"/>
        <v>-6.2146575128725214E-2</v>
      </c>
      <c r="I513" s="224">
        <f>+F384</f>
        <v>4090.6782845326188</v>
      </c>
      <c r="J513" s="342">
        <f t="shared" si="107"/>
        <v>-0.10642072111941533</v>
      </c>
    </row>
    <row r="514" spans="2:11" ht="15" customHeight="1" x14ac:dyDescent="0.2">
      <c r="B514" s="62" t="s">
        <v>285</v>
      </c>
    </row>
    <row r="515" spans="2:11" ht="15" customHeight="1" x14ac:dyDescent="0.2">
      <c r="B515" s="403" t="s">
        <v>241</v>
      </c>
      <c r="C515" s="404"/>
      <c r="D515" s="405"/>
      <c r="E515" s="409" t="s">
        <v>234</v>
      </c>
      <c r="F515" s="410" t="s">
        <v>238</v>
      </c>
      <c r="G515" s="411"/>
      <c r="H515" s="412"/>
      <c r="I515" s="410" t="s">
        <v>239</v>
      </c>
      <c r="J515" s="411"/>
      <c r="K515" s="412"/>
    </row>
    <row r="516" spans="2:11" ht="15" customHeight="1" x14ac:dyDescent="0.2">
      <c r="B516" s="406"/>
      <c r="C516" s="407"/>
      <c r="D516" s="408"/>
      <c r="E516" s="409"/>
      <c r="F516" s="340">
        <v>2015</v>
      </c>
      <c r="G516" s="340">
        <v>2016</v>
      </c>
      <c r="H516" s="340" t="s">
        <v>236</v>
      </c>
      <c r="I516" s="340">
        <v>2015</v>
      </c>
      <c r="J516" s="340">
        <v>2016</v>
      </c>
      <c r="K516" s="340" t="s">
        <v>236</v>
      </c>
    </row>
    <row r="517" spans="2:11" ht="15" customHeight="1" x14ac:dyDescent="0.2">
      <c r="B517" s="227" t="s">
        <v>2</v>
      </c>
      <c r="C517" s="228"/>
      <c r="D517" s="229"/>
      <c r="E517" s="221" t="s">
        <v>129</v>
      </c>
      <c r="F517" s="221">
        <f>+G507</f>
        <v>9313.9901903228838</v>
      </c>
      <c r="G517" s="221">
        <f>+G300</f>
        <v>8888.429675057876</v>
      </c>
      <c r="H517" s="342">
        <f>+(G517-F517)/F517</f>
        <v>-4.5690462043556763E-2</v>
      </c>
      <c r="I517" s="221">
        <f>+I507</f>
        <v>8874.2957236754846</v>
      </c>
      <c r="J517" s="221">
        <f>+G301</f>
        <v>8971.9627990917597</v>
      </c>
      <c r="K517" s="342">
        <f>+(J517-I517)/I517</f>
        <v>1.100561424336039E-2</v>
      </c>
    </row>
    <row r="518" spans="2:11" ht="15" customHeight="1" x14ac:dyDescent="0.2">
      <c r="B518" s="227" t="s">
        <v>208</v>
      </c>
      <c r="C518" s="228"/>
      <c r="D518" s="229"/>
      <c r="E518" s="221" t="s">
        <v>129</v>
      </c>
      <c r="F518" s="221">
        <f t="shared" ref="F518:F523" si="109">+G508</f>
        <v>31582.844244142278</v>
      </c>
      <c r="G518" s="221">
        <f>+G311</f>
        <v>30328.357472734187</v>
      </c>
      <c r="H518" s="342">
        <f t="shared" ref="H518:H523" si="110">+(G518-F518)/F518</f>
        <v>-3.9720512874351459E-2</v>
      </c>
      <c r="I518" s="221">
        <f t="shared" ref="I518:I523" si="111">+I508</f>
        <v>30091.882629262742</v>
      </c>
      <c r="J518" s="221">
        <f>+G312</f>
        <v>30613.382222789085</v>
      </c>
      <c r="K518" s="342">
        <f t="shared" ref="K518:K523" si="112">+(J518-I518)/I518</f>
        <v>1.7330241512347681E-2</v>
      </c>
    </row>
    <row r="519" spans="2:11" ht="15" customHeight="1" x14ac:dyDescent="0.2">
      <c r="B519" s="227" t="s">
        <v>209</v>
      </c>
      <c r="C519" s="228"/>
      <c r="D519" s="229"/>
      <c r="E519" s="221" t="s">
        <v>183</v>
      </c>
      <c r="F519" s="221">
        <f t="shared" si="109"/>
        <v>2117.707401574804</v>
      </c>
      <c r="G519" s="221">
        <f>+G324</f>
        <v>2092.3334387351783</v>
      </c>
      <c r="H519" s="342">
        <f t="shared" si="110"/>
        <v>-1.1981807694848032E-2</v>
      </c>
      <c r="I519" s="221">
        <f t="shared" si="111"/>
        <v>2060.9918799362449</v>
      </c>
      <c r="J519" s="221">
        <f>+G325</f>
        <v>2036.374892087558</v>
      </c>
      <c r="K519" s="342">
        <f t="shared" si="112"/>
        <v>-1.1944243006648047E-2</v>
      </c>
    </row>
    <row r="520" spans="2:11" ht="15" customHeight="1" x14ac:dyDescent="0.2">
      <c r="B520" s="227" t="s">
        <v>210</v>
      </c>
      <c r="C520" s="228"/>
      <c r="D520" s="229"/>
      <c r="E520" s="221" t="s">
        <v>183</v>
      </c>
      <c r="F520" s="221">
        <f t="shared" si="109"/>
        <v>39466.039999999994</v>
      </c>
      <c r="G520" s="221">
        <f>+G340</f>
        <v>35717.369999999995</v>
      </c>
      <c r="H520" s="342">
        <f t="shared" si="110"/>
        <v>-9.498470077058653E-2</v>
      </c>
      <c r="I520" s="221">
        <f t="shared" si="111"/>
        <v>33217.437720696485</v>
      </c>
      <c r="J520" s="221">
        <f>+G341</f>
        <v>33339.641454058015</v>
      </c>
      <c r="K520" s="342">
        <f t="shared" si="112"/>
        <v>3.6789030625739541E-3</v>
      </c>
    </row>
    <row r="521" spans="2:11" ht="15" customHeight="1" x14ac:dyDescent="0.2">
      <c r="B521" s="227" t="s">
        <v>142</v>
      </c>
      <c r="C521" s="228"/>
      <c r="D521" s="229"/>
      <c r="E521" s="221" t="s">
        <v>183</v>
      </c>
      <c r="F521" s="346">
        <f t="shared" si="109"/>
        <v>1.049478052379196</v>
      </c>
      <c r="G521" s="346">
        <f>+G355</f>
        <v>1.0490929203539823</v>
      </c>
      <c r="H521" s="342">
        <f t="shared" si="110"/>
        <v>-3.6697482557222153E-4</v>
      </c>
      <c r="I521" s="346">
        <f t="shared" si="111"/>
        <v>1.0009143670184275</v>
      </c>
      <c r="J521" s="346">
        <f>+G356</f>
        <v>1.0631805969492709</v>
      </c>
      <c r="K521" s="342">
        <f t="shared" si="112"/>
        <v>6.2209347755018331E-2</v>
      </c>
    </row>
    <row r="522" spans="2:11" ht="15" customHeight="1" x14ac:dyDescent="0.2">
      <c r="B522" s="227" t="s">
        <v>143</v>
      </c>
      <c r="C522" s="228"/>
      <c r="D522" s="229"/>
      <c r="E522" s="221" t="s">
        <v>183</v>
      </c>
      <c r="F522" s="346">
        <f t="shared" si="109"/>
        <v>2.5714925373134361</v>
      </c>
      <c r="G522" s="346">
        <f>+G370</f>
        <v>0.91468468468468334</v>
      </c>
      <c r="H522" s="342">
        <f t="shared" si="110"/>
        <v>-0.64429813759432519</v>
      </c>
      <c r="I522" s="346">
        <f t="shared" si="111"/>
        <v>2.4087120145724916</v>
      </c>
      <c r="J522" s="346">
        <f>+G371</f>
        <v>0.96581547628047837</v>
      </c>
      <c r="K522" s="342">
        <f t="shared" si="112"/>
        <v>-0.59903239970682209</v>
      </c>
    </row>
    <row r="523" spans="2:11" ht="15" customHeight="1" x14ac:dyDescent="0.2">
      <c r="B523" s="227" t="s">
        <v>146</v>
      </c>
      <c r="C523" s="228"/>
      <c r="D523" s="229"/>
      <c r="E523" s="221" t="s">
        <v>129</v>
      </c>
      <c r="F523" s="221">
        <f t="shared" si="109"/>
        <v>4293.3589999999995</v>
      </c>
      <c r="G523" s="221">
        <f>+G383</f>
        <v>4293.3559999999989</v>
      </c>
      <c r="H523" s="342">
        <f t="shared" si="110"/>
        <v>-6.9875358678628572E-7</v>
      </c>
      <c r="I523" s="221">
        <f t="shared" si="111"/>
        <v>4090.6782845326188</v>
      </c>
      <c r="J523" s="221">
        <f>+G384</f>
        <v>4333.7047963994355</v>
      </c>
      <c r="K523" s="342">
        <f t="shared" si="112"/>
        <v>5.9409832541887052E-2</v>
      </c>
    </row>
    <row r="524" spans="2:11" ht="15" customHeight="1" x14ac:dyDescent="0.2">
      <c r="B524" s="62" t="s">
        <v>286</v>
      </c>
    </row>
    <row r="525" spans="2:11" ht="15" customHeight="1" x14ac:dyDescent="0.2">
      <c r="B525" s="403" t="s">
        <v>241</v>
      </c>
      <c r="C525" s="404"/>
      <c r="D525" s="405"/>
      <c r="E525" s="409" t="s">
        <v>234</v>
      </c>
      <c r="F525" s="410" t="s">
        <v>238</v>
      </c>
      <c r="G525" s="411"/>
      <c r="H525" s="412"/>
      <c r="I525" s="410" t="s">
        <v>239</v>
      </c>
      <c r="J525" s="411"/>
      <c r="K525" s="412"/>
    </row>
    <row r="526" spans="2:11" ht="15" customHeight="1" x14ac:dyDescent="0.2">
      <c r="B526" s="406"/>
      <c r="C526" s="407"/>
      <c r="D526" s="408"/>
      <c r="E526" s="409"/>
      <c r="F526" s="340">
        <v>2016</v>
      </c>
      <c r="G526" s="340">
        <v>2017</v>
      </c>
      <c r="H526" s="340" t="s">
        <v>236</v>
      </c>
      <c r="I526" s="340">
        <v>2016</v>
      </c>
      <c r="J526" s="340">
        <v>2017</v>
      </c>
      <c r="K526" s="340" t="s">
        <v>236</v>
      </c>
    </row>
    <row r="527" spans="2:11" ht="15" customHeight="1" x14ac:dyDescent="0.2">
      <c r="B527" s="227" t="s">
        <v>2</v>
      </c>
      <c r="C527" s="228"/>
      <c r="D527" s="229"/>
      <c r="E527" s="221" t="s">
        <v>129</v>
      </c>
      <c r="F527" s="221">
        <f>+G517</f>
        <v>8888.429675057876</v>
      </c>
      <c r="G527" s="221">
        <f>+H300</f>
        <v>8708.3155497357602</v>
      </c>
      <c r="H527" s="342">
        <f>+(G527-F527)/F527</f>
        <v>-2.0263885962617238E-2</v>
      </c>
      <c r="I527" s="221">
        <f>+J517</f>
        <v>8971.9627990917597</v>
      </c>
      <c r="J527" s="221">
        <f>+H301</f>
        <v>8920.7058828211375</v>
      </c>
      <c r="K527" s="342">
        <f>+(J527-I527)/I527</f>
        <v>-5.7130103432674762E-3</v>
      </c>
    </row>
    <row r="528" spans="2:11" ht="15" customHeight="1" x14ac:dyDescent="0.2">
      <c r="B528" s="227" t="s">
        <v>208</v>
      </c>
      <c r="C528" s="228"/>
      <c r="D528" s="229"/>
      <c r="E528" s="221" t="s">
        <v>129</v>
      </c>
      <c r="F528" s="221">
        <f t="shared" ref="F528:F533" si="113">+G518</f>
        <v>30328.357472734187</v>
      </c>
      <c r="G528" s="221">
        <f>+H311</f>
        <v>29692.660147003433</v>
      </c>
      <c r="H528" s="342">
        <f t="shared" ref="H528:H533" si="114">+(G528-F528)/F528</f>
        <v>-2.0960493040292717E-2</v>
      </c>
      <c r="I528" s="221">
        <f t="shared" ref="I528:I533" si="115">+J518</f>
        <v>30613.382222789085</v>
      </c>
      <c r="J528" s="221">
        <f>+H312</f>
        <v>30416.845432067468</v>
      </c>
      <c r="K528" s="342">
        <f t="shared" ref="K528:K533" si="116">+(J528-I528)/I528</f>
        <v>-6.4199633118392175E-3</v>
      </c>
    </row>
    <row r="529" spans="2:11" ht="15" customHeight="1" x14ac:dyDescent="0.2">
      <c r="B529" s="227" t="s">
        <v>209</v>
      </c>
      <c r="C529" s="228"/>
      <c r="D529" s="229"/>
      <c r="E529" s="221" t="s">
        <v>183</v>
      </c>
      <c r="F529" s="221">
        <f t="shared" si="113"/>
        <v>2092.3334387351783</v>
      </c>
      <c r="G529" s="221">
        <f>+H324</f>
        <v>2025.8281226053637</v>
      </c>
      <c r="H529" s="342">
        <f t="shared" si="114"/>
        <v>-3.1785237906448278E-2</v>
      </c>
      <c r="I529" s="221">
        <f t="shared" si="115"/>
        <v>2036.374892087558</v>
      </c>
      <c r="J529" s="221">
        <f>+H325</f>
        <v>1997.9457665244524</v>
      </c>
      <c r="K529" s="342">
        <f t="shared" si="116"/>
        <v>-1.8871341280244598E-2</v>
      </c>
    </row>
    <row r="530" spans="2:11" ht="15" customHeight="1" x14ac:dyDescent="0.2">
      <c r="B530" s="227" t="s">
        <v>210</v>
      </c>
      <c r="C530" s="228"/>
      <c r="D530" s="229"/>
      <c r="E530" s="221" t="s">
        <v>183</v>
      </c>
      <c r="F530" s="221">
        <f t="shared" si="113"/>
        <v>35717.369999999995</v>
      </c>
      <c r="G530" s="221">
        <f>+H340</f>
        <v>30516.22</v>
      </c>
      <c r="H530" s="342">
        <f t="shared" si="114"/>
        <v>-0.14561962428924624</v>
      </c>
      <c r="I530" s="221">
        <f t="shared" si="115"/>
        <v>33339.641454058015</v>
      </c>
      <c r="J530" s="221">
        <f>+H341</f>
        <v>33265.590319929914</v>
      </c>
      <c r="K530" s="342">
        <f t="shared" si="116"/>
        <v>-2.2211136922436333E-3</v>
      </c>
    </row>
    <row r="531" spans="2:11" ht="15" customHeight="1" x14ac:dyDescent="0.2">
      <c r="B531" s="227" t="s">
        <v>142</v>
      </c>
      <c r="C531" s="228"/>
      <c r="D531" s="229"/>
      <c r="E531" s="221" t="s">
        <v>183</v>
      </c>
      <c r="F531" s="346">
        <f t="shared" si="113"/>
        <v>1.0490929203539823</v>
      </c>
      <c r="G531" s="346">
        <f>+H355</f>
        <v>1.0490929203539823</v>
      </c>
      <c r="H531" s="342">
        <f t="shared" si="114"/>
        <v>0</v>
      </c>
      <c r="I531" s="346">
        <f t="shared" si="115"/>
        <v>1.0631805969492709</v>
      </c>
      <c r="J531" s="346">
        <f>+H356</f>
        <v>1.075731034668624</v>
      </c>
      <c r="K531" s="342">
        <f t="shared" si="116"/>
        <v>1.1804615091138542E-2</v>
      </c>
    </row>
    <row r="532" spans="2:11" ht="15" customHeight="1" x14ac:dyDescent="0.2">
      <c r="B532" s="227" t="s">
        <v>143</v>
      </c>
      <c r="C532" s="228"/>
      <c r="D532" s="229"/>
      <c r="E532" s="221" t="s">
        <v>183</v>
      </c>
      <c r="F532" s="346">
        <f t="shared" si="113"/>
        <v>0.91468468468468334</v>
      </c>
      <c r="G532" s="346">
        <f>+H370</f>
        <v>0.75628440366972349</v>
      </c>
      <c r="H532" s="342">
        <f t="shared" si="114"/>
        <v>-0.17317473842864739</v>
      </c>
      <c r="I532" s="346">
        <f t="shared" si="115"/>
        <v>0.96581547628047837</v>
      </c>
      <c r="J532" s="346">
        <f>+H371</f>
        <v>0.8243364056361111</v>
      </c>
      <c r="K532" s="342">
        <f t="shared" si="116"/>
        <v>-0.14648664689991045</v>
      </c>
    </row>
    <row r="533" spans="2:11" ht="15" customHeight="1" x14ac:dyDescent="0.2">
      <c r="B533" s="227" t="s">
        <v>146</v>
      </c>
      <c r="C533" s="228"/>
      <c r="D533" s="229"/>
      <c r="E533" s="221" t="s">
        <v>129</v>
      </c>
      <c r="F533" s="221">
        <f t="shared" si="113"/>
        <v>4293.3559999999989</v>
      </c>
      <c r="G533" s="221">
        <f>+H383</f>
        <v>4293.3589999999986</v>
      </c>
      <c r="H533" s="342">
        <f t="shared" si="114"/>
        <v>6.9875407483136426E-7</v>
      </c>
      <c r="I533" s="221">
        <f t="shared" si="115"/>
        <v>4333.7047963994355</v>
      </c>
      <c r="J533" s="221">
        <f>+H384</f>
        <v>4398.0713227054821</v>
      </c>
      <c r="K533" s="342">
        <f t="shared" si="116"/>
        <v>1.4852540569797026E-2</v>
      </c>
    </row>
    <row r="534" spans="2:11" ht="15" customHeight="1" x14ac:dyDescent="0.2">
      <c r="B534" s="62" t="s">
        <v>287</v>
      </c>
    </row>
    <row r="535" spans="2:11" ht="15" customHeight="1" x14ac:dyDescent="0.2">
      <c r="B535" s="403" t="s">
        <v>241</v>
      </c>
      <c r="C535" s="404"/>
      <c r="D535" s="405"/>
      <c r="E535" s="409" t="s">
        <v>234</v>
      </c>
      <c r="F535" s="410" t="s">
        <v>238</v>
      </c>
      <c r="G535" s="411"/>
      <c r="H535" s="412"/>
      <c r="I535" s="410" t="s">
        <v>239</v>
      </c>
      <c r="J535" s="411"/>
      <c r="K535" s="412"/>
    </row>
    <row r="536" spans="2:11" ht="15" customHeight="1" x14ac:dyDescent="0.2">
      <c r="B536" s="406"/>
      <c r="C536" s="407"/>
      <c r="D536" s="408"/>
      <c r="E536" s="409"/>
      <c r="F536" s="340">
        <v>2017</v>
      </c>
      <c r="G536" s="340">
        <v>2018</v>
      </c>
      <c r="H536" s="340" t="s">
        <v>236</v>
      </c>
      <c r="I536" s="340">
        <v>2017</v>
      </c>
      <c r="J536" s="340">
        <v>2018</v>
      </c>
      <c r="K536" s="340" t="s">
        <v>236</v>
      </c>
    </row>
    <row r="537" spans="2:11" ht="15" customHeight="1" x14ac:dyDescent="0.2">
      <c r="B537" s="227" t="s">
        <v>2</v>
      </c>
      <c r="C537" s="228"/>
      <c r="D537" s="229"/>
      <c r="E537" s="221" t="s">
        <v>129</v>
      </c>
      <c r="F537" s="221">
        <f>+G527</f>
        <v>8708.3155497357602</v>
      </c>
      <c r="G537" s="221">
        <f>+I300</f>
        <v>9269.5901808846193</v>
      </c>
      <c r="H537" s="342">
        <f>+(G537-F537)/F537</f>
        <v>6.4452720844031655E-2</v>
      </c>
      <c r="I537" s="221">
        <f>+J527</f>
        <v>8920.7058828211375</v>
      </c>
      <c r="J537" s="221">
        <f>+I301</f>
        <v>9233.9529521817858</v>
      </c>
      <c r="K537" s="342">
        <f>+(J537-I537)/I537</f>
        <v>3.5114605668580254E-2</v>
      </c>
    </row>
    <row r="538" spans="2:11" ht="15" customHeight="1" x14ac:dyDescent="0.2">
      <c r="B538" s="227" t="s">
        <v>208</v>
      </c>
      <c r="C538" s="228"/>
      <c r="D538" s="229"/>
      <c r="E538" s="221" t="s">
        <v>129</v>
      </c>
      <c r="F538" s="221">
        <f t="shared" ref="F538:F543" si="117">+G528</f>
        <v>29692.660147003433</v>
      </c>
      <c r="G538" s="221">
        <f>+I311</f>
        <v>30826.707611152993</v>
      </c>
      <c r="H538" s="342">
        <f t="shared" ref="H538:H543" si="118">+(G538-F538)/F538</f>
        <v>3.8192855019896478E-2</v>
      </c>
      <c r="I538" s="221">
        <f t="shared" ref="I538:I543" si="119">+J528</f>
        <v>30416.845432067468</v>
      </c>
      <c r="J538" s="221">
        <f>+I312</f>
        <v>30708.193371811598</v>
      </c>
      <c r="K538" s="342">
        <f t="shared" ref="K538:K543" si="120">+(J538-I538)/I538</f>
        <v>9.5785061075719328E-3</v>
      </c>
    </row>
    <row r="539" spans="2:11" ht="15" customHeight="1" x14ac:dyDescent="0.2">
      <c r="B539" s="227" t="s">
        <v>209</v>
      </c>
      <c r="C539" s="228"/>
      <c r="D539" s="229"/>
      <c r="E539" s="221" t="s">
        <v>183</v>
      </c>
      <c r="F539" s="221">
        <f t="shared" si="117"/>
        <v>2025.8281226053637</v>
      </c>
      <c r="G539" s="221">
        <f>+I324</f>
        <v>2024.2144186046512</v>
      </c>
      <c r="H539" s="342">
        <f t="shared" si="118"/>
        <v>-7.9656510969801223E-4</v>
      </c>
      <c r="I539" s="221">
        <f t="shared" si="119"/>
        <v>1997.9457665244524</v>
      </c>
      <c r="J539" s="221">
        <f>+I325</f>
        <v>1962.0615436664664</v>
      </c>
      <c r="K539" s="342">
        <f t="shared" si="120"/>
        <v>-1.7960559019782021E-2</v>
      </c>
    </row>
    <row r="540" spans="2:11" ht="15" customHeight="1" x14ac:dyDescent="0.2">
      <c r="B540" s="227" t="s">
        <v>210</v>
      </c>
      <c r="C540" s="228"/>
      <c r="D540" s="229"/>
      <c r="E540" s="221" t="s">
        <v>183</v>
      </c>
      <c r="F540" s="221">
        <f t="shared" si="117"/>
        <v>30516.22</v>
      </c>
      <c r="G540" s="221">
        <f>+I340</f>
        <v>30271.190000000002</v>
      </c>
      <c r="H540" s="342">
        <f t="shared" si="118"/>
        <v>-8.0295003771764274E-3</v>
      </c>
      <c r="I540" s="221">
        <f t="shared" si="119"/>
        <v>33265.590319929914</v>
      </c>
      <c r="J540" s="221">
        <f>+I341</f>
        <v>31688.883194608377</v>
      </c>
      <c r="K540" s="342">
        <f t="shared" si="120"/>
        <v>-4.7397539323897328E-2</v>
      </c>
    </row>
    <row r="541" spans="2:11" ht="15" customHeight="1" x14ac:dyDescent="0.2">
      <c r="B541" s="227" t="s">
        <v>142</v>
      </c>
      <c r="C541" s="228"/>
      <c r="D541" s="229"/>
      <c r="E541" s="221" t="s">
        <v>183</v>
      </c>
      <c r="F541" s="346">
        <f t="shared" si="117"/>
        <v>1.0490929203539823</v>
      </c>
      <c r="G541" s="346">
        <f>+I355</f>
        <v>1.0490929203539823</v>
      </c>
      <c r="H541" s="342">
        <f t="shared" si="118"/>
        <v>0</v>
      </c>
      <c r="I541" s="346">
        <f t="shared" si="119"/>
        <v>1.075731034668624</v>
      </c>
      <c r="J541" s="346">
        <f>+I356</f>
        <v>1.0436299038826236</v>
      </c>
      <c r="K541" s="342">
        <f t="shared" si="120"/>
        <v>-2.9841224015526406E-2</v>
      </c>
    </row>
    <row r="542" spans="2:11" ht="15" customHeight="1" x14ac:dyDescent="0.2">
      <c r="B542" s="227" t="s">
        <v>143</v>
      </c>
      <c r="C542" s="228"/>
      <c r="D542" s="229"/>
      <c r="E542" s="221" t="s">
        <v>183</v>
      </c>
      <c r="F542" s="346">
        <f t="shared" si="117"/>
        <v>0.75628440366972349</v>
      </c>
      <c r="G542" s="346">
        <f>+I370</f>
        <v>0.74287058823529295</v>
      </c>
      <c r="H542" s="342">
        <f t="shared" si="118"/>
        <v>-1.7736469731945554E-2</v>
      </c>
      <c r="I542" s="346">
        <f t="shared" si="119"/>
        <v>0.8243364056361111</v>
      </c>
      <c r="J542" s="346">
        <f>+I371</f>
        <v>0.79450527805299598</v>
      </c>
      <c r="K542" s="342">
        <f t="shared" si="120"/>
        <v>-3.6188050629761409E-2</v>
      </c>
    </row>
    <row r="543" spans="2:11" ht="15" customHeight="1" x14ac:dyDescent="0.2">
      <c r="B543" s="227" t="s">
        <v>146</v>
      </c>
      <c r="C543" s="228"/>
      <c r="D543" s="229"/>
      <c r="E543" s="221" t="s">
        <v>129</v>
      </c>
      <c r="F543" s="221">
        <f t="shared" si="117"/>
        <v>4293.3589999999986</v>
      </c>
      <c r="G543" s="221">
        <f>+I383</f>
        <v>4207.2619999999988</v>
      </c>
      <c r="H543" s="342">
        <f t="shared" si="118"/>
        <v>-2.005352918309412E-2</v>
      </c>
      <c r="I543" s="221">
        <f t="shared" si="119"/>
        <v>4398.0713227054821</v>
      </c>
      <c r="J543" s="221">
        <f>+I384</f>
        <v>4191.0870499557213</v>
      </c>
      <c r="K543" s="342">
        <f t="shared" si="120"/>
        <v>-4.7062509350674644E-2</v>
      </c>
    </row>
    <row r="544" spans="2:11" ht="15" customHeight="1" x14ac:dyDescent="0.2">
      <c r="B544" s="62" t="s">
        <v>288</v>
      </c>
      <c r="C544" s="343"/>
      <c r="D544" s="343"/>
      <c r="E544" s="344"/>
      <c r="F544" s="344"/>
      <c r="G544" s="344"/>
      <c r="H544" s="345"/>
      <c r="I544" s="344"/>
      <c r="J544" s="344"/>
      <c r="K544" s="345"/>
    </row>
    <row r="545" spans="2:11" ht="15" customHeight="1" x14ac:dyDescent="0.2">
      <c r="B545" s="403" t="s">
        <v>241</v>
      </c>
      <c r="C545" s="404"/>
      <c r="D545" s="405"/>
      <c r="E545" s="409" t="s">
        <v>234</v>
      </c>
      <c r="F545" s="410" t="s">
        <v>238</v>
      </c>
      <c r="G545" s="411"/>
      <c r="H545" s="412"/>
      <c r="I545" s="410" t="s">
        <v>239</v>
      </c>
      <c r="J545" s="411"/>
      <c r="K545" s="412"/>
    </row>
    <row r="546" spans="2:11" ht="15" customHeight="1" x14ac:dyDescent="0.2">
      <c r="B546" s="406"/>
      <c r="C546" s="407"/>
      <c r="D546" s="408"/>
      <c r="E546" s="409"/>
      <c r="F546" s="340">
        <v>2018</v>
      </c>
      <c r="G546" s="340">
        <v>2019</v>
      </c>
      <c r="H546" s="340" t="s">
        <v>236</v>
      </c>
      <c r="I546" s="340">
        <v>2018</v>
      </c>
      <c r="J546" s="340">
        <v>2019</v>
      </c>
      <c r="K546" s="340" t="s">
        <v>236</v>
      </c>
    </row>
    <row r="547" spans="2:11" ht="15" customHeight="1" x14ac:dyDescent="0.2">
      <c r="B547" s="227" t="s">
        <v>2</v>
      </c>
      <c r="C547" s="228"/>
      <c r="D547" s="229"/>
      <c r="E547" s="221" t="s">
        <v>129</v>
      </c>
      <c r="F547" s="221">
        <f>+G537</f>
        <v>9269.5901808846193</v>
      </c>
      <c r="G547" s="221">
        <f>+J300</f>
        <v>9297.3222626879651</v>
      </c>
      <c r="H547" s="342">
        <f>+(G547-F547)/F547</f>
        <v>2.9917268468388023E-3</v>
      </c>
      <c r="I547" s="221">
        <f>+J537</f>
        <v>9233.9529521817858</v>
      </c>
      <c r="J547" s="221">
        <f>+J301</f>
        <v>9274.9397445920149</v>
      </c>
      <c r="K547" s="342">
        <f>+(J547-I547)/I547</f>
        <v>4.4387049211188365E-3</v>
      </c>
    </row>
    <row r="548" spans="2:11" ht="15" customHeight="1" x14ac:dyDescent="0.2">
      <c r="B548" s="227" t="s">
        <v>208</v>
      </c>
      <c r="C548" s="228"/>
      <c r="D548" s="229"/>
      <c r="E548" s="221" t="s">
        <v>129</v>
      </c>
      <c r="F548" s="221">
        <f t="shared" ref="F548:F553" si="121">+G538</f>
        <v>30826.707611152993</v>
      </c>
      <c r="G548" s="221">
        <f>+J311</f>
        <v>30309.170784018093</v>
      </c>
      <c r="H548" s="342">
        <f t="shared" ref="H548:H553" si="122">+(G548-F548)/F548</f>
        <v>-1.6788585847800911E-2</v>
      </c>
      <c r="I548" s="221">
        <f t="shared" ref="I548:I553" si="123">+J538</f>
        <v>30708.193371811598</v>
      </c>
      <c r="J548" s="221">
        <f>+J312</f>
        <v>30236.20401526694</v>
      </c>
      <c r="K548" s="342">
        <f t="shared" ref="K548:K553" si="124">+(J548-I548)/I548</f>
        <v>-1.5370144079459849E-2</v>
      </c>
    </row>
    <row r="549" spans="2:11" ht="15" customHeight="1" x14ac:dyDescent="0.2">
      <c r="B549" s="227" t="s">
        <v>209</v>
      </c>
      <c r="C549" s="228"/>
      <c r="D549" s="229"/>
      <c r="E549" s="221" t="s">
        <v>183</v>
      </c>
      <c r="F549" s="221">
        <f t="shared" si="121"/>
        <v>2024.2144186046512</v>
      </c>
      <c r="G549" s="221">
        <f>+J324</f>
        <v>1989.7125855513307</v>
      </c>
      <c r="H549" s="342">
        <f t="shared" si="122"/>
        <v>-1.7044554537410925E-2</v>
      </c>
      <c r="I549" s="221">
        <f t="shared" si="123"/>
        <v>1962.0615436664664</v>
      </c>
      <c r="J549" s="221">
        <f>+J325</f>
        <v>1927.0997537478077</v>
      </c>
      <c r="K549" s="342">
        <f t="shared" si="124"/>
        <v>-1.7818905850081699E-2</v>
      </c>
    </row>
    <row r="550" spans="2:11" ht="15" customHeight="1" x14ac:dyDescent="0.2">
      <c r="B550" s="227" t="s">
        <v>210</v>
      </c>
      <c r="C550" s="228"/>
      <c r="D550" s="229"/>
      <c r="E550" s="221" t="s">
        <v>183</v>
      </c>
      <c r="F550" s="221">
        <f t="shared" si="121"/>
        <v>30271.190000000002</v>
      </c>
      <c r="G550" s="221">
        <f>+J340</f>
        <v>29275.15</v>
      </c>
      <c r="H550" s="342">
        <f t="shared" si="122"/>
        <v>-3.2903893107604977E-2</v>
      </c>
      <c r="I550" s="221">
        <f t="shared" si="123"/>
        <v>31688.883194608377</v>
      </c>
      <c r="J550" s="221">
        <f>+J341</f>
        <v>30101.845140953283</v>
      </c>
      <c r="K550" s="342">
        <f t="shared" si="124"/>
        <v>-5.0081855012331804E-2</v>
      </c>
    </row>
    <row r="551" spans="2:11" ht="15" customHeight="1" x14ac:dyDescent="0.2">
      <c r="B551" s="227" t="s">
        <v>142</v>
      </c>
      <c r="C551" s="228"/>
      <c r="D551" s="229"/>
      <c r="E551" s="221" t="s">
        <v>183</v>
      </c>
      <c r="F551" s="346">
        <f t="shared" si="121"/>
        <v>1.0490929203539823</v>
      </c>
      <c r="G551" s="346">
        <f>+J355</f>
        <v>1.0490929203539823</v>
      </c>
      <c r="H551" s="342">
        <f t="shared" si="122"/>
        <v>0</v>
      </c>
      <c r="I551" s="346">
        <f t="shared" si="123"/>
        <v>1.0436299038826236</v>
      </c>
      <c r="J551" s="346">
        <f>+J356</f>
        <v>1.0475912129877067</v>
      </c>
      <c r="K551" s="342">
        <f t="shared" si="124"/>
        <v>3.7957029501990147E-3</v>
      </c>
    </row>
    <row r="552" spans="2:11" ht="15" customHeight="1" x14ac:dyDescent="0.2">
      <c r="B552" s="227" t="s">
        <v>143</v>
      </c>
      <c r="C552" s="228"/>
      <c r="D552" s="229"/>
      <c r="E552" s="221" t="s">
        <v>183</v>
      </c>
      <c r="F552" s="346">
        <f t="shared" si="121"/>
        <v>0.74287058823529295</v>
      </c>
      <c r="G552" s="346">
        <f>+J370</f>
        <v>0.74422062350119911</v>
      </c>
      <c r="H552" s="342">
        <f t="shared" si="122"/>
        <v>1.817322272932085E-3</v>
      </c>
      <c r="I552" s="346">
        <f t="shared" si="123"/>
        <v>0.79450527805299598</v>
      </c>
      <c r="J552" s="346">
        <f>+J371</f>
        <v>0.79607101788641943</v>
      </c>
      <c r="K552" s="342">
        <f t="shared" si="124"/>
        <v>1.9707104240521008E-3</v>
      </c>
    </row>
    <row r="553" spans="2:11" ht="15" customHeight="1" x14ac:dyDescent="0.2">
      <c r="B553" s="227" t="s">
        <v>146</v>
      </c>
      <c r="C553" s="228"/>
      <c r="D553" s="229"/>
      <c r="E553" s="221" t="s">
        <v>129</v>
      </c>
      <c r="F553" s="221">
        <f t="shared" si="121"/>
        <v>4207.2619999999988</v>
      </c>
      <c r="G553" s="221">
        <f>+J383</f>
        <v>4387.7444444444445</v>
      </c>
      <c r="H553" s="342">
        <f t="shared" si="122"/>
        <v>4.2897838177048585E-2</v>
      </c>
      <c r="I553" s="221">
        <f t="shared" si="123"/>
        <v>4191.0870499557213</v>
      </c>
      <c r="J553" s="221">
        <f>+J384</f>
        <v>4377.1813202831654</v>
      </c>
      <c r="K553" s="342">
        <f t="shared" si="124"/>
        <v>4.4402387282652632E-2</v>
      </c>
    </row>
    <row r="554" spans="2:11" ht="15" customHeight="1" x14ac:dyDescent="0.2">
      <c r="B554" s="62" t="s">
        <v>289</v>
      </c>
      <c r="C554" s="343"/>
      <c r="D554" s="343"/>
      <c r="E554" s="344"/>
      <c r="F554" s="344"/>
      <c r="G554" s="344"/>
      <c r="H554" s="345"/>
      <c r="I554" s="344"/>
      <c r="J554" s="344"/>
      <c r="K554" s="345"/>
    </row>
    <row r="555" spans="2:11" ht="15" customHeight="1" x14ac:dyDescent="0.2">
      <c r="B555" s="403" t="s">
        <v>241</v>
      </c>
      <c r="C555" s="404"/>
      <c r="D555" s="405"/>
      <c r="E555" s="409" t="s">
        <v>234</v>
      </c>
      <c r="F555" s="410" t="s">
        <v>238</v>
      </c>
      <c r="G555" s="411"/>
      <c r="H555" s="412"/>
      <c r="I555" s="410" t="s">
        <v>239</v>
      </c>
      <c r="J555" s="411"/>
      <c r="K555" s="412"/>
    </row>
    <row r="556" spans="2:11" ht="15" customHeight="1" x14ac:dyDescent="0.2">
      <c r="B556" s="406"/>
      <c r="C556" s="407"/>
      <c r="D556" s="408"/>
      <c r="E556" s="409"/>
      <c r="F556" s="340">
        <v>2019</v>
      </c>
      <c r="G556" s="340" t="s">
        <v>240</v>
      </c>
      <c r="H556" s="340" t="s">
        <v>236</v>
      </c>
      <c r="I556" s="340">
        <v>2019</v>
      </c>
      <c r="J556" s="340">
        <v>2020</v>
      </c>
      <c r="K556" s="340" t="s">
        <v>236</v>
      </c>
    </row>
    <row r="557" spans="2:11" ht="15" customHeight="1" x14ac:dyDescent="0.2">
      <c r="B557" s="227" t="s">
        <v>2</v>
      </c>
      <c r="C557" s="228"/>
      <c r="D557" s="229"/>
      <c r="E557" s="221" t="s">
        <v>129</v>
      </c>
      <c r="F557" s="221">
        <f>+G547</f>
        <v>9297.3222626879651</v>
      </c>
      <c r="G557" s="221">
        <f>+K300</f>
        <v>9367.7151866675158</v>
      </c>
      <c r="H557" s="342">
        <f>+(G557-F557)/F557</f>
        <v>7.5713116089405367E-3</v>
      </c>
      <c r="I557" s="221">
        <f>+J547</f>
        <v>9274.9397445920149</v>
      </c>
      <c r="J557" s="221">
        <f t="shared" ref="J557:J563" si="125">+G557</f>
        <v>9367.7151866675158</v>
      </c>
      <c r="K557" s="342">
        <f>+(J557-I557)/I557</f>
        <v>1.0002808064558688E-2</v>
      </c>
    </row>
    <row r="558" spans="2:11" ht="15" customHeight="1" x14ac:dyDescent="0.2">
      <c r="B558" s="227" t="s">
        <v>208</v>
      </c>
      <c r="C558" s="228"/>
      <c r="D558" s="229"/>
      <c r="E558" s="221" t="s">
        <v>129</v>
      </c>
      <c r="F558" s="221">
        <f t="shared" ref="F558:F563" si="126">+G548</f>
        <v>30309.170784018093</v>
      </c>
      <c r="G558" s="221">
        <f>+K311</f>
        <v>30040.348489629912</v>
      </c>
      <c r="H558" s="342">
        <f t="shared" ref="H558:H563" si="127">+(G558-F558)/F558</f>
        <v>-8.8693384686700169E-3</v>
      </c>
      <c r="I558" s="221">
        <f t="shared" ref="I558:I563" si="128">+J548</f>
        <v>30236.20401526694</v>
      </c>
      <c r="J558" s="221">
        <f t="shared" si="125"/>
        <v>30040.348489629912</v>
      </c>
      <c r="K558" s="342">
        <f t="shared" ref="K558:K563" si="129">+(J558-I558)/I558</f>
        <v>-6.4775170037262436E-3</v>
      </c>
    </row>
    <row r="559" spans="2:11" ht="15" customHeight="1" x14ac:dyDescent="0.2">
      <c r="B559" s="227" t="s">
        <v>209</v>
      </c>
      <c r="C559" s="228"/>
      <c r="D559" s="229"/>
      <c r="E559" s="221" t="s">
        <v>183</v>
      </c>
      <c r="F559" s="221">
        <f t="shared" si="126"/>
        <v>1989.7125855513307</v>
      </c>
      <c r="G559" s="221">
        <f>+K324</f>
        <v>1962.4831995920588</v>
      </c>
      <c r="H559" s="342">
        <f t="shared" si="127"/>
        <v>-1.3685085050475713E-2</v>
      </c>
      <c r="I559" s="221">
        <f t="shared" si="128"/>
        <v>1927.0997537478077</v>
      </c>
      <c r="J559" s="221">
        <f t="shared" si="125"/>
        <v>1962.4831995920588</v>
      </c>
      <c r="K559" s="342">
        <f t="shared" si="129"/>
        <v>1.8360983013690751E-2</v>
      </c>
    </row>
    <row r="560" spans="2:11" ht="15" customHeight="1" x14ac:dyDescent="0.2">
      <c r="B560" s="227" t="s">
        <v>210</v>
      </c>
      <c r="C560" s="228"/>
      <c r="D560" s="229"/>
      <c r="E560" s="221" t="s">
        <v>183</v>
      </c>
      <c r="F560" s="221">
        <f t="shared" si="126"/>
        <v>29275.15</v>
      </c>
      <c r="G560" s="221">
        <f>+K340</f>
        <v>27927.216521161627</v>
      </c>
      <c r="H560" s="342">
        <f t="shared" si="127"/>
        <v>-4.6043606227068858E-2</v>
      </c>
      <c r="I560" s="221">
        <f t="shared" si="128"/>
        <v>30101.845140953283</v>
      </c>
      <c r="J560" s="221">
        <f t="shared" si="125"/>
        <v>27927.216521161627</v>
      </c>
      <c r="K560" s="342">
        <f t="shared" si="129"/>
        <v>-7.2242369516182708E-2</v>
      </c>
    </row>
    <row r="561" spans="2:11" ht="15" customHeight="1" x14ac:dyDescent="0.2">
      <c r="B561" s="227" t="s">
        <v>142</v>
      </c>
      <c r="C561" s="228"/>
      <c r="D561" s="229"/>
      <c r="E561" s="221" t="s">
        <v>183</v>
      </c>
      <c r="F561" s="346">
        <f t="shared" si="126"/>
        <v>1.0490929203539823</v>
      </c>
      <c r="G561" s="346">
        <f>+K355</f>
        <v>1.0490929203539823</v>
      </c>
      <c r="H561" s="342">
        <f t="shared" si="127"/>
        <v>0</v>
      </c>
      <c r="I561" s="346">
        <f t="shared" si="128"/>
        <v>1.0475912129877067</v>
      </c>
      <c r="J561" s="346">
        <f t="shared" si="125"/>
        <v>1.0490929203539823</v>
      </c>
      <c r="K561" s="342">
        <f t="shared" si="129"/>
        <v>1.4334860274292419E-3</v>
      </c>
    </row>
    <row r="562" spans="2:11" ht="15" customHeight="1" x14ac:dyDescent="0.2">
      <c r="B562" s="227" t="s">
        <v>143</v>
      </c>
      <c r="C562" s="228"/>
      <c r="D562" s="229"/>
      <c r="E562" s="221" t="s">
        <v>183</v>
      </c>
      <c r="F562" s="346">
        <f t="shared" si="126"/>
        <v>0.74422062350119911</v>
      </c>
      <c r="G562" s="346">
        <f>+K371</f>
        <v>0.74581789099594287</v>
      </c>
      <c r="H562" s="342">
        <f t="shared" si="127"/>
        <v>2.146228476213661E-3</v>
      </c>
      <c r="I562" s="346">
        <f t="shared" si="128"/>
        <v>0.79607101788641943</v>
      </c>
      <c r="J562" s="346">
        <f t="shared" si="125"/>
        <v>0.74581789099594287</v>
      </c>
      <c r="K562" s="342">
        <f t="shared" si="129"/>
        <v>-6.3126436915012143E-2</v>
      </c>
    </row>
    <row r="563" spans="2:11" ht="15" customHeight="1" x14ac:dyDescent="0.2">
      <c r="B563" s="227" t="s">
        <v>146</v>
      </c>
      <c r="C563" s="228"/>
      <c r="D563" s="229"/>
      <c r="E563" s="221" t="s">
        <v>129</v>
      </c>
      <c r="F563" s="221">
        <f t="shared" si="126"/>
        <v>4387.7444444444445</v>
      </c>
      <c r="G563" s="221">
        <f>+K383</f>
        <v>4387.7444444444445</v>
      </c>
      <c r="H563" s="342">
        <f t="shared" si="127"/>
        <v>0</v>
      </c>
      <c r="I563" s="221">
        <f t="shared" si="128"/>
        <v>4377.1813202831654</v>
      </c>
      <c r="J563" s="221">
        <f t="shared" si="125"/>
        <v>4387.7444444444445</v>
      </c>
      <c r="K563" s="342">
        <f t="shared" si="129"/>
        <v>2.4132251758297685E-3</v>
      </c>
    </row>
    <row r="564" spans="2:11" ht="15" customHeight="1" x14ac:dyDescent="0.2">
      <c r="B564" s="62" t="s">
        <v>290</v>
      </c>
      <c r="C564" s="343"/>
      <c r="D564" s="343"/>
      <c r="E564" s="344"/>
      <c r="F564" s="344"/>
      <c r="G564" s="344"/>
      <c r="H564" s="345"/>
      <c r="I564" s="344"/>
      <c r="J564" s="344"/>
      <c r="K564" s="345"/>
    </row>
    <row r="565" spans="2:11" ht="15" customHeight="1" x14ac:dyDescent="0.2">
      <c r="B565" s="403" t="s">
        <v>241</v>
      </c>
      <c r="C565" s="404"/>
      <c r="D565" s="405"/>
      <c r="E565" s="409" t="s">
        <v>234</v>
      </c>
      <c r="F565" s="410" t="s">
        <v>239</v>
      </c>
      <c r="G565" s="411"/>
      <c r="H565" s="412"/>
    </row>
    <row r="566" spans="2:11" ht="15" customHeight="1" x14ac:dyDescent="0.2">
      <c r="B566" s="406"/>
      <c r="C566" s="407"/>
      <c r="D566" s="408"/>
      <c r="E566" s="409"/>
      <c r="F566" s="340">
        <v>2020</v>
      </c>
      <c r="G566" s="340">
        <v>2021</v>
      </c>
      <c r="H566" s="340" t="s">
        <v>236</v>
      </c>
    </row>
    <row r="567" spans="2:11" ht="15" customHeight="1" x14ac:dyDescent="0.2">
      <c r="B567" s="227" t="s">
        <v>2</v>
      </c>
      <c r="C567" s="228"/>
      <c r="D567" s="229"/>
      <c r="E567" s="221" t="s">
        <v>129</v>
      </c>
      <c r="F567" s="221">
        <f>+J557</f>
        <v>9367.7151866675158</v>
      </c>
      <c r="G567" s="221">
        <f>+L300</f>
        <v>9446.6612522966334</v>
      </c>
      <c r="H567" s="342">
        <f>+(G567-F567)/F567</f>
        <v>8.4274621992646171E-3</v>
      </c>
    </row>
    <row r="568" spans="2:11" ht="15" customHeight="1" x14ac:dyDescent="0.2">
      <c r="B568" s="227" t="s">
        <v>208</v>
      </c>
      <c r="C568" s="228"/>
      <c r="D568" s="229"/>
      <c r="E568" s="221" t="s">
        <v>129</v>
      </c>
      <c r="F568" s="221">
        <f t="shared" ref="F568:F573" si="130">+J558</f>
        <v>30040.348489629912</v>
      </c>
      <c r="G568" s="221">
        <f>+L311</f>
        <v>29836.109165492267</v>
      </c>
      <c r="H568" s="342">
        <f t="shared" ref="H568:H573" si="131">+(G568-F568)/F568</f>
        <v>-6.7988333826469877E-3</v>
      </c>
    </row>
    <row r="569" spans="2:11" ht="15" customHeight="1" x14ac:dyDescent="0.2">
      <c r="B569" s="227" t="s">
        <v>209</v>
      </c>
      <c r="C569" s="228"/>
      <c r="D569" s="229"/>
      <c r="E569" s="221" t="s">
        <v>183</v>
      </c>
      <c r="F569" s="221">
        <f t="shared" si="130"/>
        <v>1962.4831995920588</v>
      </c>
      <c r="G569" s="221">
        <f>+L324</f>
        <v>1922.989373152046</v>
      </c>
      <c r="H569" s="342">
        <f t="shared" si="131"/>
        <v>-2.0124415051411566E-2</v>
      </c>
    </row>
    <row r="570" spans="2:11" ht="15" customHeight="1" x14ac:dyDescent="0.2">
      <c r="B570" s="227" t="s">
        <v>210</v>
      </c>
      <c r="C570" s="228"/>
      <c r="D570" s="229"/>
      <c r="E570" s="221" t="s">
        <v>183</v>
      </c>
      <c r="F570" s="221">
        <f t="shared" si="130"/>
        <v>27927.216521161627</v>
      </c>
      <c r="G570" s="221">
        <f>+L340</f>
        <v>27098.262991662719</v>
      </c>
      <c r="H570" s="342">
        <f t="shared" si="131"/>
        <v>-2.9682640547824532E-2</v>
      </c>
    </row>
    <row r="571" spans="2:11" ht="15" customHeight="1" x14ac:dyDescent="0.2">
      <c r="B571" s="227" t="s">
        <v>142</v>
      </c>
      <c r="C571" s="228"/>
      <c r="D571" s="229"/>
      <c r="E571" s="221" t="s">
        <v>183</v>
      </c>
      <c r="F571" s="346">
        <f t="shared" si="130"/>
        <v>1.0490929203539823</v>
      </c>
      <c r="G571" s="346">
        <f>+L355</f>
        <v>1.0490929203539823</v>
      </c>
      <c r="H571" s="342">
        <f t="shared" si="131"/>
        <v>0</v>
      </c>
    </row>
    <row r="572" spans="2:11" ht="15" customHeight="1" x14ac:dyDescent="0.2">
      <c r="B572" s="227" t="s">
        <v>143</v>
      </c>
      <c r="C572" s="228"/>
      <c r="D572" s="229"/>
      <c r="E572" s="221" t="s">
        <v>183</v>
      </c>
      <c r="F572" s="346">
        <f t="shared" si="130"/>
        <v>0.74581789099594287</v>
      </c>
      <c r="G572" s="346">
        <f>+L370</f>
        <v>0.74581789099594287</v>
      </c>
      <c r="H572" s="342">
        <f t="shared" si="131"/>
        <v>0</v>
      </c>
    </row>
    <row r="573" spans="2:11" ht="15" customHeight="1" x14ac:dyDescent="0.2">
      <c r="B573" s="227" t="s">
        <v>146</v>
      </c>
      <c r="C573" s="228"/>
      <c r="D573" s="229"/>
      <c r="E573" s="221" t="s">
        <v>129</v>
      </c>
      <c r="F573" s="221">
        <f t="shared" si="130"/>
        <v>4387.7444444444445</v>
      </c>
      <c r="G573" s="221">
        <f>+L383</f>
        <v>4387.7444444444445</v>
      </c>
      <c r="H573" s="342">
        <f t="shared" si="131"/>
        <v>0</v>
      </c>
    </row>
    <row r="574" spans="2:11" ht="15" customHeight="1" x14ac:dyDescent="0.2">
      <c r="B574" s="343"/>
      <c r="C574" s="343"/>
      <c r="D574" s="343"/>
      <c r="E574" s="344"/>
      <c r="F574" s="344"/>
      <c r="G574" s="344"/>
      <c r="H574" s="345"/>
      <c r="I574" s="344"/>
      <c r="J574" s="344"/>
      <c r="K574" s="345"/>
    </row>
    <row r="575" spans="2:11" ht="15" customHeight="1" x14ac:dyDescent="0.2">
      <c r="B575" s="343"/>
      <c r="C575" s="343"/>
      <c r="D575" s="343"/>
      <c r="E575" s="344"/>
      <c r="F575" s="344"/>
      <c r="G575" s="344"/>
      <c r="H575" s="345"/>
      <c r="I575" s="344"/>
      <c r="J575" s="344"/>
      <c r="K575" s="345"/>
    </row>
    <row r="576" spans="2:11" ht="15" customHeight="1" x14ac:dyDescent="0.2">
      <c r="B576" s="343"/>
      <c r="C576" s="343"/>
      <c r="D576" s="343"/>
      <c r="E576" s="344"/>
      <c r="F576" s="344"/>
      <c r="G576" s="344"/>
      <c r="H576" s="345"/>
      <c r="I576" s="344"/>
      <c r="J576" s="344"/>
      <c r="K576" s="345"/>
    </row>
    <row r="577" spans="2:11" ht="15" customHeight="1" x14ac:dyDescent="0.2">
      <c r="B577" s="343"/>
      <c r="C577" s="343"/>
      <c r="D577" s="343"/>
      <c r="E577" s="344"/>
      <c r="F577" s="344"/>
      <c r="G577" s="344"/>
      <c r="H577" s="345"/>
      <c r="I577" s="344"/>
      <c r="J577" s="344"/>
      <c r="K577" s="345"/>
    </row>
    <row r="578" spans="2:11" ht="15" customHeight="1" x14ac:dyDescent="0.2">
      <c r="B578" s="343"/>
      <c r="C578" s="343"/>
      <c r="D578" s="343"/>
      <c r="E578" s="344"/>
      <c r="F578" s="344"/>
      <c r="G578" s="344"/>
      <c r="H578" s="345"/>
      <c r="I578" s="344"/>
      <c r="J578" s="344"/>
      <c r="K578" s="345"/>
    </row>
    <row r="579" spans="2:11" ht="15" customHeight="1" x14ac:dyDescent="0.2">
      <c r="B579" s="343"/>
      <c r="C579" s="343"/>
      <c r="D579" s="343"/>
      <c r="E579" s="344"/>
      <c r="F579" s="344"/>
      <c r="G579" s="344"/>
      <c r="H579" s="345"/>
      <c r="I579" s="344"/>
      <c r="J579" s="344"/>
      <c r="K579" s="345"/>
    </row>
    <row r="580" spans="2:11" ht="15" customHeight="1" x14ac:dyDescent="0.2">
      <c r="B580" s="343"/>
      <c r="C580" s="343"/>
      <c r="D580" s="343"/>
      <c r="E580" s="344"/>
      <c r="F580" s="344"/>
      <c r="G580" s="344"/>
      <c r="H580" s="345"/>
      <c r="I580" s="344"/>
      <c r="J580" s="344"/>
      <c r="K580" s="345"/>
    </row>
    <row r="581" spans="2:11" ht="15" customHeight="1" x14ac:dyDescent="0.2">
      <c r="B581" s="343"/>
      <c r="C581" s="343"/>
      <c r="D581" s="343"/>
      <c r="E581" s="344"/>
      <c r="F581" s="344"/>
      <c r="G581" s="344"/>
      <c r="H581" s="345"/>
      <c r="I581" s="344"/>
      <c r="J581" s="344"/>
      <c r="K581" s="345"/>
    </row>
    <row r="582" spans="2:11" ht="15" customHeight="1" x14ac:dyDescent="0.2">
      <c r="B582" s="343"/>
      <c r="C582" s="343"/>
      <c r="D582" s="343"/>
      <c r="E582" s="344"/>
      <c r="F582" s="344"/>
      <c r="G582" s="344"/>
      <c r="H582" s="345"/>
      <c r="I582" s="344"/>
      <c r="J582" s="344"/>
      <c r="K582" s="345"/>
    </row>
    <row r="583" spans="2:11" ht="15" customHeight="1" x14ac:dyDescent="0.2">
      <c r="B583" s="343"/>
      <c r="C583" s="343"/>
      <c r="D583" s="343"/>
      <c r="E583" s="344"/>
      <c r="F583" s="344"/>
      <c r="G583" s="344"/>
      <c r="H583" s="345"/>
      <c r="I583" s="344"/>
      <c r="J583" s="344"/>
      <c r="K583" s="345"/>
    </row>
    <row r="584" spans="2:11" ht="15" customHeight="1" x14ac:dyDescent="0.2">
      <c r="B584" s="343"/>
      <c r="C584" s="343"/>
      <c r="D584" s="343"/>
      <c r="E584" s="344"/>
      <c r="F584" s="344"/>
      <c r="G584" s="344"/>
      <c r="H584" s="345"/>
      <c r="I584" s="344"/>
      <c r="J584" s="344"/>
      <c r="K584" s="345"/>
    </row>
    <row r="585" spans="2:11" ht="15" customHeight="1" x14ac:dyDescent="0.2">
      <c r="B585" s="343"/>
      <c r="C585" s="343"/>
      <c r="D585" s="343"/>
      <c r="E585" s="344"/>
      <c r="F585" s="344"/>
      <c r="G585" s="344"/>
      <c r="H585" s="345"/>
      <c r="I585" s="344"/>
      <c r="J585" s="344"/>
      <c r="K585" s="345"/>
    </row>
    <row r="586" spans="2:11" ht="15" customHeight="1" x14ac:dyDescent="0.2">
      <c r="B586" s="343"/>
      <c r="C586" s="343"/>
      <c r="D586" s="343"/>
      <c r="E586" s="344"/>
      <c r="F586" s="344"/>
      <c r="G586" s="344"/>
      <c r="H586" s="345"/>
      <c r="I586" s="344"/>
      <c r="J586" s="344"/>
      <c r="K586" s="345"/>
    </row>
    <row r="587" spans="2:11" ht="15" customHeight="1" x14ac:dyDescent="0.2">
      <c r="B587" s="343"/>
      <c r="C587" s="343"/>
      <c r="D587" s="343"/>
      <c r="E587" s="344"/>
      <c r="F587" s="344"/>
      <c r="G587" s="344"/>
      <c r="H587" s="345"/>
      <c r="I587" s="344"/>
      <c r="J587" s="344"/>
      <c r="K587" s="345"/>
    </row>
    <row r="588" spans="2:11" ht="15" customHeight="1" x14ac:dyDescent="0.2">
      <c r="B588" s="343"/>
      <c r="C588" s="343"/>
      <c r="D588" s="343"/>
      <c r="E588" s="344"/>
      <c r="F588" s="344"/>
      <c r="G588" s="344"/>
      <c r="H588" s="345"/>
      <c r="I588" s="344"/>
      <c r="J588" s="344"/>
      <c r="K588" s="345"/>
    </row>
    <row r="589" spans="2:11" ht="15" customHeight="1" x14ac:dyDescent="0.2">
      <c r="B589" s="343"/>
      <c r="C589" s="343"/>
      <c r="D589" s="343"/>
      <c r="E589" s="344"/>
      <c r="F589" s="344"/>
      <c r="G589" s="344"/>
      <c r="H589" s="345"/>
      <c r="I589" s="344"/>
      <c r="J589" s="344"/>
      <c r="K589" s="345"/>
    </row>
    <row r="590" spans="2:11" ht="15" customHeight="1" x14ac:dyDescent="0.2">
      <c r="B590" s="343"/>
      <c r="C590" s="343"/>
      <c r="D590" s="343"/>
      <c r="E590" s="344"/>
      <c r="F590" s="344"/>
      <c r="G590" s="344"/>
      <c r="H590" s="345"/>
      <c r="I590" s="344"/>
      <c r="J590" s="344"/>
      <c r="K590" s="345"/>
    </row>
    <row r="591" spans="2:11" ht="15" customHeight="1" x14ac:dyDescent="0.2">
      <c r="B591" s="343"/>
      <c r="C591" s="343"/>
      <c r="D591" s="343"/>
      <c r="E591" s="344"/>
      <c r="F591" s="344"/>
      <c r="G591" s="344"/>
      <c r="H591" s="345"/>
      <c r="I591" s="344"/>
      <c r="J591" s="344"/>
      <c r="K591" s="345"/>
    </row>
    <row r="600" spans="7:9" ht="15" customHeight="1" x14ac:dyDescent="0.2">
      <c r="G600" s="60" t="s">
        <v>204</v>
      </c>
      <c r="I600" s="301" t="s">
        <v>211</v>
      </c>
    </row>
    <row r="601" spans="7:9" ht="15" customHeight="1" x14ac:dyDescent="0.2">
      <c r="G601" s="60" t="s">
        <v>50</v>
      </c>
      <c r="I601" s="301"/>
    </row>
    <row r="602" spans="7:9" ht="15" customHeight="1" x14ac:dyDescent="0.2">
      <c r="G602" s="60" t="s">
        <v>51</v>
      </c>
      <c r="I602" s="301">
        <v>566813951.63370395</v>
      </c>
    </row>
    <row r="603" spans="7:9" ht="15" customHeight="1" x14ac:dyDescent="0.2">
      <c r="G603" s="60" t="s">
        <v>9</v>
      </c>
      <c r="I603" s="301"/>
    </row>
    <row r="604" spans="7:9" ht="15" customHeight="1" x14ac:dyDescent="0.2">
      <c r="I604" s="301"/>
    </row>
    <row r="605" spans="7:9" ht="15" customHeight="1" x14ac:dyDescent="0.2">
      <c r="G605" s="60" t="s">
        <v>205</v>
      </c>
      <c r="I605" s="301">
        <v>5273478.6011029417</v>
      </c>
    </row>
    <row r="606" spans="7:9" ht="15" customHeight="1" x14ac:dyDescent="0.2">
      <c r="I606" s="301">
        <v>18019538.910121869</v>
      </c>
    </row>
    <row r="607" spans="7:9" ht="15" customHeight="1" x14ac:dyDescent="0.2">
      <c r="G607" s="60" t="s">
        <v>63</v>
      </c>
      <c r="I607" s="301">
        <v>543520934.12247908</v>
      </c>
    </row>
    <row r="608" spans="7:9" ht="15" customHeight="1" x14ac:dyDescent="0.2">
      <c r="G608" s="60" t="s">
        <v>206</v>
      </c>
      <c r="I608" s="301"/>
    </row>
    <row r="609" spans="7:9" ht="15" customHeight="1" x14ac:dyDescent="0.2">
      <c r="G609" s="60" t="s">
        <v>53</v>
      </c>
      <c r="I609" s="301">
        <v>542759016.4169569</v>
      </c>
    </row>
    <row r="610" spans="7:9" ht="15" customHeight="1" x14ac:dyDescent="0.2">
      <c r="I610" s="301"/>
    </row>
    <row r="611" spans="7:9" ht="15" customHeight="1" x14ac:dyDescent="0.2">
      <c r="G611" s="60" t="s">
        <v>207</v>
      </c>
      <c r="I611" s="301">
        <v>5049678.2063688152</v>
      </c>
    </row>
    <row r="612" spans="7:9" ht="15" customHeight="1" x14ac:dyDescent="0.2">
      <c r="G612" s="60" t="s">
        <v>206</v>
      </c>
      <c r="I612" s="301">
        <v>17254810.307607245</v>
      </c>
    </row>
    <row r="613" spans="7:9" ht="15" customHeight="1" x14ac:dyDescent="0.2">
      <c r="G613" s="60" t="s">
        <v>64</v>
      </c>
      <c r="I613" s="301">
        <v>520454527.90298086</v>
      </c>
    </row>
    <row r="614" spans="7:9" ht="15" customHeight="1" x14ac:dyDescent="0.2">
      <c r="I614" s="301"/>
    </row>
    <row r="615" spans="7:9" ht="15" customHeight="1" x14ac:dyDescent="0.2">
      <c r="G615" s="60" t="s">
        <v>52</v>
      </c>
      <c r="I615" s="301"/>
    </row>
    <row r="616" spans="7:9" ht="15" customHeight="1" x14ac:dyDescent="0.2">
      <c r="G616" s="60" t="s">
        <v>2</v>
      </c>
      <c r="I616" s="301"/>
    </row>
    <row r="617" spans="7:9" ht="15" customHeight="1" x14ac:dyDescent="0.2">
      <c r="G617" s="60" t="s">
        <v>44</v>
      </c>
      <c r="I617" s="301">
        <v>21124</v>
      </c>
    </row>
    <row r="618" spans="7:9" ht="15" customHeight="1" x14ac:dyDescent="0.2">
      <c r="G618" s="60" t="s">
        <v>45</v>
      </c>
      <c r="I618" s="301">
        <v>205497424.88810688</v>
      </c>
    </row>
    <row r="619" spans="7:9" ht="15" customHeight="1" x14ac:dyDescent="0.2">
      <c r="I619" s="301"/>
    </row>
    <row r="620" spans="7:9" ht="15" customHeight="1" x14ac:dyDescent="0.2">
      <c r="G620" s="60" t="s">
        <v>208</v>
      </c>
      <c r="I620" s="301"/>
    </row>
    <row r="621" spans="7:9" ht="15" customHeight="1" x14ac:dyDescent="0.2">
      <c r="G621" s="60" t="s">
        <v>44</v>
      </c>
      <c r="I621" s="301">
        <v>2668</v>
      </c>
    </row>
    <row r="622" spans="7:9" ht="15" customHeight="1" x14ac:dyDescent="0.2">
      <c r="G622" s="60" t="s">
        <v>45</v>
      </c>
      <c r="I622" s="301">
        <v>85361037.046016753</v>
      </c>
    </row>
    <row r="623" spans="7:9" ht="15" customHeight="1" x14ac:dyDescent="0.2">
      <c r="I623" s="301"/>
    </row>
    <row r="624" spans="7:9" ht="15" customHeight="1" x14ac:dyDescent="0.2">
      <c r="G624" s="60" t="s">
        <v>209</v>
      </c>
      <c r="I624" s="301"/>
    </row>
    <row r="625" spans="7:9" ht="15" customHeight="1" x14ac:dyDescent="0.2">
      <c r="G625" s="60" t="s">
        <v>44</v>
      </c>
      <c r="I625" s="301">
        <v>247</v>
      </c>
    </row>
    <row r="626" spans="7:9" ht="15" customHeight="1" x14ac:dyDescent="0.2">
      <c r="G626" s="60" t="s">
        <v>45</v>
      </c>
      <c r="I626" s="301">
        <v>209884489.37657064</v>
      </c>
    </row>
    <row r="627" spans="7:9" ht="15" customHeight="1" x14ac:dyDescent="0.2">
      <c r="G627" s="60" t="s">
        <v>46</v>
      </c>
      <c r="I627" s="301">
        <v>519864.63481550448</v>
      </c>
    </row>
    <row r="628" spans="7:9" ht="15" customHeight="1" x14ac:dyDescent="0.2">
      <c r="I628" s="301"/>
    </row>
    <row r="629" spans="7:9" ht="15" customHeight="1" x14ac:dyDescent="0.2">
      <c r="G629" s="60" t="s">
        <v>210</v>
      </c>
      <c r="I629" s="301"/>
    </row>
    <row r="630" spans="7:9" ht="15" customHeight="1" x14ac:dyDescent="0.2">
      <c r="G630" s="60" t="s">
        <v>44</v>
      </c>
      <c r="I630" s="301">
        <v>1</v>
      </c>
    </row>
    <row r="631" spans="7:9" ht="15" customHeight="1" x14ac:dyDescent="0.2">
      <c r="G631" s="60" t="s">
        <v>45</v>
      </c>
      <c r="I631" s="301">
        <v>17254810.307607245</v>
      </c>
    </row>
    <row r="632" spans="7:9" ht="15" customHeight="1" x14ac:dyDescent="0.2">
      <c r="G632" s="60" t="s">
        <v>46</v>
      </c>
      <c r="I632" s="301">
        <v>33801.425697666316</v>
      </c>
    </row>
    <row r="633" spans="7:9" ht="15" customHeight="1" x14ac:dyDescent="0.2">
      <c r="I633" s="301"/>
    </row>
    <row r="634" spans="7:9" ht="15" customHeight="1" x14ac:dyDescent="0.2">
      <c r="G634" s="60" t="s">
        <v>142</v>
      </c>
      <c r="I634" s="301"/>
    </row>
    <row r="635" spans="7:9" ht="15" customHeight="1" x14ac:dyDescent="0.2">
      <c r="G635" s="60" t="s">
        <v>44</v>
      </c>
      <c r="I635" s="301">
        <v>5419</v>
      </c>
    </row>
    <row r="636" spans="7:9" ht="15" customHeight="1" x14ac:dyDescent="0.2">
      <c r="G636" s="60" t="s">
        <v>45</v>
      </c>
      <c r="I636" s="301">
        <v>2018762.3305114082</v>
      </c>
    </row>
    <row r="637" spans="7:9" ht="15" customHeight="1" x14ac:dyDescent="0.2">
      <c r="G637" s="60" t="s">
        <v>46</v>
      </c>
      <c r="I637" s="301">
        <v>5641.08</v>
      </c>
    </row>
    <row r="638" spans="7:9" ht="15" customHeight="1" x14ac:dyDescent="0.2">
      <c r="I638" s="301"/>
    </row>
    <row r="639" spans="7:9" ht="15" customHeight="1" x14ac:dyDescent="0.2">
      <c r="G639" s="60" t="s">
        <v>143</v>
      </c>
      <c r="I639" s="301"/>
    </row>
    <row r="640" spans="7:9" ht="15" customHeight="1" x14ac:dyDescent="0.2">
      <c r="G640" s="60" t="s">
        <v>47</v>
      </c>
      <c r="I640" s="301">
        <v>412</v>
      </c>
    </row>
    <row r="641" spans="7:9" ht="15" customHeight="1" x14ac:dyDescent="0.2">
      <c r="G641" s="60" t="s">
        <v>45</v>
      </c>
      <c r="I641" s="301">
        <v>405959.29373617272</v>
      </c>
    </row>
    <row r="642" spans="7:9" ht="15" customHeight="1" x14ac:dyDescent="0.2">
      <c r="G642" s="60" t="s">
        <v>46</v>
      </c>
      <c r="I642" s="301">
        <v>1193.4344347067597</v>
      </c>
    </row>
    <row r="643" spans="7:9" ht="15" customHeight="1" x14ac:dyDescent="0.2">
      <c r="I643" s="301"/>
    </row>
    <row r="644" spans="7:9" ht="15" customHeight="1" x14ac:dyDescent="0.2">
      <c r="G644" s="60" t="s">
        <v>146</v>
      </c>
      <c r="I644" s="301"/>
    </row>
    <row r="645" spans="7:9" ht="15" customHeight="1" x14ac:dyDescent="0.2">
      <c r="G645" s="60" t="s">
        <v>62</v>
      </c>
      <c r="I645" s="301">
        <v>7</v>
      </c>
    </row>
    <row r="646" spans="7:9" ht="15" customHeight="1" x14ac:dyDescent="0.2">
      <c r="G646" s="60" t="s">
        <v>45</v>
      </c>
      <c r="I646" s="301">
        <v>32044.660431652101</v>
      </c>
    </row>
    <row r="647" spans="7:9" ht="15" customHeight="1" x14ac:dyDescent="0.2">
      <c r="I647" s="301"/>
    </row>
    <row r="648" spans="7:9" ht="15" customHeight="1" x14ac:dyDescent="0.2">
      <c r="G648" s="60" t="s">
        <v>10</v>
      </c>
      <c r="I648" s="301"/>
    </row>
    <row r="649" spans="7:9" ht="15" customHeight="1" x14ac:dyDescent="0.2">
      <c r="G649" s="60" t="s">
        <v>49</v>
      </c>
      <c r="I649" s="301">
        <v>29878</v>
      </c>
    </row>
    <row r="650" spans="7:9" ht="15" customHeight="1" x14ac:dyDescent="0.2">
      <c r="G650" s="60" t="s">
        <v>45</v>
      </c>
      <c r="I650" s="301">
        <v>520454527.90298069</v>
      </c>
    </row>
    <row r="651" spans="7:9" ht="15" customHeight="1" x14ac:dyDescent="0.2">
      <c r="G651" s="60" t="s">
        <v>48</v>
      </c>
      <c r="I651" s="301">
        <v>560500.57494787755</v>
      </c>
    </row>
    <row r="652" spans="7:9" ht="15" customHeight="1" x14ac:dyDescent="0.2">
      <c r="I652" s="301"/>
    </row>
    <row r="653" spans="7:9" ht="15" customHeight="1" x14ac:dyDescent="0.2">
      <c r="G653" s="60" t="s">
        <v>59</v>
      </c>
      <c r="I653" s="301">
        <v>1</v>
      </c>
    </row>
    <row r="654" spans="7:9" ht="15" customHeight="1" x14ac:dyDescent="0.2">
      <c r="I654" s="301">
        <v>22304488.513976216</v>
      </c>
    </row>
    <row r="655" spans="7:9" ht="15" customHeight="1" x14ac:dyDescent="0.2">
      <c r="I655" s="301">
        <v>0</v>
      </c>
    </row>
    <row r="656" spans="7:9" ht="15" customHeight="1" x14ac:dyDescent="0.2">
      <c r="I656" s="301"/>
    </row>
    <row r="657" spans="7:9" ht="15" customHeight="1" x14ac:dyDescent="0.2">
      <c r="G657" s="60" t="s">
        <v>119</v>
      </c>
      <c r="I657" s="301">
        <v>24040</v>
      </c>
    </row>
    <row r="658" spans="7:9" ht="15" customHeight="1" x14ac:dyDescent="0.2">
      <c r="G658" s="60" t="s">
        <v>120</v>
      </c>
      <c r="I658" s="301">
        <v>1</v>
      </c>
    </row>
    <row r="659" spans="7:9" ht="15" customHeight="1" x14ac:dyDescent="0.2">
      <c r="G659" s="60" t="s">
        <v>121</v>
      </c>
      <c r="I659" s="301">
        <v>263</v>
      </c>
    </row>
    <row r="660" spans="7:9" ht="15" customHeight="1" x14ac:dyDescent="0.2">
      <c r="G660" s="60" t="s">
        <v>122</v>
      </c>
      <c r="I660" s="301">
        <v>7</v>
      </c>
    </row>
    <row r="661" spans="7:9" ht="15" customHeight="1" x14ac:dyDescent="0.2">
      <c r="I661" s="301">
        <v>24311</v>
      </c>
    </row>
  </sheetData>
  <mergeCells count="134">
    <mergeCell ref="B192:D192"/>
    <mergeCell ref="B193:D193"/>
    <mergeCell ref="B158:D158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9:D19"/>
    <mergeCell ref="B20:D20"/>
    <mergeCell ref="B38:D38"/>
    <mergeCell ref="B39:D39"/>
    <mergeCell ref="B155:D155"/>
    <mergeCell ref="B244:D244"/>
    <mergeCell ref="B282:E282"/>
    <mergeCell ref="B283:E283"/>
    <mergeCell ref="B284:E284"/>
    <mergeCell ref="B285:E285"/>
    <mergeCell ref="B289:E289"/>
    <mergeCell ref="B237:D237"/>
    <mergeCell ref="B238:D238"/>
    <mergeCell ref="B240:D240"/>
    <mergeCell ref="B241:D241"/>
    <mergeCell ref="B243:D243"/>
    <mergeCell ref="B313:L313"/>
    <mergeCell ref="B317:L317"/>
    <mergeCell ref="B318:L318"/>
    <mergeCell ref="B327:L327"/>
    <mergeCell ref="B333:L333"/>
    <mergeCell ref="B334:L334"/>
    <mergeCell ref="B290:E290"/>
    <mergeCell ref="B291:E291"/>
    <mergeCell ref="B296:L296"/>
    <mergeCell ref="B302:L302"/>
    <mergeCell ref="B306:L306"/>
    <mergeCell ref="B307:L307"/>
    <mergeCell ref="B372:L372"/>
    <mergeCell ref="B378:L378"/>
    <mergeCell ref="B379:L379"/>
    <mergeCell ref="B385:L385"/>
    <mergeCell ref="B390:L390"/>
    <mergeCell ref="B391:L391"/>
    <mergeCell ref="B342:L342"/>
    <mergeCell ref="B348:L348"/>
    <mergeCell ref="B349:L349"/>
    <mergeCell ref="B357:L357"/>
    <mergeCell ref="B363:L363"/>
    <mergeCell ref="B364:L364"/>
    <mergeCell ref="B406:D406"/>
    <mergeCell ref="B416:L416"/>
    <mergeCell ref="B417:D417"/>
    <mergeCell ref="E417:G417"/>
    <mergeCell ref="H417:I417"/>
    <mergeCell ref="J417:K417"/>
    <mergeCell ref="B397:L397"/>
    <mergeCell ref="B404:L404"/>
    <mergeCell ref="B405:D405"/>
    <mergeCell ref="E405:G405"/>
    <mergeCell ref="H405:I405"/>
    <mergeCell ref="J405:K405"/>
    <mergeCell ref="B440:L440"/>
    <mergeCell ref="B441:D441"/>
    <mergeCell ref="E441:G441"/>
    <mergeCell ref="H441:I441"/>
    <mergeCell ref="J441:K441"/>
    <mergeCell ref="B418:D418"/>
    <mergeCell ref="B428:L428"/>
    <mergeCell ref="B429:D429"/>
    <mergeCell ref="E429:G429"/>
    <mergeCell ref="H429:I429"/>
    <mergeCell ref="J429:K429"/>
    <mergeCell ref="B478:D478"/>
    <mergeCell ref="B8:D8"/>
    <mergeCell ref="B6:D6"/>
    <mergeCell ref="B25:D25"/>
    <mergeCell ref="B27:D27"/>
    <mergeCell ref="B466:D466"/>
    <mergeCell ref="B476:L476"/>
    <mergeCell ref="B477:D477"/>
    <mergeCell ref="E477:G477"/>
    <mergeCell ref="H477:I477"/>
    <mergeCell ref="J477:K477"/>
    <mergeCell ref="B454:D454"/>
    <mergeCell ref="B464:L464"/>
    <mergeCell ref="B465:D465"/>
    <mergeCell ref="E465:G465"/>
    <mergeCell ref="H465:I465"/>
    <mergeCell ref="J465:K465"/>
    <mergeCell ref="B442:D442"/>
    <mergeCell ref="B452:L452"/>
    <mergeCell ref="B453:D453"/>
    <mergeCell ref="E453:G453"/>
    <mergeCell ref="H453:I453"/>
    <mergeCell ref="J453:K453"/>
    <mergeCell ref="B430:D430"/>
    <mergeCell ref="B505:D506"/>
    <mergeCell ref="E505:E506"/>
    <mergeCell ref="F505:F506"/>
    <mergeCell ref="G505:H505"/>
    <mergeCell ref="I505:J505"/>
    <mergeCell ref="B490:D490"/>
    <mergeCell ref="E490:G490"/>
    <mergeCell ref="H490:I490"/>
    <mergeCell ref="J490:K490"/>
    <mergeCell ref="B491:D491"/>
    <mergeCell ref="O206:V206"/>
    <mergeCell ref="B565:D566"/>
    <mergeCell ref="E565:E566"/>
    <mergeCell ref="F565:H565"/>
    <mergeCell ref="B535:D536"/>
    <mergeCell ref="E535:E536"/>
    <mergeCell ref="F535:H535"/>
    <mergeCell ref="I535:K535"/>
    <mergeCell ref="B545:D546"/>
    <mergeCell ref="E545:E546"/>
    <mergeCell ref="F545:H545"/>
    <mergeCell ref="I545:K545"/>
    <mergeCell ref="B555:D556"/>
    <mergeCell ref="E555:E556"/>
    <mergeCell ref="F555:H555"/>
    <mergeCell ref="I555:K555"/>
    <mergeCell ref="B515:D516"/>
    <mergeCell ref="E515:E516"/>
    <mergeCell ref="F515:H515"/>
    <mergeCell ref="I515:K515"/>
    <mergeCell ref="B525:D526"/>
    <mergeCell ref="E525:E526"/>
    <mergeCell ref="F525:H525"/>
    <mergeCell ref="I525:K525"/>
  </mergeCells>
  <pageMargins left="0.25" right="0.25" top="0.25" bottom="1" header="0.511811023622047" footer="0.511811023622047"/>
  <pageSetup scale="80" fitToHeight="5" orientation="portrait" r:id="rId1"/>
  <headerFooter alignWithMargins="0">
    <oddFooter>&amp;L&amp;Z&amp;F
&amp;A&amp;R&amp;D
&amp;T</oddFooter>
  </headerFooter>
  <rowBreaks count="1" manualBreakCount="1"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3"/>
  <sheetViews>
    <sheetView topLeftCell="A28" workbookViewId="0">
      <selection activeCell="E59" sqref="E59"/>
    </sheetView>
  </sheetViews>
  <sheetFormatPr defaultRowHeight="12.75" x14ac:dyDescent="0.2"/>
  <cols>
    <col min="1" max="1" width="32.7109375" customWidth="1"/>
    <col min="2" max="5" width="19.42578125" style="25" bestFit="1" customWidth="1"/>
    <col min="6" max="11" width="19.42578125" style="25" customWidth="1"/>
    <col min="12" max="13" width="19.42578125" style="162" bestFit="1" customWidth="1"/>
    <col min="14" max="14" width="14.85546875" bestFit="1" customWidth="1"/>
    <col min="15" max="15" width="13.5703125" bestFit="1" customWidth="1"/>
    <col min="17" max="19" width="15.140625" bestFit="1" customWidth="1"/>
  </cols>
  <sheetData>
    <row r="1" spans="1:15" ht="15.75" x14ac:dyDescent="0.25">
      <c r="A1" s="45" t="s">
        <v>158</v>
      </c>
      <c r="M1" s="174"/>
      <c r="N1" s="13"/>
    </row>
    <row r="2" spans="1:15" x14ac:dyDescent="0.2">
      <c r="D2" s="156"/>
    </row>
    <row r="3" spans="1:15" ht="25.5" x14ac:dyDescent="0.2">
      <c r="B3" s="144" t="s">
        <v>123</v>
      </c>
      <c r="C3" s="144" t="s">
        <v>126</v>
      </c>
      <c r="D3" s="144" t="s">
        <v>128</v>
      </c>
      <c r="E3" s="144" t="s">
        <v>131</v>
      </c>
      <c r="F3" s="144" t="s">
        <v>160</v>
      </c>
      <c r="G3" s="144" t="s">
        <v>169</v>
      </c>
      <c r="H3" s="144" t="s">
        <v>170</v>
      </c>
      <c r="I3" s="144" t="s">
        <v>171</v>
      </c>
      <c r="J3" s="144" t="s">
        <v>172</v>
      </c>
      <c r="K3" s="144" t="s">
        <v>173</v>
      </c>
      <c r="L3" s="163" t="s">
        <v>174</v>
      </c>
      <c r="M3" s="163" t="s">
        <v>175</v>
      </c>
    </row>
    <row r="4" spans="1:15" x14ac:dyDescent="0.2">
      <c r="A4" s="13" t="s">
        <v>50</v>
      </c>
      <c r="B4" s="23">
        <f>+'Purchased Power Model'!B174</f>
        <v>592105953.84615386</v>
      </c>
      <c r="C4" s="150">
        <f>'Purchased Power Model'!B175</f>
        <v>593738607.69230771</v>
      </c>
      <c r="D4" s="150">
        <f>'Purchased Power Model'!B176</f>
        <v>572612692.67601395</v>
      </c>
      <c r="E4" s="150">
        <f>'Purchased Power Model'!B177</f>
        <v>573172084.77666664</v>
      </c>
      <c r="F4" s="150">
        <f>+'Purchased Power Model'!B178</f>
        <v>561189731.7228204</v>
      </c>
      <c r="G4" s="150">
        <f>+'Purchased Power Model'!B179</f>
        <v>538323195.74000001</v>
      </c>
      <c r="H4" s="150">
        <f>+'Purchased Power Model'!B180</f>
        <v>508987624.24000013</v>
      </c>
      <c r="I4" s="150">
        <f>+'Purchased Power Model'!B181</f>
        <v>500698339.18000001</v>
      </c>
      <c r="J4" s="150">
        <f>+'Purchased Power Model'!B182</f>
        <v>514889565.40999997</v>
      </c>
      <c r="K4" s="150">
        <f>+'Purchased Power Model'!B183</f>
        <v>514147823.86999995</v>
      </c>
      <c r="L4" s="164"/>
      <c r="M4" s="164"/>
    </row>
    <row r="5" spans="1:15" x14ac:dyDescent="0.2">
      <c r="A5" s="13" t="s">
        <v>51</v>
      </c>
      <c r="B5" s="23">
        <f>+'Purchased Power Model'!H174</f>
        <v>0</v>
      </c>
      <c r="C5" s="150">
        <f>'Purchased Power Model'!H175</f>
        <v>0</v>
      </c>
      <c r="D5" s="150">
        <f>'Purchased Power Model'!H176</f>
        <v>0</v>
      </c>
      <c r="E5" s="21">
        <f>'Purchased Power Model'!H177</f>
        <v>0</v>
      </c>
      <c r="F5" s="21">
        <f>+'Purchased Power Model'!H178</f>
        <v>0</v>
      </c>
      <c r="G5" s="21">
        <f>+'Purchased Power Model'!H179</f>
        <v>514903442.02267593</v>
      </c>
      <c r="H5" s="21">
        <f>+'Purchased Power Model'!H180</f>
        <v>513927826.56305665</v>
      </c>
      <c r="I5" s="21">
        <f>+'Purchased Power Model'!H181</f>
        <v>507121218.68637317</v>
      </c>
      <c r="J5" s="21">
        <f>+'Purchased Power Model'!H182</f>
        <v>524508322.63358557</v>
      </c>
      <c r="K5" s="21">
        <f>+'Purchased Power Model'!H183</f>
        <v>516585738.53430808</v>
      </c>
      <c r="L5" s="279">
        <f>+'Rate Class Energy Model'!C21</f>
        <v>513771070.57435787</v>
      </c>
      <c r="M5" s="279">
        <f>+'Rate Class Energy Model'!C22</f>
        <v>512910056.40893781</v>
      </c>
      <c r="N5" s="56"/>
    </row>
    <row r="6" spans="1:15" x14ac:dyDescent="0.2">
      <c r="A6" s="13" t="s">
        <v>9</v>
      </c>
      <c r="B6" s="37">
        <f t="shared" ref="B6:E6" si="0">(B5-B4)/B4</f>
        <v>-1</v>
      </c>
      <c r="C6" s="151">
        <f t="shared" si="0"/>
        <v>-1</v>
      </c>
      <c r="D6" s="151">
        <f t="shared" si="0"/>
        <v>-1</v>
      </c>
      <c r="E6" s="151">
        <f t="shared" si="0"/>
        <v>-1</v>
      </c>
      <c r="F6" s="151">
        <f t="shared" ref="F6:K6" si="1">(F5-F4)/F4</f>
        <v>-1</v>
      </c>
      <c r="G6" s="151">
        <f t="shared" si="1"/>
        <v>-4.3505005733833139E-2</v>
      </c>
      <c r="H6" s="151">
        <f t="shared" si="1"/>
        <v>9.7059379988521932E-3</v>
      </c>
      <c r="I6" s="151">
        <f t="shared" si="1"/>
        <v>1.2827842642522038E-2</v>
      </c>
      <c r="J6" s="151">
        <f t="shared" si="1"/>
        <v>1.8681204416963301E-2</v>
      </c>
      <c r="K6" s="151">
        <f t="shared" si="1"/>
        <v>4.741660960378871E-3</v>
      </c>
      <c r="L6" s="165"/>
      <c r="M6" s="165"/>
      <c r="N6" s="56"/>
    </row>
    <row r="7" spans="1:15" x14ac:dyDescent="0.2">
      <c r="A7" s="13"/>
      <c r="B7" s="145"/>
      <c r="C7" s="27"/>
      <c r="D7" s="21"/>
      <c r="E7" s="21"/>
      <c r="F7" s="21"/>
      <c r="G7" s="21"/>
      <c r="H7" s="21"/>
      <c r="I7" s="21"/>
      <c r="J7" s="21"/>
      <c r="K7" s="21"/>
      <c r="L7" s="165"/>
      <c r="M7" s="165"/>
      <c r="N7" s="56"/>
    </row>
    <row r="8" spans="1:15" s="25" customFormat="1" x14ac:dyDescent="0.2">
      <c r="A8" s="13" t="s">
        <v>181</v>
      </c>
      <c r="B8" s="145"/>
      <c r="C8" s="27"/>
      <c r="D8" s="47"/>
      <c r="E8" s="47"/>
      <c r="F8" s="47"/>
      <c r="G8" s="47"/>
      <c r="H8" s="47"/>
      <c r="I8" s="47"/>
      <c r="J8" s="47"/>
      <c r="K8" s="47"/>
      <c r="L8" s="21">
        <f>+L14*'Rate Class Energy Model'!$F$26</f>
        <v>-1521925.2247944006</v>
      </c>
      <c r="M8" s="21">
        <f>+M14*'Rate Class Energy Model'!$F$26</f>
        <v>-1521925.2247944006</v>
      </c>
      <c r="N8" s="145"/>
    </row>
    <row r="9" spans="1:15" x14ac:dyDescent="0.2">
      <c r="A9" s="13"/>
      <c r="B9" s="145"/>
      <c r="C9" s="27"/>
      <c r="D9" s="47"/>
      <c r="E9" s="47"/>
      <c r="F9" s="47"/>
      <c r="G9" s="47"/>
      <c r="H9" s="47"/>
      <c r="I9" s="47"/>
      <c r="J9" s="47"/>
      <c r="K9" s="47"/>
      <c r="L9" s="165"/>
      <c r="M9" s="165"/>
      <c r="N9" s="56"/>
    </row>
    <row r="10" spans="1:15" x14ac:dyDescent="0.2">
      <c r="A10" s="13" t="s">
        <v>63</v>
      </c>
      <c r="B10" s="145"/>
      <c r="C10" s="27"/>
      <c r="D10" s="21"/>
      <c r="E10" s="21"/>
      <c r="F10" s="21"/>
      <c r="G10" s="21"/>
      <c r="H10" s="21"/>
      <c r="I10" s="21"/>
      <c r="J10" s="21"/>
      <c r="K10" s="21"/>
      <c r="L10" s="165">
        <f>+L8+L5</f>
        <v>512249145.34956348</v>
      </c>
      <c r="M10" s="165">
        <f>+M8+M5</f>
        <v>511388131.18414342</v>
      </c>
      <c r="N10" s="58"/>
    </row>
    <row r="11" spans="1:15" x14ac:dyDescent="0.2">
      <c r="A11" s="13"/>
      <c r="B11" s="145"/>
      <c r="C11" s="27"/>
      <c r="D11" s="150"/>
      <c r="E11" s="150"/>
      <c r="F11" s="150"/>
      <c r="G11" s="150"/>
      <c r="H11" s="150"/>
      <c r="I11" s="150"/>
      <c r="J11" s="150"/>
      <c r="K11" s="150"/>
      <c r="L11" s="283"/>
      <c r="M11" s="166"/>
      <c r="N11" s="57"/>
    </row>
    <row r="12" spans="1:15" x14ac:dyDescent="0.2">
      <c r="A12" s="13" t="s">
        <v>53</v>
      </c>
      <c r="B12" s="23">
        <f>+'Rate Class Energy Model'!G11</f>
        <v>566701778.33999741</v>
      </c>
      <c r="C12" s="23">
        <f>+'Rate Class Energy Model'!G12</f>
        <v>564905304.29000294</v>
      </c>
      <c r="D12" s="21">
        <f>+'Rate Class Energy Model'!G13</f>
        <v>548341092.05000055</v>
      </c>
      <c r="E12" s="21">
        <f>+'Rate Class Energy Model'!G14</f>
        <v>548196762.3900007</v>
      </c>
      <c r="F12" s="21">
        <f>+'Rate Class Energy Model'!G15</f>
        <v>537983045.77000117</v>
      </c>
      <c r="G12" s="21">
        <f>+'Rate Class Energy Model'!G16</f>
        <v>516728999.29000038</v>
      </c>
      <c r="H12" s="21">
        <f>+'Rate Class Energy Model'!G17</f>
        <v>488765497.17000061</v>
      </c>
      <c r="I12" s="21">
        <f>+'Rate Class Energy Model'!G18</f>
        <v>482398546.16000038</v>
      </c>
      <c r="J12" s="21">
        <f>+'Rate Class Energy Model'!G19</f>
        <v>496980971.10999972</v>
      </c>
      <c r="K12" s="21">
        <f>+'Rate Class Energy Model'!G20</f>
        <v>495761810.37999994</v>
      </c>
      <c r="L12" s="279">
        <f>+'Rate Class Energy Model'!G21</f>
        <v>494560346.33527142</v>
      </c>
      <c r="M12" s="279">
        <f>+'Rate Class Energy Model'!G22</f>
        <v>493731526.87026399</v>
      </c>
      <c r="N12" s="56"/>
    </row>
    <row r="13" spans="1:15" x14ac:dyDescent="0.2">
      <c r="A13" s="13"/>
      <c r="B13" s="145"/>
      <c r="C13" s="27"/>
      <c r="D13" s="21"/>
      <c r="E13" s="21"/>
      <c r="F13" s="21"/>
      <c r="G13" s="21"/>
      <c r="H13" s="21"/>
      <c r="I13" s="21"/>
      <c r="J13" s="21"/>
      <c r="K13" s="21"/>
      <c r="L13" s="165"/>
      <c r="M13" s="165"/>
      <c r="N13" s="56"/>
    </row>
    <row r="14" spans="1:15" x14ac:dyDescent="0.2">
      <c r="A14" s="13" t="s">
        <v>242</v>
      </c>
      <c r="B14" s="145"/>
      <c r="C14" s="27"/>
      <c r="D14" s="120"/>
      <c r="E14" s="120"/>
      <c r="F14" s="120"/>
      <c r="G14" s="120"/>
      <c r="H14" s="120"/>
      <c r="I14" s="120"/>
      <c r="J14" s="120"/>
      <c r="K14" s="120"/>
      <c r="L14" s="167">
        <f>-'Rate Class Energy Model'!O83</f>
        <v>-1465018</v>
      </c>
      <c r="M14" s="167">
        <f>-'Rate Class Energy Model'!O84</f>
        <v>-1465018</v>
      </c>
      <c r="N14" s="56"/>
    </row>
    <row r="15" spans="1:15" s="25" customFormat="1" x14ac:dyDescent="0.2">
      <c r="A15" s="206"/>
      <c r="B15" s="145"/>
      <c r="C15" s="2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45"/>
    </row>
    <row r="16" spans="1:15" s="206" customFormat="1" x14ac:dyDescent="0.2">
      <c r="A16" s="206" t="s">
        <v>64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167">
        <f>+L12+L14+L15</f>
        <v>493095328.33527142</v>
      </c>
      <c r="M16" s="167">
        <f>+M12+M14+M15</f>
        <v>492266508.87026399</v>
      </c>
      <c r="N16" s="282">
        <f>+L16-L53</f>
        <v>0</v>
      </c>
      <c r="O16" s="282">
        <f>+M16-M53</f>
        <v>0</v>
      </c>
    </row>
    <row r="17" spans="1:19" x14ac:dyDescent="0.2">
      <c r="A17" s="13"/>
      <c r="B17" s="145"/>
      <c r="C17" s="27"/>
      <c r="D17" s="150"/>
      <c r="E17" s="150"/>
      <c r="F17" s="150"/>
      <c r="G17" s="150"/>
      <c r="H17" s="150"/>
      <c r="I17" s="150"/>
      <c r="J17" s="150"/>
      <c r="K17" s="150"/>
      <c r="L17" s="166"/>
      <c r="M17" s="166"/>
      <c r="N17" s="57"/>
    </row>
    <row r="18" spans="1:19" ht="15.75" x14ac:dyDescent="0.25">
      <c r="A18" s="36" t="s">
        <v>52</v>
      </c>
      <c r="B18" s="145"/>
      <c r="C18" s="145"/>
      <c r="D18" s="159"/>
      <c r="E18" s="192"/>
      <c r="F18" s="192"/>
      <c r="G18" s="192"/>
      <c r="H18" s="192"/>
      <c r="I18" s="192"/>
      <c r="J18" s="192"/>
      <c r="K18" s="192"/>
      <c r="L18" s="168"/>
      <c r="M18" s="168"/>
      <c r="N18" s="56"/>
    </row>
    <row r="19" spans="1:19" x14ac:dyDescent="0.2">
      <c r="A19" s="35" t="str">
        <f>'Rate Class Energy Model'!H2</f>
        <v xml:space="preserve">Residential 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69"/>
      <c r="M19" s="169"/>
      <c r="N19" s="56"/>
    </row>
    <row r="20" spans="1:19" x14ac:dyDescent="0.2">
      <c r="A20" t="s">
        <v>44</v>
      </c>
      <c r="B20" s="21">
        <f>'Rate Class Customer Model'!B14</f>
        <v>20952</v>
      </c>
      <c r="C20" s="21">
        <f>'Rate Class Customer Model'!B15</f>
        <v>21096</v>
      </c>
      <c r="D20" s="21">
        <f>'Rate Class Customer Model'!B16</f>
        <v>21074</v>
      </c>
      <c r="E20" s="120">
        <f>+'Rate Class Customer Model'!B17</f>
        <v>21108</v>
      </c>
      <c r="F20" s="120">
        <f>+'Rate Class Customer Model'!B18</f>
        <v>21117</v>
      </c>
      <c r="G20" s="120">
        <f>+'Rate Class Customer Model'!B19</f>
        <v>21122</v>
      </c>
      <c r="H20" s="120">
        <f>+'Rate Class Customer Model'!B20</f>
        <v>21173</v>
      </c>
      <c r="I20" s="120">
        <f>+'Rate Class Customer Model'!B21</f>
        <v>21192</v>
      </c>
      <c r="J20" s="120">
        <f>+'Rate Class Customer Model'!B22</f>
        <v>21229</v>
      </c>
      <c r="K20" s="120">
        <f>+'Rate Class Customer Model'!B23</f>
        <v>21280</v>
      </c>
      <c r="L20" s="279">
        <f>+'Rate Class Customer Model'!B24</f>
        <v>21316</v>
      </c>
      <c r="M20" s="279">
        <f>+'Rate Class Customer Model'!B25</f>
        <v>21352</v>
      </c>
      <c r="N20" s="120"/>
    </row>
    <row r="21" spans="1:19" x14ac:dyDescent="0.2">
      <c r="A21" t="s">
        <v>45</v>
      </c>
      <c r="B21" s="21">
        <f>'Rate Class Energy Model'!H11</f>
        <v>206535117.74999696</v>
      </c>
      <c r="C21" s="21">
        <f>'Rate Class Energy Model'!H12</f>
        <v>207358082.23000044</v>
      </c>
      <c r="D21" s="21">
        <f>'Rate Class Energy Model'!H13</f>
        <v>200614424.25000054</v>
      </c>
      <c r="E21" s="120">
        <f>'Rate Class Energy Model'!H14</f>
        <v>207806639.26000017</v>
      </c>
      <c r="F21" s="120">
        <f>+'Rate Class Energy Model'!H15</f>
        <v>205950079.75000036</v>
      </c>
      <c r="G21" s="120">
        <f>+'Rate Class Energy Model'!H16</f>
        <v>196730100.79999995</v>
      </c>
      <c r="H21" s="120">
        <f>+'Rate Class Energy Model'!H17</f>
        <v>188194721.51000041</v>
      </c>
      <c r="I21" s="120">
        <f>+'Rate Class Energy Model'!H18</f>
        <v>184546623.13000023</v>
      </c>
      <c r="J21" s="120">
        <f>+'Rate Class Energy Model'!H19</f>
        <v>196784129.94999957</v>
      </c>
      <c r="K21" s="120">
        <f>+'Rate Class Energy Model'!H20</f>
        <v>197847017.74999991</v>
      </c>
      <c r="L21" s="279">
        <f>+'Rate Class Energy Model'!H71</f>
        <v>199682216.91900477</v>
      </c>
      <c r="M21" s="279">
        <f>'Rate Class Energy Model'!H72</f>
        <v>201705111.05903772</v>
      </c>
      <c r="N21" s="120"/>
      <c r="O21" s="56"/>
    </row>
    <row r="22" spans="1:19" x14ac:dyDescent="0.2">
      <c r="B22" s="27"/>
      <c r="C22" s="47"/>
      <c r="D22" s="27"/>
      <c r="E22" s="26"/>
      <c r="F22" s="26"/>
      <c r="G22" s="26"/>
      <c r="H22" s="26"/>
      <c r="I22" s="26"/>
      <c r="J22" s="26"/>
      <c r="K22" s="26"/>
      <c r="L22" s="173"/>
      <c r="M22" s="173"/>
      <c r="N22" s="56"/>
      <c r="O22" s="56"/>
      <c r="Q22" s="42"/>
      <c r="R22" s="42"/>
      <c r="S22" s="42"/>
    </row>
    <row r="23" spans="1:19" x14ac:dyDescent="0.2">
      <c r="A23" s="35" t="str">
        <f>'Rate Class Energy Model'!I2</f>
        <v>General Service &lt; 50 kW</v>
      </c>
      <c r="B23" s="27"/>
      <c r="C23" s="27"/>
      <c r="D23" s="27"/>
      <c r="E23" s="26"/>
      <c r="F23" s="26"/>
      <c r="G23" s="26"/>
      <c r="H23" s="26"/>
      <c r="I23" s="26"/>
      <c r="J23" s="26"/>
      <c r="K23" s="26"/>
      <c r="L23" s="173"/>
      <c r="M23" s="173"/>
      <c r="N23" s="56"/>
      <c r="O23" s="56"/>
    </row>
    <row r="24" spans="1:19" x14ac:dyDescent="0.2">
      <c r="A24" t="s">
        <v>44</v>
      </c>
      <c r="B24" s="21">
        <f>'Rate Class Customer Model'!C14</f>
        <v>2633</v>
      </c>
      <c r="C24" s="21">
        <f>'Rate Class Customer Model'!C15</f>
        <v>2623</v>
      </c>
      <c r="D24" s="21">
        <f>'Rate Class Customer Model'!C16</f>
        <v>2645</v>
      </c>
      <c r="E24" s="120">
        <f>'Rate Class Customer Model'!C17</f>
        <v>2649</v>
      </c>
      <c r="F24" s="120">
        <f>+'Rate Class Customer Model'!C18</f>
        <v>2657</v>
      </c>
      <c r="G24" s="120">
        <f>+'Rate Class Customer Model'!C19</f>
        <v>2646</v>
      </c>
      <c r="H24" s="120">
        <f>+'Rate Class Customer Model'!C20</f>
        <v>2659</v>
      </c>
      <c r="I24" s="120">
        <f>+'Rate Class Customer Model'!C21</f>
        <v>2653</v>
      </c>
      <c r="J24" s="120">
        <f>+'Rate Class Customer Model'!C22</f>
        <v>2654</v>
      </c>
      <c r="K24" s="120">
        <f>+'Rate Class Customer Model'!C23</f>
        <v>2653</v>
      </c>
      <c r="L24" s="279">
        <f>+'Rate Class Customer Model'!C24</f>
        <v>2651</v>
      </c>
      <c r="M24" s="279">
        <f>+'Rate Class Customer Model'!C25</f>
        <v>2649</v>
      </c>
      <c r="N24" s="120"/>
      <c r="O24" s="56"/>
    </row>
    <row r="25" spans="1:19" x14ac:dyDescent="0.2">
      <c r="A25" t="s">
        <v>45</v>
      </c>
      <c r="B25" s="21">
        <f>'Rate Class Energy Model'!I11</f>
        <v>85042099.07000047</v>
      </c>
      <c r="C25" s="21">
        <f>'Rate Class Energy Model'!I12</f>
        <v>85023143.980002552</v>
      </c>
      <c r="D25" s="21">
        <f>'Rate Class Energy Model'!I13</f>
        <v>84948670.560000002</v>
      </c>
      <c r="E25" s="120">
        <f>'Rate Class Energy Model'!I14</f>
        <v>85119330.710000545</v>
      </c>
      <c r="F25" s="120">
        <f>+'Rate Class Energy Model'!I15</f>
        <v>85369054.680000916</v>
      </c>
      <c r="G25" s="120">
        <f>+'Rate Class Energy Model'!I16</f>
        <v>83568205.870000467</v>
      </c>
      <c r="H25" s="120">
        <f>+'Rate Class Energy Model'!I17</f>
        <v>80643102.520000204</v>
      </c>
      <c r="I25" s="120">
        <f>+'Rate Class Energy Model'!I18</f>
        <v>78774627.370000109</v>
      </c>
      <c r="J25" s="120">
        <f>+'Rate Class Energy Model'!I19</f>
        <v>81814082.000000045</v>
      </c>
      <c r="K25" s="120">
        <f>+'Rate Class Energy Model'!I20</f>
        <v>80410230.090000004</v>
      </c>
      <c r="L25" s="279">
        <f>+'Rate Class Energy Model'!I71</f>
        <v>79636963.846008897</v>
      </c>
      <c r="M25" s="279">
        <f>+'Rate Class Energy Model'!I72</f>
        <v>79035853.179389015</v>
      </c>
      <c r="N25" s="120"/>
      <c r="O25" s="56"/>
    </row>
    <row r="26" spans="1:19" x14ac:dyDescent="0.2">
      <c r="B26" s="27"/>
      <c r="C26" s="27"/>
      <c r="D26" s="27"/>
      <c r="E26" s="26"/>
      <c r="F26" s="26"/>
      <c r="G26" s="26"/>
      <c r="H26" s="26"/>
      <c r="I26" s="26"/>
      <c r="J26" s="26"/>
      <c r="K26" s="26"/>
      <c r="L26" s="173"/>
      <c r="M26" s="173"/>
      <c r="N26" s="56"/>
      <c r="O26" s="56"/>
    </row>
    <row r="27" spans="1:19" x14ac:dyDescent="0.2">
      <c r="A27" s="35" t="str">
        <f>'Rate Class Energy Model'!J2</f>
        <v>General Service 50 to 2999 kW</v>
      </c>
      <c r="B27" s="27"/>
      <c r="C27" s="27"/>
      <c r="D27" s="27"/>
      <c r="E27" s="26"/>
      <c r="F27" s="26"/>
      <c r="G27" s="26"/>
      <c r="H27" s="26"/>
      <c r="I27" s="26"/>
      <c r="J27" s="26"/>
      <c r="K27" s="26"/>
      <c r="L27" s="173"/>
      <c r="M27" s="173"/>
      <c r="N27" s="56"/>
      <c r="O27" s="56"/>
    </row>
    <row r="28" spans="1:19" x14ac:dyDescent="0.2">
      <c r="A28" t="s">
        <v>44</v>
      </c>
      <c r="B28" s="21">
        <f>'Rate Class Customer Model'!D14</f>
        <v>269</v>
      </c>
      <c r="C28" s="21">
        <f>'Rate Class Customer Model'!D15</f>
        <v>268</v>
      </c>
      <c r="D28" s="21">
        <f>'Rate Class Customer Model'!D16</f>
        <v>254</v>
      </c>
      <c r="E28" s="120">
        <f>'Rate Class Customer Model'!D17</f>
        <v>255</v>
      </c>
      <c r="F28" s="120">
        <f>+'Rate Class Customer Model'!D18</f>
        <v>252</v>
      </c>
      <c r="G28" s="120">
        <f>+'Rate Class Customer Model'!D19</f>
        <v>254</v>
      </c>
      <c r="H28" s="120">
        <f>+'Rate Class Customer Model'!D20</f>
        <v>253</v>
      </c>
      <c r="I28" s="120">
        <f>+'Rate Class Customer Model'!D21</f>
        <v>261</v>
      </c>
      <c r="J28" s="120">
        <f>+'Rate Class Customer Model'!D22</f>
        <v>258</v>
      </c>
      <c r="K28" s="120">
        <f>+'Rate Class Customer Model'!D23</f>
        <v>263</v>
      </c>
      <c r="L28" s="279">
        <f>+'Rate Class Customer Model'!D24</f>
        <v>266</v>
      </c>
      <c r="M28" s="279">
        <f>+'Rate Class Customer Model'!D25</f>
        <v>269</v>
      </c>
      <c r="N28" s="120"/>
      <c r="O28" s="56"/>
    </row>
    <row r="29" spans="1:19" x14ac:dyDescent="0.2">
      <c r="A29" t="s">
        <v>45</v>
      </c>
      <c r="B29" s="21">
        <f>'Rate Class Energy Model'!J11</f>
        <v>230037736.63</v>
      </c>
      <c r="C29" s="21">
        <f>'Rate Class Energy Model'!J12</f>
        <v>231667366.05000007</v>
      </c>
      <c r="D29" s="21">
        <f>'Rate Class Energy Model'!J13</f>
        <v>223688452.94999999</v>
      </c>
      <c r="E29" s="120">
        <f>'Rate Class Energy Model'!J14</f>
        <v>216614453.60999995</v>
      </c>
      <c r="F29" s="120">
        <f>+'Rate Class Energy Model'!J15</f>
        <v>217236187.44</v>
      </c>
      <c r="G29" s="120">
        <f>+'Rate Class Energy Model'!J16</f>
        <v>216238874.38999999</v>
      </c>
      <c r="H29" s="120">
        <f>+'Rate Class Energy Model'!J17</f>
        <v>200880475.03000003</v>
      </c>
      <c r="I29" s="120">
        <f>+'Rate Class Energy Model'!J18</f>
        <v>200346165.47999999</v>
      </c>
      <c r="J29" s="120">
        <f>+'Rate Class Energy Model'!J19</f>
        <v>199998668.12000006</v>
      </c>
      <c r="K29" s="120">
        <f>+'Rate Class Energy Model'!J20</f>
        <v>199953323.73000002</v>
      </c>
      <c r="L29" s="279">
        <f>+'Rate Class Energy Model'!J71</f>
        <v>196683267.31916356</v>
      </c>
      <c r="M29" s="279">
        <f>'Rate Class Energy Model'!J72</f>
        <v>194877202.49953446</v>
      </c>
      <c r="N29" s="120"/>
      <c r="O29" s="56"/>
      <c r="Q29" s="175"/>
    </row>
    <row r="30" spans="1:19" x14ac:dyDescent="0.2">
      <c r="A30" t="s">
        <v>46</v>
      </c>
      <c r="B30" s="21">
        <f>'Rate Class Load Model'!B13</f>
        <v>588203.21</v>
      </c>
      <c r="C30" s="21">
        <f>'Rate Class Load Model'!B14</f>
        <v>582945.86</v>
      </c>
      <c r="D30" s="21">
        <f>'Rate Class Load Model'!B15</f>
        <v>540969</v>
      </c>
      <c r="E30" s="120">
        <f>+'Rate Class Load Model'!B16</f>
        <v>535312.51999999979</v>
      </c>
      <c r="F30" s="120">
        <f>+'Rate Class Load Model'!B17</f>
        <v>533378.05000000005</v>
      </c>
      <c r="G30" s="120">
        <f>+'Rate Class Load Model'!B18</f>
        <v>537897.68000000017</v>
      </c>
      <c r="H30" s="120">
        <f>+'Rate Class Load Model'!B19</f>
        <v>529360.3600000001</v>
      </c>
      <c r="I30" s="120">
        <f>+'Rate Class Load Model'!B20</f>
        <v>528741.1399999999</v>
      </c>
      <c r="J30" s="120">
        <f>+'Rate Class Load Model'!B21</f>
        <v>522247.32</v>
      </c>
      <c r="K30" s="120">
        <f>+'Rate Class Load Model'!B22</f>
        <v>523294.41</v>
      </c>
      <c r="L30" s="279">
        <f>+'Rate Class Load Model'!B23</f>
        <v>522020.53109148762</v>
      </c>
      <c r="M30" s="279">
        <f>+'Rate Class Load Model'!B24</f>
        <v>517284.14137790038</v>
      </c>
      <c r="N30" s="120"/>
      <c r="O30" s="157"/>
      <c r="Q30" s="175"/>
    </row>
    <row r="31" spans="1:19" x14ac:dyDescent="0.2">
      <c r="B31" s="27"/>
      <c r="C31" s="27"/>
      <c r="D31" s="27"/>
      <c r="E31" s="26"/>
      <c r="F31" s="26"/>
      <c r="G31" s="26"/>
      <c r="H31" s="26"/>
      <c r="I31" s="26"/>
      <c r="J31" s="26"/>
      <c r="K31" s="26"/>
      <c r="L31" s="173"/>
      <c r="M31" s="173"/>
      <c r="N31" s="158"/>
      <c r="O31" s="158"/>
      <c r="Q31" s="175"/>
    </row>
    <row r="32" spans="1:19" x14ac:dyDescent="0.2">
      <c r="A32" s="35" t="str">
        <f>'Rate Class Energy Model'!K2</f>
        <v>General Service 3000 to 4999 kW</v>
      </c>
      <c r="B32" s="27"/>
      <c r="C32" s="27"/>
      <c r="D32" s="27"/>
      <c r="E32" s="26"/>
      <c r="F32" s="26"/>
      <c r="G32" s="26"/>
      <c r="H32" s="26"/>
      <c r="I32" s="26"/>
      <c r="J32" s="26"/>
      <c r="K32" s="26"/>
      <c r="L32" s="173"/>
      <c r="M32" s="173"/>
      <c r="N32" s="158"/>
      <c r="O32" s="158"/>
      <c r="Q32" s="175"/>
    </row>
    <row r="33" spans="1:19" x14ac:dyDescent="0.2">
      <c r="A33" t="s">
        <v>44</v>
      </c>
      <c r="B33" s="21">
        <f>'Rate Class Customer Model'!E14</f>
        <v>2</v>
      </c>
      <c r="C33" s="21">
        <f>'Rate Class Customer Model'!E15</f>
        <v>2</v>
      </c>
      <c r="D33" s="21">
        <f>'Rate Class Customer Model'!E16</f>
        <v>2</v>
      </c>
      <c r="E33" s="120">
        <f>'Rate Class Customer Model'!E17</f>
        <v>2</v>
      </c>
      <c r="F33" s="120">
        <f>+'Rate Class Customer Model'!E18</f>
        <v>2</v>
      </c>
      <c r="G33" s="120">
        <f>+'Rate Class Customer Model'!E19</f>
        <v>1</v>
      </c>
      <c r="H33" s="120">
        <f>+'Rate Class Customer Model'!E20</f>
        <v>1</v>
      </c>
      <c r="I33" s="120">
        <f>+'Rate Class Customer Model'!E21</f>
        <v>1</v>
      </c>
      <c r="J33" s="120">
        <f>+'Rate Class Customer Model'!E22</f>
        <v>1</v>
      </c>
      <c r="K33" s="120">
        <f>+'Rate Class Customer Model'!E23</f>
        <v>1</v>
      </c>
      <c r="L33" s="279">
        <f>+'Rate Class Customer Model'!E24</f>
        <v>1</v>
      </c>
      <c r="M33" s="279">
        <f>+'Rate Class Customer Model'!E25</f>
        <v>1</v>
      </c>
      <c r="N33" s="120"/>
      <c r="O33" s="158"/>
      <c r="Q33" s="175"/>
    </row>
    <row r="34" spans="1:19" x14ac:dyDescent="0.2">
      <c r="A34" t="s">
        <v>45</v>
      </c>
      <c r="B34" s="21">
        <f>'Rate Class Energy Model'!K11</f>
        <v>41028103.810000002</v>
      </c>
      <c r="C34" s="21">
        <f>'Rate Class Energy Model'!K12</f>
        <v>37086851.810000002</v>
      </c>
      <c r="D34" s="21">
        <f>'Rate Class Energy Model'!K13</f>
        <v>35722771.82</v>
      </c>
      <c r="E34" s="120">
        <f>'Rate Class Energy Model'!K14</f>
        <v>35775035.789999999</v>
      </c>
      <c r="F34" s="120">
        <f>+'Rate Class Energy Model'!K15</f>
        <v>26926555.820000004</v>
      </c>
      <c r="G34" s="120">
        <f>+'Rate Class Energy Model'!K16</f>
        <v>17738635.890000001</v>
      </c>
      <c r="H34" s="120">
        <f>+'Rate Class Energy Model'!K17</f>
        <v>16805471.899999999</v>
      </c>
      <c r="I34" s="120">
        <f>+'Rate Class Energy Model'!K18</f>
        <v>16522751.91</v>
      </c>
      <c r="J34" s="120">
        <f>+'Rate Class Energy Model'!K19</f>
        <v>16185719.91</v>
      </c>
      <c r="K34" s="120">
        <f>+'Rate Class Energy Model'!K20</f>
        <v>15352959.899999999</v>
      </c>
      <c r="L34" s="279">
        <f>+'Rate Class Energy Model'!K71</f>
        <v>14897243.509943135</v>
      </c>
      <c r="M34" s="279">
        <f>'Rate Class Energy Model'!K72</f>
        <v>14455053.985684082</v>
      </c>
      <c r="N34" s="120"/>
      <c r="O34" s="56"/>
      <c r="Q34" s="175"/>
      <c r="R34" s="54"/>
      <c r="S34" s="54"/>
    </row>
    <row r="35" spans="1:19" x14ac:dyDescent="0.2">
      <c r="A35" t="s">
        <v>46</v>
      </c>
      <c r="B35" s="21">
        <f>'Rate Class Load Model'!C13</f>
        <v>78059.55</v>
      </c>
      <c r="C35" s="21">
        <f>'Rate Class Load Model'!C14</f>
        <v>70473.350000000006</v>
      </c>
      <c r="D35" s="21">
        <f>'Rate Class Load Model'!C15</f>
        <v>68480</v>
      </c>
      <c r="E35" s="120">
        <f>'Rate Class Load Model'!C16</f>
        <v>69448.33</v>
      </c>
      <c r="F35" s="120">
        <f>+'Rate Class Load Model'!C17</f>
        <v>54354.869999999995</v>
      </c>
      <c r="G35" s="120">
        <f>+'Rate Class Load Model'!C18</f>
        <v>39466.039999999994</v>
      </c>
      <c r="H35" s="120">
        <f>+'Rate Class Load Model'!C19</f>
        <v>35717.369999999995</v>
      </c>
      <c r="I35" s="120">
        <f>+'Rate Class Load Model'!C20</f>
        <v>30516.22</v>
      </c>
      <c r="J35" s="120">
        <f>+'Rate Class Load Model'!C21</f>
        <v>30271.190000000002</v>
      </c>
      <c r="K35" s="120">
        <f>+'Rate Class Load Model'!C22</f>
        <v>29275.15</v>
      </c>
      <c r="L35" s="279">
        <f>+'Rate Class Load Model'!C23</f>
        <v>27927.216521161627</v>
      </c>
      <c r="M35" s="279">
        <f>+'Rate Class Load Model'!C24</f>
        <v>27098.262991662719</v>
      </c>
      <c r="N35" s="120"/>
      <c r="O35" s="157"/>
      <c r="Q35" s="175"/>
    </row>
    <row r="36" spans="1:19" x14ac:dyDescent="0.2">
      <c r="B36" s="27"/>
      <c r="C36" s="27"/>
      <c r="D36" s="27"/>
      <c r="E36" s="26"/>
      <c r="F36" s="26"/>
      <c r="G36" s="26"/>
      <c r="H36" s="26"/>
      <c r="I36" s="26"/>
      <c r="J36" s="26"/>
      <c r="K36" s="26"/>
      <c r="L36" s="173"/>
      <c r="M36" s="173"/>
      <c r="N36" s="56"/>
      <c r="O36" s="56"/>
      <c r="Q36" s="175"/>
    </row>
    <row r="37" spans="1:19" s="25" customFormat="1" x14ac:dyDescent="0.2">
      <c r="A37" s="155" t="str">
        <f>'Rate Class Energy Model'!L2</f>
        <v>Street Lighting</v>
      </c>
      <c r="B37" s="27"/>
      <c r="C37" s="27"/>
      <c r="D37" s="27"/>
      <c r="E37" s="26"/>
      <c r="F37" s="26"/>
      <c r="G37" s="26"/>
      <c r="H37" s="26"/>
      <c r="I37" s="26"/>
      <c r="J37" s="26"/>
      <c r="K37" s="26"/>
      <c r="L37" s="173"/>
      <c r="M37" s="173"/>
      <c r="N37" s="145"/>
      <c r="O37" s="145"/>
      <c r="Q37" s="119"/>
    </row>
    <row r="38" spans="1:19" s="25" customFormat="1" x14ac:dyDescent="0.2">
      <c r="A38" s="25" t="s">
        <v>44</v>
      </c>
      <c r="B38" s="21">
        <f>'Rate Class Customer Model'!F14</f>
        <v>5572</v>
      </c>
      <c r="C38" s="21">
        <f>'Rate Class Customer Model'!F15</f>
        <v>5574</v>
      </c>
      <c r="D38" s="21">
        <f>'Rate Class Customer Model'!F16</f>
        <v>5574</v>
      </c>
      <c r="E38" s="120">
        <f>'Rate Class Customer Model'!F17</f>
        <v>5574</v>
      </c>
      <c r="F38" s="120">
        <f>+'Rate Class Customer Model'!F18</f>
        <v>5419</v>
      </c>
      <c r="G38" s="120">
        <f>+'Rate Class Customer Model'!F19</f>
        <v>5422</v>
      </c>
      <c r="H38" s="120">
        <f>+'Rate Class Customer Model'!F20</f>
        <v>5424</v>
      </c>
      <c r="I38" s="120">
        <f>+'Rate Class Customer Model'!F21</f>
        <v>5424</v>
      </c>
      <c r="J38" s="120">
        <f>+'Rate Class Customer Model'!F22</f>
        <v>5424</v>
      </c>
      <c r="K38" s="120">
        <f>+'Rate Class Customer Model'!F23</f>
        <v>5424</v>
      </c>
      <c r="L38" s="279">
        <f>+'Rate Class Customer Model'!F24</f>
        <v>5424</v>
      </c>
      <c r="M38" s="279">
        <f>+'Rate Class Customer Model'!F25</f>
        <v>5424</v>
      </c>
      <c r="N38" s="120"/>
      <c r="O38" s="145"/>
      <c r="Q38" s="119"/>
    </row>
    <row r="39" spans="1:19" s="25" customFormat="1" x14ac:dyDescent="0.2">
      <c r="A39" s="25" t="s">
        <v>45</v>
      </c>
      <c r="B39" s="21">
        <f>'Rate Class Energy Model'!L11</f>
        <v>3324190.13</v>
      </c>
      <c r="C39" s="21">
        <f>'Rate Class Energy Model'!L12</f>
        <v>3204122.67</v>
      </c>
      <c r="D39" s="21">
        <f>'Rate Class Energy Model'!L13</f>
        <v>2790238.49</v>
      </c>
      <c r="E39" s="120">
        <f>+'Rate Class Energy Model'!L14</f>
        <v>2348268.23</v>
      </c>
      <c r="F39" s="120">
        <f>+'Rate Class Energy Model'!L15</f>
        <v>2026565.8900000001</v>
      </c>
      <c r="G39" s="120">
        <f>+'Rate Class Energy Model'!L16</f>
        <v>2036368.7200000002</v>
      </c>
      <c r="H39" s="120">
        <f>+'Rate Class Energy Model'!L17</f>
        <v>2042501.58</v>
      </c>
      <c r="I39" s="120">
        <f>+'Rate Class Energy Model'!L18</f>
        <v>2036368.7200000002</v>
      </c>
      <c r="J39" s="120">
        <f>+'Rate Class Energy Model'!L19</f>
        <v>2031595.1800000002</v>
      </c>
      <c r="K39" s="120">
        <f>+'Rate Class Energy Model'!L20</f>
        <v>2036368.7200000002</v>
      </c>
      <c r="L39" s="279">
        <f>+'Rate Class Energy Model'!L71</f>
        <v>2036368.7200000002</v>
      </c>
      <c r="M39" s="279">
        <f>+'Rate Class Energy Model'!L72</f>
        <v>2036368.7200000002</v>
      </c>
      <c r="N39" s="120"/>
      <c r="O39" s="56"/>
      <c r="Q39" s="119"/>
    </row>
    <row r="40" spans="1:19" s="25" customFormat="1" x14ac:dyDescent="0.2">
      <c r="A40" s="25" t="s">
        <v>46</v>
      </c>
      <c r="B40" s="21">
        <f>'Rate Class Load Model'!D13</f>
        <v>9284.76</v>
      </c>
      <c r="C40" s="21">
        <f>'Rate Class Load Model'!D14</f>
        <v>9041.75</v>
      </c>
      <c r="D40" s="21">
        <f>'Rate Class Load Model'!D15</f>
        <v>7788</v>
      </c>
      <c r="E40" s="120">
        <f>+'Rate Class Load Model'!D16</f>
        <v>6559.4</v>
      </c>
      <c r="F40" s="120">
        <f>+'Rate Class Load Model'!D17</f>
        <v>5677.1200000000008</v>
      </c>
      <c r="G40" s="254">
        <f>+'Rate Class Load Model'!D18</f>
        <v>5690.27</v>
      </c>
      <c r="H40" s="120">
        <f>+'Rate Class Load Model'!D19</f>
        <v>5690.28</v>
      </c>
      <c r="I40" s="120">
        <f>+'Rate Class Load Model'!D20</f>
        <v>5690.28</v>
      </c>
      <c r="J40" s="120">
        <f>+'Rate Class Load Model'!D21</f>
        <v>5690.28</v>
      </c>
      <c r="K40" s="120">
        <f>+'Rate Class Load Model'!D22</f>
        <v>5690.28</v>
      </c>
      <c r="L40" s="279">
        <f>+'Rate Class Load Model'!D23</f>
        <v>5690.28</v>
      </c>
      <c r="M40" s="279">
        <f>+'Rate Class Load Model'!D24</f>
        <v>5690.28</v>
      </c>
      <c r="N40" s="120"/>
      <c r="O40" s="157"/>
    </row>
    <row r="41" spans="1:19" s="25" customFormat="1" x14ac:dyDescent="0.2">
      <c r="B41" s="27"/>
      <c r="C41" s="27"/>
      <c r="D41" s="27"/>
      <c r="E41" s="26"/>
      <c r="F41" s="26"/>
      <c r="G41" s="26"/>
      <c r="H41" s="26"/>
      <c r="I41" s="26"/>
      <c r="J41" s="26"/>
      <c r="K41" s="26"/>
      <c r="L41" s="173"/>
      <c r="M41" s="173"/>
      <c r="N41" s="145"/>
      <c r="O41" s="145"/>
    </row>
    <row r="42" spans="1:19" s="25" customFormat="1" x14ac:dyDescent="0.2">
      <c r="A42" s="155" t="str">
        <f>'Rate Class Energy Model'!M2</f>
        <v>Sentinel Lighting</v>
      </c>
      <c r="B42" s="27"/>
      <c r="C42" s="27"/>
      <c r="D42" s="27"/>
      <c r="E42" s="26"/>
      <c r="F42" s="26"/>
      <c r="G42" s="26"/>
      <c r="H42" s="26"/>
      <c r="I42" s="26"/>
      <c r="J42" s="26"/>
      <c r="K42" s="26"/>
      <c r="L42" s="173"/>
      <c r="M42" s="173"/>
      <c r="N42" s="145"/>
      <c r="O42" s="145"/>
    </row>
    <row r="43" spans="1:19" s="25" customFormat="1" x14ac:dyDescent="0.2">
      <c r="A43" s="25" t="s">
        <v>47</v>
      </c>
      <c r="B43" s="21">
        <f>'Rate Class Customer Model'!G14</f>
        <v>509</v>
      </c>
      <c r="C43" s="21">
        <f>'Rate Class Customer Model'!G15</f>
        <v>474</v>
      </c>
      <c r="D43" s="21">
        <f>'Rate Class Customer Model'!G16</f>
        <v>447</v>
      </c>
      <c r="E43" s="120">
        <f>'Rate Class Customer Model'!G17</f>
        <v>427</v>
      </c>
      <c r="F43" s="120">
        <f>+'Rate Class Customer Model'!G18</f>
        <v>427</v>
      </c>
      <c r="G43" s="120">
        <f>+'Rate Class Customer Model'!G19</f>
        <v>402</v>
      </c>
      <c r="H43" s="120">
        <f>+'Rate Class Customer Model'!G20</f>
        <v>444</v>
      </c>
      <c r="I43" s="120">
        <f>+'Rate Class Customer Model'!G21</f>
        <v>436</v>
      </c>
      <c r="J43" s="120">
        <f>+'Rate Class Customer Model'!G22</f>
        <v>425</v>
      </c>
      <c r="K43" s="120">
        <f>+'Rate Class Customer Model'!G23</f>
        <v>417</v>
      </c>
      <c r="L43" s="279">
        <f>+'Rate Class Customer Model'!G24</f>
        <v>408</v>
      </c>
      <c r="M43" s="279">
        <f>+'Rate Class Customer Model'!G25</f>
        <v>400</v>
      </c>
      <c r="N43" s="120"/>
      <c r="O43" s="145"/>
    </row>
    <row r="44" spans="1:19" s="25" customFormat="1" x14ac:dyDescent="0.2">
      <c r="A44" s="25" t="s">
        <v>45</v>
      </c>
      <c r="B44" s="21">
        <f>'Rate Class Energy Model'!M11</f>
        <v>569407.56999999995</v>
      </c>
      <c r="C44" s="21">
        <f>'Rate Class Energy Model'!M12</f>
        <v>481664.12000000005</v>
      </c>
      <c r="D44" s="21">
        <f>'Rate Class Energy Model'!M13</f>
        <v>487759.49</v>
      </c>
      <c r="E44" s="120">
        <f>+'Rate Class Energy Model'!M14</f>
        <v>443950.62000000069</v>
      </c>
      <c r="F44" s="120">
        <f>+'Rate Class Energy Model'!M15</f>
        <v>423992.64000000048</v>
      </c>
      <c r="G44" s="120">
        <f>+'Rate Class Energy Model'!M16</f>
        <v>373880.03000000049</v>
      </c>
      <c r="H44" s="120">
        <f>+'Rate Class Energy Model'!M17</f>
        <v>156291.07</v>
      </c>
      <c r="I44" s="120">
        <f>+'Rate Class Energy Model'!M18</f>
        <v>129075.95999999989</v>
      </c>
      <c r="J44" s="120">
        <f>+'Rate Class Energy Model'!M19</f>
        <v>124703.3299999999</v>
      </c>
      <c r="K44" s="120">
        <f>+'Rate Class Energy Model'!M20</f>
        <v>122420.49</v>
      </c>
      <c r="L44" s="281">
        <f>'Rate Class Energy Model'!M71</f>
        <v>119778.32115107913</v>
      </c>
      <c r="M44" s="281">
        <f>+'Rate Class Energy Model'!M72</f>
        <v>117429.72661870504</v>
      </c>
      <c r="N44" s="120"/>
      <c r="O44" s="56"/>
    </row>
    <row r="45" spans="1:19" s="25" customFormat="1" x14ac:dyDescent="0.2">
      <c r="A45" s="25" t="s">
        <v>46</v>
      </c>
      <c r="B45" s="21">
        <f>'Rate Class Load Model'!E13</f>
        <v>1541.04</v>
      </c>
      <c r="C45" s="21">
        <f>'Rate Class Load Model'!E14</f>
        <v>1286.7100000000016</v>
      </c>
      <c r="D45" s="21">
        <f>'Rate Class Load Model'!E15</f>
        <v>1601</v>
      </c>
      <c r="E45" s="120">
        <f>+'Rate Class Load Model'!E16</f>
        <v>1224.070000000002</v>
      </c>
      <c r="F45" s="120">
        <f>+'Rate Class Load Model'!E17</f>
        <v>1178.6100000000022</v>
      </c>
      <c r="G45" s="120">
        <f>+'Rate Class Load Model'!E18</f>
        <v>1033.7400000000014</v>
      </c>
      <c r="H45" s="120">
        <f>+'Rate Class Load Model'!E19</f>
        <v>406.11999999999938</v>
      </c>
      <c r="I45" s="120">
        <f>+'Rate Class Load Model'!E20</f>
        <v>329.73999999999944</v>
      </c>
      <c r="J45" s="120">
        <f>+'Rate Class Load Model'!E21</f>
        <v>315.71999999999952</v>
      </c>
      <c r="K45" s="120">
        <f>+'Rate Class Load Model'!E22</f>
        <v>310.34000000000003</v>
      </c>
      <c r="L45" s="279">
        <f>+'Rate Class Load Model'!E23</f>
        <v>304.29369952634471</v>
      </c>
      <c r="M45" s="279">
        <f>+'Rate Class Load Model'!E24</f>
        <v>298.32715639837716</v>
      </c>
      <c r="N45" s="120"/>
      <c r="O45" s="157"/>
    </row>
    <row r="46" spans="1:19" s="25" customFormat="1" x14ac:dyDescent="0.2">
      <c r="B46" s="27"/>
      <c r="C46" s="27"/>
      <c r="D46" s="27"/>
      <c r="E46" s="26"/>
      <c r="F46" s="26"/>
      <c r="G46" s="26"/>
      <c r="H46" s="26"/>
      <c r="I46" s="26"/>
      <c r="J46" s="26"/>
      <c r="K46" s="26"/>
      <c r="L46" s="280"/>
      <c r="M46" s="173"/>
      <c r="N46" s="145"/>
      <c r="O46" s="145"/>
    </row>
    <row r="47" spans="1:19" s="25" customFormat="1" x14ac:dyDescent="0.2">
      <c r="A47" s="155" t="str">
        <f>'Rate Class Energy Model'!N2</f>
        <v xml:space="preserve">Unmetered Scattered Load </v>
      </c>
      <c r="B47" s="27"/>
      <c r="C47" s="27"/>
      <c r="D47" s="27"/>
      <c r="E47" s="26"/>
      <c r="F47" s="26"/>
      <c r="G47" s="26"/>
      <c r="H47" s="26"/>
      <c r="I47" s="26"/>
      <c r="J47" s="26"/>
      <c r="K47" s="26"/>
      <c r="L47" s="173"/>
      <c r="M47" s="173"/>
      <c r="N47" s="145"/>
      <c r="O47" s="145"/>
    </row>
    <row r="48" spans="1:19" s="25" customFormat="1" x14ac:dyDescent="0.2">
      <c r="A48" s="25" t="s">
        <v>62</v>
      </c>
      <c r="B48" s="21">
        <f>'Rate Class Customer Model'!H14</f>
        <v>19</v>
      </c>
      <c r="C48" s="21">
        <f>'Rate Class Customer Model'!H15</f>
        <v>18</v>
      </c>
      <c r="D48" s="21">
        <f>'Rate Class Customer Model'!H16</f>
        <v>17</v>
      </c>
      <c r="E48" s="120">
        <f>'Rate Class Customer Model'!H17</f>
        <v>15</v>
      </c>
      <c r="F48" s="120">
        <f>+'Rate Class Customer Model'!H18</f>
        <v>11</v>
      </c>
      <c r="G48" s="120">
        <f>+'Rate Class Customer Model'!H19</f>
        <v>10</v>
      </c>
      <c r="H48" s="120">
        <f>+'Rate Class Customer Model'!H20</f>
        <v>10</v>
      </c>
      <c r="I48" s="120">
        <f>+'Rate Class Customer Model'!H21</f>
        <v>10</v>
      </c>
      <c r="J48" s="120">
        <f>+'Rate Class Customer Model'!H22</f>
        <v>10</v>
      </c>
      <c r="K48" s="120">
        <f>+'Rate Class Customer Model'!H23</f>
        <v>9</v>
      </c>
      <c r="L48" s="279">
        <f>+'Rate Class Customer Model'!H24</f>
        <v>9</v>
      </c>
      <c r="M48" s="279">
        <f>+'Rate Class Customer Model'!H25</f>
        <v>9</v>
      </c>
      <c r="N48" s="120"/>
      <c r="O48" s="27"/>
    </row>
    <row r="49" spans="1:15" s="25" customFormat="1" x14ac:dyDescent="0.2">
      <c r="A49" s="25" t="s">
        <v>45</v>
      </c>
      <c r="B49" s="21">
        <f>'Rate Class Energy Model'!N11</f>
        <v>165123.38</v>
      </c>
      <c r="C49" s="21">
        <f>'Rate Class Energy Model'!N12</f>
        <v>84073.43</v>
      </c>
      <c r="D49" s="21">
        <f>'Rate Class Energy Model'!N13</f>
        <v>88774.489999999976</v>
      </c>
      <c r="E49" s="120">
        <f>+'Rate Class Energy Model'!N14</f>
        <v>89084.169999999984</v>
      </c>
      <c r="F49" s="120">
        <f>+'Rate Class Energy Model'!N15</f>
        <v>50609.549999999988</v>
      </c>
      <c r="G49" s="120">
        <f>+'Rate Class Energy Model'!N16</f>
        <v>42933.59</v>
      </c>
      <c r="H49" s="120">
        <f>+'Rate Class Energy Model'!N17</f>
        <v>42933.55999999999</v>
      </c>
      <c r="I49" s="120">
        <f>+'Rate Class Energy Model'!N18</f>
        <v>42933.589999999989</v>
      </c>
      <c r="J49" s="120">
        <f>+'Rate Class Energy Model'!N19</f>
        <v>42072.619999999988</v>
      </c>
      <c r="K49" s="120">
        <f>+'Rate Class Energy Model'!N20</f>
        <v>39489.699999999997</v>
      </c>
      <c r="L49" s="279">
        <f>+'Rate Class Energy Model'!N71</f>
        <v>39489.699999999997</v>
      </c>
      <c r="M49" s="279">
        <f>+'Rate Class Energy Model'!N72</f>
        <v>39489.699999999997</v>
      </c>
      <c r="N49" s="120"/>
      <c r="O49" s="56"/>
    </row>
    <row r="50" spans="1:15" s="25" customFormat="1" x14ac:dyDescent="0.2">
      <c r="B50" s="27"/>
      <c r="C50" s="27"/>
      <c r="D50" s="27"/>
      <c r="E50" s="26"/>
      <c r="F50" s="26"/>
      <c r="G50" s="26"/>
      <c r="H50" s="26"/>
      <c r="I50" s="26"/>
      <c r="J50" s="26"/>
      <c r="K50" s="26"/>
      <c r="L50" s="173"/>
      <c r="M50" s="173"/>
      <c r="N50" s="145"/>
      <c r="O50" s="145"/>
    </row>
    <row r="51" spans="1:15" x14ac:dyDescent="0.2">
      <c r="A51" s="35" t="s">
        <v>10</v>
      </c>
      <c r="B51" s="27"/>
      <c r="C51" s="27"/>
      <c r="D51" s="27"/>
      <c r="E51" s="26"/>
      <c r="F51" s="26"/>
      <c r="G51" s="26"/>
      <c r="H51" s="26"/>
      <c r="I51" s="26"/>
      <c r="J51" s="26"/>
      <c r="K51" s="26"/>
      <c r="L51" s="173"/>
      <c r="M51" s="173"/>
      <c r="N51" s="56"/>
    </row>
    <row r="52" spans="1:15" x14ac:dyDescent="0.2">
      <c r="A52" t="s">
        <v>49</v>
      </c>
      <c r="B52" s="21">
        <f t="shared" ref="B52" si="2">B20+B24+B28+B33+B38+B43+B48</f>
        <v>29956</v>
      </c>
      <c r="C52" s="21">
        <f t="shared" ref="C52:E53" si="3">C20+C24+C28+C33+C38+C43+C48</f>
        <v>30055</v>
      </c>
      <c r="D52" s="21">
        <f t="shared" si="3"/>
        <v>30013</v>
      </c>
      <c r="E52" s="120">
        <f t="shared" si="3"/>
        <v>30030</v>
      </c>
      <c r="F52" s="120">
        <f t="shared" ref="F52:K52" si="4">F20+F24+F28+F33+F38+F43+F48</f>
        <v>29885</v>
      </c>
      <c r="G52" s="120">
        <f t="shared" si="4"/>
        <v>29857</v>
      </c>
      <c r="H52" s="120">
        <f t="shared" si="4"/>
        <v>29964</v>
      </c>
      <c r="I52" s="120">
        <f t="shared" si="4"/>
        <v>29977</v>
      </c>
      <c r="J52" s="120">
        <f t="shared" si="4"/>
        <v>30001</v>
      </c>
      <c r="K52" s="120">
        <f t="shared" si="4"/>
        <v>30047</v>
      </c>
      <c r="L52" s="167">
        <f>L20+L24+L28+L33+L38+L43+L48</f>
        <v>30075</v>
      </c>
      <c r="M52" s="167">
        <f>M20+M24+M28+M33+M38+M43+M48</f>
        <v>30104</v>
      </c>
      <c r="N52" s="120"/>
    </row>
    <row r="53" spans="1:15" x14ac:dyDescent="0.2">
      <c r="A53" t="s">
        <v>45</v>
      </c>
      <c r="B53" s="21">
        <f t="shared" ref="B53" si="5">B21+B25+B29+B34+B39+B44+B49</f>
        <v>566701778.33999741</v>
      </c>
      <c r="C53" s="21">
        <f t="shared" si="3"/>
        <v>564905304.29000294</v>
      </c>
      <c r="D53" s="21">
        <f t="shared" si="3"/>
        <v>548341092.05000055</v>
      </c>
      <c r="E53" s="120">
        <f t="shared" si="3"/>
        <v>548196762.3900007</v>
      </c>
      <c r="F53" s="120">
        <f t="shared" ref="F53:K53" si="6">F21+F25+F29+F34+F39+F44+F49</f>
        <v>537983045.77000117</v>
      </c>
      <c r="G53" s="120">
        <f t="shared" si="6"/>
        <v>516728999.29000038</v>
      </c>
      <c r="H53" s="120">
        <f t="shared" si="6"/>
        <v>488765497.17000061</v>
      </c>
      <c r="I53" s="120">
        <f t="shared" si="6"/>
        <v>482398546.16000038</v>
      </c>
      <c r="J53" s="120">
        <f t="shared" si="6"/>
        <v>496980971.10999972</v>
      </c>
      <c r="K53" s="120">
        <f t="shared" si="6"/>
        <v>495761810.37999994</v>
      </c>
      <c r="L53" s="167">
        <f>L21+L25+L29+L34+L39+L44+L49</f>
        <v>493095328.33527148</v>
      </c>
      <c r="M53" s="167">
        <f>M21+M25+M29+M34+M39+M44+M49</f>
        <v>492266508.87026399</v>
      </c>
      <c r="N53" s="120"/>
      <c r="O53" s="42"/>
    </row>
    <row r="54" spans="1:15" x14ac:dyDescent="0.2">
      <c r="A54" t="s">
        <v>48</v>
      </c>
      <c r="B54" s="21">
        <f t="shared" ref="B54:M54" si="7">B30+B35+B40+B45</f>
        <v>677088.56</v>
      </c>
      <c r="C54" s="21">
        <f t="shared" si="7"/>
        <v>663747.66999999993</v>
      </c>
      <c r="D54" s="21">
        <f t="shared" si="7"/>
        <v>618838</v>
      </c>
      <c r="E54" s="120">
        <f t="shared" si="7"/>
        <v>612544.31999999972</v>
      </c>
      <c r="F54" s="120">
        <f t="shared" ref="F54:K54" si="8">F30+F35+F40+F45</f>
        <v>594588.65</v>
      </c>
      <c r="G54" s="120">
        <f t="shared" si="8"/>
        <v>584087.73000000021</v>
      </c>
      <c r="H54" s="120">
        <f t="shared" si="8"/>
        <v>571174.13000000012</v>
      </c>
      <c r="I54" s="120">
        <f t="shared" si="8"/>
        <v>565277.37999999989</v>
      </c>
      <c r="J54" s="120">
        <f t="shared" si="8"/>
        <v>558524.51</v>
      </c>
      <c r="K54" s="120">
        <f t="shared" si="8"/>
        <v>558570.17999999993</v>
      </c>
      <c r="L54" s="167">
        <f t="shared" si="7"/>
        <v>555942.3213121756</v>
      </c>
      <c r="M54" s="167">
        <f t="shared" si="7"/>
        <v>550371.01152596145</v>
      </c>
      <c r="N54" s="120"/>
      <c r="O54" s="254"/>
    </row>
    <row r="55" spans="1:15" x14ac:dyDescent="0.2">
      <c r="B55" s="27"/>
      <c r="C55" s="27"/>
      <c r="D55" s="27"/>
      <c r="E55" s="26"/>
      <c r="F55" s="26"/>
      <c r="G55" s="26"/>
      <c r="H55" s="26"/>
      <c r="I55" s="26"/>
      <c r="J55" s="26"/>
      <c r="K55" s="26"/>
      <c r="L55" s="173"/>
      <c r="M55" s="173"/>
      <c r="N55" s="56"/>
    </row>
    <row r="56" spans="1:15" s="149" customFormat="1" x14ac:dyDescent="0.2">
      <c r="A56" s="149" t="s">
        <v>59</v>
      </c>
      <c r="B56" s="152">
        <f>'Rate Class Customer Model'!I14-B52</f>
        <v>0</v>
      </c>
      <c r="C56" s="152">
        <f>'Rate Class Customer Model'!I15-C52</f>
        <v>0</v>
      </c>
      <c r="D56" s="152">
        <f>'Rate Class Customer Model'!I16-D52</f>
        <v>0</v>
      </c>
      <c r="E56" s="152">
        <f>'Rate Class Customer Model'!$I17-E52</f>
        <v>0</v>
      </c>
      <c r="F56" s="152">
        <f>'Rate Class Customer Model'!$I18-F52</f>
        <v>0</v>
      </c>
      <c r="G56" s="152">
        <f>'Rate Class Customer Model'!$I19-G52</f>
        <v>0</v>
      </c>
      <c r="H56" s="152">
        <f>'Rate Class Customer Model'!$I20-H52</f>
        <v>0</v>
      </c>
      <c r="I56" s="152">
        <f>'Rate Class Customer Model'!$I21-I52</f>
        <v>0</v>
      </c>
      <c r="J56" s="152">
        <f>'Rate Class Customer Model'!$I22-J52</f>
        <v>0</v>
      </c>
      <c r="K56" s="152">
        <f>'Rate Class Customer Model'!$I23-K52</f>
        <v>0</v>
      </c>
      <c r="L56" s="152">
        <f>'Rate Class Customer Model'!$I24-L52</f>
        <v>0</v>
      </c>
      <c r="M56" s="152">
        <f>'Rate Class Customer Model'!$I25-M52</f>
        <v>0</v>
      </c>
      <c r="N56" s="153"/>
    </row>
    <row r="57" spans="1:15" s="149" customFormat="1" x14ac:dyDescent="0.2">
      <c r="B57" s="152">
        <f>'Rate Class Energy Model'!G11-B53</f>
        <v>0</v>
      </c>
      <c r="C57" s="152">
        <f>'Rate Class Energy Model'!G12-C53</f>
        <v>0</v>
      </c>
      <c r="D57" s="152">
        <f>'Rate Class Energy Model'!G13-D53</f>
        <v>0</v>
      </c>
      <c r="E57" s="152">
        <f>'Rate Class Energy Model'!$G$14-E53</f>
        <v>0</v>
      </c>
      <c r="F57" s="152">
        <f>'Rate Class Energy Model'!$G$15-F53</f>
        <v>0</v>
      </c>
      <c r="G57" s="152">
        <f>'Rate Class Energy Model'!$G$16-G53</f>
        <v>0</v>
      </c>
      <c r="H57" s="152">
        <f>'Rate Class Energy Model'!$G$17-H53</f>
        <v>0</v>
      </c>
      <c r="I57" s="152">
        <f>'Rate Class Energy Model'!$G$18-I53</f>
        <v>0</v>
      </c>
      <c r="J57" s="152">
        <f>'Rate Class Energy Model'!$G$19-J53</f>
        <v>0</v>
      </c>
      <c r="K57" s="152">
        <f>'Rate Class Energy Model'!$G$20-K53</f>
        <v>0</v>
      </c>
      <c r="L57" s="152">
        <f>'Rate Class Energy Model'!O71-L53</f>
        <v>0</v>
      </c>
      <c r="M57" s="152">
        <f>'Rate Class Energy Model'!O72-M53</f>
        <v>0</v>
      </c>
      <c r="N57" s="153"/>
    </row>
    <row r="58" spans="1:15" s="149" customFormat="1" x14ac:dyDescent="0.2">
      <c r="B58" s="152">
        <f>'Rate Class Load Model'!F13-B54</f>
        <v>0</v>
      </c>
      <c r="C58" s="152">
        <f>'Rate Class Load Model'!F14-C54</f>
        <v>0</v>
      </c>
      <c r="D58" s="152">
        <f>'Rate Class Load Model'!F15-D54</f>
        <v>0</v>
      </c>
      <c r="E58" s="152">
        <f>'Rate Class Load Model'!$F$16-E54</f>
        <v>0</v>
      </c>
      <c r="F58" s="152">
        <f>'Rate Class Load Model'!$F$17-F54</f>
        <v>0</v>
      </c>
      <c r="G58" s="152">
        <f>'Rate Class Load Model'!$F$18-G54</f>
        <v>0</v>
      </c>
      <c r="H58" s="152">
        <f>'Rate Class Load Model'!$F$19-H54</f>
        <v>0</v>
      </c>
      <c r="I58" s="152">
        <f>'Rate Class Load Model'!$F$20-I54</f>
        <v>0</v>
      </c>
      <c r="J58" s="152">
        <f>'Rate Class Load Model'!$F$21-J54</f>
        <v>0</v>
      </c>
      <c r="K58" s="152">
        <f>'Rate Class Load Model'!$F$22-K54</f>
        <v>0</v>
      </c>
      <c r="L58" s="170">
        <f>'Rate Class Load Model'!F23-L54</f>
        <v>0</v>
      </c>
      <c r="M58" s="170">
        <f>'Rate Class Load Model'!F24-M54</f>
        <v>0</v>
      </c>
      <c r="N58" s="153"/>
    </row>
    <row r="59" spans="1:15" x14ac:dyDescent="0.2">
      <c r="B59" s="27"/>
      <c r="C59" s="27"/>
      <c r="D59" s="27"/>
      <c r="E59" s="26"/>
      <c r="F59" s="26"/>
      <c r="G59" s="26"/>
      <c r="H59" s="26"/>
      <c r="I59" s="26"/>
      <c r="J59" s="26"/>
      <c r="K59" s="26"/>
      <c r="L59" s="173"/>
      <c r="M59" s="173"/>
      <c r="N59" s="56"/>
    </row>
    <row r="60" spans="1:15" x14ac:dyDescent="0.2">
      <c r="A60" t="s">
        <v>119</v>
      </c>
      <c r="B60" s="21">
        <f t="shared" ref="B60" si="9">+B20+B24+B28+B33+1+21</f>
        <v>23878</v>
      </c>
      <c r="C60" s="21">
        <f>+C20+C24+C28+C33+1+21</f>
        <v>24011</v>
      </c>
      <c r="D60" s="21">
        <f>+D20+D24+D28+D33</f>
        <v>23975</v>
      </c>
      <c r="E60" s="120">
        <f>+E20+E24+E28+E33</f>
        <v>24014</v>
      </c>
      <c r="F60" s="120">
        <f t="shared" ref="F60:K60" si="10">+F20+F24+F28+F33</f>
        <v>24028</v>
      </c>
      <c r="G60" s="120">
        <f t="shared" si="10"/>
        <v>24023</v>
      </c>
      <c r="H60" s="120">
        <f t="shared" si="10"/>
        <v>24086</v>
      </c>
      <c r="I60" s="120">
        <f t="shared" si="10"/>
        <v>24107</v>
      </c>
      <c r="J60" s="120">
        <f t="shared" si="10"/>
        <v>24142</v>
      </c>
      <c r="K60" s="120">
        <f t="shared" si="10"/>
        <v>24197</v>
      </c>
      <c r="L60" s="167">
        <f>+L20+L24+L28+L33</f>
        <v>24234</v>
      </c>
      <c r="M60" s="167">
        <f>+M20+M24+M28+M33</f>
        <v>24271</v>
      </c>
    </row>
    <row r="61" spans="1:15" x14ac:dyDescent="0.2">
      <c r="A61" t="s">
        <v>120</v>
      </c>
      <c r="B61" s="21">
        <v>1</v>
      </c>
      <c r="C61" s="21">
        <v>1</v>
      </c>
      <c r="D61" s="21">
        <v>1</v>
      </c>
      <c r="E61" s="21">
        <v>1</v>
      </c>
      <c r="F61" s="21">
        <v>1</v>
      </c>
      <c r="G61" s="21">
        <v>1</v>
      </c>
      <c r="H61" s="21">
        <v>1</v>
      </c>
      <c r="I61" s="21">
        <v>1</v>
      </c>
      <c r="J61" s="21">
        <v>1</v>
      </c>
      <c r="K61" s="21">
        <v>1</v>
      </c>
      <c r="L61" s="165">
        <v>1</v>
      </c>
      <c r="M61" s="165">
        <v>1</v>
      </c>
    </row>
    <row r="62" spans="1:15" x14ac:dyDescent="0.2">
      <c r="A62" t="s">
        <v>121</v>
      </c>
      <c r="B62" s="21">
        <v>263</v>
      </c>
      <c r="C62" s="21">
        <v>263</v>
      </c>
      <c r="D62" s="120">
        <v>263</v>
      </c>
      <c r="E62" s="120">
        <v>263</v>
      </c>
      <c r="F62" s="120"/>
      <c r="G62" s="120"/>
      <c r="H62" s="120"/>
      <c r="I62" s="120"/>
      <c r="J62" s="120"/>
      <c r="K62" s="120"/>
      <c r="L62" s="167"/>
      <c r="M62" s="167"/>
    </row>
    <row r="63" spans="1:15" x14ac:dyDescent="0.2">
      <c r="A63" t="s">
        <v>122</v>
      </c>
      <c r="B63" s="21">
        <v>21</v>
      </c>
      <c r="C63" s="21">
        <v>21</v>
      </c>
      <c r="D63" s="21">
        <f>D48</f>
        <v>17</v>
      </c>
      <c r="E63" s="21">
        <f>E48</f>
        <v>15</v>
      </c>
      <c r="F63" s="21">
        <f t="shared" ref="F63:K63" si="11">F48</f>
        <v>11</v>
      </c>
      <c r="G63" s="21">
        <f t="shared" si="11"/>
        <v>10</v>
      </c>
      <c r="H63" s="21">
        <f t="shared" si="11"/>
        <v>10</v>
      </c>
      <c r="I63" s="21">
        <f t="shared" si="11"/>
        <v>10</v>
      </c>
      <c r="J63" s="21">
        <f t="shared" si="11"/>
        <v>10</v>
      </c>
      <c r="K63" s="21">
        <f t="shared" si="11"/>
        <v>9</v>
      </c>
      <c r="L63" s="165">
        <f>L48</f>
        <v>9</v>
      </c>
      <c r="M63" s="165">
        <f>M48</f>
        <v>9</v>
      </c>
    </row>
    <row r="64" spans="1:15" ht="13.5" thickBot="1" x14ac:dyDescent="0.25">
      <c r="B64" s="146">
        <f t="shared" ref="B64:D64" si="12">SUM(B60:B63)</f>
        <v>24163</v>
      </c>
      <c r="C64" s="146">
        <f t="shared" si="12"/>
        <v>24296</v>
      </c>
      <c r="D64" s="146">
        <f t="shared" si="12"/>
        <v>24256</v>
      </c>
      <c r="E64" s="146">
        <f>SUM(E60:E63)</f>
        <v>24293</v>
      </c>
      <c r="F64" s="146">
        <f t="shared" ref="F64:K64" si="13">SUM(F60:F63)</f>
        <v>24040</v>
      </c>
      <c r="G64" s="146">
        <f t="shared" si="13"/>
        <v>24034</v>
      </c>
      <c r="H64" s="146">
        <f t="shared" si="13"/>
        <v>24097</v>
      </c>
      <c r="I64" s="146">
        <f t="shared" si="13"/>
        <v>24118</v>
      </c>
      <c r="J64" s="146">
        <f t="shared" si="13"/>
        <v>24153</v>
      </c>
      <c r="K64" s="146">
        <f t="shared" si="13"/>
        <v>24207</v>
      </c>
      <c r="L64" s="171">
        <f>SUM(L60:L63)</f>
        <v>24244</v>
      </c>
      <c r="M64" s="171">
        <f>SUM(M60:M63)</f>
        <v>24281</v>
      </c>
    </row>
    <row r="65" spans="1:13" x14ac:dyDescent="0.2">
      <c r="B65" s="6" t="e">
        <f>+B64-#REF!</f>
        <v>#REF!</v>
      </c>
      <c r="C65" s="21">
        <f t="shared" ref="C65:M65" si="14">+C64-B64</f>
        <v>133</v>
      </c>
      <c r="D65" s="21">
        <f t="shared" si="14"/>
        <v>-40</v>
      </c>
      <c r="E65" s="21">
        <f t="shared" si="14"/>
        <v>37</v>
      </c>
      <c r="F65" s="21">
        <f t="shared" ref="F65:K65" si="15">+F64-E64</f>
        <v>-253</v>
      </c>
      <c r="G65" s="21">
        <f t="shared" si="15"/>
        <v>-6</v>
      </c>
      <c r="H65" s="21">
        <f t="shared" si="15"/>
        <v>63</v>
      </c>
      <c r="I65" s="21">
        <f t="shared" si="15"/>
        <v>21</v>
      </c>
      <c r="J65" s="21">
        <f t="shared" si="15"/>
        <v>35</v>
      </c>
      <c r="K65" s="21">
        <f t="shared" si="15"/>
        <v>54</v>
      </c>
      <c r="L65" s="165">
        <f>+L64-E64</f>
        <v>-49</v>
      </c>
      <c r="M65" s="165">
        <f t="shared" si="14"/>
        <v>37</v>
      </c>
    </row>
    <row r="66" spans="1:13" x14ac:dyDescent="0.2">
      <c r="B66" s="17"/>
      <c r="C66" s="17"/>
      <c r="D66" s="21"/>
      <c r="E66" s="21"/>
      <c r="F66" s="21"/>
      <c r="G66" s="21"/>
      <c r="H66" s="21"/>
      <c r="I66" s="21"/>
      <c r="J66" s="21"/>
      <c r="K66" s="21"/>
      <c r="L66" s="165"/>
      <c r="M66" s="165"/>
    </row>
    <row r="67" spans="1:13" x14ac:dyDescent="0.2">
      <c r="A67" s="2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2"/>
      <c r="M67" s="172"/>
    </row>
    <row r="68" spans="1:13" x14ac:dyDescent="0.2">
      <c r="A68" s="2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2"/>
      <c r="M68" s="172"/>
    </row>
    <row r="69" spans="1:13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2"/>
      <c r="M69" s="172"/>
    </row>
    <row r="70" spans="1:13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2"/>
      <c r="M70" s="172"/>
    </row>
    <row r="71" spans="1:13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2"/>
      <c r="M71" s="172"/>
    </row>
    <row r="72" spans="1:13" x14ac:dyDescent="0.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2"/>
      <c r="M72" s="172"/>
    </row>
    <row r="73" spans="1:13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2"/>
      <c r="M73" s="172"/>
    </row>
    <row r="74" spans="1:13" x14ac:dyDescent="0.2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2"/>
      <c r="M74" s="172"/>
    </row>
    <row r="75" spans="1:13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2"/>
      <c r="M75" s="172"/>
    </row>
    <row r="76" spans="1:13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2"/>
      <c r="M76" s="172"/>
    </row>
    <row r="77" spans="1:13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2"/>
      <c r="M77" s="172"/>
    </row>
    <row r="78" spans="1:13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2"/>
      <c r="M78" s="172"/>
    </row>
    <row r="79" spans="1:13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2"/>
      <c r="M79" s="172"/>
    </row>
    <row r="80" spans="1:13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2"/>
      <c r="M80" s="172"/>
    </row>
    <row r="81" spans="2:13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2"/>
      <c r="M81" s="172"/>
    </row>
    <row r="82" spans="2:13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2"/>
      <c r="M82" s="172"/>
    </row>
    <row r="83" spans="2:13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2"/>
      <c r="M83" s="172"/>
    </row>
  </sheetData>
  <phoneticPr fontId="0" type="noConversion"/>
  <pageMargins left="0.39" right="0.26" top="1" bottom="1" header="0.5" footer="0.5"/>
  <pageSetup scale="57" orientation="landscape" r:id="rId1"/>
  <headerFooter alignWithMargins="0">
    <oddFooter>&amp;C&amp;A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H206"/>
  <sheetViews>
    <sheetView topLeftCell="A123" workbookViewId="0">
      <selection activeCell="M198" sqref="M198"/>
    </sheetView>
  </sheetViews>
  <sheetFormatPr defaultColWidth="9.140625" defaultRowHeight="12.75" outlineLevelCol="1" x14ac:dyDescent="0.2"/>
  <cols>
    <col min="1" max="1" width="15" style="121" customWidth="1"/>
    <col min="2" max="2" width="18" style="122" customWidth="1"/>
    <col min="3" max="3" width="11.7109375" style="126" customWidth="1"/>
    <col min="4" max="4" width="13.42578125" style="126" customWidth="1"/>
    <col min="5" max="5" width="10.140625" style="126" customWidth="1"/>
    <col min="6" max="6" width="12.42578125" style="126" customWidth="1"/>
    <col min="7" max="7" width="10.5703125" style="126" hidden="1" customWidth="1" outlineLevel="1"/>
    <col min="8" max="8" width="15.42578125" style="126" bestFit="1" customWidth="1" collapsed="1"/>
    <col min="9" max="9" width="14.42578125" style="27" hidden="1" customWidth="1" outlineLevel="1"/>
    <col min="10" max="10" width="12.42578125" style="17" hidden="1" customWidth="1" outlineLevel="1"/>
    <col min="11" max="11" width="13" style="135" hidden="1" customWidth="1" outlineLevel="1"/>
    <col min="12" max="12" width="17" style="17" customWidth="1" collapsed="1"/>
    <col min="13" max="13" width="12.42578125" style="17" customWidth="1"/>
    <col min="14" max="14" width="23.42578125" style="25" bestFit="1" customWidth="1"/>
    <col min="15" max="15" width="18" style="25" customWidth="1"/>
    <col min="16" max="16" width="20" style="25" customWidth="1"/>
    <col min="17" max="17" width="18" style="25" customWidth="1"/>
    <col min="18" max="18" width="17.140625" style="25" customWidth="1"/>
    <col min="19" max="20" width="15.7109375" style="25" customWidth="1"/>
    <col min="21" max="21" width="14.140625" style="25" bestFit="1" customWidth="1"/>
    <col min="22" max="22" width="11.7109375" style="25" bestFit="1" customWidth="1"/>
    <col min="23" max="23" width="11.85546875" style="25" bestFit="1" customWidth="1"/>
    <col min="24" max="24" width="12.5703125" style="21" customWidth="1"/>
    <col min="25" max="25" width="11.28515625" style="21" customWidth="1"/>
    <col min="26" max="26" width="11.5703125" style="21" customWidth="1"/>
    <col min="27" max="27" width="9.28515625" style="21" customWidth="1"/>
    <col min="28" max="28" width="9.140625" style="21"/>
    <col min="29" max="29" width="11.7109375" style="21" bestFit="1" customWidth="1"/>
    <col min="30" max="30" width="10.7109375" style="21" bestFit="1" customWidth="1"/>
    <col min="31" max="32" width="9.140625" style="21"/>
    <col min="33" max="16384" width="9.140625" style="25"/>
  </cols>
  <sheetData>
    <row r="1" spans="1:26" x14ac:dyDescent="0.2">
      <c r="B1" s="196"/>
      <c r="K1" s="129"/>
    </row>
    <row r="2" spans="1:26" ht="42" customHeight="1" x14ac:dyDescent="0.2">
      <c r="B2" s="230" t="s">
        <v>0</v>
      </c>
      <c r="C2" s="231" t="s">
        <v>4</v>
      </c>
      <c r="D2" s="231" t="s">
        <v>5</v>
      </c>
      <c r="E2" s="231" t="s">
        <v>6</v>
      </c>
      <c r="F2" s="231" t="s">
        <v>18</v>
      </c>
      <c r="G2" s="231" t="s">
        <v>133</v>
      </c>
      <c r="H2" s="231" t="s">
        <v>11</v>
      </c>
      <c r="I2" s="117"/>
      <c r="J2" s="116"/>
      <c r="K2" s="134"/>
      <c r="L2" s="116"/>
      <c r="M2" s="116" t="s">
        <v>140</v>
      </c>
      <c r="X2" s="118"/>
      <c r="Y2" s="118"/>
      <c r="Z2" s="118"/>
    </row>
    <row r="3" spans="1:26" x14ac:dyDescent="0.2">
      <c r="A3" s="272">
        <v>39814</v>
      </c>
      <c r="B3" s="233">
        <v>66435130</v>
      </c>
      <c r="C3" s="234">
        <v>1046.0999999999999</v>
      </c>
      <c r="D3" s="234">
        <v>0</v>
      </c>
      <c r="E3" s="233">
        <v>31</v>
      </c>
      <c r="F3" s="233">
        <v>0</v>
      </c>
      <c r="G3" s="233">
        <v>0</v>
      </c>
      <c r="H3" s="233"/>
      <c r="I3" s="26"/>
      <c r="J3" s="11"/>
      <c r="L3" s="11"/>
      <c r="M3" s="132">
        <f t="shared" ref="M3:M11" si="0">ABS(L3/B3)</f>
        <v>0</v>
      </c>
    </row>
    <row r="4" spans="1:26" x14ac:dyDescent="0.2">
      <c r="A4" s="272">
        <v>39845</v>
      </c>
      <c r="B4" s="233">
        <v>54391300</v>
      </c>
      <c r="C4" s="234">
        <v>773.1</v>
      </c>
      <c r="D4" s="234">
        <v>0</v>
      </c>
      <c r="E4" s="233">
        <v>28</v>
      </c>
      <c r="F4" s="233">
        <v>0</v>
      </c>
      <c r="G4" s="233">
        <v>0</v>
      </c>
      <c r="H4" s="233"/>
      <c r="I4" s="26"/>
      <c r="J4" s="11"/>
      <c r="L4" s="11"/>
      <c r="M4" s="132">
        <f t="shared" si="0"/>
        <v>0</v>
      </c>
    </row>
    <row r="5" spans="1:26" x14ac:dyDescent="0.2">
      <c r="A5" s="272">
        <v>39873</v>
      </c>
      <c r="B5" s="233">
        <v>54188320</v>
      </c>
      <c r="C5" s="234">
        <v>671.1</v>
      </c>
      <c r="D5" s="234">
        <v>0</v>
      </c>
      <c r="E5" s="233">
        <v>31</v>
      </c>
      <c r="F5" s="233">
        <v>1</v>
      </c>
      <c r="G5" s="233">
        <v>0</v>
      </c>
      <c r="H5" s="233"/>
      <c r="I5" s="26"/>
      <c r="J5" s="11"/>
      <c r="L5" s="11"/>
      <c r="M5" s="132">
        <f t="shared" si="0"/>
        <v>0</v>
      </c>
    </row>
    <row r="6" spans="1:26" x14ac:dyDescent="0.2">
      <c r="A6" s="272">
        <v>39904</v>
      </c>
      <c r="B6" s="233">
        <v>45313310</v>
      </c>
      <c r="C6" s="234">
        <v>421.4</v>
      </c>
      <c r="D6" s="234">
        <v>0.09</v>
      </c>
      <c r="E6" s="233">
        <v>30</v>
      </c>
      <c r="F6" s="233">
        <v>1</v>
      </c>
      <c r="G6" s="233">
        <v>0</v>
      </c>
      <c r="H6" s="233"/>
      <c r="I6" s="26"/>
      <c r="J6" s="11"/>
      <c r="L6" s="11"/>
      <c r="M6" s="132">
        <f t="shared" si="0"/>
        <v>0</v>
      </c>
    </row>
    <row r="7" spans="1:26" x14ac:dyDescent="0.2">
      <c r="A7" s="272">
        <v>39934</v>
      </c>
      <c r="B7" s="233">
        <v>40746061.538461536</v>
      </c>
      <c r="C7" s="234">
        <v>257.10000000000002</v>
      </c>
      <c r="D7" s="234">
        <v>0</v>
      </c>
      <c r="E7" s="233">
        <v>31</v>
      </c>
      <c r="F7" s="233">
        <v>1</v>
      </c>
      <c r="G7" s="233">
        <v>0</v>
      </c>
      <c r="H7" s="233"/>
      <c r="I7" s="26"/>
      <c r="J7" s="11"/>
      <c r="L7" s="11"/>
      <c r="M7" s="132">
        <f t="shared" si="0"/>
        <v>0</v>
      </c>
    </row>
    <row r="8" spans="1:26" x14ac:dyDescent="0.2">
      <c r="A8" s="272">
        <v>39965</v>
      </c>
      <c r="B8" s="233">
        <v>41206069.230769232</v>
      </c>
      <c r="C8" s="234">
        <v>85.2</v>
      </c>
      <c r="D8" s="234">
        <v>34.1</v>
      </c>
      <c r="E8" s="233">
        <v>30</v>
      </c>
      <c r="F8" s="233">
        <v>0</v>
      </c>
      <c r="G8" s="233">
        <v>0</v>
      </c>
      <c r="H8" s="233"/>
      <c r="I8" s="26"/>
      <c r="J8" s="11"/>
      <c r="L8" s="11"/>
      <c r="M8" s="132">
        <f t="shared" si="0"/>
        <v>0</v>
      </c>
    </row>
    <row r="9" spans="1:26" x14ac:dyDescent="0.2">
      <c r="A9" s="272">
        <v>39995</v>
      </c>
      <c r="B9" s="233">
        <v>41748515.384615384</v>
      </c>
      <c r="C9" s="234">
        <v>46.3</v>
      </c>
      <c r="D9" s="234">
        <v>13.6</v>
      </c>
      <c r="E9" s="233">
        <v>31</v>
      </c>
      <c r="F9" s="233">
        <v>0</v>
      </c>
      <c r="G9" s="233">
        <v>0</v>
      </c>
      <c r="H9" s="233"/>
      <c r="I9" s="26"/>
      <c r="J9" s="11"/>
      <c r="L9" s="11"/>
      <c r="M9" s="132">
        <f t="shared" si="0"/>
        <v>0</v>
      </c>
    </row>
    <row r="10" spans="1:26" x14ac:dyDescent="0.2">
      <c r="A10" s="272">
        <v>40026</v>
      </c>
      <c r="B10" s="233">
        <v>42834530.769230768</v>
      </c>
      <c r="C10" s="234">
        <v>60.9</v>
      </c>
      <c r="D10" s="234">
        <v>35.6</v>
      </c>
      <c r="E10" s="233">
        <v>31</v>
      </c>
      <c r="F10" s="233">
        <v>0</v>
      </c>
      <c r="G10" s="233">
        <v>0</v>
      </c>
      <c r="H10" s="233"/>
      <c r="I10" s="26"/>
      <c r="J10" s="11"/>
      <c r="L10" s="11"/>
      <c r="M10" s="132">
        <f t="shared" si="0"/>
        <v>0</v>
      </c>
    </row>
    <row r="11" spans="1:26" x14ac:dyDescent="0.2">
      <c r="A11" s="272">
        <v>40057</v>
      </c>
      <c r="B11" s="233">
        <v>40869246.153846152</v>
      </c>
      <c r="C11" s="234">
        <v>126.2</v>
      </c>
      <c r="D11" s="234">
        <v>4.9000000000000004</v>
      </c>
      <c r="E11" s="233">
        <v>30</v>
      </c>
      <c r="F11" s="233">
        <v>1</v>
      </c>
      <c r="G11" s="233">
        <v>0</v>
      </c>
      <c r="H11" s="233"/>
      <c r="I11" s="26"/>
      <c r="J11" s="11"/>
      <c r="L11" s="11"/>
      <c r="M11" s="132">
        <f t="shared" si="0"/>
        <v>0</v>
      </c>
    </row>
    <row r="12" spans="1:26" x14ac:dyDescent="0.2">
      <c r="A12" s="272">
        <v>40087</v>
      </c>
      <c r="B12" s="233">
        <v>46305269.230769232</v>
      </c>
      <c r="C12" s="234">
        <v>409.4</v>
      </c>
      <c r="D12" s="234">
        <v>0</v>
      </c>
      <c r="E12" s="233">
        <v>31</v>
      </c>
      <c r="F12" s="233">
        <v>1</v>
      </c>
      <c r="G12" s="233">
        <v>0</v>
      </c>
      <c r="H12" s="233"/>
      <c r="I12" s="26"/>
      <c r="J12" s="11"/>
      <c r="L12" s="11"/>
      <c r="M12" s="132">
        <f t="shared" ref="M12:M62" si="1">ABS(L12/B12)</f>
        <v>0</v>
      </c>
    </row>
    <row r="13" spans="1:26" x14ac:dyDescent="0.2">
      <c r="A13" s="272">
        <v>40118</v>
      </c>
      <c r="B13" s="233">
        <v>47482200</v>
      </c>
      <c r="C13" s="234">
        <v>453.8</v>
      </c>
      <c r="D13" s="234">
        <v>0</v>
      </c>
      <c r="E13" s="233">
        <v>30</v>
      </c>
      <c r="F13" s="233">
        <v>1</v>
      </c>
      <c r="G13" s="233">
        <v>0</v>
      </c>
      <c r="H13" s="233"/>
      <c r="I13" s="26"/>
      <c r="J13" s="11"/>
      <c r="L13" s="11"/>
      <c r="M13" s="132">
        <f t="shared" si="1"/>
        <v>0</v>
      </c>
    </row>
    <row r="14" spans="1:26" x14ac:dyDescent="0.2">
      <c r="A14" s="272">
        <v>40148</v>
      </c>
      <c r="B14" s="233">
        <v>58800730.769230768</v>
      </c>
      <c r="C14" s="234">
        <v>824.4</v>
      </c>
      <c r="D14" s="234">
        <v>0</v>
      </c>
      <c r="E14" s="233">
        <v>31</v>
      </c>
      <c r="F14" s="233">
        <v>0</v>
      </c>
      <c r="G14" s="233">
        <v>0</v>
      </c>
      <c r="H14" s="233"/>
      <c r="I14" s="26"/>
      <c r="J14" s="11"/>
      <c r="L14" s="11"/>
      <c r="M14" s="132">
        <f t="shared" si="1"/>
        <v>0</v>
      </c>
    </row>
    <row r="15" spans="1:26" x14ac:dyDescent="0.2">
      <c r="A15" s="272">
        <v>40179</v>
      </c>
      <c r="B15" s="233">
        <v>61714800.000000007</v>
      </c>
      <c r="C15" s="234">
        <v>887.4</v>
      </c>
      <c r="D15" s="234">
        <v>0</v>
      </c>
      <c r="E15" s="233">
        <v>31</v>
      </c>
      <c r="F15" s="233">
        <v>0</v>
      </c>
      <c r="G15" s="233">
        <v>0</v>
      </c>
      <c r="H15" s="233"/>
      <c r="I15" s="26"/>
      <c r="J15" s="11"/>
      <c r="L15" s="11"/>
      <c r="M15" s="132">
        <f t="shared" si="1"/>
        <v>0</v>
      </c>
      <c r="N15"/>
      <c r="O15"/>
      <c r="P15"/>
      <c r="Q15"/>
      <c r="R15"/>
      <c r="S15"/>
      <c r="T15"/>
      <c r="U15"/>
      <c r="V15"/>
    </row>
    <row r="16" spans="1:26" ht="13.5" thickBot="1" x14ac:dyDescent="0.25">
      <c r="A16" s="272">
        <v>40210</v>
      </c>
      <c r="B16" s="233">
        <v>54321930.769230768</v>
      </c>
      <c r="C16" s="234">
        <v>753</v>
      </c>
      <c r="D16" s="234">
        <v>0</v>
      </c>
      <c r="E16" s="233">
        <v>28</v>
      </c>
      <c r="F16" s="233">
        <v>0</v>
      </c>
      <c r="G16" s="233">
        <v>0</v>
      </c>
      <c r="H16" s="233"/>
      <c r="I16" s="26"/>
      <c r="J16" s="11"/>
      <c r="L16" s="11"/>
      <c r="M16" s="132">
        <f t="shared" si="1"/>
        <v>0</v>
      </c>
      <c r="N16"/>
      <c r="O16"/>
      <c r="P16"/>
      <c r="Q16"/>
      <c r="R16"/>
      <c r="S16"/>
      <c r="T16"/>
      <c r="U16"/>
      <c r="V16"/>
    </row>
    <row r="17" spans="1:22" x14ac:dyDescent="0.2">
      <c r="A17" s="272">
        <v>40238</v>
      </c>
      <c r="B17" s="233">
        <v>50859730.769230768</v>
      </c>
      <c r="C17" s="234">
        <v>501.3</v>
      </c>
      <c r="D17" s="234">
        <v>0</v>
      </c>
      <c r="E17" s="233">
        <v>31</v>
      </c>
      <c r="F17" s="233">
        <v>1</v>
      </c>
      <c r="G17" s="233">
        <v>0</v>
      </c>
      <c r="H17" s="233"/>
      <c r="I17" s="26"/>
      <c r="J17" s="11"/>
      <c r="L17" s="11"/>
      <c r="M17" s="132">
        <f t="shared" si="1"/>
        <v>0</v>
      </c>
      <c r="N17" s="31"/>
      <c r="O17" s="31"/>
      <c r="P17"/>
      <c r="Q17"/>
      <c r="R17"/>
      <c r="S17"/>
      <c r="T17"/>
      <c r="U17"/>
      <c r="V17"/>
    </row>
    <row r="18" spans="1:22" x14ac:dyDescent="0.2">
      <c r="A18" s="272">
        <v>40269</v>
      </c>
      <c r="B18" s="233">
        <v>44050484.615384616</v>
      </c>
      <c r="C18" s="234">
        <v>314.5</v>
      </c>
      <c r="D18" s="234">
        <v>0.1</v>
      </c>
      <c r="E18" s="233">
        <v>30</v>
      </c>
      <c r="F18" s="233">
        <v>1</v>
      </c>
      <c r="G18" s="233">
        <v>0</v>
      </c>
      <c r="H18" s="233"/>
      <c r="I18" s="26"/>
      <c r="J18" s="11"/>
      <c r="L18" s="11"/>
      <c r="M18" s="132">
        <f t="shared" si="1"/>
        <v>0</v>
      </c>
      <c r="N18" s="28"/>
      <c r="O18" s="28"/>
      <c r="P18"/>
      <c r="Q18"/>
      <c r="R18"/>
      <c r="S18"/>
      <c r="T18"/>
      <c r="U18"/>
      <c r="V18"/>
    </row>
    <row r="19" spans="1:22" x14ac:dyDescent="0.2">
      <c r="A19" s="272">
        <v>40299</v>
      </c>
      <c r="B19" s="233">
        <v>44651823.07692308</v>
      </c>
      <c r="C19" s="234">
        <v>147.69999999999999</v>
      </c>
      <c r="D19" s="234">
        <v>29.2</v>
      </c>
      <c r="E19" s="233">
        <v>31</v>
      </c>
      <c r="F19" s="233">
        <v>1</v>
      </c>
      <c r="G19" s="233">
        <v>0</v>
      </c>
      <c r="H19" s="233"/>
      <c r="I19" s="26"/>
      <c r="J19" s="11"/>
      <c r="L19" s="11"/>
      <c r="M19" s="132">
        <f t="shared" si="1"/>
        <v>0</v>
      </c>
      <c r="N19" s="28"/>
      <c r="O19" s="28"/>
      <c r="P19"/>
      <c r="Q19"/>
      <c r="R19"/>
      <c r="S19"/>
      <c r="T19"/>
      <c r="U19"/>
      <c r="V19"/>
    </row>
    <row r="20" spans="1:22" x14ac:dyDescent="0.2">
      <c r="A20" s="272">
        <v>40330</v>
      </c>
      <c r="B20" s="233">
        <v>42680284.615384616</v>
      </c>
      <c r="C20" s="234">
        <v>71.2</v>
      </c>
      <c r="D20" s="234">
        <v>7.1</v>
      </c>
      <c r="E20" s="233">
        <v>30</v>
      </c>
      <c r="F20" s="233">
        <v>0</v>
      </c>
      <c r="G20" s="233">
        <v>0</v>
      </c>
      <c r="H20" s="233"/>
      <c r="I20" s="26"/>
      <c r="J20" s="11"/>
      <c r="L20" s="11"/>
      <c r="M20" s="132">
        <f t="shared" si="1"/>
        <v>0</v>
      </c>
      <c r="N20" s="28"/>
      <c r="O20" s="28"/>
      <c r="P20"/>
      <c r="Q20"/>
      <c r="R20"/>
      <c r="S20"/>
      <c r="T20"/>
      <c r="U20"/>
      <c r="V20"/>
    </row>
    <row r="21" spans="1:22" x14ac:dyDescent="0.2">
      <c r="A21" s="272">
        <v>40360</v>
      </c>
      <c r="B21" s="233">
        <v>47940330.769230768</v>
      </c>
      <c r="C21" s="234">
        <v>11</v>
      </c>
      <c r="D21" s="234">
        <v>90.4</v>
      </c>
      <c r="E21" s="233">
        <v>31</v>
      </c>
      <c r="F21" s="233">
        <v>0</v>
      </c>
      <c r="G21" s="233">
        <v>0</v>
      </c>
      <c r="H21" s="233"/>
      <c r="I21" s="26"/>
      <c r="J21" s="11"/>
      <c r="L21" s="11"/>
      <c r="M21" s="132">
        <f t="shared" si="1"/>
        <v>0</v>
      </c>
      <c r="N21" s="28"/>
      <c r="O21" s="28"/>
      <c r="P21"/>
      <c r="Q21"/>
      <c r="R21"/>
      <c r="S21"/>
      <c r="T21"/>
      <c r="U21"/>
      <c r="V21"/>
    </row>
    <row r="22" spans="1:22" ht="13.5" thickBot="1" x14ac:dyDescent="0.25">
      <c r="A22" s="272">
        <v>40391</v>
      </c>
      <c r="B22" s="233">
        <v>46659623.07692308</v>
      </c>
      <c r="C22" s="234">
        <v>29.4</v>
      </c>
      <c r="D22" s="234">
        <v>69.7</v>
      </c>
      <c r="E22" s="233">
        <v>31</v>
      </c>
      <c r="F22" s="233">
        <v>0</v>
      </c>
      <c r="G22" s="233">
        <v>0</v>
      </c>
      <c r="H22" s="233"/>
      <c r="I22" s="26"/>
      <c r="J22" s="11"/>
      <c r="L22" s="11"/>
      <c r="M22" s="132">
        <f t="shared" si="1"/>
        <v>0</v>
      </c>
      <c r="N22" s="29"/>
      <c r="O22" s="29"/>
      <c r="P22"/>
      <c r="Q22"/>
      <c r="R22"/>
      <c r="S22"/>
      <c r="T22"/>
      <c r="U22"/>
      <c r="V22"/>
    </row>
    <row r="23" spans="1:22" x14ac:dyDescent="0.2">
      <c r="A23" s="272">
        <v>40422</v>
      </c>
      <c r="B23" s="233">
        <v>43088392.307692312</v>
      </c>
      <c r="C23" s="234">
        <v>177.3</v>
      </c>
      <c r="D23" s="234">
        <v>11.8</v>
      </c>
      <c r="E23" s="233">
        <v>30</v>
      </c>
      <c r="F23" s="233">
        <v>1</v>
      </c>
      <c r="G23" s="233">
        <v>0</v>
      </c>
      <c r="H23" s="233"/>
      <c r="I23" s="26"/>
      <c r="J23" s="11"/>
      <c r="L23" s="11"/>
      <c r="M23" s="132">
        <f t="shared" si="1"/>
        <v>0</v>
      </c>
      <c r="N23"/>
      <c r="O23"/>
      <c r="P23"/>
      <c r="Q23"/>
      <c r="R23"/>
      <c r="S23"/>
      <c r="T23"/>
      <c r="U23"/>
      <c r="V23"/>
    </row>
    <row r="24" spans="1:22" ht="13.5" thickBot="1" x14ac:dyDescent="0.25">
      <c r="A24" s="272">
        <v>40452</v>
      </c>
      <c r="B24" s="233">
        <v>45676969.230769232</v>
      </c>
      <c r="C24" s="234">
        <v>369.8</v>
      </c>
      <c r="D24" s="234">
        <v>0</v>
      </c>
      <c r="E24" s="233">
        <v>31</v>
      </c>
      <c r="F24" s="233">
        <v>1</v>
      </c>
      <c r="G24" s="233">
        <v>0</v>
      </c>
      <c r="H24" s="233"/>
      <c r="I24" s="26"/>
      <c r="J24" s="11"/>
      <c r="L24" s="11"/>
      <c r="M24" s="132">
        <f t="shared" si="1"/>
        <v>0</v>
      </c>
      <c r="N24"/>
      <c r="O24"/>
      <c r="P24"/>
      <c r="Q24"/>
      <c r="R24"/>
      <c r="S24"/>
      <c r="T24"/>
      <c r="U24"/>
      <c r="V24"/>
    </row>
    <row r="25" spans="1:22" x14ac:dyDescent="0.2">
      <c r="A25" s="272">
        <v>40483</v>
      </c>
      <c r="B25" s="233">
        <v>50732084.615384623</v>
      </c>
      <c r="C25" s="234">
        <v>526.1</v>
      </c>
      <c r="D25" s="234">
        <v>0</v>
      </c>
      <c r="E25" s="233">
        <v>30</v>
      </c>
      <c r="F25" s="233">
        <v>1</v>
      </c>
      <c r="G25" s="233">
        <v>0</v>
      </c>
      <c r="H25" s="233"/>
      <c r="I25" s="26"/>
      <c r="J25" s="11"/>
      <c r="L25" s="11"/>
      <c r="M25" s="132">
        <f t="shared" si="1"/>
        <v>0</v>
      </c>
      <c r="N25" s="30"/>
      <c r="O25" s="30"/>
      <c r="P25" s="30"/>
      <c r="Q25" s="30"/>
      <c r="R25" s="30"/>
      <c r="S25" s="30"/>
      <c r="T25"/>
      <c r="U25"/>
      <c r="V25"/>
    </row>
    <row r="26" spans="1:22" x14ac:dyDescent="0.2">
      <c r="A26" s="272">
        <v>40513</v>
      </c>
      <c r="B26" s="233">
        <v>59729500.000000007</v>
      </c>
      <c r="C26" s="234">
        <v>812.9</v>
      </c>
      <c r="D26" s="234">
        <v>0</v>
      </c>
      <c r="E26" s="233">
        <v>31</v>
      </c>
      <c r="F26" s="233">
        <v>0</v>
      </c>
      <c r="G26" s="233">
        <v>0</v>
      </c>
      <c r="H26" s="233"/>
      <c r="I26" s="26"/>
      <c r="J26" s="11"/>
      <c r="L26" s="11"/>
      <c r="M26" s="132">
        <f t="shared" si="1"/>
        <v>0</v>
      </c>
      <c r="N26" s="28"/>
      <c r="O26" s="28"/>
      <c r="P26" s="28"/>
      <c r="Q26" s="28"/>
      <c r="R26" s="28"/>
      <c r="S26" s="28"/>
      <c r="T26"/>
      <c r="U26"/>
      <c r="V26"/>
    </row>
    <row r="27" spans="1:22" x14ac:dyDescent="0.2">
      <c r="A27" s="272">
        <v>40544</v>
      </c>
      <c r="B27" s="233">
        <v>64609346.153846152</v>
      </c>
      <c r="C27" s="234">
        <v>984.2</v>
      </c>
      <c r="D27" s="234">
        <v>0</v>
      </c>
      <c r="E27" s="233">
        <v>31</v>
      </c>
      <c r="F27" s="233">
        <v>0</v>
      </c>
      <c r="G27" s="233">
        <v>0</v>
      </c>
      <c r="H27" s="233"/>
      <c r="I27" s="26"/>
      <c r="J27" s="11"/>
      <c r="L27" s="11"/>
      <c r="M27" s="132">
        <f t="shared" si="1"/>
        <v>0</v>
      </c>
      <c r="N27" s="28"/>
      <c r="O27" s="28"/>
      <c r="P27" s="28"/>
      <c r="Q27" s="28"/>
      <c r="R27" s="28"/>
      <c r="S27" s="28"/>
      <c r="T27"/>
      <c r="U27"/>
      <c r="V27"/>
    </row>
    <row r="28" spans="1:22" ht="13.5" thickBot="1" x14ac:dyDescent="0.25">
      <c r="A28" s="272">
        <v>40575</v>
      </c>
      <c r="B28" s="233">
        <v>56418838.461538471</v>
      </c>
      <c r="C28" s="234">
        <v>798.2</v>
      </c>
      <c r="D28" s="234">
        <v>0</v>
      </c>
      <c r="E28" s="233">
        <v>28</v>
      </c>
      <c r="F28" s="233">
        <v>0</v>
      </c>
      <c r="G28" s="233">
        <v>0</v>
      </c>
      <c r="H28" s="233"/>
      <c r="I28" s="26"/>
      <c r="J28" s="11"/>
      <c r="L28" s="11"/>
      <c r="M28" s="132">
        <f t="shared" si="1"/>
        <v>0</v>
      </c>
      <c r="N28" s="29"/>
      <c r="O28" s="29"/>
      <c r="P28" s="29"/>
      <c r="Q28" s="29"/>
      <c r="R28" s="29"/>
      <c r="S28" s="29"/>
      <c r="T28"/>
      <c r="U28"/>
      <c r="V28"/>
    </row>
    <row r="29" spans="1:22" ht="13.5" thickBot="1" x14ac:dyDescent="0.25">
      <c r="A29" s="272">
        <v>40603</v>
      </c>
      <c r="B29" s="233">
        <v>57187261.538461544</v>
      </c>
      <c r="C29" s="234">
        <v>742.1</v>
      </c>
      <c r="D29" s="234">
        <v>0</v>
      </c>
      <c r="E29" s="233">
        <v>31</v>
      </c>
      <c r="F29" s="233">
        <v>1</v>
      </c>
      <c r="G29" s="233">
        <v>0</v>
      </c>
      <c r="H29" s="233"/>
      <c r="I29" s="26"/>
      <c r="J29" s="11"/>
      <c r="L29" s="11"/>
      <c r="M29" s="132">
        <f t="shared" si="1"/>
        <v>0</v>
      </c>
      <c r="N29"/>
      <c r="O29"/>
      <c r="P29"/>
      <c r="Q29"/>
      <c r="R29"/>
      <c r="S29"/>
      <c r="T29"/>
      <c r="U29"/>
      <c r="V29"/>
    </row>
    <row r="30" spans="1:22" x14ac:dyDescent="0.2">
      <c r="A30" s="272">
        <v>40634</v>
      </c>
      <c r="B30" s="233">
        <v>47356076.923076928</v>
      </c>
      <c r="C30" s="234">
        <v>443.5</v>
      </c>
      <c r="D30" s="234">
        <v>0</v>
      </c>
      <c r="E30" s="233">
        <v>30</v>
      </c>
      <c r="F30" s="233">
        <v>1</v>
      </c>
      <c r="G30" s="233">
        <v>0</v>
      </c>
      <c r="H30" s="233"/>
      <c r="I30" s="26"/>
      <c r="J30" s="11"/>
      <c r="L30" s="11"/>
      <c r="M30" s="132">
        <f t="shared" si="1"/>
        <v>0</v>
      </c>
      <c r="N30" s="30"/>
      <c r="O30" s="30"/>
      <c r="P30" s="30"/>
      <c r="Q30" s="30"/>
      <c r="R30" s="30"/>
      <c r="S30" s="30"/>
      <c r="T30" s="30"/>
      <c r="U30" s="30"/>
      <c r="V30" s="30"/>
    </row>
    <row r="31" spans="1:22" x14ac:dyDescent="0.2">
      <c r="A31" s="272">
        <v>40664</v>
      </c>
      <c r="B31" s="233">
        <v>43036769.230769232</v>
      </c>
      <c r="C31" s="234">
        <v>175.1</v>
      </c>
      <c r="D31" s="234">
        <v>6.9</v>
      </c>
      <c r="E31" s="233">
        <v>31</v>
      </c>
      <c r="F31" s="233">
        <v>1</v>
      </c>
      <c r="G31" s="233">
        <v>0</v>
      </c>
      <c r="H31" s="233"/>
      <c r="I31" s="26"/>
      <c r="J31" s="11"/>
      <c r="L31" s="11"/>
      <c r="M31" s="132">
        <f t="shared" si="1"/>
        <v>0</v>
      </c>
      <c r="N31" s="28"/>
      <c r="O31" s="28"/>
      <c r="P31" s="28"/>
      <c r="Q31" s="28"/>
      <c r="R31" s="28"/>
      <c r="S31" s="28"/>
      <c r="T31" s="28"/>
      <c r="U31" s="28"/>
      <c r="V31" s="28"/>
    </row>
    <row r="32" spans="1:22" x14ac:dyDescent="0.2">
      <c r="A32" s="272">
        <v>40695</v>
      </c>
      <c r="B32" s="233">
        <v>42724253.846153848</v>
      </c>
      <c r="C32" s="234">
        <v>65.7</v>
      </c>
      <c r="D32" s="234">
        <v>22.2</v>
      </c>
      <c r="E32" s="233">
        <v>30</v>
      </c>
      <c r="F32" s="233">
        <v>0</v>
      </c>
      <c r="G32" s="233">
        <v>0</v>
      </c>
      <c r="H32" s="233"/>
      <c r="I32" s="26"/>
      <c r="J32" s="11"/>
      <c r="L32" s="11"/>
      <c r="M32" s="132">
        <f t="shared" si="1"/>
        <v>0</v>
      </c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">
      <c r="A33" s="272">
        <v>40725</v>
      </c>
      <c r="B33" s="233">
        <v>47506515.384615384</v>
      </c>
      <c r="C33" s="234">
        <v>2.9</v>
      </c>
      <c r="D33" s="234">
        <v>85.4</v>
      </c>
      <c r="E33" s="234">
        <v>31</v>
      </c>
      <c r="F33" s="233">
        <v>0</v>
      </c>
      <c r="G33" s="233">
        <v>0</v>
      </c>
      <c r="H33" s="233"/>
      <c r="I33" s="26"/>
      <c r="J33" s="11"/>
      <c r="K33" s="41"/>
      <c r="L33" s="11"/>
      <c r="M33" s="132">
        <f t="shared" si="1"/>
        <v>0</v>
      </c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">
      <c r="A34" s="272">
        <v>40756</v>
      </c>
      <c r="B34" s="233">
        <v>45624407.692307696</v>
      </c>
      <c r="C34" s="234">
        <v>16.7</v>
      </c>
      <c r="D34" s="234">
        <v>45.9</v>
      </c>
      <c r="E34" s="233">
        <v>31</v>
      </c>
      <c r="F34" s="233">
        <v>0</v>
      </c>
      <c r="G34" s="233">
        <v>0</v>
      </c>
      <c r="H34" s="233"/>
      <c r="I34" s="26"/>
      <c r="J34" s="11"/>
      <c r="L34" s="11"/>
      <c r="M34" s="132">
        <f t="shared" si="1"/>
        <v>0</v>
      </c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">
      <c r="A35" s="272">
        <v>40787</v>
      </c>
      <c r="B35" s="233">
        <v>42233746.15384616</v>
      </c>
      <c r="C35" s="234">
        <v>116.4</v>
      </c>
      <c r="D35" s="234">
        <v>17.899999999999999</v>
      </c>
      <c r="E35" s="233">
        <v>30</v>
      </c>
      <c r="F35" s="233">
        <v>1</v>
      </c>
      <c r="G35" s="233">
        <v>0</v>
      </c>
      <c r="H35" s="233"/>
      <c r="I35" s="26"/>
      <c r="J35" s="11"/>
      <c r="L35" s="11"/>
      <c r="M35" s="132">
        <f t="shared" si="1"/>
        <v>0</v>
      </c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13.5" thickBot="1" x14ac:dyDescent="0.25">
      <c r="A36" s="272">
        <v>40817</v>
      </c>
      <c r="B36" s="233">
        <v>43980523.07692308</v>
      </c>
      <c r="C36" s="234">
        <v>295.3</v>
      </c>
      <c r="D36" s="234">
        <v>1.5</v>
      </c>
      <c r="E36" s="233">
        <v>31</v>
      </c>
      <c r="F36" s="233">
        <v>1</v>
      </c>
      <c r="G36" s="233">
        <v>0</v>
      </c>
      <c r="H36" s="233"/>
      <c r="I36" s="26"/>
      <c r="J36" s="11"/>
      <c r="L36" s="11"/>
      <c r="M36" s="132">
        <f t="shared" si="1"/>
        <v>0</v>
      </c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">
      <c r="A37" s="272">
        <v>40848</v>
      </c>
      <c r="B37" s="233">
        <v>47499561.538461544</v>
      </c>
      <c r="C37" s="234">
        <v>464.8</v>
      </c>
      <c r="D37" s="234">
        <v>0</v>
      </c>
      <c r="E37" s="233">
        <v>30</v>
      </c>
      <c r="F37" s="233">
        <v>1</v>
      </c>
      <c r="G37" s="233">
        <v>0</v>
      </c>
      <c r="H37" s="233"/>
      <c r="I37" s="26"/>
      <c r="J37" s="11"/>
      <c r="L37" s="11"/>
      <c r="M37" s="132">
        <f t="shared" si="1"/>
        <v>0</v>
      </c>
      <c r="N37"/>
      <c r="O37"/>
      <c r="P37"/>
      <c r="Q37"/>
      <c r="R37"/>
      <c r="S37"/>
      <c r="T37"/>
      <c r="U37"/>
      <c r="V37"/>
    </row>
    <row r="38" spans="1:22" x14ac:dyDescent="0.2">
      <c r="A38" s="272">
        <v>40878</v>
      </c>
      <c r="B38" s="233">
        <v>55561307.692307696</v>
      </c>
      <c r="C38" s="234">
        <v>751.1</v>
      </c>
      <c r="D38" s="234">
        <v>0</v>
      </c>
      <c r="E38" s="233">
        <v>31</v>
      </c>
      <c r="F38" s="233">
        <v>0</v>
      </c>
      <c r="G38" s="233">
        <v>0</v>
      </c>
      <c r="H38" s="233"/>
      <c r="I38" s="26"/>
      <c r="J38" s="11"/>
      <c r="L38" s="11"/>
      <c r="M38" s="132">
        <f t="shared" si="1"/>
        <v>0</v>
      </c>
      <c r="N38"/>
      <c r="O38"/>
      <c r="P38"/>
      <c r="Q38"/>
      <c r="R38"/>
      <c r="S38"/>
      <c r="T38"/>
      <c r="U38"/>
      <c r="V38"/>
    </row>
    <row r="39" spans="1:22" x14ac:dyDescent="0.2">
      <c r="A39" s="272">
        <v>40909</v>
      </c>
      <c r="B39" s="233">
        <v>60440353.846153855</v>
      </c>
      <c r="C39" s="234">
        <v>855.4</v>
      </c>
      <c r="D39" s="234">
        <v>0</v>
      </c>
      <c r="E39" s="233">
        <v>31</v>
      </c>
      <c r="F39" s="233">
        <v>0</v>
      </c>
      <c r="G39" s="233">
        <v>1</v>
      </c>
      <c r="H39" s="233"/>
      <c r="I39" s="26"/>
      <c r="J39" s="11"/>
      <c r="L39" s="11"/>
      <c r="M39" s="132">
        <f t="shared" si="1"/>
        <v>0</v>
      </c>
      <c r="N39"/>
      <c r="O39"/>
      <c r="P39"/>
      <c r="Q39"/>
      <c r="R39"/>
      <c r="S39"/>
      <c r="T39"/>
      <c r="U39"/>
      <c r="V39"/>
    </row>
    <row r="40" spans="1:22" x14ac:dyDescent="0.2">
      <c r="A40" s="272">
        <v>40940</v>
      </c>
      <c r="B40" s="233">
        <v>53240192.307692312</v>
      </c>
      <c r="C40" s="234">
        <v>717.6</v>
      </c>
      <c r="D40" s="234">
        <v>0</v>
      </c>
      <c r="E40" s="233">
        <v>29</v>
      </c>
      <c r="F40" s="233">
        <v>0</v>
      </c>
      <c r="G40" s="233">
        <v>1</v>
      </c>
      <c r="H40" s="233"/>
      <c r="I40" s="26"/>
      <c r="J40" s="11"/>
      <c r="L40" s="11"/>
      <c r="M40" s="132">
        <f t="shared" si="1"/>
        <v>0</v>
      </c>
    </row>
    <row r="41" spans="1:22" x14ac:dyDescent="0.2">
      <c r="A41" s="272">
        <v>40969</v>
      </c>
      <c r="B41" s="233">
        <v>51166853.846153848</v>
      </c>
      <c r="C41" s="234">
        <v>510.4</v>
      </c>
      <c r="D41" s="234">
        <v>0.7</v>
      </c>
      <c r="E41" s="233">
        <v>31</v>
      </c>
      <c r="F41" s="233">
        <v>1</v>
      </c>
      <c r="G41" s="233">
        <v>1</v>
      </c>
      <c r="H41" s="233"/>
      <c r="I41" s="26"/>
      <c r="J41" s="11"/>
      <c r="L41" s="11"/>
      <c r="M41" s="132">
        <f t="shared" si="1"/>
        <v>0</v>
      </c>
    </row>
    <row r="42" spans="1:22" x14ac:dyDescent="0.2">
      <c r="A42" s="272">
        <v>41000</v>
      </c>
      <c r="B42" s="233">
        <v>44760523.07692308</v>
      </c>
      <c r="C42" s="234">
        <v>425.7</v>
      </c>
      <c r="D42" s="234">
        <v>0</v>
      </c>
      <c r="E42" s="233">
        <v>30</v>
      </c>
      <c r="F42" s="233">
        <v>1</v>
      </c>
      <c r="G42" s="233">
        <v>1</v>
      </c>
      <c r="H42" s="233"/>
      <c r="I42" s="26"/>
      <c r="J42" s="11"/>
      <c r="L42" s="11"/>
      <c r="M42" s="132">
        <f t="shared" si="1"/>
        <v>0</v>
      </c>
    </row>
    <row r="43" spans="1:22" x14ac:dyDescent="0.2">
      <c r="A43" s="272">
        <v>41030</v>
      </c>
      <c r="B43" s="233">
        <v>41974454.545454547</v>
      </c>
      <c r="C43" s="234">
        <v>138.19999999999999</v>
      </c>
      <c r="D43" s="234">
        <v>13.8</v>
      </c>
      <c r="E43" s="233">
        <v>31</v>
      </c>
      <c r="F43" s="233">
        <v>1</v>
      </c>
      <c r="G43" s="233">
        <v>1</v>
      </c>
      <c r="H43" s="233"/>
      <c r="I43" s="26"/>
      <c r="J43" s="11"/>
      <c r="L43" s="11"/>
      <c r="M43" s="132">
        <f t="shared" si="1"/>
        <v>0</v>
      </c>
    </row>
    <row r="44" spans="1:22" x14ac:dyDescent="0.2">
      <c r="A44" s="272">
        <v>41061</v>
      </c>
      <c r="B44" s="233">
        <v>43023081.909090899</v>
      </c>
      <c r="C44" s="234">
        <v>50.5</v>
      </c>
      <c r="D44" s="234">
        <v>49.1</v>
      </c>
      <c r="E44" s="233">
        <v>30</v>
      </c>
      <c r="F44" s="233">
        <v>0</v>
      </c>
      <c r="G44" s="233">
        <v>1</v>
      </c>
      <c r="H44" s="233"/>
      <c r="I44" s="26"/>
      <c r="J44" s="11"/>
      <c r="L44" s="11"/>
      <c r="M44" s="132">
        <f t="shared" si="1"/>
        <v>0</v>
      </c>
    </row>
    <row r="45" spans="1:22" x14ac:dyDescent="0.2">
      <c r="A45" s="272">
        <v>41091</v>
      </c>
      <c r="B45" s="233">
        <v>46297145.545454502</v>
      </c>
      <c r="C45" s="234">
        <v>2.2000000000000002</v>
      </c>
      <c r="D45" s="234">
        <v>78.3</v>
      </c>
      <c r="E45" s="233">
        <v>31</v>
      </c>
      <c r="F45" s="233">
        <v>0</v>
      </c>
      <c r="G45" s="233">
        <v>1</v>
      </c>
      <c r="H45" s="233"/>
      <c r="I45" s="26"/>
      <c r="J45" s="11"/>
      <c r="L45" s="11"/>
      <c r="M45" s="132">
        <f t="shared" si="1"/>
        <v>0</v>
      </c>
    </row>
    <row r="46" spans="1:22" x14ac:dyDescent="0.2">
      <c r="A46" s="272">
        <v>41122</v>
      </c>
      <c r="B46" s="233">
        <v>43563745.190909103</v>
      </c>
      <c r="C46" s="234">
        <v>27</v>
      </c>
      <c r="D46" s="234">
        <v>44.9</v>
      </c>
      <c r="E46" s="233">
        <v>31</v>
      </c>
      <c r="F46" s="233">
        <v>0</v>
      </c>
      <c r="G46" s="233">
        <v>1</v>
      </c>
      <c r="H46" s="233"/>
      <c r="I46" s="26"/>
      <c r="J46" s="11"/>
      <c r="L46" s="11"/>
      <c r="M46" s="132">
        <f t="shared" si="1"/>
        <v>0</v>
      </c>
    </row>
    <row r="47" spans="1:22" x14ac:dyDescent="0.2">
      <c r="A47" s="272">
        <v>41153</v>
      </c>
      <c r="B47" s="233">
        <v>40969381.861818202</v>
      </c>
      <c r="C47" s="234">
        <v>163</v>
      </c>
      <c r="D47" s="234">
        <v>12.4</v>
      </c>
      <c r="E47" s="233">
        <v>30</v>
      </c>
      <c r="F47" s="233">
        <v>1</v>
      </c>
      <c r="G47" s="233">
        <v>1</v>
      </c>
      <c r="H47" s="233"/>
      <c r="I47" s="26"/>
      <c r="J47" s="11"/>
      <c r="L47" s="11"/>
      <c r="M47" s="132">
        <f t="shared" si="1"/>
        <v>0</v>
      </c>
    </row>
    <row r="48" spans="1:22" x14ac:dyDescent="0.2">
      <c r="A48" s="272">
        <v>41183</v>
      </c>
      <c r="B48" s="233">
        <v>43802874.826363601</v>
      </c>
      <c r="C48" s="234">
        <v>331</v>
      </c>
      <c r="D48" s="234">
        <v>0</v>
      </c>
      <c r="E48" s="233">
        <v>31</v>
      </c>
      <c r="F48" s="233">
        <v>1</v>
      </c>
      <c r="G48" s="233">
        <v>1</v>
      </c>
      <c r="H48" s="233"/>
      <c r="I48" s="26"/>
      <c r="J48" s="11"/>
      <c r="L48" s="11"/>
      <c r="M48" s="132">
        <f t="shared" si="1"/>
        <v>0</v>
      </c>
    </row>
    <row r="49" spans="1:22" x14ac:dyDescent="0.2">
      <c r="A49" s="272">
        <v>41214</v>
      </c>
      <c r="B49" s="233">
        <v>48147860.479999997</v>
      </c>
      <c r="C49" s="234">
        <v>549.70000000000005</v>
      </c>
      <c r="D49" s="234">
        <v>0</v>
      </c>
      <c r="E49" s="233">
        <v>30</v>
      </c>
      <c r="F49" s="233">
        <v>1</v>
      </c>
      <c r="G49" s="233">
        <v>1</v>
      </c>
      <c r="H49" s="233"/>
      <c r="I49" s="26"/>
      <c r="J49" s="11"/>
      <c r="L49" s="11"/>
      <c r="M49" s="132">
        <f t="shared" si="1"/>
        <v>0</v>
      </c>
    </row>
    <row r="50" spans="1:22" x14ac:dyDescent="0.2">
      <c r="A50" s="272">
        <v>41244</v>
      </c>
      <c r="B50" s="233">
        <v>55226225.239999995</v>
      </c>
      <c r="C50" s="234">
        <v>770.6</v>
      </c>
      <c r="D50" s="234">
        <v>0</v>
      </c>
      <c r="E50" s="233">
        <v>31</v>
      </c>
      <c r="F50" s="233">
        <v>0</v>
      </c>
      <c r="G50" s="233">
        <v>1</v>
      </c>
      <c r="H50" s="233"/>
      <c r="I50" s="26"/>
      <c r="J50" s="11"/>
      <c r="L50" s="11"/>
      <c r="M50" s="132">
        <f t="shared" si="1"/>
        <v>0</v>
      </c>
    </row>
    <row r="51" spans="1:22" x14ac:dyDescent="0.2">
      <c r="A51" s="272">
        <v>41275</v>
      </c>
      <c r="B51" s="233">
        <v>60327761.510000005</v>
      </c>
      <c r="C51" s="234">
        <v>892.80000000000007</v>
      </c>
      <c r="D51" s="234">
        <v>0</v>
      </c>
      <c r="E51" s="233">
        <v>31</v>
      </c>
      <c r="F51" s="233">
        <v>0</v>
      </c>
      <c r="G51" s="233">
        <v>1</v>
      </c>
      <c r="H51" s="233"/>
      <c r="I51" s="26"/>
      <c r="J51" s="11"/>
      <c r="L51" s="11"/>
      <c r="M51" s="132">
        <f t="shared" si="1"/>
        <v>0</v>
      </c>
    </row>
    <row r="52" spans="1:22" x14ac:dyDescent="0.2">
      <c r="A52" s="272">
        <v>41306</v>
      </c>
      <c r="B52" s="233">
        <v>53600343.009999998</v>
      </c>
      <c r="C52" s="234">
        <v>801.40000000000009</v>
      </c>
      <c r="D52" s="234">
        <v>0</v>
      </c>
      <c r="E52" s="233">
        <v>28</v>
      </c>
      <c r="F52" s="233">
        <v>0</v>
      </c>
      <c r="G52" s="233">
        <v>1</v>
      </c>
      <c r="H52" s="233"/>
      <c r="I52" s="26"/>
      <c r="J52" s="11"/>
      <c r="L52" s="11"/>
      <c r="M52" s="132">
        <f t="shared" si="1"/>
        <v>0</v>
      </c>
    </row>
    <row r="53" spans="1:22" x14ac:dyDescent="0.2">
      <c r="A53" s="272">
        <v>41334</v>
      </c>
      <c r="B53" s="233">
        <v>52121235.689999998</v>
      </c>
      <c r="C53" s="234">
        <v>685.19999999999982</v>
      </c>
      <c r="D53" s="234">
        <v>0</v>
      </c>
      <c r="E53" s="233">
        <v>31</v>
      </c>
      <c r="F53" s="233">
        <v>1</v>
      </c>
      <c r="G53" s="233">
        <v>1</v>
      </c>
      <c r="H53" s="233"/>
      <c r="I53" s="26"/>
      <c r="J53" s="11"/>
      <c r="L53" s="11"/>
      <c r="M53" s="132">
        <f t="shared" si="1"/>
        <v>0</v>
      </c>
    </row>
    <row r="54" spans="1:22" x14ac:dyDescent="0.2">
      <c r="A54" s="272">
        <v>41365</v>
      </c>
      <c r="B54" s="233">
        <v>46644026.119999997</v>
      </c>
      <c r="C54" s="234">
        <v>496.25000000000011</v>
      </c>
      <c r="D54" s="234">
        <v>0</v>
      </c>
      <c r="E54" s="233">
        <v>30</v>
      </c>
      <c r="F54" s="233">
        <v>1</v>
      </c>
      <c r="G54" s="233">
        <v>1</v>
      </c>
      <c r="H54" s="233"/>
      <c r="I54" s="26"/>
      <c r="J54" s="11"/>
      <c r="L54" s="11"/>
      <c r="M54" s="132">
        <f t="shared" si="1"/>
        <v>0</v>
      </c>
      <c r="N54"/>
      <c r="O54" s="271"/>
      <c r="P54"/>
      <c r="Q54"/>
      <c r="R54"/>
      <c r="S54"/>
      <c r="T54"/>
      <c r="U54"/>
      <c r="V54"/>
    </row>
    <row r="55" spans="1:22" x14ac:dyDescent="0.2">
      <c r="A55" s="272">
        <v>41395</v>
      </c>
      <c r="B55" s="233">
        <v>41426399.170000002</v>
      </c>
      <c r="C55" s="234">
        <v>198.95</v>
      </c>
      <c r="D55" s="234">
        <v>9.6999999999999993</v>
      </c>
      <c r="E55" s="233">
        <v>31</v>
      </c>
      <c r="F55" s="233">
        <v>1</v>
      </c>
      <c r="G55" s="233">
        <v>1</v>
      </c>
      <c r="H55" s="233"/>
      <c r="I55" s="26"/>
      <c r="J55" s="11"/>
      <c r="L55" s="11"/>
      <c r="M55" s="132">
        <f t="shared" si="1"/>
        <v>0</v>
      </c>
    </row>
    <row r="56" spans="1:22" x14ac:dyDescent="0.2">
      <c r="A56" s="272">
        <v>41426</v>
      </c>
      <c r="B56" s="233">
        <v>39734886.469999999</v>
      </c>
      <c r="C56" s="234">
        <v>102.54999999999998</v>
      </c>
      <c r="D56" s="234">
        <v>15.000000000000004</v>
      </c>
      <c r="E56" s="233">
        <v>30</v>
      </c>
      <c r="F56" s="233">
        <v>0</v>
      </c>
      <c r="G56" s="233">
        <v>1</v>
      </c>
      <c r="H56" s="233"/>
      <c r="I56" s="26"/>
      <c r="J56" s="11"/>
      <c r="L56" s="11"/>
      <c r="M56" s="132">
        <f t="shared" si="1"/>
        <v>0</v>
      </c>
    </row>
    <row r="57" spans="1:22" x14ac:dyDescent="0.2">
      <c r="A57" s="272">
        <v>41456</v>
      </c>
      <c r="B57" s="233">
        <v>44872689.950000003</v>
      </c>
      <c r="C57" s="234">
        <v>39.149999999999984</v>
      </c>
      <c r="D57" s="234">
        <v>52.79999999999999</v>
      </c>
      <c r="E57" s="233">
        <v>31</v>
      </c>
      <c r="F57" s="233">
        <v>0</v>
      </c>
      <c r="G57" s="233">
        <v>1</v>
      </c>
      <c r="H57" s="233"/>
      <c r="I57" s="26"/>
      <c r="J57" s="11"/>
      <c r="L57" s="11"/>
      <c r="M57" s="132">
        <f t="shared" si="1"/>
        <v>0</v>
      </c>
    </row>
    <row r="58" spans="1:22" x14ac:dyDescent="0.2">
      <c r="A58" s="272">
        <v>41487</v>
      </c>
      <c r="B58" s="233">
        <v>42128550.090000004</v>
      </c>
      <c r="C58" s="234">
        <v>49.000000000000014</v>
      </c>
      <c r="D58" s="234">
        <v>23.449999999999992</v>
      </c>
      <c r="E58" s="233">
        <v>31</v>
      </c>
      <c r="F58" s="233">
        <v>0</v>
      </c>
      <c r="G58" s="233">
        <v>1</v>
      </c>
      <c r="H58" s="233"/>
      <c r="I58" s="26"/>
      <c r="J58" s="11"/>
      <c r="L58" s="11"/>
      <c r="M58" s="132">
        <f t="shared" si="1"/>
        <v>0</v>
      </c>
    </row>
    <row r="59" spans="1:22" x14ac:dyDescent="0.2">
      <c r="A59" s="272">
        <v>41518</v>
      </c>
      <c r="B59" s="233">
        <v>39409892.280000001</v>
      </c>
      <c r="C59" s="234">
        <v>181.75</v>
      </c>
      <c r="D59" s="234">
        <v>1.6499999999999986</v>
      </c>
      <c r="E59" s="233">
        <v>30</v>
      </c>
      <c r="F59" s="233">
        <v>1</v>
      </c>
      <c r="G59" s="233">
        <v>1</v>
      </c>
      <c r="H59" s="233"/>
      <c r="I59" s="26"/>
      <c r="J59" s="11"/>
      <c r="L59" s="11"/>
      <c r="M59" s="132">
        <f t="shared" si="1"/>
        <v>0</v>
      </c>
    </row>
    <row r="60" spans="1:22" x14ac:dyDescent="0.2">
      <c r="A60" s="272">
        <v>41548</v>
      </c>
      <c r="B60" s="233">
        <v>43095283.710000001</v>
      </c>
      <c r="C60" s="234">
        <v>321.95</v>
      </c>
      <c r="D60" s="234">
        <v>0</v>
      </c>
      <c r="E60" s="233">
        <v>31</v>
      </c>
      <c r="F60" s="233">
        <v>1</v>
      </c>
      <c r="G60" s="233">
        <v>1</v>
      </c>
      <c r="H60" s="233"/>
      <c r="I60" s="26"/>
      <c r="J60" s="11"/>
      <c r="L60" s="11"/>
      <c r="M60" s="132">
        <f t="shared" si="1"/>
        <v>0</v>
      </c>
    </row>
    <row r="61" spans="1:22" x14ac:dyDescent="0.2">
      <c r="A61" s="272">
        <v>41579</v>
      </c>
      <c r="B61" s="233">
        <v>49774197.399999999</v>
      </c>
      <c r="C61" s="234">
        <v>625.75</v>
      </c>
      <c r="D61" s="234">
        <v>0</v>
      </c>
      <c r="E61" s="233">
        <v>30</v>
      </c>
      <c r="F61" s="233">
        <v>1</v>
      </c>
      <c r="G61" s="233">
        <v>1</v>
      </c>
      <c r="H61" s="233"/>
      <c r="I61" s="26"/>
      <c r="J61" s="11"/>
      <c r="L61" s="11"/>
      <c r="M61" s="132">
        <f t="shared" si="1"/>
        <v>0</v>
      </c>
    </row>
    <row r="62" spans="1:22" x14ac:dyDescent="0.2">
      <c r="A62" s="272">
        <v>41609</v>
      </c>
      <c r="B62" s="233">
        <v>60036819.376666702</v>
      </c>
      <c r="C62" s="234">
        <v>964.3</v>
      </c>
      <c r="D62" s="234">
        <v>0</v>
      </c>
      <c r="E62" s="233">
        <v>31</v>
      </c>
      <c r="F62" s="233">
        <v>0</v>
      </c>
      <c r="G62" s="233">
        <v>1</v>
      </c>
      <c r="H62" s="233"/>
      <c r="I62" s="26"/>
      <c r="J62" s="11"/>
      <c r="L62" s="11"/>
      <c r="M62" s="132">
        <f t="shared" si="1"/>
        <v>0</v>
      </c>
    </row>
    <row r="63" spans="1:22" x14ac:dyDescent="0.2">
      <c r="A63" s="272">
        <v>41640</v>
      </c>
      <c r="B63" s="252">
        <v>63463232.333333299</v>
      </c>
      <c r="C63" s="253">
        <v>1024.8</v>
      </c>
      <c r="D63" s="253">
        <v>0</v>
      </c>
      <c r="E63" s="252">
        <v>31</v>
      </c>
      <c r="F63" s="252">
        <v>0</v>
      </c>
      <c r="G63" s="252">
        <v>1</v>
      </c>
      <c r="H63" s="233"/>
      <c r="I63" s="26"/>
      <c r="J63" s="11"/>
      <c r="L63" s="11"/>
      <c r="M63" s="132">
        <f t="shared" ref="M63:M128" si="2">ABS(L63/B63)</f>
        <v>0</v>
      </c>
    </row>
    <row r="64" spans="1:22" x14ac:dyDescent="0.2">
      <c r="A64" s="272">
        <v>41671</v>
      </c>
      <c r="B64" s="252">
        <v>54070343</v>
      </c>
      <c r="C64" s="253">
        <v>883.40000000000009</v>
      </c>
      <c r="D64" s="253">
        <v>0</v>
      </c>
      <c r="E64" s="252">
        <v>28</v>
      </c>
      <c r="F64" s="252">
        <v>0</v>
      </c>
      <c r="G64" s="252">
        <v>1</v>
      </c>
      <c r="H64" s="233"/>
      <c r="I64" s="26"/>
      <c r="J64" s="11"/>
      <c r="L64" s="11"/>
      <c r="M64" s="132">
        <f t="shared" si="2"/>
        <v>0</v>
      </c>
    </row>
    <row r="65" spans="1:22" x14ac:dyDescent="0.2">
      <c r="A65" s="272">
        <v>41699</v>
      </c>
      <c r="B65" s="252">
        <v>56439184.730000004</v>
      </c>
      <c r="C65" s="253">
        <v>879.69999999999982</v>
      </c>
      <c r="D65" s="253">
        <v>0</v>
      </c>
      <c r="E65" s="252">
        <v>31</v>
      </c>
      <c r="F65" s="252">
        <v>1</v>
      </c>
      <c r="G65" s="252">
        <v>1</v>
      </c>
      <c r="H65" s="233"/>
      <c r="I65" s="26"/>
      <c r="J65" s="11"/>
      <c r="L65" s="11"/>
      <c r="M65" s="132">
        <f t="shared" si="2"/>
        <v>0</v>
      </c>
    </row>
    <row r="66" spans="1:22" x14ac:dyDescent="0.2">
      <c r="A66" s="272">
        <v>41730</v>
      </c>
      <c r="B66" s="252">
        <v>44570606.713333301</v>
      </c>
      <c r="C66" s="253">
        <v>482.99999999999994</v>
      </c>
      <c r="D66" s="253">
        <v>0</v>
      </c>
      <c r="E66" s="252">
        <v>30</v>
      </c>
      <c r="F66" s="252">
        <v>1</v>
      </c>
      <c r="G66" s="252">
        <v>1</v>
      </c>
      <c r="H66" s="233"/>
      <c r="I66" s="26"/>
      <c r="J66" s="11"/>
      <c r="L66" s="11"/>
      <c r="M66" s="132">
        <f t="shared" si="2"/>
        <v>0</v>
      </c>
    </row>
    <row r="67" spans="1:22" x14ac:dyDescent="0.2">
      <c r="A67" s="272">
        <v>41760</v>
      </c>
      <c r="B67" s="252">
        <v>39797076.2330769</v>
      </c>
      <c r="C67" s="253">
        <v>199.79999999999998</v>
      </c>
      <c r="D67" s="253">
        <v>1.3</v>
      </c>
      <c r="E67" s="252">
        <v>31</v>
      </c>
      <c r="F67" s="252">
        <v>1</v>
      </c>
      <c r="G67" s="252">
        <v>1</v>
      </c>
      <c r="H67" s="233"/>
      <c r="I67" s="26"/>
      <c r="J67" s="11"/>
      <c r="L67" s="11"/>
      <c r="M67" s="132">
        <f t="shared" si="2"/>
        <v>0</v>
      </c>
    </row>
    <row r="68" spans="1:22" x14ac:dyDescent="0.2">
      <c r="A68" s="272">
        <v>41791</v>
      </c>
      <c r="B68" s="252">
        <v>39266619.640000001</v>
      </c>
      <c r="C68" s="253">
        <v>53.399999999999991</v>
      </c>
      <c r="D68" s="253">
        <v>24.1</v>
      </c>
      <c r="E68" s="252">
        <v>30</v>
      </c>
      <c r="F68" s="252">
        <v>0</v>
      </c>
      <c r="G68" s="252">
        <v>1</v>
      </c>
      <c r="H68" s="233"/>
      <c r="I68" s="26"/>
      <c r="J68" s="11"/>
      <c r="L68" s="11"/>
      <c r="M68" s="132">
        <f t="shared" si="2"/>
        <v>0</v>
      </c>
    </row>
    <row r="69" spans="1:22" x14ac:dyDescent="0.2">
      <c r="A69" s="272">
        <v>41821</v>
      </c>
      <c r="B69" s="252">
        <v>40614145.310000002</v>
      </c>
      <c r="C69" s="253">
        <v>57.800000000000004</v>
      </c>
      <c r="D69" s="253">
        <v>17.900000000000002</v>
      </c>
      <c r="E69" s="252">
        <v>31</v>
      </c>
      <c r="F69" s="252">
        <v>0</v>
      </c>
      <c r="G69" s="252">
        <v>1</v>
      </c>
      <c r="H69" s="233"/>
      <c r="I69" s="26"/>
      <c r="J69" s="11"/>
      <c r="L69" s="11"/>
      <c r="M69" s="132">
        <f t="shared" si="2"/>
        <v>0</v>
      </c>
    </row>
    <row r="70" spans="1:22" x14ac:dyDescent="0.2">
      <c r="A70" s="272">
        <v>41852</v>
      </c>
      <c r="B70" s="252">
        <v>40130105.350000001</v>
      </c>
      <c r="C70" s="253">
        <v>60</v>
      </c>
      <c r="D70" s="253">
        <v>16.399999999999999</v>
      </c>
      <c r="E70" s="252">
        <v>31</v>
      </c>
      <c r="F70" s="252">
        <v>0</v>
      </c>
      <c r="G70" s="252">
        <v>1</v>
      </c>
      <c r="H70" s="233"/>
      <c r="I70" s="26"/>
      <c r="J70" s="11"/>
      <c r="L70" s="11"/>
      <c r="M70" s="132">
        <f t="shared" si="2"/>
        <v>0</v>
      </c>
    </row>
    <row r="71" spans="1:22" x14ac:dyDescent="0.2">
      <c r="A71" s="272">
        <v>41883</v>
      </c>
      <c r="B71" s="252">
        <v>39320268.8430769</v>
      </c>
      <c r="C71" s="253">
        <v>157</v>
      </c>
      <c r="D71" s="253">
        <v>4.5999999999999996</v>
      </c>
      <c r="E71" s="252">
        <v>30</v>
      </c>
      <c r="F71" s="252">
        <v>1</v>
      </c>
      <c r="G71" s="252">
        <v>1</v>
      </c>
      <c r="H71" s="233"/>
      <c r="I71" s="26"/>
      <c r="J71" s="11"/>
      <c r="L71" s="11"/>
      <c r="M71" s="132">
        <f t="shared" si="2"/>
        <v>0</v>
      </c>
    </row>
    <row r="72" spans="1:22" x14ac:dyDescent="0.2">
      <c r="A72" s="272">
        <v>41913</v>
      </c>
      <c r="B72" s="252">
        <v>41890567.630000003</v>
      </c>
      <c r="C72" s="253">
        <v>341.59999999999997</v>
      </c>
      <c r="D72" s="253">
        <v>0</v>
      </c>
      <c r="E72" s="252">
        <v>31</v>
      </c>
      <c r="F72" s="252">
        <v>1</v>
      </c>
      <c r="G72" s="252">
        <v>1</v>
      </c>
      <c r="H72" s="233"/>
      <c r="I72" s="26"/>
      <c r="J72" s="11"/>
      <c r="L72" s="11"/>
      <c r="M72" s="132">
        <f t="shared" si="2"/>
        <v>0</v>
      </c>
    </row>
    <row r="73" spans="1:22" x14ac:dyDescent="0.2">
      <c r="A73" s="272">
        <v>41944</v>
      </c>
      <c r="B73" s="252">
        <v>48281109.329999998</v>
      </c>
      <c r="C73" s="253">
        <v>642.99999999999989</v>
      </c>
      <c r="D73" s="253">
        <v>0</v>
      </c>
      <c r="E73" s="252">
        <v>30</v>
      </c>
      <c r="F73" s="252">
        <v>1</v>
      </c>
      <c r="G73" s="252">
        <v>1</v>
      </c>
      <c r="H73" s="233"/>
      <c r="I73" s="26"/>
      <c r="J73" s="11"/>
      <c r="L73" s="11"/>
      <c r="M73" s="132">
        <f t="shared" si="2"/>
        <v>0</v>
      </c>
    </row>
    <row r="74" spans="1:22" x14ac:dyDescent="0.2">
      <c r="A74" s="272">
        <v>41974</v>
      </c>
      <c r="B74" s="252">
        <v>53346472.609999999</v>
      </c>
      <c r="C74" s="253">
        <v>710.49999999999989</v>
      </c>
      <c r="D74" s="253">
        <v>0</v>
      </c>
      <c r="E74" s="252">
        <v>31</v>
      </c>
      <c r="F74" s="252">
        <v>0</v>
      </c>
      <c r="G74" s="252">
        <v>1</v>
      </c>
      <c r="H74" s="233"/>
      <c r="I74" s="26"/>
      <c r="J74" s="11"/>
      <c r="L74" s="11"/>
      <c r="M74" s="132">
        <f t="shared" si="2"/>
        <v>0</v>
      </c>
    </row>
    <row r="75" spans="1:22" x14ac:dyDescent="0.2">
      <c r="A75" s="272"/>
      <c r="B75" s="252"/>
      <c r="C75" s="253"/>
      <c r="D75" s="253"/>
      <c r="E75" s="252"/>
      <c r="F75" s="252"/>
      <c r="G75" s="252"/>
      <c r="H75" s="233"/>
      <c r="I75" s="26"/>
      <c r="J75" s="11"/>
      <c r="L75" s="11"/>
      <c r="M75" s="132"/>
    </row>
    <row r="76" spans="1:22" ht="38.25" x14ac:dyDescent="0.2">
      <c r="A76" s="314"/>
      <c r="B76" s="315" t="s">
        <v>0</v>
      </c>
      <c r="C76" s="316" t="s">
        <v>4</v>
      </c>
      <c r="D76" s="316" t="s">
        <v>5</v>
      </c>
      <c r="E76" s="316" t="s">
        <v>6</v>
      </c>
      <c r="F76" s="316" t="s">
        <v>18</v>
      </c>
      <c r="G76" s="316" t="s">
        <v>133</v>
      </c>
      <c r="H76" s="316" t="s">
        <v>11</v>
      </c>
      <c r="I76" s="117"/>
      <c r="J76" s="116"/>
      <c r="K76" s="134"/>
      <c r="L76" s="116" t="s">
        <v>12</v>
      </c>
      <c r="M76" s="116" t="s">
        <v>140</v>
      </c>
    </row>
    <row r="77" spans="1:22" x14ac:dyDescent="0.2">
      <c r="A77" s="314">
        <v>42005</v>
      </c>
      <c r="B77" s="317">
        <v>60955014.140000008</v>
      </c>
      <c r="C77" s="318">
        <v>1064.75</v>
      </c>
      <c r="D77" s="318">
        <v>0</v>
      </c>
      <c r="E77" s="317">
        <v>31</v>
      </c>
      <c r="F77" s="317">
        <v>0</v>
      </c>
      <c r="G77" s="317">
        <v>1</v>
      </c>
      <c r="H77" s="317">
        <f>+C77*$O$94+D77*$O$95+E77*$O$96+F77*$O$97+$O$93</f>
        <v>56985475.180241689</v>
      </c>
      <c r="I77" s="26"/>
      <c r="J77" s="11"/>
      <c r="L77" s="11">
        <f t="shared" ref="L77:L128" si="3">H77-B77</f>
        <v>-3969538.959758319</v>
      </c>
      <c r="M77" s="132">
        <f t="shared" si="2"/>
        <v>6.5122435221509054E-2</v>
      </c>
      <c r="N77" t="s">
        <v>19</v>
      </c>
      <c r="O77"/>
      <c r="P77"/>
      <c r="Q77"/>
      <c r="R77"/>
      <c r="S77"/>
      <c r="T77"/>
      <c r="U77"/>
      <c r="V77"/>
    </row>
    <row r="78" spans="1:22" ht="13.5" thickBot="1" x14ac:dyDescent="0.25">
      <c r="A78" s="314">
        <v>42036</v>
      </c>
      <c r="B78" s="317">
        <v>56605601.299999997</v>
      </c>
      <c r="C78" s="318">
        <v>1041</v>
      </c>
      <c r="D78" s="318">
        <v>0</v>
      </c>
      <c r="E78" s="317">
        <v>28</v>
      </c>
      <c r="F78" s="317">
        <v>0</v>
      </c>
      <c r="G78" s="317">
        <v>1</v>
      </c>
      <c r="H78" s="317">
        <f t="shared" ref="H78:H136" si="4">+C78*$O$94+D78*$O$95+E78*$O$96+F78*$O$97+$O$93</f>
        <v>53881444.150750794</v>
      </c>
      <c r="I78" s="261"/>
      <c r="J78" s="262"/>
      <c r="K78" s="263"/>
      <c r="L78" s="11">
        <f t="shared" si="3"/>
        <v>-2724157.1492492035</v>
      </c>
      <c r="M78" s="132">
        <f t="shared" si="2"/>
        <v>4.8125222357618583E-2</v>
      </c>
      <c r="N78"/>
      <c r="O78"/>
      <c r="P78"/>
      <c r="Q78"/>
      <c r="R78"/>
      <c r="S78"/>
      <c r="T78"/>
      <c r="U78"/>
      <c r="V78"/>
    </row>
    <row r="79" spans="1:22" x14ac:dyDescent="0.2">
      <c r="A79" s="314">
        <v>42064</v>
      </c>
      <c r="B79" s="317">
        <v>52369680.829999998</v>
      </c>
      <c r="C79" s="318">
        <v>801.24999999999989</v>
      </c>
      <c r="D79" s="318">
        <v>0</v>
      </c>
      <c r="E79" s="317">
        <v>31</v>
      </c>
      <c r="F79" s="317">
        <v>1</v>
      </c>
      <c r="G79" s="317">
        <v>1</v>
      </c>
      <c r="H79" s="317">
        <f t="shared" si="4"/>
        <v>49122029.11683625</v>
      </c>
      <c r="I79" s="261"/>
      <c r="J79" s="262"/>
      <c r="K79" s="263"/>
      <c r="L79" s="11">
        <f t="shared" si="3"/>
        <v>-3247651.7131637484</v>
      </c>
      <c r="M79" s="132">
        <f t="shared" si="2"/>
        <v>6.2013968038226605E-2</v>
      </c>
      <c r="N79" s="31" t="s">
        <v>20</v>
      </c>
      <c r="O79" s="31"/>
      <c r="P79"/>
      <c r="Q79"/>
      <c r="R79"/>
      <c r="S79"/>
      <c r="T79"/>
      <c r="U79"/>
      <c r="V79"/>
    </row>
    <row r="80" spans="1:22" x14ac:dyDescent="0.2">
      <c r="A80" s="314">
        <v>42095</v>
      </c>
      <c r="B80" s="317">
        <v>42936932</v>
      </c>
      <c r="C80" s="318">
        <v>438.8</v>
      </c>
      <c r="D80" s="318">
        <v>0</v>
      </c>
      <c r="E80" s="317">
        <v>30</v>
      </c>
      <c r="F80" s="317">
        <v>1</v>
      </c>
      <c r="G80" s="317">
        <v>1</v>
      </c>
      <c r="H80" s="317">
        <f t="shared" si="4"/>
        <v>40310181.525333397</v>
      </c>
      <c r="I80" s="261"/>
      <c r="J80" s="262"/>
      <c r="K80" s="263"/>
      <c r="L80" s="11">
        <f t="shared" si="3"/>
        <v>-2626750.4746666029</v>
      </c>
      <c r="M80" s="132">
        <f t="shared" si="2"/>
        <v>6.1176948429072738E-2</v>
      </c>
      <c r="N80" s="28" t="s">
        <v>21</v>
      </c>
      <c r="O80" s="255">
        <v>0.97835139641235858</v>
      </c>
      <c r="P80"/>
      <c r="Q80"/>
      <c r="R80"/>
      <c r="S80"/>
      <c r="T80"/>
      <c r="U80"/>
      <c r="V80"/>
    </row>
    <row r="81" spans="1:22" x14ac:dyDescent="0.2">
      <c r="A81" s="314">
        <v>42125</v>
      </c>
      <c r="B81" s="317">
        <v>38321444.109999999</v>
      </c>
      <c r="C81" s="318">
        <v>191.1</v>
      </c>
      <c r="D81" s="318">
        <v>8.1</v>
      </c>
      <c r="E81" s="317">
        <v>31</v>
      </c>
      <c r="F81" s="317">
        <v>1</v>
      </c>
      <c r="G81" s="317">
        <v>1</v>
      </c>
      <c r="H81" s="317">
        <f t="shared" si="4"/>
        <v>36625332.012147948</v>
      </c>
      <c r="I81" s="261"/>
      <c r="J81" s="262"/>
      <c r="K81" s="263"/>
      <c r="L81" s="11">
        <f t="shared" si="3"/>
        <v>-1696112.0978520513</v>
      </c>
      <c r="M81" s="132">
        <f t="shared" si="2"/>
        <v>4.426012999362542E-2</v>
      </c>
      <c r="N81" s="28" t="s">
        <v>22</v>
      </c>
      <c r="O81" s="255">
        <v>0.95717145486201205</v>
      </c>
      <c r="P81"/>
      <c r="Q81"/>
      <c r="R81"/>
      <c r="S81"/>
      <c r="T81"/>
      <c r="U81"/>
      <c r="V81"/>
    </row>
    <row r="82" spans="1:22" x14ac:dyDescent="0.2">
      <c r="A82" s="314">
        <v>42156</v>
      </c>
      <c r="B82" s="317">
        <v>37322701.109999999</v>
      </c>
      <c r="C82" s="318">
        <v>100.6</v>
      </c>
      <c r="D82" s="318">
        <v>1.9</v>
      </c>
      <c r="E82" s="317">
        <v>30</v>
      </c>
      <c r="F82" s="317">
        <v>0</v>
      </c>
      <c r="G82" s="317">
        <v>1</v>
      </c>
      <c r="H82" s="317">
        <f t="shared" si="4"/>
        <v>35182763.13802284</v>
      </c>
      <c r="I82" s="261"/>
      <c r="J82" s="262"/>
      <c r="K82" s="263"/>
      <c r="L82" s="11">
        <f t="shared" si="3"/>
        <v>-2139937.9719771594</v>
      </c>
      <c r="M82" s="132">
        <f t="shared" si="2"/>
        <v>5.7336095950563409E-2</v>
      </c>
      <c r="N82" s="28" t="s">
        <v>23</v>
      </c>
      <c r="O82" s="255">
        <v>0.95405665157924924</v>
      </c>
      <c r="P82"/>
      <c r="Q82"/>
      <c r="R82"/>
      <c r="S82"/>
      <c r="T82"/>
      <c r="U82"/>
      <c r="V82"/>
    </row>
    <row r="83" spans="1:22" x14ac:dyDescent="0.2">
      <c r="A83" s="314">
        <v>42186</v>
      </c>
      <c r="B83" s="317">
        <v>41173435.550000004</v>
      </c>
      <c r="C83" s="318">
        <v>37.100000000000009</v>
      </c>
      <c r="D83" s="318">
        <v>54.7</v>
      </c>
      <c r="E83" s="317">
        <v>31</v>
      </c>
      <c r="F83" s="317">
        <v>0</v>
      </c>
      <c r="G83" s="317">
        <v>1</v>
      </c>
      <c r="H83" s="317">
        <f t="shared" si="4"/>
        <v>40437780.090349503</v>
      </c>
      <c r="I83" s="261"/>
      <c r="J83" s="262"/>
      <c r="K83" s="263"/>
      <c r="L83" s="11">
        <f t="shared" si="3"/>
        <v>-735655.45965050161</v>
      </c>
      <c r="M83" s="132">
        <f t="shared" si="2"/>
        <v>1.7867235265251056E-2</v>
      </c>
      <c r="N83" s="28" t="s">
        <v>24</v>
      </c>
      <c r="O83" s="28">
        <v>1380193.7476317249</v>
      </c>
      <c r="P83"/>
      <c r="Q83"/>
      <c r="R83"/>
      <c r="S83"/>
      <c r="T83"/>
      <c r="U83"/>
      <c r="V83"/>
    </row>
    <row r="84" spans="1:22" ht="13.5" thickBot="1" x14ac:dyDescent="0.25">
      <c r="A84" s="314">
        <v>42217</v>
      </c>
      <c r="B84" s="317">
        <v>40113558.109999999</v>
      </c>
      <c r="C84" s="318">
        <v>29.9</v>
      </c>
      <c r="D84" s="318">
        <v>44.900000000000006</v>
      </c>
      <c r="E84" s="317">
        <v>31</v>
      </c>
      <c r="F84" s="317">
        <v>0</v>
      </c>
      <c r="G84" s="317">
        <v>1</v>
      </c>
      <c r="H84" s="317">
        <f t="shared" si="4"/>
        <v>39205743.157594353</v>
      </c>
      <c r="I84" s="261"/>
      <c r="J84" s="262"/>
      <c r="K84" s="263"/>
      <c r="L84" s="11">
        <f t="shared" si="3"/>
        <v>-907814.95240564644</v>
      </c>
      <c r="M84" s="132">
        <f t="shared" si="2"/>
        <v>2.2631125115259602E-2</v>
      </c>
      <c r="N84" s="29" t="s">
        <v>25</v>
      </c>
      <c r="O84" s="29">
        <v>60</v>
      </c>
      <c r="P84"/>
      <c r="Q84"/>
      <c r="R84"/>
      <c r="S84"/>
      <c r="T84"/>
      <c r="U84"/>
      <c r="V84"/>
    </row>
    <row r="85" spans="1:22" x14ac:dyDescent="0.2">
      <c r="A85" s="314">
        <v>42248</v>
      </c>
      <c r="B85" s="317">
        <v>39126212.020000003</v>
      </c>
      <c r="C85" s="318">
        <v>72.45</v>
      </c>
      <c r="D85" s="318">
        <v>43.1</v>
      </c>
      <c r="E85" s="317">
        <v>30</v>
      </c>
      <c r="F85" s="317">
        <v>1</v>
      </c>
      <c r="G85" s="317">
        <v>1</v>
      </c>
      <c r="H85" s="317">
        <f t="shared" si="4"/>
        <v>36997622.908785559</v>
      </c>
      <c r="I85" s="261"/>
      <c r="J85" s="262"/>
      <c r="K85" s="263"/>
      <c r="L85" s="11">
        <f t="shared" si="3"/>
        <v>-2128589.111214444</v>
      </c>
      <c r="M85" s="132">
        <f t="shared" si="2"/>
        <v>5.440314820474778E-2</v>
      </c>
      <c r="N85"/>
      <c r="O85"/>
      <c r="P85"/>
      <c r="Q85"/>
      <c r="R85"/>
      <c r="S85"/>
      <c r="T85"/>
      <c r="U85"/>
      <c r="V85"/>
    </row>
    <row r="86" spans="1:22" ht="13.5" thickBot="1" x14ac:dyDescent="0.25">
      <c r="A86" s="314">
        <v>42278</v>
      </c>
      <c r="B86" s="317">
        <v>40715708.719999999</v>
      </c>
      <c r="C86" s="318">
        <v>380.39999999999992</v>
      </c>
      <c r="D86" s="318">
        <v>0</v>
      </c>
      <c r="E86" s="317">
        <v>31</v>
      </c>
      <c r="F86" s="317">
        <v>1</v>
      </c>
      <c r="G86" s="317">
        <v>1</v>
      </c>
      <c r="H86" s="317">
        <f t="shared" si="4"/>
        <v>39890112.307988286</v>
      </c>
      <c r="I86" s="261"/>
      <c r="J86" s="262"/>
      <c r="K86" s="263"/>
      <c r="L86" s="11">
        <f t="shared" si="3"/>
        <v>-825596.41201171279</v>
      </c>
      <c r="M86" s="132">
        <f t="shared" si="2"/>
        <v>2.0277097905609363E-2</v>
      </c>
      <c r="N86" t="s">
        <v>26</v>
      </c>
      <c r="O86"/>
      <c r="P86"/>
      <c r="Q86"/>
      <c r="R86"/>
      <c r="S86"/>
      <c r="T86"/>
      <c r="U86"/>
      <c r="V86"/>
    </row>
    <row r="87" spans="1:22" x14ac:dyDescent="0.2">
      <c r="A87" s="314">
        <v>42309</v>
      </c>
      <c r="B87" s="317">
        <v>42394598.530000001</v>
      </c>
      <c r="C87" s="318">
        <v>435.75</v>
      </c>
      <c r="D87" s="318">
        <v>0</v>
      </c>
      <c r="E87" s="317">
        <v>30</v>
      </c>
      <c r="F87" s="317">
        <v>1</v>
      </c>
      <c r="G87" s="317">
        <v>1</v>
      </c>
      <c r="H87" s="317">
        <f t="shared" si="4"/>
        <v>40243275.629486926</v>
      </c>
      <c r="I87" s="261"/>
      <c r="J87" s="262"/>
      <c r="K87" s="263"/>
      <c r="L87" s="11">
        <f t="shared" si="3"/>
        <v>-2151322.9005130753</v>
      </c>
      <c r="M87" s="132">
        <f t="shared" si="2"/>
        <v>5.0745212246572378E-2</v>
      </c>
      <c r="N87" s="30"/>
      <c r="O87" s="30" t="s">
        <v>29</v>
      </c>
      <c r="P87" s="30" t="s">
        <v>30</v>
      </c>
      <c r="Q87" s="30" t="s">
        <v>31</v>
      </c>
      <c r="R87" s="30" t="s">
        <v>32</v>
      </c>
      <c r="S87" s="30" t="s">
        <v>33</v>
      </c>
      <c r="T87"/>
      <c r="U87"/>
      <c r="V87"/>
    </row>
    <row r="88" spans="1:22" x14ac:dyDescent="0.2">
      <c r="A88" s="314">
        <v>42339</v>
      </c>
      <c r="B88" s="317">
        <v>46288309.32</v>
      </c>
      <c r="C88" s="318">
        <v>564.95000000000005</v>
      </c>
      <c r="D88" s="318">
        <v>0</v>
      </c>
      <c r="E88" s="319">
        <v>31</v>
      </c>
      <c r="F88" s="317">
        <v>0</v>
      </c>
      <c r="G88" s="317">
        <v>1</v>
      </c>
      <c r="H88" s="317">
        <f t="shared" si="4"/>
        <v>46021682.805138417</v>
      </c>
      <c r="I88" s="261"/>
      <c r="J88" s="262"/>
      <c r="K88" s="263"/>
      <c r="L88" s="11">
        <f t="shared" si="3"/>
        <v>-266626.51486158371</v>
      </c>
      <c r="M88" s="132">
        <f t="shared" si="2"/>
        <v>5.7601264504681567E-3</v>
      </c>
      <c r="N88" s="28" t="s">
        <v>27</v>
      </c>
      <c r="O88" s="28">
        <v>4</v>
      </c>
      <c r="P88" s="28">
        <v>2341527255784045</v>
      </c>
      <c r="Q88" s="28">
        <v>585381813946011.25</v>
      </c>
      <c r="R88" s="28">
        <v>307.29756198697243</v>
      </c>
      <c r="S88" s="28">
        <v>6.444396557517594E-37</v>
      </c>
      <c r="T88"/>
      <c r="U88"/>
      <c r="V88"/>
    </row>
    <row r="89" spans="1:22" x14ac:dyDescent="0.2">
      <c r="A89" s="314">
        <v>42370</v>
      </c>
      <c r="B89" s="317">
        <v>53275789.689999998</v>
      </c>
      <c r="C89" s="318">
        <v>881.89999999999986</v>
      </c>
      <c r="D89" s="318">
        <v>0</v>
      </c>
      <c r="E89" s="319">
        <v>31</v>
      </c>
      <c r="F89" s="317">
        <v>0</v>
      </c>
      <c r="G89" s="317">
        <v>1</v>
      </c>
      <c r="H89" s="317">
        <f t="shared" si="4"/>
        <v>52974411.88334766</v>
      </c>
      <c r="I89" s="261"/>
      <c r="J89" s="262"/>
      <c r="K89" s="263"/>
      <c r="L89" s="11">
        <f t="shared" si="3"/>
        <v>-301377.80665233731</v>
      </c>
      <c r="M89" s="132">
        <f t="shared" si="2"/>
        <v>5.6569373894969537E-3</v>
      </c>
      <c r="N89" s="28" t="s">
        <v>28</v>
      </c>
      <c r="O89" s="28">
        <v>55</v>
      </c>
      <c r="P89" s="28">
        <v>104771412955093.8</v>
      </c>
      <c r="Q89" s="28">
        <v>1904934781001.7053</v>
      </c>
      <c r="R89" s="28"/>
      <c r="S89" s="28"/>
      <c r="T89"/>
      <c r="U89"/>
      <c r="V89"/>
    </row>
    <row r="90" spans="1:22" ht="13.5" thickBot="1" x14ac:dyDescent="0.25">
      <c r="A90" s="314">
        <v>42401</v>
      </c>
      <c r="B90" s="317">
        <v>50185519.68</v>
      </c>
      <c r="C90" s="318">
        <v>856.69999999999993</v>
      </c>
      <c r="D90" s="318">
        <v>0</v>
      </c>
      <c r="E90" s="319">
        <v>29</v>
      </c>
      <c r="F90" s="317">
        <v>0</v>
      </c>
      <c r="G90" s="317">
        <v>1</v>
      </c>
      <c r="H90" s="317">
        <f t="shared" si="4"/>
        <v>50699587.298300646</v>
      </c>
      <c r="I90" s="261"/>
      <c r="J90" s="262"/>
      <c r="K90" s="263"/>
      <c r="L90" s="11">
        <f t="shared" si="3"/>
        <v>514067.61830064654</v>
      </c>
      <c r="M90" s="132">
        <f t="shared" si="2"/>
        <v>1.0243345522344236E-2</v>
      </c>
      <c r="N90" s="29" t="s">
        <v>10</v>
      </c>
      <c r="O90" s="29">
        <v>59</v>
      </c>
      <c r="P90" s="29">
        <v>2446298668739139</v>
      </c>
      <c r="Q90" s="29"/>
      <c r="R90" s="29"/>
      <c r="S90" s="29"/>
      <c r="T90"/>
      <c r="U90"/>
      <c r="V90"/>
    </row>
    <row r="91" spans="1:22" ht="13.5" thickBot="1" x14ac:dyDescent="0.25">
      <c r="A91" s="314">
        <v>42430</v>
      </c>
      <c r="B91" s="317">
        <v>45995357.460000001</v>
      </c>
      <c r="C91" s="318">
        <v>681.3</v>
      </c>
      <c r="D91" s="318">
        <v>0</v>
      </c>
      <c r="E91" s="319">
        <v>31</v>
      </c>
      <c r="F91" s="317">
        <v>1</v>
      </c>
      <c r="G91" s="317">
        <v>1</v>
      </c>
      <c r="H91" s="317">
        <f t="shared" si="4"/>
        <v>46490762.819530055</v>
      </c>
      <c r="I91" s="261"/>
      <c r="J91" s="262"/>
      <c r="K91" s="263"/>
      <c r="L91" s="11">
        <f t="shared" si="3"/>
        <v>495405.35953005403</v>
      </c>
      <c r="M91" s="132">
        <f t="shared" si="2"/>
        <v>1.0770768766410496E-2</v>
      </c>
      <c r="N91"/>
      <c r="O91"/>
      <c r="P91"/>
      <c r="Q91"/>
      <c r="R91"/>
      <c r="S91"/>
      <c r="T91"/>
      <c r="U91"/>
      <c r="V91"/>
    </row>
    <row r="92" spans="1:22" x14ac:dyDescent="0.2">
      <c r="A92" s="314">
        <v>42461</v>
      </c>
      <c r="B92" s="317">
        <v>41316026.82</v>
      </c>
      <c r="C92" s="318">
        <v>545.4</v>
      </c>
      <c r="D92" s="318">
        <v>0</v>
      </c>
      <c r="E92" s="317">
        <v>30</v>
      </c>
      <c r="F92" s="317">
        <v>1</v>
      </c>
      <c r="G92" s="317">
        <v>1</v>
      </c>
      <c r="H92" s="317">
        <f t="shared" si="4"/>
        <v>42648597.426065706</v>
      </c>
      <c r="I92" s="261"/>
      <c r="J92" s="262"/>
      <c r="K92" s="263"/>
      <c r="L92" s="11">
        <f t="shared" si="3"/>
        <v>1332570.6060657054</v>
      </c>
      <c r="M92" s="132">
        <f t="shared" si="2"/>
        <v>3.2253116009224855E-2</v>
      </c>
      <c r="N92" s="30"/>
      <c r="O92" s="30" t="s">
        <v>34</v>
      </c>
      <c r="P92" s="30" t="s">
        <v>24</v>
      </c>
      <c r="Q92" s="30" t="s">
        <v>35</v>
      </c>
      <c r="R92" s="30" t="s">
        <v>36</v>
      </c>
      <c r="S92" s="30" t="s">
        <v>37</v>
      </c>
      <c r="T92" s="30" t="s">
        <v>38</v>
      </c>
      <c r="U92" s="30" t="s">
        <v>161</v>
      </c>
      <c r="V92" s="30" t="s">
        <v>162</v>
      </c>
    </row>
    <row r="93" spans="1:22" x14ac:dyDescent="0.2">
      <c r="A93" s="314">
        <v>42491</v>
      </c>
      <c r="B93" s="317">
        <v>36199389.279999994</v>
      </c>
      <c r="C93" s="318">
        <v>206.6</v>
      </c>
      <c r="D93" s="318">
        <v>11.7</v>
      </c>
      <c r="E93" s="317">
        <v>31</v>
      </c>
      <c r="F93" s="317">
        <v>1</v>
      </c>
      <c r="G93" s="317">
        <v>1</v>
      </c>
      <c r="H93" s="317">
        <f t="shared" si="4"/>
        <v>37359911.144981325</v>
      </c>
      <c r="I93" s="261"/>
      <c r="J93" s="262"/>
      <c r="K93" s="263"/>
      <c r="L93" s="11">
        <f t="shared" si="3"/>
        <v>1160521.8649813309</v>
      </c>
      <c r="M93" s="132">
        <f t="shared" si="2"/>
        <v>3.2059155915719117E-2</v>
      </c>
      <c r="N93" s="28" t="s">
        <v>124</v>
      </c>
      <c r="O93" s="256">
        <v>6937297.4940139567</v>
      </c>
      <c r="P93" s="28">
        <v>6820540.9259391651</v>
      </c>
      <c r="Q93" s="256">
        <v>1.0171183736513851</v>
      </c>
      <c r="R93" s="28">
        <v>0.31355062074215168</v>
      </c>
      <c r="S93" s="28">
        <v>-6731371.9678245457</v>
      </c>
      <c r="T93" s="28">
        <v>20605966.95585246</v>
      </c>
      <c r="U93" s="28">
        <v>-6731371.9678245457</v>
      </c>
      <c r="V93" s="28">
        <v>20605966.95585246</v>
      </c>
    </row>
    <row r="94" spans="1:22" x14ac:dyDescent="0.2">
      <c r="A94" s="314">
        <v>42522</v>
      </c>
      <c r="B94" s="317">
        <v>36570354.549999997</v>
      </c>
      <c r="C94" s="318">
        <v>89.699999999999989</v>
      </c>
      <c r="D94" s="318">
        <v>21.599999999999998</v>
      </c>
      <c r="E94" s="317">
        <v>30</v>
      </c>
      <c r="F94" s="317">
        <v>0</v>
      </c>
      <c r="G94" s="317">
        <v>1</v>
      </c>
      <c r="H94" s="317">
        <f t="shared" si="4"/>
        <v>37102807.267946236</v>
      </c>
      <c r="I94" s="261"/>
      <c r="J94" s="262"/>
      <c r="K94" s="263"/>
      <c r="L94" s="11">
        <f t="shared" si="3"/>
        <v>532452.71794623882</v>
      </c>
      <c r="M94" s="132">
        <f t="shared" si="2"/>
        <v>1.4559681591772778E-2</v>
      </c>
      <c r="N94" s="28" t="s">
        <v>4</v>
      </c>
      <c r="O94" s="256">
        <v>21936.359293924117</v>
      </c>
      <c r="P94" s="28">
        <v>748.39981627408224</v>
      </c>
      <c r="Q94" s="256">
        <v>29.311016407158615</v>
      </c>
      <c r="R94" s="28">
        <v>2.9850631118911255E-35</v>
      </c>
      <c r="S94" s="28">
        <v>20436.532546305487</v>
      </c>
      <c r="T94" s="28">
        <v>23436.186041542747</v>
      </c>
      <c r="U94" s="28">
        <v>20436.532546305487</v>
      </c>
      <c r="V94" s="28">
        <v>23436.186041542747</v>
      </c>
    </row>
    <row r="95" spans="1:22" x14ac:dyDescent="0.2">
      <c r="A95" s="314">
        <v>42552</v>
      </c>
      <c r="B95" s="317">
        <v>40114786.689999998</v>
      </c>
      <c r="C95" s="318">
        <v>28.5</v>
      </c>
      <c r="D95" s="318">
        <v>57.499999999999993</v>
      </c>
      <c r="E95" s="317">
        <v>31</v>
      </c>
      <c r="F95" s="317">
        <v>0</v>
      </c>
      <c r="G95" s="317">
        <v>1</v>
      </c>
      <c r="H95" s="317">
        <f t="shared" si="4"/>
        <v>40556011.727804296</v>
      </c>
      <c r="I95" s="261"/>
      <c r="J95" s="262"/>
      <c r="K95" s="263"/>
      <c r="L95" s="11">
        <f t="shared" si="3"/>
        <v>441225.0378042981</v>
      </c>
      <c r="M95" s="132">
        <f t="shared" si="2"/>
        <v>1.0999062296255181E-2</v>
      </c>
      <c r="N95" s="28" t="s">
        <v>5</v>
      </c>
      <c r="O95" s="256">
        <v>109601.54549376482</v>
      </c>
      <c r="P95" s="28">
        <v>12298.27701309162</v>
      </c>
      <c r="Q95" s="256">
        <v>8.9119431426933264</v>
      </c>
      <c r="R95" s="28">
        <v>2.9234292125944223E-12</v>
      </c>
      <c r="S95" s="28">
        <v>84955.247602233751</v>
      </c>
      <c r="T95" s="28">
        <v>134247.84338529588</v>
      </c>
      <c r="U95" s="28">
        <v>84955.247602233751</v>
      </c>
      <c r="V95" s="28">
        <v>134247.84338529588</v>
      </c>
    </row>
    <row r="96" spans="1:22" x14ac:dyDescent="0.2">
      <c r="A96" s="314">
        <v>42583</v>
      </c>
      <c r="B96" s="317">
        <v>41396574.859999999</v>
      </c>
      <c r="C96" s="318">
        <v>13.299999999999999</v>
      </c>
      <c r="D96" s="318">
        <v>69.100000000000009</v>
      </c>
      <c r="E96" s="317">
        <v>31</v>
      </c>
      <c r="F96" s="317">
        <v>0</v>
      </c>
      <c r="G96" s="317">
        <v>1</v>
      </c>
      <c r="H96" s="317">
        <f t="shared" si="4"/>
        <v>41493956.994264327</v>
      </c>
      <c r="I96" s="261"/>
      <c r="J96" s="262"/>
      <c r="K96" s="263"/>
      <c r="L96" s="11">
        <f t="shared" si="3"/>
        <v>97382.134264327586</v>
      </c>
      <c r="M96" s="132">
        <f t="shared" si="2"/>
        <v>2.3524200877407466E-3</v>
      </c>
      <c r="N96" s="28" t="s">
        <v>6</v>
      </c>
      <c r="O96" s="256">
        <v>861014.1654200654</v>
      </c>
      <c r="P96" s="28">
        <v>224866.44809693948</v>
      </c>
      <c r="Q96" s="256">
        <v>3.8290023821111983</v>
      </c>
      <c r="R96" s="28">
        <v>3.3178858990512661E-4</v>
      </c>
      <c r="S96" s="28">
        <v>410371.73317463446</v>
      </c>
      <c r="T96" s="28">
        <v>1311656.5976654964</v>
      </c>
      <c r="U96" s="28">
        <v>410371.73317463446</v>
      </c>
      <c r="V96" s="28">
        <v>1311656.5976654964</v>
      </c>
    </row>
    <row r="97" spans="1:22" ht="13.5" thickBot="1" x14ac:dyDescent="0.25">
      <c r="A97" s="314">
        <v>42614</v>
      </c>
      <c r="B97" s="317">
        <v>36257722.280000001</v>
      </c>
      <c r="C97" s="318">
        <v>102.10000000000001</v>
      </c>
      <c r="D97" s="318">
        <v>11.7</v>
      </c>
      <c r="E97" s="317">
        <v>30</v>
      </c>
      <c r="F97" s="317">
        <v>1</v>
      </c>
      <c r="G97" s="317">
        <v>1</v>
      </c>
      <c r="H97" s="317">
        <f t="shared" si="4"/>
        <v>34206547.433346197</v>
      </c>
      <c r="I97" s="261"/>
      <c r="J97" s="262"/>
      <c r="K97" s="263"/>
      <c r="L97" s="11">
        <f t="shared" si="3"/>
        <v>-2051174.8466538042</v>
      </c>
      <c r="M97" s="132">
        <f t="shared" si="2"/>
        <v>5.6572082239850066E-2</v>
      </c>
      <c r="N97" s="29" t="s">
        <v>18</v>
      </c>
      <c r="O97" s="257">
        <v>-2083215.3894564267</v>
      </c>
      <c r="P97" s="29">
        <v>407542.18219589384</v>
      </c>
      <c r="Q97" s="257">
        <v>-5.1116558738331648</v>
      </c>
      <c r="R97" s="29">
        <v>4.1555149131339647E-6</v>
      </c>
      <c r="S97" s="29">
        <v>-2899948.1736563821</v>
      </c>
      <c r="T97" s="29">
        <v>-1266482.6052564713</v>
      </c>
      <c r="U97" s="29">
        <v>-2899948.1736563821</v>
      </c>
      <c r="V97" s="29">
        <v>-1266482.6052564713</v>
      </c>
    </row>
    <row r="98" spans="1:22" x14ac:dyDescent="0.2">
      <c r="A98" s="314">
        <v>42644</v>
      </c>
      <c r="B98" s="317">
        <v>38047287.729999997</v>
      </c>
      <c r="C98" s="318">
        <v>311.00000000000006</v>
      </c>
      <c r="D98" s="318">
        <v>1.7000000000000002</v>
      </c>
      <c r="E98" s="317">
        <v>31</v>
      </c>
      <c r="F98" s="317">
        <v>1</v>
      </c>
      <c r="G98" s="317">
        <v>1</v>
      </c>
      <c r="H98" s="317">
        <f t="shared" si="4"/>
        <v>38554051.600329354</v>
      </c>
      <c r="I98" s="261"/>
      <c r="J98" s="262"/>
      <c r="K98" s="263"/>
      <c r="L98" s="11">
        <f t="shared" si="3"/>
        <v>506763.87032935768</v>
      </c>
      <c r="M98" s="132">
        <f t="shared" si="2"/>
        <v>1.3319316581133804E-2</v>
      </c>
      <c r="N98"/>
      <c r="O98"/>
      <c r="P98"/>
      <c r="Q98"/>
      <c r="R98"/>
      <c r="S98"/>
      <c r="T98"/>
      <c r="U98"/>
      <c r="V98"/>
    </row>
    <row r="99" spans="1:22" x14ac:dyDescent="0.2">
      <c r="A99" s="314">
        <v>42675</v>
      </c>
      <c r="B99" s="317">
        <v>40688064.800000004</v>
      </c>
      <c r="C99" s="318">
        <v>471.59999999999997</v>
      </c>
      <c r="D99" s="318">
        <v>0</v>
      </c>
      <c r="E99" s="317">
        <v>30</v>
      </c>
      <c r="F99" s="317">
        <v>1</v>
      </c>
      <c r="G99" s="317">
        <v>1</v>
      </c>
      <c r="H99" s="317">
        <f t="shared" si="4"/>
        <v>41029694.110174105</v>
      </c>
      <c r="I99" s="261"/>
      <c r="J99" s="262"/>
      <c r="K99" s="263"/>
      <c r="L99" s="11">
        <f t="shared" si="3"/>
        <v>341629.3101741001</v>
      </c>
      <c r="M99" s="132">
        <f t="shared" si="2"/>
        <v>8.3963027451258894E-3</v>
      </c>
      <c r="N99"/>
      <c r="O99"/>
      <c r="P99"/>
      <c r="Q99"/>
      <c r="R99"/>
      <c r="S99"/>
      <c r="T99"/>
      <c r="U99"/>
      <c r="V99"/>
    </row>
    <row r="100" spans="1:22" x14ac:dyDescent="0.2">
      <c r="A100" s="314">
        <v>42705</v>
      </c>
      <c r="B100" s="317">
        <v>48940750.400000006</v>
      </c>
      <c r="C100" s="318">
        <v>783.30000000000018</v>
      </c>
      <c r="D100" s="318">
        <v>0</v>
      </c>
      <c r="E100" s="317">
        <v>31</v>
      </c>
      <c r="F100" s="317">
        <v>0</v>
      </c>
      <c r="G100" s="317">
        <v>1</v>
      </c>
      <c r="H100" s="317">
        <f t="shared" si="4"/>
        <v>50811486.856966749</v>
      </c>
      <c r="I100" s="261"/>
      <c r="J100" s="262"/>
      <c r="K100" s="263"/>
      <c r="L100" s="11">
        <f t="shared" si="3"/>
        <v>1870736.4569667429</v>
      </c>
      <c r="M100" s="132">
        <f t="shared" si="2"/>
        <v>3.8224515187792109E-2</v>
      </c>
      <c r="N100"/>
      <c r="O100"/>
      <c r="P100"/>
      <c r="Q100"/>
      <c r="R100"/>
      <c r="S100"/>
      <c r="T100"/>
      <c r="U100"/>
      <c r="V100"/>
    </row>
    <row r="101" spans="1:22" x14ac:dyDescent="0.2">
      <c r="A101" s="314">
        <v>42736</v>
      </c>
      <c r="B101" s="317">
        <v>50172295.439999998</v>
      </c>
      <c r="C101" s="318">
        <v>799.6</v>
      </c>
      <c r="D101" s="318">
        <v>0</v>
      </c>
      <c r="E101" s="317">
        <v>31</v>
      </c>
      <c r="F101" s="317">
        <v>0</v>
      </c>
      <c r="G101" s="317">
        <v>1</v>
      </c>
      <c r="H101" s="317">
        <f t="shared" si="4"/>
        <v>51169049.513457708</v>
      </c>
      <c r="I101" s="261"/>
      <c r="J101" s="262"/>
      <c r="K101" s="263"/>
      <c r="L101" s="11">
        <f t="shared" si="3"/>
        <v>996754.07345771044</v>
      </c>
      <c r="M101" s="132">
        <f t="shared" si="2"/>
        <v>1.986662289848205E-2</v>
      </c>
      <c r="N101" s="130"/>
      <c r="O101" s="130"/>
    </row>
    <row r="102" spans="1:22" x14ac:dyDescent="0.2">
      <c r="A102" s="314">
        <v>42767</v>
      </c>
      <c r="B102" s="317">
        <v>44767408.370000005</v>
      </c>
      <c r="C102" s="318">
        <v>729.8</v>
      </c>
      <c r="D102" s="318">
        <v>0</v>
      </c>
      <c r="E102" s="317">
        <v>28</v>
      </c>
      <c r="F102" s="317">
        <v>0</v>
      </c>
      <c r="G102" s="317">
        <v>1</v>
      </c>
      <c r="H102" s="317">
        <f t="shared" si="4"/>
        <v>47054849.13848161</v>
      </c>
      <c r="I102" s="261"/>
      <c r="J102" s="262"/>
      <c r="K102" s="263"/>
      <c r="L102" s="11">
        <f t="shared" si="3"/>
        <v>2287440.7684816048</v>
      </c>
      <c r="M102" s="132">
        <f t="shared" si="2"/>
        <v>5.1096117728684248E-2</v>
      </c>
      <c r="N102" s="130"/>
      <c r="O102" s="130"/>
    </row>
    <row r="103" spans="1:22" x14ac:dyDescent="0.2">
      <c r="A103" s="314">
        <v>42795</v>
      </c>
      <c r="B103" s="317">
        <v>48902656.549999997</v>
      </c>
      <c r="C103" s="318">
        <v>798.1</v>
      </c>
      <c r="D103" s="318">
        <v>0</v>
      </c>
      <c r="E103" s="317">
        <v>31</v>
      </c>
      <c r="F103" s="317">
        <v>1</v>
      </c>
      <c r="G103" s="317">
        <v>1</v>
      </c>
      <c r="H103" s="317">
        <f t="shared" si="4"/>
        <v>49052929.585060395</v>
      </c>
      <c r="I103" s="261"/>
      <c r="J103" s="262"/>
      <c r="K103" s="263"/>
      <c r="L103" s="11">
        <f t="shared" si="3"/>
        <v>150273.03506039828</v>
      </c>
      <c r="M103" s="132">
        <f t="shared" si="2"/>
        <v>3.0729012626697126E-3</v>
      </c>
      <c r="N103" s="130"/>
      <c r="O103" s="130"/>
    </row>
    <row r="104" spans="1:22" x14ac:dyDescent="0.2">
      <c r="A104" s="314">
        <v>42826</v>
      </c>
      <c r="B104" s="317">
        <v>38767220.770000003</v>
      </c>
      <c r="C104" s="318">
        <v>397.20000000000005</v>
      </c>
      <c r="D104" s="318">
        <v>0</v>
      </c>
      <c r="E104" s="317">
        <v>30</v>
      </c>
      <c r="F104" s="317">
        <v>1</v>
      </c>
      <c r="G104" s="317">
        <v>1</v>
      </c>
      <c r="H104" s="317">
        <f t="shared" si="4"/>
        <v>39397628.978706151</v>
      </c>
      <c r="I104" s="261"/>
      <c r="J104" s="262"/>
      <c r="K104" s="263"/>
      <c r="L104" s="11">
        <f t="shared" si="3"/>
        <v>630408.20870614797</v>
      </c>
      <c r="M104" s="132">
        <f t="shared" si="2"/>
        <v>1.626137226721161E-2</v>
      </c>
      <c r="N104" s="130"/>
      <c r="O104" s="130"/>
    </row>
    <row r="105" spans="1:22" x14ac:dyDescent="0.2">
      <c r="A105" s="314">
        <v>42856</v>
      </c>
      <c r="B105" s="317">
        <v>36984603.399999999</v>
      </c>
      <c r="C105" s="318">
        <v>255.70000000000002</v>
      </c>
      <c r="D105" s="318">
        <v>0.7</v>
      </c>
      <c r="E105" s="317">
        <v>31</v>
      </c>
      <c r="F105" s="317">
        <v>1</v>
      </c>
      <c r="G105" s="317">
        <v>1</v>
      </c>
      <c r="H105" s="317">
        <f t="shared" si="4"/>
        <v>37231369.385881588</v>
      </c>
      <c r="I105" s="261"/>
      <c r="J105" s="262"/>
      <c r="K105" s="263"/>
      <c r="L105" s="11">
        <f t="shared" si="3"/>
        <v>246765.98588158935</v>
      </c>
      <c r="M105" s="132">
        <f t="shared" si="2"/>
        <v>6.6721274042805976E-3</v>
      </c>
      <c r="N105" s="130"/>
      <c r="O105" s="130"/>
    </row>
    <row r="106" spans="1:22" x14ac:dyDescent="0.2">
      <c r="A106" s="314">
        <v>42887</v>
      </c>
      <c r="B106" s="317">
        <v>35651141.509999998</v>
      </c>
      <c r="C106" s="318">
        <v>86</v>
      </c>
      <c r="D106" s="318">
        <v>13.699999999999996</v>
      </c>
      <c r="E106" s="317">
        <v>30</v>
      </c>
      <c r="F106" s="317">
        <v>0</v>
      </c>
      <c r="G106" s="317">
        <v>1</v>
      </c>
      <c r="H106" s="317">
        <f t="shared" si="4"/>
        <v>36155790.529157974</v>
      </c>
      <c r="I106" s="261"/>
      <c r="J106" s="262"/>
      <c r="K106" s="263"/>
      <c r="L106" s="11">
        <f t="shared" si="3"/>
        <v>504649.01915797591</v>
      </c>
      <c r="M106" s="132">
        <f t="shared" si="2"/>
        <v>1.4155199463008049E-2</v>
      </c>
      <c r="N106" s="130"/>
      <c r="O106" s="130"/>
    </row>
    <row r="107" spans="1:22" x14ac:dyDescent="0.2">
      <c r="A107" s="314">
        <v>42917</v>
      </c>
      <c r="B107" s="317">
        <v>38088069.340000004</v>
      </c>
      <c r="C107" s="318">
        <v>29.6</v>
      </c>
      <c r="D107" s="318">
        <v>30.5</v>
      </c>
      <c r="E107" s="317">
        <v>31</v>
      </c>
      <c r="F107" s="317">
        <v>0</v>
      </c>
      <c r="G107" s="317">
        <v>1</v>
      </c>
      <c r="H107" s="317">
        <f t="shared" si="4"/>
        <v>37620899.994695961</v>
      </c>
      <c r="I107" s="261"/>
      <c r="J107" s="262"/>
      <c r="K107" s="263"/>
      <c r="L107" s="11">
        <f t="shared" si="3"/>
        <v>-467169.3453040421</v>
      </c>
      <c r="M107" s="132">
        <f t="shared" si="2"/>
        <v>1.2265503434520949E-2</v>
      </c>
    </row>
    <row r="108" spans="1:22" x14ac:dyDescent="0.2">
      <c r="A108" s="314">
        <v>42948</v>
      </c>
      <c r="B108" s="317">
        <v>36767307.260000005</v>
      </c>
      <c r="C108" s="318">
        <v>65.399999999999991</v>
      </c>
      <c r="D108" s="318">
        <v>12.799999999999999</v>
      </c>
      <c r="E108" s="317">
        <v>31</v>
      </c>
      <c r="F108" s="317">
        <v>0</v>
      </c>
      <c r="G108" s="317">
        <v>1</v>
      </c>
      <c r="H108" s="317">
        <f t="shared" si="4"/>
        <v>36466274.302178808</v>
      </c>
      <c r="I108" s="261"/>
      <c r="J108" s="262"/>
      <c r="K108" s="263"/>
      <c r="L108" s="11">
        <f t="shared" si="3"/>
        <v>-301032.95782119781</v>
      </c>
      <c r="M108" s="132">
        <f t="shared" si="2"/>
        <v>8.1875171247228779E-3</v>
      </c>
    </row>
    <row r="109" spans="1:22" x14ac:dyDescent="0.2">
      <c r="A109" s="314">
        <v>42979</v>
      </c>
      <c r="B109" s="317">
        <v>36665579.789999999</v>
      </c>
      <c r="C109" s="318">
        <v>120.60000000000001</v>
      </c>
      <c r="D109" s="318">
        <v>30.400000000000002</v>
      </c>
      <c r="E109" s="317">
        <v>30</v>
      </c>
      <c r="F109" s="317">
        <v>1</v>
      </c>
      <c r="G109" s="317">
        <v>1</v>
      </c>
      <c r="H109" s="317">
        <f t="shared" si="4"/>
        <v>36661918.981017195</v>
      </c>
      <c r="I109" s="261"/>
      <c r="J109" s="262"/>
      <c r="K109" s="263"/>
      <c r="L109" s="11">
        <f t="shared" si="3"/>
        <v>-3660.8089828044176</v>
      </c>
      <c r="M109" s="132">
        <f t="shared" si="2"/>
        <v>9.9843204546920864E-5</v>
      </c>
    </row>
    <row r="110" spans="1:22" x14ac:dyDescent="0.2">
      <c r="A110" s="314">
        <v>43009</v>
      </c>
      <c r="B110" s="317">
        <v>37361044.370000005</v>
      </c>
      <c r="C110" s="318">
        <v>252.39999999999998</v>
      </c>
      <c r="D110" s="318">
        <v>0</v>
      </c>
      <c r="E110" s="317">
        <v>31</v>
      </c>
      <c r="F110" s="317">
        <v>1</v>
      </c>
      <c r="G110" s="317">
        <v>1</v>
      </c>
      <c r="H110" s="317">
        <f t="shared" si="4"/>
        <v>37082258.318366006</v>
      </c>
      <c r="I110" s="261"/>
      <c r="J110" s="262"/>
      <c r="K110" s="263"/>
      <c r="L110" s="11">
        <f t="shared" si="3"/>
        <v>-278786.05163399875</v>
      </c>
      <c r="M110" s="132">
        <f t="shared" si="2"/>
        <v>7.4619448234122992E-3</v>
      </c>
    </row>
    <row r="111" spans="1:22" x14ac:dyDescent="0.2">
      <c r="A111" s="314">
        <v>43040</v>
      </c>
      <c r="B111" s="317">
        <v>43727236.93</v>
      </c>
      <c r="C111" s="318">
        <v>620.75000000000011</v>
      </c>
      <c r="D111" s="318">
        <v>0</v>
      </c>
      <c r="E111" s="317">
        <v>30</v>
      </c>
      <c r="F111" s="317">
        <v>1</v>
      </c>
      <c r="G111" s="317">
        <v>1</v>
      </c>
      <c r="H111" s="317">
        <f t="shared" si="4"/>
        <v>44301502.098862886</v>
      </c>
      <c r="I111" s="261"/>
      <c r="J111" s="262"/>
      <c r="K111" s="263"/>
      <c r="L111" s="11">
        <f t="shared" si="3"/>
        <v>574265.16886288673</v>
      </c>
      <c r="M111" s="132">
        <f t="shared" si="2"/>
        <v>1.3132894030834587E-2</v>
      </c>
    </row>
    <row r="112" spans="1:22" x14ac:dyDescent="0.2">
      <c r="A112" s="314">
        <v>43070</v>
      </c>
      <c r="B112" s="317">
        <v>52843775.450000003</v>
      </c>
      <c r="C112" s="318">
        <v>970.90000000000009</v>
      </c>
      <c r="D112" s="318">
        <v>0</v>
      </c>
      <c r="E112" s="317">
        <v>31</v>
      </c>
      <c r="F112" s="317">
        <v>0</v>
      </c>
      <c r="G112" s="317">
        <v>1</v>
      </c>
      <c r="H112" s="317">
        <f t="shared" si="4"/>
        <v>54926747.860506915</v>
      </c>
      <c r="I112" s="261"/>
      <c r="J112" s="262"/>
      <c r="K112" s="263"/>
      <c r="L112" s="11">
        <f t="shared" si="3"/>
        <v>2082972.4105069116</v>
      </c>
      <c r="M112" s="132">
        <f t="shared" si="2"/>
        <v>3.9417554721800474E-2</v>
      </c>
    </row>
    <row r="113" spans="1:13" x14ac:dyDescent="0.2">
      <c r="A113" s="314">
        <v>43101</v>
      </c>
      <c r="B113" s="317">
        <v>55165428.389999993</v>
      </c>
      <c r="C113" s="318">
        <v>921.49999999999989</v>
      </c>
      <c r="D113" s="318">
        <v>0</v>
      </c>
      <c r="E113" s="317">
        <v>31</v>
      </c>
      <c r="F113" s="317">
        <v>0</v>
      </c>
      <c r="G113" s="317">
        <v>1</v>
      </c>
      <c r="H113" s="317">
        <f t="shared" si="4"/>
        <v>53843091.711387061</v>
      </c>
      <c r="I113" s="261"/>
      <c r="J113" s="262"/>
      <c r="K113" s="263"/>
      <c r="L113" s="11">
        <f t="shared" si="3"/>
        <v>-1322336.6786129326</v>
      </c>
      <c r="M113" s="132">
        <f t="shared" si="2"/>
        <v>2.3970387200920144E-2</v>
      </c>
    </row>
    <row r="114" spans="1:13" x14ac:dyDescent="0.2">
      <c r="A114" s="314">
        <v>43132</v>
      </c>
      <c r="B114" s="317">
        <v>46543672.770000003</v>
      </c>
      <c r="C114" s="318">
        <v>756.09999999999991</v>
      </c>
      <c r="D114" s="318">
        <v>0</v>
      </c>
      <c r="E114" s="317">
        <v>28</v>
      </c>
      <c r="F114" s="317">
        <v>0</v>
      </c>
      <c r="G114" s="317">
        <v>1</v>
      </c>
      <c r="H114" s="317">
        <f t="shared" si="4"/>
        <v>47631775.387911811</v>
      </c>
      <c r="I114" s="261"/>
      <c r="J114" s="262"/>
      <c r="K114" s="263"/>
      <c r="L114" s="11">
        <f t="shared" si="3"/>
        <v>1088102.6179118082</v>
      </c>
      <c r="M114" s="132">
        <f t="shared" si="2"/>
        <v>2.3378099603114069E-2</v>
      </c>
    </row>
    <row r="115" spans="1:13" x14ac:dyDescent="0.2">
      <c r="A115" s="314">
        <v>43160</v>
      </c>
      <c r="B115" s="317">
        <v>46187500.800000004</v>
      </c>
      <c r="C115" s="318">
        <v>716.80000000000007</v>
      </c>
      <c r="D115" s="318">
        <v>0</v>
      </c>
      <c r="E115" s="317">
        <v>31</v>
      </c>
      <c r="F115" s="317">
        <v>1</v>
      </c>
      <c r="G115" s="317">
        <v>1</v>
      </c>
      <c r="H115" s="317">
        <f t="shared" si="4"/>
        <v>47269503.574464366</v>
      </c>
      <c r="I115" s="261"/>
      <c r="J115" s="262"/>
      <c r="K115" s="263"/>
      <c r="L115" s="11">
        <f t="shared" si="3"/>
        <v>1082002.7744643614</v>
      </c>
      <c r="M115" s="132">
        <f t="shared" si="2"/>
        <v>2.3426311355308517E-2</v>
      </c>
    </row>
    <row r="116" spans="1:13" x14ac:dyDescent="0.2">
      <c r="A116" s="314">
        <v>43191</v>
      </c>
      <c r="B116" s="317">
        <v>42016294.270000003</v>
      </c>
      <c r="C116" s="318">
        <v>583.90000000000009</v>
      </c>
      <c r="D116" s="318">
        <v>0</v>
      </c>
      <c r="E116" s="317">
        <v>30</v>
      </c>
      <c r="F116" s="317">
        <v>1</v>
      </c>
      <c r="G116" s="317">
        <v>1</v>
      </c>
      <c r="H116" s="317">
        <f t="shared" si="4"/>
        <v>43493147.258881785</v>
      </c>
      <c r="I116" s="261"/>
      <c r="J116" s="262"/>
      <c r="K116" s="263"/>
      <c r="L116" s="11">
        <f t="shared" si="3"/>
        <v>1476852.9888817817</v>
      </c>
      <c r="M116" s="132">
        <f t="shared" si="2"/>
        <v>3.5149529832198156E-2</v>
      </c>
    </row>
    <row r="117" spans="1:13" x14ac:dyDescent="0.2">
      <c r="A117" s="314">
        <v>43221</v>
      </c>
      <c r="B117" s="317">
        <v>36563258.369999997</v>
      </c>
      <c r="C117" s="318">
        <v>196.00000000000009</v>
      </c>
      <c r="D117" s="318">
        <v>15.399999999999999</v>
      </c>
      <c r="E117" s="317">
        <v>31</v>
      </c>
      <c r="F117" s="317">
        <v>1</v>
      </c>
      <c r="G117" s="317">
        <v>1</v>
      </c>
      <c r="H117" s="317">
        <f t="shared" si="4"/>
        <v>37532911.454792663</v>
      </c>
      <c r="I117" s="261"/>
      <c r="J117" s="262"/>
      <c r="K117" s="263"/>
      <c r="L117" s="11">
        <f t="shared" si="3"/>
        <v>969653.08479266614</v>
      </c>
      <c r="M117" s="132">
        <f t="shared" si="2"/>
        <v>2.6519876182267785E-2</v>
      </c>
    </row>
    <row r="118" spans="1:13" x14ac:dyDescent="0.2">
      <c r="A118" s="314">
        <v>43252</v>
      </c>
      <c r="B118" s="317">
        <v>35697073.240000002</v>
      </c>
      <c r="C118" s="318">
        <v>77.800000000000011</v>
      </c>
      <c r="D118" s="318">
        <v>16.900000000000002</v>
      </c>
      <c r="E118" s="317">
        <v>30</v>
      </c>
      <c r="F118" s="317">
        <v>0</v>
      </c>
      <c r="G118" s="317">
        <v>1</v>
      </c>
      <c r="H118" s="317">
        <f t="shared" si="4"/>
        <v>36326637.328527838</v>
      </c>
      <c r="I118" s="261"/>
      <c r="J118" s="262"/>
      <c r="K118" s="263"/>
      <c r="L118" s="11">
        <f t="shared" si="3"/>
        <v>629564.08852783591</v>
      </c>
      <c r="M118" s="132">
        <f t="shared" si="2"/>
        <v>1.7636294278108606E-2</v>
      </c>
    </row>
    <row r="119" spans="1:13" x14ac:dyDescent="0.2">
      <c r="A119" s="314">
        <v>43282</v>
      </c>
      <c r="B119" s="317">
        <v>42293825.449999996</v>
      </c>
      <c r="C119" s="318">
        <v>7.8</v>
      </c>
      <c r="D119" s="320">
        <v>94.799999999999983</v>
      </c>
      <c r="E119" s="317">
        <v>31</v>
      </c>
      <c r="F119" s="317">
        <v>0</v>
      </c>
      <c r="G119" s="317">
        <v>1</v>
      </c>
      <c r="H119" s="317">
        <f t="shared" si="4"/>
        <v>44190066.737337492</v>
      </c>
      <c r="I119" s="261"/>
      <c r="J119" s="262"/>
      <c r="K119" s="263"/>
      <c r="L119" s="11">
        <f t="shared" si="3"/>
        <v>1896241.2873374969</v>
      </c>
      <c r="M119" s="132">
        <f t="shared" si="2"/>
        <v>4.483494380472261E-2</v>
      </c>
    </row>
    <row r="120" spans="1:13" x14ac:dyDescent="0.2">
      <c r="A120" s="314">
        <v>43313</v>
      </c>
      <c r="B120" s="317">
        <v>40093008.969999999</v>
      </c>
      <c r="C120" s="318">
        <v>16</v>
      </c>
      <c r="D120" s="318">
        <v>55.300000000000026</v>
      </c>
      <c r="E120" s="317">
        <v>31</v>
      </c>
      <c r="F120" s="317">
        <v>0</v>
      </c>
      <c r="G120" s="317">
        <v>1</v>
      </c>
      <c r="H120" s="317">
        <f t="shared" si="4"/>
        <v>40040683.836543962</v>
      </c>
      <c r="I120" s="261"/>
      <c r="J120" s="262"/>
      <c r="K120" s="263"/>
      <c r="L120" s="11">
        <f t="shared" si="3"/>
        <v>-52325.133456036448</v>
      </c>
      <c r="M120" s="132">
        <f t="shared" si="2"/>
        <v>1.305093700879105E-3</v>
      </c>
    </row>
    <row r="121" spans="1:13" x14ac:dyDescent="0.2">
      <c r="A121" s="314">
        <v>43344</v>
      </c>
      <c r="B121" s="317">
        <v>35816190.109999999</v>
      </c>
      <c r="C121" s="318">
        <v>149.54999999999998</v>
      </c>
      <c r="D121" s="318">
        <v>24.4</v>
      </c>
      <c r="E121" s="317">
        <v>30</v>
      </c>
      <c r="F121" s="317">
        <v>1</v>
      </c>
      <c r="G121" s="317">
        <v>1</v>
      </c>
      <c r="H121" s="317">
        <f t="shared" si="4"/>
        <v>36639367.309613705</v>
      </c>
      <c r="I121" s="261"/>
      <c r="J121" s="262"/>
      <c r="K121" s="263"/>
      <c r="L121" s="11">
        <f t="shared" si="3"/>
        <v>823177.19961370528</v>
      </c>
      <c r="M121" s="132">
        <f t="shared" si="2"/>
        <v>2.2983382573231077E-2</v>
      </c>
    </row>
    <row r="122" spans="1:13" x14ac:dyDescent="0.2">
      <c r="A122" s="314">
        <v>43374</v>
      </c>
      <c r="B122" s="317">
        <v>39622117.82</v>
      </c>
      <c r="C122" s="318">
        <v>432</v>
      </c>
      <c r="D122" s="318">
        <v>0</v>
      </c>
      <c r="E122" s="317">
        <v>31</v>
      </c>
      <c r="F122" s="317">
        <v>1</v>
      </c>
      <c r="G122" s="317">
        <v>1</v>
      </c>
      <c r="H122" s="317">
        <f t="shared" si="4"/>
        <v>41022028.447554775</v>
      </c>
      <c r="I122" s="261"/>
      <c r="J122" s="262"/>
      <c r="K122" s="263"/>
      <c r="L122" s="11">
        <f t="shared" si="3"/>
        <v>1399910.6275547743</v>
      </c>
      <c r="M122" s="132">
        <f t="shared" si="2"/>
        <v>3.5331544717383666E-2</v>
      </c>
    </row>
    <row r="123" spans="1:13" x14ac:dyDescent="0.2">
      <c r="A123" s="314">
        <v>43405</v>
      </c>
      <c r="B123" s="317">
        <v>44982862.210000001</v>
      </c>
      <c r="C123" s="318">
        <v>671.6</v>
      </c>
      <c r="D123" s="318">
        <v>0</v>
      </c>
      <c r="E123" s="317">
        <v>30</v>
      </c>
      <c r="F123" s="317">
        <v>1</v>
      </c>
      <c r="G123" s="317">
        <v>1</v>
      </c>
      <c r="H123" s="317">
        <f t="shared" si="4"/>
        <v>45416965.968958929</v>
      </c>
      <c r="I123" s="261"/>
      <c r="J123" s="262"/>
      <c r="K123" s="263"/>
      <c r="L123" s="11">
        <f t="shared" si="3"/>
        <v>434103.75895892829</v>
      </c>
      <c r="M123" s="132">
        <f t="shared" si="2"/>
        <v>9.6504254649768372E-3</v>
      </c>
    </row>
    <row r="124" spans="1:13" x14ac:dyDescent="0.2">
      <c r="A124" s="314">
        <v>43435</v>
      </c>
      <c r="B124" s="317">
        <v>49908333.010000005</v>
      </c>
      <c r="C124" s="318">
        <v>796.5500000000003</v>
      </c>
      <c r="D124" s="318">
        <v>0</v>
      </c>
      <c r="E124" s="317">
        <v>31</v>
      </c>
      <c r="F124" s="317">
        <v>0</v>
      </c>
      <c r="G124" s="317">
        <v>1</v>
      </c>
      <c r="H124" s="317">
        <f t="shared" si="4"/>
        <v>51102143.617611244</v>
      </c>
      <c r="I124" s="261"/>
      <c r="J124" s="262"/>
      <c r="K124" s="263"/>
      <c r="L124" s="11">
        <f t="shared" si="3"/>
        <v>1193810.607611239</v>
      </c>
      <c r="M124" s="132">
        <f t="shared" si="2"/>
        <v>2.3920065760802675E-2</v>
      </c>
    </row>
    <row r="125" spans="1:13" x14ac:dyDescent="0.2">
      <c r="A125" s="314">
        <v>43466</v>
      </c>
      <c r="B125" s="317">
        <v>56704515.530000001</v>
      </c>
      <c r="C125" s="318">
        <v>1042.2</v>
      </c>
      <c r="D125" s="318">
        <v>0</v>
      </c>
      <c r="E125" s="317">
        <v>31</v>
      </c>
      <c r="F125" s="317">
        <v>0</v>
      </c>
      <c r="G125" s="317">
        <v>1</v>
      </c>
      <c r="H125" s="317">
        <f t="shared" si="4"/>
        <v>56490810.278163701</v>
      </c>
      <c r="I125" s="261"/>
      <c r="J125" s="262"/>
      <c r="K125" s="263"/>
      <c r="L125" s="11">
        <f t="shared" si="3"/>
        <v>-213705.2518362999</v>
      </c>
      <c r="M125" s="132">
        <f t="shared" si="2"/>
        <v>3.7687519210571042E-3</v>
      </c>
    </row>
    <row r="126" spans="1:13" x14ac:dyDescent="0.2">
      <c r="A126" s="314">
        <v>43497</v>
      </c>
      <c r="B126" s="317">
        <v>49050451.480000004</v>
      </c>
      <c r="C126" s="318">
        <v>811.39999999999986</v>
      </c>
      <c r="D126" s="318">
        <v>0</v>
      </c>
      <c r="E126" s="317">
        <v>28</v>
      </c>
      <c r="F126" s="317">
        <v>0</v>
      </c>
      <c r="G126" s="317">
        <v>1</v>
      </c>
      <c r="H126" s="317">
        <f t="shared" si="4"/>
        <v>48844856.056865819</v>
      </c>
      <c r="I126" s="261"/>
      <c r="J126" s="262"/>
      <c r="K126" s="263"/>
      <c r="L126" s="11">
        <f t="shared" si="3"/>
        <v>-205595.42313418537</v>
      </c>
      <c r="M126" s="132">
        <f t="shared" si="2"/>
        <v>4.1915092915712623E-3</v>
      </c>
    </row>
    <row r="127" spans="1:13" x14ac:dyDescent="0.2">
      <c r="A127" s="314">
        <v>43525</v>
      </c>
      <c r="B127" s="317">
        <v>48618580.050000004</v>
      </c>
      <c r="C127" s="318">
        <v>770.3</v>
      </c>
      <c r="D127" s="318">
        <v>0</v>
      </c>
      <c r="E127" s="317">
        <v>31</v>
      </c>
      <c r="F127" s="317">
        <v>1</v>
      </c>
      <c r="G127" s="317">
        <v>1</v>
      </c>
      <c r="H127" s="317">
        <f t="shared" si="4"/>
        <v>48443098.796689302</v>
      </c>
      <c r="I127" s="261"/>
      <c r="J127" s="262"/>
      <c r="K127" s="263"/>
      <c r="L127" s="11">
        <f t="shared" si="3"/>
        <v>-175481.25331070274</v>
      </c>
      <c r="M127" s="132">
        <f t="shared" si="2"/>
        <v>3.6093455039253606E-3</v>
      </c>
    </row>
    <row r="128" spans="1:13" x14ac:dyDescent="0.2">
      <c r="A128" s="314">
        <v>43556</v>
      </c>
      <c r="B128" s="317">
        <v>40799605.960000001</v>
      </c>
      <c r="C128" s="318">
        <v>483.50000000000006</v>
      </c>
      <c r="D128" s="318">
        <v>0</v>
      </c>
      <c r="E128" s="317">
        <v>30</v>
      </c>
      <c r="F128" s="317">
        <v>1</v>
      </c>
      <c r="G128" s="317">
        <v>1</v>
      </c>
      <c r="H128" s="317">
        <f t="shared" si="4"/>
        <v>41290736.785771802</v>
      </c>
      <c r="I128" s="261"/>
      <c r="J128" s="262"/>
      <c r="K128" s="263"/>
      <c r="L128" s="11">
        <f t="shared" si="3"/>
        <v>491130.82577180117</v>
      </c>
      <c r="M128" s="132">
        <f t="shared" si="2"/>
        <v>1.2037636497109963E-2</v>
      </c>
    </row>
    <row r="129" spans="1:34" x14ac:dyDescent="0.2">
      <c r="A129" s="314">
        <v>43586</v>
      </c>
      <c r="B129" s="317">
        <v>36697206.219999999</v>
      </c>
      <c r="C129" s="318">
        <v>288.40000000000003</v>
      </c>
      <c r="D129" s="318">
        <v>0</v>
      </c>
      <c r="E129" s="317">
        <v>31</v>
      </c>
      <c r="F129" s="317">
        <v>1</v>
      </c>
      <c r="G129" s="317">
        <v>1</v>
      </c>
      <c r="H129" s="317">
        <f t="shared" si="4"/>
        <v>37871967.252947271</v>
      </c>
      <c r="I129" s="261"/>
      <c r="J129" s="262"/>
      <c r="K129" s="263"/>
      <c r="L129" s="11">
        <f t="shared" ref="L129:L136" si="5">H129-B129</f>
        <v>1174761.0329472721</v>
      </c>
      <c r="M129" s="132">
        <f t="shared" ref="M129:M136" si="6">ABS(L129/B129)</f>
        <v>3.2012274337849367E-2</v>
      </c>
    </row>
    <row r="130" spans="1:34" x14ac:dyDescent="0.2">
      <c r="A130" s="314">
        <v>43617</v>
      </c>
      <c r="B130" s="317">
        <v>35140288.480000004</v>
      </c>
      <c r="C130" s="318">
        <v>92.199999999999989</v>
      </c>
      <c r="D130" s="318">
        <v>7.0000000000000009</v>
      </c>
      <c r="E130" s="317">
        <v>30</v>
      </c>
      <c r="F130" s="317">
        <v>0</v>
      </c>
      <c r="G130" s="317">
        <v>1</v>
      </c>
      <c r="H130" s="317">
        <f t="shared" si="4"/>
        <v>35557465.601972073</v>
      </c>
      <c r="I130" s="261"/>
      <c r="J130" s="262"/>
      <c r="K130" s="263"/>
      <c r="L130" s="11">
        <f t="shared" si="5"/>
        <v>417177.12197206914</v>
      </c>
      <c r="M130" s="132">
        <f t="shared" si="6"/>
        <v>1.1871761445826044E-2</v>
      </c>
    </row>
    <row r="131" spans="1:34" x14ac:dyDescent="0.2">
      <c r="A131" s="314">
        <v>43647</v>
      </c>
      <c r="B131" s="317">
        <v>42388534.140000001</v>
      </c>
      <c r="C131" s="318">
        <v>7</v>
      </c>
      <c r="D131" s="318">
        <v>73.600000000000009</v>
      </c>
      <c r="E131" s="317">
        <v>31</v>
      </c>
      <c r="F131" s="317">
        <v>0</v>
      </c>
      <c r="G131" s="317">
        <v>1</v>
      </c>
      <c r="H131" s="317">
        <f t="shared" si="4"/>
        <v>41848964.885434546</v>
      </c>
      <c r="I131" s="261"/>
      <c r="J131" s="262"/>
      <c r="K131" s="263"/>
      <c r="L131" s="11">
        <f t="shared" si="5"/>
        <v>-539569.25456545502</v>
      </c>
      <c r="M131" s="132">
        <f t="shared" si="6"/>
        <v>1.2729132193705413E-2</v>
      </c>
    </row>
    <row r="132" spans="1:34" x14ac:dyDescent="0.2">
      <c r="A132" s="314">
        <v>43678</v>
      </c>
      <c r="B132" s="317">
        <v>37599279.030000001</v>
      </c>
      <c r="C132" s="318">
        <v>42.699999999999996</v>
      </c>
      <c r="D132" s="318">
        <v>18.299999999999997</v>
      </c>
      <c r="E132" s="317">
        <v>31</v>
      </c>
      <c r="F132" s="317">
        <v>0</v>
      </c>
      <c r="G132" s="317">
        <v>1</v>
      </c>
      <c r="H132" s="317">
        <f t="shared" si="4"/>
        <v>36571127.446422435</v>
      </c>
      <c r="I132" s="261"/>
      <c r="J132" s="262"/>
      <c r="K132" s="263"/>
      <c r="L132" s="11">
        <f t="shared" si="5"/>
        <v>-1028151.5835775658</v>
      </c>
      <c r="M132" s="132">
        <f t="shared" si="6"/>
        <v>2.734498134278629E-2</v>
      </c>
    </row>
    <row r="133" spans="1:34" x14ac:dyDescent="0.2">
      <c r="A133" s="314">
        <v>43709</v>
      </c>
      <c r="B133" s="317">
        <v>33915684.770000003</v>
      </c>
      <c r="C133" s="318">
        <v>154.89999999999998</v>
      </c>
      <c r="D133" s="318">
        <v>1.9</v>
      </c>
      <c r="E133" s="317">
        <v>30</v>
      </c>
      <c r="F133" s="317">
        <v>1</v>
      </c>
      <c r="G133" s="317">
        <v>1</v>
      </c>
      <c r="H133" s="317">
        <f t="shared" si="4"/>
        <v>34290692.058226496</v>
      </c>
      <c r="I133" s="261"/>
      <c r="J133" s="262"/>
      <c r="K133" s="263"/>
      <c r="L133" s="11">
        <f t="shared" si="5"/>
        <v>375007.2882264927</v>
      </c>
      <c r="M133" s="132">
        <f t="shared" si="6"/>
        <v>1.1057046047267313E-2</v>
      </c>
    </row>
    <row r="134" spans="1:34" x14ac:dyDescent="0.2">
      <c r="A134" s="314">
        <v>43739</v>
      </c>
      <c r="B134" s="317">
        <v>37837875.810000002</v>
      </c>
      <c r="C134" s="318">
        <v>348.25000000000006</v>
      </c>
      <c r="D134" s="318">
        <v>0</v>
      </c>
      <c r="E134" s="317">
        <v>31</v>
      </c>
      <c r="F134" s="317">
        <v>1</v>
      </c>
      <c r="G134" s="317">
        <v>1</v>
      </c>
      <c r="H134" s="317">
        <f t="shared" si="4"/>
        <v>39184858.356688634</v>
      </c>
      <c r="I134" s="261"/>
      <c r="J134" s="262"/>
      <c r="K134" s="263"/>
      <c r="L134" s="11">
        <f t="shared" si="5"/>
        <v>1346982.5466886312</v>
      </c>
      <c r="M134" s="132">
        <f t="shared" si="6"/>
        <v>3.559878872303511E-2</v>
      </c>
    </row>
    <row r="135" spans="1:34" x14ac:dyDescent="0.2">
      <c r="A135" s="314">
        <v>43770</v>
      </c>
      <c r="B135" s="317">
        <v>45382224.899999999</v>
      </c>
      <c r="C135" s="318">
        <v>677.9000000000002</v>
      </c>
      <c r="D135" s="318">
        <v>0</v>
      </c>
      <c r="E135" s="317">
        <v>30</v>
      </c>
      <c r="F135" s="317">
        <v>1</v>
      </c>
      <c r="G135" s="317">
        <v>1</v>
      </c>
      <c r="H135" s="317">
        <f t="shared" si="4"/>
        <v>45555165.032510653</v>
      </c>
      <c r="I135" s="261"/>
      <c r="J135" s="262"/>
      <c r="K135" s="263"/>
      <c r="L135" s="11">
        <f t="shared" si="5"/>
        <v>172940.13251065463</v>
      </c>
      <c r="M135" s="132">
        <f t="shared" si="6"/>
        <v>3.8107460110589383E-3</v>
      </c>
    </row>
    <row r="136" spans="1:34" x14ac:dyDescent="0.2">
      <c r="A136" s="314">
        <v>43800</v>
      </c>
      <c r="B136" s="317">
        <v>50013577.5</v>
      </c>
      <c r="C136" s="318">
        <v>775.29999999999984</v>
      </c>
      <c r="D136" s="318">
        <v>0</v>
      </c>
      <c r="E136" s="317">
        <v>31</v>
      </c>
      <c r="F136" s="317">
        <v>0</v>
      </c>
      <c r="G136" s="317">
        <v>1</v>
      </c>
      <c r="H136" s="317">
        <f t="shared" si="4"/>
        <v>50635995.982615344</v>
      </c>
      <c r="I136" s="261"/>
      <c r="J136" s="262"/>
      <c r="K136" s="263"/>
      <c r="L136" s="11">
        <f t="shared" si="5"/>
        <v>622418.48261534423</v>
      </c>
      <c r="M136" s="132">
        <f t="shared" si="6"/>
        <v>1.2444990215213943E-2</v>
      </c>
    </row>
    <row r="137" spans="1:34" x14ac:dyDescent="0.2">
      <c r="A137" s="272"/>
      <c r="B137" s="259"/>
      <c r="C137" s="260"/>
      <c r="D137" s="260"/>
      <c r="E137" s="233"/>
      <c r="F137" s="233"/>
      <c r="G137" s="233"/>
      <c r="H137" s="233"/>
      <c r="I137" s="261"/>
      <c r="J137" s="262"/>
      <c r="K137" s="263"/>
      <c r="L137" s="11">
        <f>+SUM(L77:L136)</f>
        <v>-5.2154064178466797E-7</v>
      </c>
      <c r="M137" s="270">
        <f>AVERAGE(M77:M136)</f>
        <v>2.3256632764664737E-2</v>
      </c>
      <c r="N137" s="207" t="s">
        <v>165</v>
      </c>
    </row>
    <row r="138" spans="1:34" customFormat="1" ht="38.25" x14ac:dyDescent="0.2">
      <c r="A138" s="321"/>
      <c r="B138" s="322" t="s">
        <v>0</v>
      </c>
      <c r="C138" s="323" t="s">
        <v>4</v>
      </c>
      <c r="D138" s="323" t="s">
        <v>5</v>
      </c>
      <c r="E138" s="323" t="s">
        <v>6</v>
      </c>
      <c r="F138" s="323" t="s">
        <v>18</v>
      </c>
      <c r="G138" s="323" t="s">
        <v>133</v>
      </c>
      <c r="H138" s="323" t="s">
        <v>11</v>
      </c>
      <c r="I138" s="267"/>
      <c r="J138" s="268"/>
      <c r="K138" s="269"/>
      <c r="L138" s="268"/>
      <c r="M138" s="270"/>
      <c r="N138" s="25"/>
      <c r="O138" s="25"/>
      <c r="P138" s="25"/>
      <c r="Q138" s="25"/>
      <c r="R138" s="25"/>
      <c r="S138" s="25"/>
      <c r="T138" s="25"/>
      <c r="U138" s="25"/>
      <c r="V138" s="25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324">
        <v>43831</v>
      </c>
      <c r="B139" s="317"/>
      <c r="C139" s="320">
        <f t="shared" ref="C139:D150" si="7">(C125+C113+C101+C89+C77+C63+C51+C39+C27+C15)/10</f>
        <v>935.45499999999993</v>
      </c>
      <c r="D139" s="320">
        <f t="shared" si="7"/>
        <v>0</v>
      </c>
      <c r="E139" s="317">
        <v>31</v>
      </c>
      <c r="F139" s="317">
        <v>0</v>
      </c>
      <c r="G139" s="317">
        <v>1</v>
      </c>
      <c r="H139" s="317">
        <f t="shared" ref="H139:H162" si="8">+C139*$O$94+D139*$O$95+E139*$O$96+F139*$O$97+$O$93</f>
        <v>54149213.605333768</v>
      </c>
      <c r="I139" s="261"/>
      <c r="J139" s="262"/>
      <c r="K139" s="263"/>
      <c r="L139" s="264"/>
      <c r="M139" s="265"/>
    </row>
    <row r="140" spans="1:34" x14ac:dyDescent="0.2">
      <c r="A140" s="324">
        <v>43862</v>
      </c>
      <c r="B140" s="317"/>
      <c r="C140" s="320">
        <f t="shared" si="7"/>
        <v>814.8599999999999</v>
      </c>
      <c r="D140" s="320">
        <f t="shared" si="7"/>
        <v>0</v>
      </c>
      <c r="E140" s="319">
        <v>29</v>
      </c>
      <c r="F140" s="317">
        <v>0</v>
      </c>
      <c r="G140" s="317">
        <v>1</v>
      </c>
      <c r="H140" s="317">
        <f t="shared" si="8"/>
        <v>49781770.025442861</v>
      </c>
      <c r="I140" s="261"/>
      <c r="J140" s="262"/>
      <c r="K140" s="263"/>
      <c r="L140" s="264"/>
      <c r="M140" s="265"/>
    </row>
    <row r="141" spans="1:34" x14ac:dyDescent="0.2">
      <c r="A141" s="324">
        <v>43891</v>
      </c>
      <c r="B141" s="317"/>
      <c r="C141" s="320">
        <f t="shared" si="7"/>
        <v>708.64499999999998</v>
      </c>
      <c r="D141" s="320">
        <f t="shared" si="7"/>
        <v>6.9999999999999993E-2</v>
      </c>
      <c r="E141" s="317">
        <v>31</v>
      </c>
      <c r="F141" s="317">
        <v>1</v>
      </c>
      <c r="G141" s="317">
        <v>1</v>
      </c>
      <c r="H141" s="317">
        <f t="shared" si="8"/>
        <v>47098284.672606975</v>
      </c>
      <c r="I141" s="261"/>
      <c r="J141" s="262"/>
      <c r="K141" s="263"/>
      <c r="L141" s="264"/>
      <c r="M141" s="265"/>
    </row>
    <row r="142" spans="1:34" x14ac:dyDescent="0.2">
      <c r="A142" s="324">
        <v>43922</v>
      </c>
      <c r="B142" s="317"/>
      <c r="C142" s="320">
        <f t="shared" si="7"/>
        <v>461.17500000000001</v>
      </c>
      <c r="D142" s="320">
        <f t="shared" si="7"/>
        <v>0.01</v>
      </c>
      <c r="E142" s="317">
        <v>30</v>
      </c>
      <c r="F142" s="317">
        <v>1</v>
      </c>
      <c r="G142" s="317">
        <v>1</v>
      </c>
      <c r="H142" s="317">
        <f t="shared" si="8"/>
        <v>40802103.57998988</v>
      </c>
      <c r="I142" s="261"/>
      <c r="J142" s="262"/>
      <c r="K142" s="263"/>
      <c r="L142" s="264"/>
      <c r="M142" s="265"/>
    </row>
    <row r="143" spans="1:34" x14ac:dyDescent="0.2">
      <c r="A143" s="324">
        <v>43952</v>
      </c>
      <c r="B143" s="317"/>
      <c r="C143" s="320">
        <f t="shared" si="7"/>
        <v>199.75500000000002</v>
      </c>
      <c r="D143" s="320">
        <f t="shared" si="7"/>
        <v>9.68</v>
      </c>
      <c r="E143" s="317">
        <v>31</v>
      </c>
      <c r="F143" s="317">
        <v>1</v>
      </c>
      <c r="G143" s="317">
        <v>1</v>
      </c>
      <c r="H143" s="317">
        <f t="shared" si="8"/>
        <v>36988361.643717013</v>
      </c>
      <c r="I143" s="261"/>
      <c r="J143" s="262"/>
      <c r="K143" s="263"/>
      <c r="L143" s="264"/>
      <c r="M143" s="265"/>
    </row>
    <row r="144" spans="1:34" x14ac:dyDescent="0.2">
      <c r="A144" s="324">
        <v>43983</v>
      </c>
      <c r="B144" s="317"/>
      <c r="C144" s="320">
        <f t="shared" si="7"/>
        <v>78.965000000000003</v>
      </c>
      <c r="D144" s="320">
        <f t="shared" si="7"/>
        <v>17.859999999999996</v>
      </c>
      <c r="E144" s="317">
        <v>30</v>
      </c>
      <c r="F144" s="317">
        <v>0</v>
      </c>
      <c r="G144" s="317">
        <v>1</v>
      </c>
      <c r="H144" s="317">
        <f t="shared" si="8"/>
        <v>36457410.67077928</v>
      </c>
      <c r="I144" s="261"/>
      <c r="J144" s="262"/>
      <c r="K144" s="263"/>
      <c r="L144" s="264"/>
      <c r="M144" s="265"/>
    </row>
    <row r="145" spans="1:13" x14ac:dyDescent="0.2">
      <c r="A145" s="324">
        <v>44013</v>
      </c>
      <c r="B145" s="317"/>
      <c r="C145" s="320">
        <f t="shared" si="7"/>
        <v>22.305</v>
      </c>
      <c r="D145" s="320">
        <f t="shared" si="7"/>
        <v>63.589999999999996</v>
      </c>
      <c r="E145" s="317">
        <v>31</v>
      </c>
      <c r="F145" s="317">
        <v>0</v>
      </c>
      <c r="G145" s="317">
        <v>1</v>
      </c>
      <c r="H145" s="317">
        <f t="shared" si="8"/>
        <v>41087589.394035466</v>
      </c>
      <c r="I145" s="261"/>
      <c r="J145" s="262"/>
      <c r="K145" s="263"/>
      <c r="L145" s="264"/>
      <c r="M145" s="265"/>
    </row>
    <row r="146" spans="1:13" x14ac:dyDescent="0.2">
      <c r="A146" s="324">
        <v>44044</v>
      </c>
      <c r="B146" s="317"/>
      <c r="C146" s="320">
        <f t="shared" si="7"/>
        <v>34.94</v>
      </c>
      <c r="D146" s="320">
        <f t="shared" si="7"/>
        <v>40.075000000000003</v>
      </c>
      <c r="E146" s="317">
        <v>31</v>
      </c>
      <c r="F146" s="317">
        <v>0</v>
      </c>
      <c r="G146" s="317">
        <v>1</v>
      </c>
      <c r="H146" s="317">
        <f t="shared" si="8"/>
        <v>38787474.951428317</v>
      </c>
      <c r="I146" s="261"/>
      <c r="J146" s="262"/>
      <c r="K146" s="263"/>
      <c r="L146" s="264"/>
      <c r="M146" s="265"/>
    </row>
    <row r="147" spans="1:13" x14ac:dyDescent="0.2">
      <c r="A147" s="324">
        <v>44075</v>
      </c>
      <c r="B147" s="317"/>
      <c r="C147" s="320">
        <f t="shared" si="7"/>
        <v>139.505</v>
      </c>
      <c r="D147" s="320">
        <f t="shared" si="7"/>
        <v>15.985000000000003</v>
      </c>
      <c r="E147" s="317">
        <v>30</v>
      </c>
      <c r="F147" s="317">
        <v>1</v>
      </c>
      <c r="G147" s="317">
        <v>1</v>
      </c>
      <c r="H147" s="317">
        <f t="shared" si="8"/>
        <v>35496719.575176209</v>
      </c>
      <c r="I147" s="261"/>
      <c r="J147" s="262"/>
      <c r="K147" s="263"/>
      <c r="L147" s="264"/>
      <c r="M147" s="265"/>
    </row>
    <row r="148" spans="1:13" x14ac:dyDescent="0.2">
      <c r="A148" s="324">
        <v>44105</v>
      </c>
      <c r="B148" s="317"/>
      <c r="C148" s="320">
        <f t="shared" si="7"/>
        <v>338.37</v>
      </c>
      <c r="D148" s="320">
        <f t="shared" si="7"/>
        <v>0.32</v>
      </c>
      <c r="E148" s="317">
        <v>31</v>
      </c>
      <c r="F148" s="317">
        <v>1</v>
      </c>
      <c r="G148" s="317">
        <v>1</v>
      </c>
      <c r="H148" s="317">
        <f t="shared" si="8"/>
        <v>39003199.621422663</v>
      </c>
      <c r="I148" s="261"/>
      <c r="J148" s="262"/>
      <c r="K148" s="263"/>
      <c r="L148" s="264"/>
      <c r="M148" s="265"/>
    </row>
    <row r="149" spans="1:13" x14ac:dyDescent="0.2">
      <c r="A149" s="324">
        <v>44136</v>
      </c>
      <c r="B149" s="317"/>
      <c r="C149" s="320">
        <f t="shared" si="7"/>
        <v>568.69500000000005</v>
      </c>
      <c r="D149" s="320">
        <f t="shared" si="7"/>
        <v>0</v>
      </c>
      <c r="E149" s="317">
        <v>30</v>
      </c>
      <c r="F149" s="317">
        <v>1</v>
      </c>
      <c r="G149" s="317">
        <v>1</v>
      </c>
      <c r="H149" s="317">
        <f t="shared" si="8"/>
        <v>43159604.915817671</v>
      </c>
      <c r="I149" s="261"/>
      <c r="J149" s="262"/>
      <c r="K149" s="263"/>
      <c r="L149" s="264"/>
      <c r="M149" s="265"/>
    </row>
    <row r="150" spans="1:13" x14ac:dyDescent="0.2">
      <c r="A150" s="324">
        <v>44166</v>
      </c>
      <c r="B150" s="317"/>
      <c r="C150" s="320">
        <f t="shared" si="7"/>
        <v>790.04000000000008</v>
      </c>
      <c r="D150" s="320">
        <f t="shared" si="7"/>
        <v>0</v>
      </c>
      <c r="E150" s="317">
        <v>31</v>
      </c>
      <c r="F150" s="317">
        <v>0</v>
      </c>
      <c r="G150" s="317">
        <v>1</v>
      </c>
      <c r="H150" s="317">
        <f t="shared" si="8"/>
        <v>50959337.918607794</v>
      </c>
      <c r="I150" s="261"/>
      <c r="J150" s="262"/>
      <c r="K150" s="263"/>
      <c r="L150" s="264"/>
      <c r="M150" s="265"/>
    </row>
    <row r="151" spans="1:13" x14ac:dyDescent="0.2">
      <c r="A151" s="324">
        <v>44197</v>
      </c>
      <c r="B151" s="317"/>
      <c r="C151" s="318">
        <f>+C139</f>
        <v>935.45499999999993</v>
      </c>
      <c r="D151" s="318">
        <f>+D139</f>
        <v>0</v>
      </c>
      <c r="E151" s="317">
        <v>31</v>
      </c>
      <c r="F151" s="317">
        <v>0</v>
      </c>
      <c r="G151" s="317">
        <v>1</v>
      </c>
      <c r="H151" s="317">
        <f t="shared" si="8"/>
        <v>54149213.605333768</v>
      </c>
      <c r="I151" s="261"/>
      <c r="J151" s="262"/>
      <c r="K151" s="263"/>
      <c r="L151" s="264"/>
      <c r="M151" s="265"/>
    </row>
    <row r="152" spans="1:13" x14ac:dyDescent="0.2">
      <c r="A152" s="324">
        <v>44228</v>
      </c>
      <c r="B152" s="317"/>
      <c r="C152" s="318">
        <f t="shared" ref="C152:D162" si="9">+C140</f>
        <v>814.8599999999999</v>
      </c>
      <c r="D152" s="318">
        <f t="shared" si="9"/>
        <v>0</v>
      </c>
      <c r="E152" s="317">
        <v>28</v>
      </c>
      <c r="F152" s="317">
        <v>0</v>
      </c>
      <c r="G152" s="317">
        <v>1</v>
      </c>
      <c r="H152" s="317">
        <f t="shared" si="8"/>
        <v>48920755.860022791</v>
      </c>
      <c r="I152" s="261"/>
      <c r="J152" s="262"/>
      <c r="K152" s="263"/>
      <c r="L152" s="264"/>
      <c r="M152" s="265"/>
    </row>
    <row r="153" spans="1:13" x14ac:dyDescent="0.2">
      <c r="A153" s="324">
        <v>44256</v>
      </c>
      <c r="B153" s="317"/>
      <c r="C153" s="318">
        <f t="shared" si="9"/>
        <v>708.64499999999998</v>
      </c>
      <c r="D153" s="318">
        <f t="shared" si="9"/>
        <v>6.9999999999999993E-2</v>
      </c>
      <c r="E153" s="317">
        <v>31</v>
      </c>
      <c r="F153" s="317">
        <v>1</v>
      </c>
      <c r="G153" s="317">
        <v>1</v>
      </c>
      <c r="H153" s="317">
        <f t="shared" si="8"/>
        <v>47098284.672606975</v>
      </c>
      <c r="I153" s="261"/>
      <c r="J153" s="262"/>
      <c r="K153" s="263"/>
      <c r="L153" s="264"/>
      <c r="M153" s="265"/>
    </row>
    <row r="154" spans="1:13" x14ac:dyDescent="0.2">
      <c r="A154" s="324">
        <v>44287</v>
      </c>
      <c r="B154" s="317"/>
      <c r="C154" s="318">
        <f t="shared" si="9"/>
        <v>461.17500000000001</v>
      </c>
      <c r="D154" s="318">
        <f t="shared" si="9"/>
        <v>0.01</v>
      </c>
      <c r="E154" s="317">
        <v>30</v>
      </c>
      <c r="F154" s="317">
        <v>1</v>
      </c>
      <c r="G154" s="317">
        <v>1</v>
      </c>
      <c r="H154" s="317">
        <f t="shared" si="8"/>
        <v>40802103.57998988</v>
      </c>
      <c r="I154" s="261"/>
      <c r="J154" s="262"/>
      <c r="K154" s="263"/>
      <c r="L154" s="264"/>
      <c r="M154" s="265"/>
    </row>
    <row r="155" spans="1:13" x14ac:dyDescent="0.2">
      <c r="A155" s="324">
        <v>44317</v>
      </c>
      <c r="B155" s="317"/>
      <c r="C155" s="318">
        <f t="shared" si="9"/>
        <v>199.75500000000002</v>
      </c>
      <c r="D155" s="318">
        <f t="shared" si="9"/>
        <v>9.68</v>
      </c>
      <c r="E155" s="317">
        <v>31</v>
      </c>
      <c r="F155" s="317">
        <v>1</v>
      </c>
      <c r="G155" s="317">
        <v>1</v>
      </c>
      <c r="H155" s="317">
        <f t="shared" si="8"/>
        <v>36988361.643717013</v>
      </c>
      <c r="I155" s="261"/>
      <c r="J155" s="262"/>
      <c r="K155" s="263"/>
      <c r="L155" s="264"/>
      <c r="M155" s="265"/>
    </row>
    <row r="156" spans="1:13" x14ac:dyDescent="0.2">
      <c r="A156" s="324">
        <v>44348</v>
      </c>
      <c r="B156" s="317"/>
      <c r="C156" s="318">
        <f t="shared" si="9"/>
        <v>78.965000000000003</v>
      </c>
      <c r="D156" s="318">
        <f t="shared" si="9"/>
        <v>17.859999999999996</v>
      </c>
      <c r="E156" s="317">
        <v>30</v>
      </c>
      <c r="F156" s="317">
        <v>0</v>
      </c>
      <c r="G156" s="317">
        <v>1</v>
      </c>
      <c r="H156" s="317">
        <f t="shared" si="8"/>
        <v>36457410.67077928</v>
      </c>
      <c r="I156" s="261"/>
      <c r="J156" s="262"/>
      <c r="K156" s="263"/>
      <c r="L156" s="264"/>
      <c r="M156" s="265"/>
    </row>
    <row r="157" spans="1:13" x14ac:dyDescent="0.2">
      <c r="A157" s="324">
        <v>44378</v>
      </c>
      <c r="B157" s="317"/>
      <c r="C157" s="318">
        <f t="shared" si="9"/>
        <v>22.305</v>
      </c>
      <c r="D157" s="318">
        <f t="shared" si="9"/>
        <v>63.589999999999996</v>
      </c>
      <c r="E157" s="317">
        <v>31</v>
      </c>
      <c r="F157" s="317">
        <v>0</v>
      </c>
      <c r="G157" s="317">
        <v>1</v>
      </c>
      <c r="H157" s="317">
        <f t="shared" si="8"/>
        <v>41087589.394035466</v>
      </c>
      <c r="I157" s="261"/>
      <c r="J157" s="262"/>
      <c r="K157" s="263"/>
      <c r="L157" s="264"/>
      <c r="M157" s="265"/>
    </row>
    <row r="158" spans="1:13" x14ac:dyDescent="0.2">
      <c r="A158" s="324">
        <v>44409</v>
      </c>
      <c r="B158" s="317"/>
      <c r="C158" s="318">
        <f t="shared" si="9"/>
        <v>34.94</v>
      </c>
      <c r="D158" s="318">
        <f t="shared" si="9"/>
        <v>40.075000000000003</v>
      </c>
      <c r="E158" s="317">
        <v>31</v>
      </c>
      <c r="F158" s="317">
        <v>0</v>
      </c>
      <c r="G158" s="317">
        <v>1</v>
      </c>
      <c r="H158" s="317">
        <f t="shared" si="8"/>
        <v>38787474.951428317</v>
      </c>
      <c r="I158" s="261"/>
      <c r="J158" s="262"/>
      <c r="K158" s="263"/>
      <c r="L158" s="264"/>
      <c r="M158" s="265"/>
    </row>
    <row r="159" spans="1:13" x14ac:dyDescent="0.2">
      <c r="A159" s="324">
        <v>44440</v>
      </c>
      <c r="B159" s="317"/>
      <c r="C159" s="318">
        <f t="shared" si="9"/>
        <v>139.505</v>
      </c>
      <c r="D159" s="318">
        <f t="shared" si="9"/>
        <v>15.985000000000003</v>
      </c>
      <c r="E159" s="317">
        <v>30</v>
      </c>
      <c r="F159" s="317">
        <v>1</v>
      </c>
      <c r="G159" s="317">
        <v>1</v>
      </c>
      <c r="H159" s="317">
        <f t="shared" si="8"/>
        <v>35496719.575176209</v>
      </c>
      <c r="I159" s="261"/>
      <c r="J159" s="262"/>
      <c r="K159" s="263"/>
      <c r="L159" s="264"/>
      <c r="M159" s="265"/>
    </row>
    <row r="160" spans="1:13" x14ac:dyDescent="0.2">
      <c r="A160" s="324">
        <v>44470</v>
      </c>
      <c r="B160" s="317"/>
      <c r="C160" s="318">
        <f t="shared" si="9"/>
        <v>338.37</v>
      </c>
      <c r="D160" s="318">
        <f t="shared" si="9"/>
        <v>0.32</v>
      </c>
      <c r="E160" s="317">
        <v>31</v>
      </c>
      <c r="F160" s="317">
        <v>1</v>
      </c>
      <c r="G160" s="317">
        <v>1</v>
      </c>
      <c r="H160" s="317">
        <f t="shared" si="8"/>
        <v>39003199.621422663</v>
      </c>
      <c r="I160" s="261"/>
      <c r="J160" s="262"/>
      <c r="K160" s="263"/>
      <c r="L160" s="264"/>
      <c r="M160" s="265"/>
    </row>
    <row r="161" spans="1:13" x14ac:dyDescent="0.2">
      <c r="A161" s="324">
        <v>44501</v>
      </c>
      <c r="B161" s="317"/>
      <c r="C161" s="318">
        <f t="shared" si="9"/>
        <v>568.69500000000005</v>
      </c>
      <c r="D161" s="318">
        <f t="shared" si="9"/>
        <v>0</v>
      </c>
      <c r="E161" s="317">
        <v>30</v>
      </c>
      <c r="F161" s="317">
        <v>1</v>
      </c>
      <c r="G161" s="317">
        <v>1</v>
      </c>
      <c r="H161" s="317">
        <f t="shared" si="8"/>
        <v>43159604.915817671</v>
      </c>
      <c r="I161" s="261"/>
      <c r="J161" s="262"/>
      <c r="K161" s="263"/>
      <c r="L161" s="264"/>
      <c r="M161" s="265"/>
    </row>
    <row r="162" spans="1:13" x14ac:dyDescent="0.2">
      <c r="A162" s="324">
        <v>44531</v>
      </c>
      <c r="B162" s="317"/>
      <c r="C162" s="318">
        <f t="shared" si="9"/>
        <v>790.04000000000008</v>
      </c>
      <c r="D162" s="318">
        <f t="shared" si="9"/>
        <v>0</v>
      </c>
      <c r="E162" s="317">
        <v>31</v>
      </c>
      <c r="F162" s="317">
        <v>0</v>
      </c>
      <c r="G162" s="317">
        <v>1</v>
      </c>
      <c r="H162" s="317">
        <f t="shared" si="8"/>
        <v>50959337.918607794</v>
      </c>
      <c r="I162" s="261"/>
      <c r="J162" s="262"/>
      <c r="K162" s="263"/>
      <c r="L162" s="264"/>
      <c r="M162" s="265"/>
    </row>
    <row r="163" spans="1:13" x14ac:dyDescent="0.2">
      <c r="A163" s="232"/>
      <c r="B163" s="233"/>
      <c r="C163" s="234"/>
      <c r="D163" s="234"/>
      <c r="E163" s="233"/>
      <c r="F163" s="233"/>
      <c r="G163" s="233"/>
      <c r="H163" s="233"/>
      <c r="I163" s="26"/>
      <c r="J163" s="11"/>
      <c r="L163" s="21"/>
      <c r="M163" s="124"/>
    </row>
    <row r="164" spans="1:13" x14ac:dyDescent="0.2">
      <c r="A164" s="232"/>
      <c r="B164" s="233"/>
      <c r="C164" s="234"/>
      <c r="D164" s="234"/>
      <c r="E164" s="233"/>
      <c r="F164" s="233"/>
      <c r="G164" s="233"/>
      <c r="H164" s="233">
        <f>+SUM(H77:H162)</f>
        <v>3603727675.4232965</v>
      </c>
      <c r="I164" s="26"/>
      <c r="J164" s="11"/>
      <c r="L164" s="21"/>
      <c r="M164" s="124"/>
    </row>
    <row r="165" spans="1:13" x14ac:dyDescent="0.2">
      <c r="A165" s="232"/>
      <c r="H165" s="235"/>
    </row>
    <row r="166" spans="1:13" x14ac:dyDescent="0.2">
      <c r="A166" s="232"/>
      <c r="H166" s="235"/>
    </row>
    <row r="167" spans="1:13" x14ac:dyDescent="0.2">
      <c r="A167" s="138"/>
      <c r="I167" s="40"/>
      <c r="J167" s="126"/>
    </row>
    <row r="168" spans="1:13" x14ac:dyDescent="0.2">
      <c r="A168" s="141" t="s">
        <v>163</v>
      </c>
    </row>
    <row r="169" spans="1:13" x14ac:dyDescent="0.2">
      <c r="A169" s="236"/>
      <c r="H169" s="122"/>
      <c r="L169" s="127"/>
      <c r="M169" s="128"/>
    </row>
    <row r="170" spans="1:13" x14ac:dyDescent="0.2">
      <c r="H170" s="122"/>
      <c r="L170" s="127"/>
      <c r="M170" s="128"/>
    </row>
    <row r="171" spans="1:13" x14ac:dyDescent="0.2">
      <c r="A171" s="236"/>
      <c r="H171" s="122"/>
      <c r="L171" s="127"/>
      <c r="M171" s="128"/>
    </row>
    <row r="172" spans="1:13" x14ac:dyDescent="0.2">
      <c r="H172" s="122"/>
      <c r="L172" s="127"/>
      <c r="M172" s="128"/>
    </row>
    <row r="173" spans="1:13" x14ac:dyDescent="0.2">
      <c r="A173" s="121">
        <v>2009</v>
      </c>
      <c r="B173" s="122">
        <f>SUM(B3:B14)</f>
        <v>580320683.07692301</v>
      </c>
      <c r="H173" s="122"/>
      <c r="L173" s="127"/>
      <c r="M173" s="128"/>
    </row>
    <row r="174" spans="1:13" x14ac:dyDescent="0.2">
      <c r="A174" s="121">
        <v>2010</v>
      </c>
      <c r="B174" s="122">
        <f>SUM(B15:B26)</f>
        <v>592105953.84615386</v>
      </c>
      <c r="G174" s="237"/>
      <c r="H174" s="122"/>
      <c r="L174" s="127"/>
      <c r="M174" s="128"/>
    </row>
    <row r="175" spans="1:13" x14ac:dyDescent="0.2">
      <c r="A175" s="121">
        <v>2011</v>
      </c>
      <c r="B175" s="122">
        <f>SUM(B27:B38)</f>
        <v>593738607.69230771</v>
      </c>
      <c r="G175" s="237"/>
      <c r="H175" s="122"/>
      <c r="L175" s="127"/>
      <c r="M175" s="128"/>
    </row>
    <row r="176" spans="1:13" x14ac:dyDescent="0.2">
      <c r="A176" s="121">
        <v>2012</v>
      </c>
      <c r="B176" s="122">
        <f>SUM(B39:B50)</f>
        <v>572612692.67601395</v>
      </c>
      <c r="G176" s="237"/>
      <c r="H176" s="122"/>
      <c r="L176" s="127"/>
      <c r="M176" s="128"/>
    </row>
    <row r="177" spans="1:13" x14ac:dyDescent="0.2">
      <c r="A177" s="121">
        <v>2013</v>
      </c>
      <c r="B177" s="122">
        <f>SUM(B51:B62)</f>
        <v>573172084.77666664</v>
      </c>
      <c r="G177" s="237"/>
      <c r="H177" s="122"/>
      <c r="L177" s="127"/>
      <c r="M177" s="128"/>
    </row>
    <row r="178" spans="1:13" x14ac:dyDescent="0.2">
      <c r="A178" s="121">
        <v>2014</v>
      </c>
      <c r="B178" s="122">
        <f>SUM(B63:B74)</f>
        <v>561189731.7228204</v>
      </c>
      <c r="G178" s="237"/>
      <c r="H178" s="122"/>
      <c r="L178" s="127"/>
      <c r="M178" s="128"/>
    </row>
    <row r="179" spans="1:13" x14ac:dyDescent="0.2">
      <c r="A179" s="121">
        <v>2015</v>
      </c>
      <c r="B179" s="122">
        <f>SUM(B77:B88)</f>
        <v>538323195.74000001</v>
      </c>
      <c r="G179" s="237"/>
      <c r="H179" s="122">
        <f>SUM(H77:H88)</f>
        <v>514903442.02267593</v>
      </c>
      <c r="L179" s="127">
        <f>H179-B179</f>
        <v>-23419753.717324078</v>
      </c>
      <c r="M179" s="128">
        <f t="shared" ref="M179:M183" si="10">L179/B179</f>
        <v>-4.3505005733833139E-2</v>
      </c>
    </row>
    <row r="180" spans="1:13" x14ac:dyDescent="0.2">
      <c r="A180" s="121">
        <v>2016</v>
      </c>
      <c r="B180" s="122">
        <f>SUM(B89:B100)</f>
        <v>508987624.24000013</v>
      </c>
      <c r="G180" s="237"/>
      <c r="H180" s="122">
        <f>SUM(H89:H100)</f>
        <v>513927826.56305665</v>
      </c>
      <c r="L180" s="127">
        <f>H180-B180</f>
        <v>4940202.323056519</v>
      </c>
      <c r="M180" s="128">
        <f t="shared" si="10"/>
        <v>9.7059379988521932E-3</v>
      </c>
    </row>
    <row r="181" spans="1:13" x14ac:dyDescent="0.2">
      <c r="A181" s="121">
        <v>2017</v>
      </c>
      <c r="B181" s="122">
        <f>SUM(B101:B112)</f>
        <v>500698339.18000001</v>
      </c>
      <c r="G181" s="237"/>
      <c r="H181" s="122">
        <f>SUM(H101:H112)</f>
        <v>507121218.68637317</v>
      </c>
      <c r="L181" s="127">
        <f>H181-B181</f>
        <v>6422879.506373167</v>
      </c>
      <c r="M181" s="128">
        <f t="shared" si="10"/>
        <v>1.2827842642522038E-2</v>
      </c>
    </row>
    <row r="182" spans="1:13" x14ac:dyDescent="0.2">
      <c r="A182" s="121">
        <v>2018</v>
      </c>
      <c r="B182" s="122">
        <f>SUM(B113:B124)</f>
        <v>514889565.40999997</v>
      </c>
      <c r="G182" s="237"/>
      <c r="H182" s="122">
        <f>SUM(H113:H124)</f>
        <v>524508322.63358557</v>
      </c>
      <c r="L182" s="127">
        <f>H182-B182</f>
        <v>9618757.2235856056</v>
      </c>
      <c r="M182" s="128">
        <f t="shared" si="10"/>
        <v>1.8681204416963301E-2</v>
      </c>
    </row>
    <row r="183" spans="1:13" x14ac:dyDescent="0.2">
      <c r="A183" s="121">
        <v>2019</v>
      </c>
      <c r="B183" s="122">
        <f>SUM(B125:B136)</f>
        <v>514147823.86999995</v>
      </c>
      <c r="G183" s="237"/>
      <c r="H183" s="122">
        <f>SUM(H125:H136)</f>
        <v>516585738.53430808</v>
      </c>
      <c r="L183" s="127">
        <f>H183-B183</f>
        <v>2437914.6643081307</v>
      </c>
      <c r="M183" s="128">
        <f t="shared" si="10"/>
        <v>4.741660960378871E-3</v>
      </c>
    </row>
    <row r="184" spans="1:13" x14ac:dyDescent="0.2">
      <c r="A184" s="121">
        <v>2020</v>
      </c>
      <c r="G184" s="237"/>
      <c r="H184" s="122">
        <f>SUM(H139:H150)</f>
        <v>513771070.57435787</v>
      </c>
      <c r="L184" s="127"/>
      <c r="M184" s="198"/>
    </row>
    <row r="185" spans="1:13" x14ac:dyDescent="0.2">
      <c r="A185" s="121">
        <v>2021</v>
      </c>
      <c r="G185" s="237"/>
      <c r="H185" s="122">
        <f>SUM(H151:H162)</f>
        <v>512910056.40893781</v>
      </c>
      <c r="L185" s="131"/>
      <c r="M185" s="132"/>
    </row>
    <row r="186" spans="1:13" x14ac:dyDescent="0.2">
      <c r="G186" s="237"/>
      <c r="H186" s="238"/>
      <c r="L186" s="129"/>
      <c r="M186" s="129"/>
    </row>
    <row r="187" spans="1:13" ht="13.5" thickBot="1" x14ac:dyDescent="0.25">
      <c r="A187" s="273" t="s">
        <v>164</v>
      </c>
      <c r="B187" s="122">
        <f>SUM(B179:B183)</f>
        <v>2577046548.4400001</v>
      </c>
      <c r="G187" s="237"/>
      <c r="H187" s="122">
        <f>SUM(H179:H183)</f>
        <v>2577046548.4399991</v>
      </c>
      <c r="L187" s="139">
        <f>H187-B187</f>
        <v>0</v>
      </c>
      <c r="M187" s="129"/>
    </row>
    <row r="188" spans="1:13" x14ac:dyDescent="0.2">
      <c r="G188" s="237"/>
      <c r="H188" s="237"/>
      <c r="L188" s="129"/>
      <c r="M188" s="129"/>
    </row>
    <row r="189" spans="1:13" ht="13.5" thickBot="1" x14ac:dyDescent="0.25">
      <c r="G189" s="237"/>
      <c r="H189" s="123">
        <f>SUM(H179:H185)</f>
        <v>3603727675.423295</v>
      </c>
      <c r="L189" s="140">
        <f>H164-H189</f>
        <v>0</v>
      </c>
      <c r="M189" s="133"/>
    </row>
    <row r="190" spans="1:13" x14ac:dyDescent="0.2">
      <c r="G190" s="237"/>
      <c r="H190" s="237"/>
      <c r="L190" s="129"/>
      <c r="M190" s="129"/>
    </row>
    <row r="191" spans="1:13" ht="13.5" thickBot="1" x14ac:dyDescent="0.25">
      <c r="G191" s="237"/>
      <c r="H191" s="237"/>
      <c r="L191" s="129"/>
      <c r="M191" s="129"/>
    </row>
    <row r="192" spans="1:13" x14ac:dyDescent="0.2">
      <c r="A192" s="302" t="s">
        <v>132</v>
      </c>
      <c r="B192" s="303"/>
      <c r="C192" s="304"/>
      <c r="D192" s="304"/>
      <c r="E192" s="304"/>
      <c r="F192" s="304"/>
      <c r="G192" s="305"/>
      <c r="H192" s="306"/>
      <c r="L192" s="129"/>
      <c r="M192" s="129"/>
    </row>
    <row r="193" spans="1:13" x14ac:dyDescent="0.2">
      <c r="A193" s="307">
        <v>44197</v>
      </c>
      <c r="B193" s="204"/>
      <c r="C193" s="234">
        <f>'Weather Normal Values'!AH3</f>
        <v>936.43184210526317</v>
      </c>
      <c r="D193" s="234">
        <f>'Weather Normal Values'!AH18</f>
        <v>0</v>
      </c>
      <c r="E193" s="233">
        <v>31</v>
      </c>
      <c r="F193" s="233">
        <v>0</v>
      </c>
      <c r="G193" s="234">
        <f t="shared" ref="G193:G204" si="11">G77</f>
        <v>1</v>
      </c>
      <c r="H193" s="308">
        <f t="shared" ref="H193:H204" si="12">+C193*$O$94+D193*$O$95+E193*$O$96+F193*$O$97+$O$93</f>
        <v>54170641.964728259</v>
      </c>
      <c r="I193" s="41">
        <v>136.54905631666588</v>
      </c>
      <c r="J193" s="41">
        <v>54663.084500000143</v>
      </c>
      <c r="K193" s="136">
        <v>320</v>
      </c>
      <c r="L193" s="129"/>
      <c r="M193" s="129"/>
    </row>
    <row r="194" spans="1:13" x14ac:dyDescent="0.2">
      <c r="A194" s="307">
        <v>44228</v>
      </c>
      <c r="B194" s="204"/>
      <c r="C194" s="234">
        <f>'Weather Normal Values'!AH4</f>
        <v>819.95180451127817</v>
      </c>
      <c r="D194" s="234">
        <f>'Weather Normal Values'!AH19</f>
        <v>0</v>
      </c>
      <c r="E194" s="233">
        <v>28</v>
      </c>
      <c r="F194" s="233">
        <v>0</v>
      </c>
      <c r="G194" s="234">
        <f t="shared" si="11"/>
        <v>1</v>
      </c>
      <c r="H194" s="308">
        <f t="shared" si="12"/>
        <v>49032451.51323662</v>
      </c>
      <c r="I194" s="41">
        <v>136.80805625997368</v>
      </c>
      <c r="J194" s="41">
        <v>54663.084500000143</v>
      </c>
      <c r="K194" s="136">
        <v>304</v>
      </c>
      <c r="L194" s="129"/>
      <c r="M194" s="129"/>
    </row>
    <row r="195" spans="1:13" x14ac:dyDescent="0.2">
      <c r="A195" s="307">
        <v>44256</v>
      </c>
      <c r="B195" s="204"/>
      <c r="C195" s="234">
        <f>'Weather Normal Values'!AH5</f>
        <v>725.74860902255659</v>
      </c>
      <c r="D195" s="234">
        <f>'Weather Normal Values'!AH20</f>
        <v>4.9473684210526336E-2</v>
      </c>
      <c r="E195" s="233">
        <v>31</v>
      </c>
      <c r="F195" s="233">
        <v>1</v>
      </c>
      <c r="G195" s="234">
        <f t="shared" si="11"/>
        <v>1</v>
      </c>
      <c r="H195" s="308">
        <f t="shared" si="12"/>
        <v>47471225.869414762</v>
      </c>
      <c r="I195" s="41">
        <v>137.06754746241165</v>
      </c>
      <c r="J195" s="41">
        <v>54663.084500000143</v>
      </c>
      <c r="K195" s="136">
        <v>368</v>
      </c>
      <c r="L195" s="129"/>
      <c r="M195" s="129"/>
    </row>
    <row r="196" spans="1:13" x14ac:dyDescent="0.2">
      <c r="A196" s="307">
        <v>44287</v>
      </c>
      <c r="B196" s="204"/>
      <c r="C196" s="234">
        <f>'Weather Normal Values'!AH6</f>
        <v>463.38454887217995</v>
      </c>
      <c r="D196" s="234">
        <v>0</v>
      </c>
      <c r="E196" s="233">
        <v>30</v>
      </c>
      <c r="F196" s="233">
        <v>1</v>
      </c>
      <c r="G196" s="234">
        <f t="shared" si="11"/>
        <v>1</v>
      </c>
      <c r="H196" s="308">
        <f t="shared" si="12"/>
        <v>40849477.022472575</v>
      </c>
      <c r="I196" s="41">
        <v>137.32753085577744</v>
      </c>
      <c r="J196" s="41">
        <v>54663.084500000143</v>
      </c>
      <c r="K196" s="136">
        <v>320</v>
      </c>
      <c r="L196" s="129"/>
      <c r="M196" s="129"/>
    </row>
    <row r="197" spans="1:13" x14ac:dyDescent="0.2">
      <c r="A197" s="307">
        <v>44317</v>
      </c>
      <c r="B197" s="204"/>
      <c r="C197" s="234">
        <f>'Weather Normal Values'!AH7</f>
        <v>211.95206766917278</v>
      </c>
      <c r="D197" s="234">
        <f>'Weather Normal Values'!AH22</f>
        <v>8.3950375939849664</v>
      </c>
      <c r="E197" s="233">
        <v>31</v>
      </c>
      <c r="F197" s="233">
        <v>1</v>
      </c>
      <c r="G197" s="234">
        <f t="shared" si="11"/>
        <v>1</v>
      </c>
      <c r="H197" s="308">
        <f t="shared" si="12"/>
        <v>37115087.036839657</v>
      </c>
      <c r="I197" s="41">
        <v>137.58800737363606</v>
      </c>
      <c r="J197" s="41">
        <v>54663.084500000143</v>
      </c>
      <c r="K197" s="136">
        <v>320</v>
      </c>
      <c r="L197" s="129"/>
      <c r="M197" s="129"/>
    </row>
    <row r="198" spans="1:13" x14ac:dyDescent="0.2">
      <c r="A198" s="307">
        <v>44348</v>
      </c>
      <c r="B198" s="204"/>
      <c r="C198" s="234">
        <f>'Weather Normal Values'!AH8</f>
        <v>78.61755639097737</v>
      </c>
      <c r="D198" s="234">
        <f>'Weather Normal Values'!AH23</f>
        <v>19.662030075187886</v>
      </c>
      <c r="E198" s="233">
        <v>30</v>
      </c>
      <c r="F198" s="233">
        <v>0</v>
      </c>
      <c r="G198" s="234">
        <f t="shared" si="11"/>
        <v>1</v>
      </c>
      <c r="H198" s="308">
        <f t="shared" si="12"/>
        <v>36647294.304204218</v>
      </c>
      <c r="I198" s="41">
        <v>137.84897795132326</v>
      </c>
      <c r="J198" s="41">
        <v>54663.084500000143</v>
      </c>
      <c r="K198" s="136">
        <v>352</v>
      </c>
      <c r="L198" s="129"/>
      <c r="M198" s="129"/>
    </row>
    <row r="199" spans="1:13" x14ac:dyDescent="0.2">
      <c r="A199" s="307">
        <v>44378</v>
      </c>
      <c r="B199" s="204"/>
      <c r="C199" s="234">
        <f>'Weather Normal Values'!AH9</f>
        <v>22.022819548872349</v>
      </c>
      <c r="D199" s="234">
        <f>'Weather Normal Values'!AH24</f>
        <v>60.372105263157891</v>
      </c>
      <c r="E199" s="233">
        <v>31</v>
      </c>
      <c r="F199" s="233">
        <v>0</v>
      </c>
      <c r="G199" s="234">
        <f t="shared" si="11"/>
        <v>1</v>
      </c>
      <c r="H199" s="308">
        <f t="shared" si="12"/>
        <v>40728713.145879664</v>
      </c>
      <c r="I199" s="41">
        <v>138.11044352594894</v>
      </c>
      <c r="J199" s="41">
        <v>54663.084500000143</v>
      </c>
      <c r="K199" s="136">
        <v>336</v>
      </c>
      <c r="L199" s="129"/>
      <c r="M199" s="129"/>
    </row>
    <row r="200" spans="1:13" x14ac:dyDescent="0.2">
      <c r="A200" s="307">
        <v>44409</v>
      </c>
      <c r="B200" s="204"/>
      <c r="C200" s="234">
        <f>'Weather Normal Values'!AH10</f>
        <v>37.262255639097702</v>
      </c>
      <c r="D200" s="234">
        <f>'Weather Normal Values'!AH25</f>
        <v>37.072669172932365</v>
      </c>
      <c r="E200" s="233">
        <v>31</v>
      </c>
      <c r="F200" s="233">
        <v>0</v>
      </c>
      <c r="G200" s="234">
        <f t="shared" si="11"/>
        <v>1</v>
      </c>
      <c r="H200" s="308">
        <f t="shared" si="12"/>
        <v>38509356.686769716</v>
      </c>
      <c r="I200" s="41">
        <v>138.37240503640041</v>
      </c>
      <c r="J200" s="41">
        <v>54663.084500000143</v>
      </c>
      <c r="K200" s="136">
        <v>336</v>
      </c>
    </row>
    <row r="201" spans="1:13" x14ac:dyDescent="0.2">
      <c r="A201" s="307">
        <v>44440</v>
      </c>
      <c r="B201" s="204"/>
      <c r="C201" s="234">
        <f>'Weather Normal Values'!AH11</f>
        <v>135.11052631578951</v>
      </c>
      <c r="D201" s="234">
        <f>'Weather Normal Values'!AH26</f>
        <v>15.477105263157796</v>
      </c>
      <c r="E201" s="233">
        <v>30</v>
      </c>
      <c r="F201" s="233">
        <v>1</v>
      </c>
      <c r="G201" s="234">
        <f t="shared" si="11"/>
        <v>1</v>
      </c>
      <c r="H201" s="308">
        <f t="shared" si="12"/>
        <v>35344654.773425616</v>
      </c>
      <c r="I201" s="41">
        <v>138.63486342334582</v>
      </c>
      <c r="J201" s="41">
        <v>54663.084500000143</v>
      </c>
      <c r="K201" s="136">
        <v>336</v>
      </c>
    </row>
    <row r="202" spans="1:13" x14ac:dyDescent="0.2">
      <c r="A202" s="307">
        <v>44470</v>
      </c>
      <c r="B202" s="204"/>
      <c r="C202" s="234">
        <f>'Weather Normal Values'!AH12</f>
        <v>341.97796992481199</v>
      </c>
      <c r="D202" s="234">
        <f>'Weather Normal Values'!AH27</f>
        <v>0.36165413533834112</v>
      </c>
      <c r="E202" s="233">
        <v>31</v>
      </c>
      <c r="F202" s="233">
        <v>1</v>
      </c>
      <c r="G202" s="234">
        <f t="shared" si="11"/>
        <v>1</v>
      </c>
      <c r="H202" s="308">
        <f t="shared" si="12"/>
        <v>39086910.703624301</v>
      </c>
      <c r="I202" s="41">
        <v>138.89781962923757</v>
      </c>
      <c r="J202" s="41">
        <v>54663.084500000143</v>
      </c>
      <c r="K202" s="136">
        <v>320</v>
      </c>
    </row>
    <row r="203" spans="1:13" x14ac:dyDescent="0.2">
      <c r="A203" s="307">
        <v>44501</v>
      </c>
      <c r="B203" s="204"/>
      <c r="C203" s="234">
        <f>'Weather Normal Values'!AH13</f>
        <v>574.3820676691721</v>
      </c>
      <c r="D203" s="234">
        <f>'Weather Normal Values'!AH28</f>
        <v>0</v>
      </c>
      <c r="E203" s="233">
        <v>30</v>
      </c>
      <c r="F203" s="233">
        <v>1</v>
      </c>
      <c r="G203" s="234">
        <f t="shared" si="11"/>
        <v>1</v>
      </c>
      <c r="H203" s="308">
        <f t="shared" si="12"/>
        <v>43284358.475537486</v>
      </c>
      <c r="I203" s="41">
        <v>139.16127459831566</v>
      </c>
      <c r="J203" s="41">
        <v>54663.084500000143</v>
      </c>
      <c r="K203" s="136">
        <v>336</v>
      </c>
    </row>
    <row r="204" spans="1:13" x14ac:dyDescent="0.2">
      <c r="A204" s="307">
        <v>44531</v>
      </c>
      <c r="B204" s="204"/>
      <c r="C204" s="234">
        <f>'Weather Normal Values'!AH14</f>
        <v>793.39364661654099</v>
      </c>
      <c r="D204" s="234">
        <f>'Weather Normal Values'!AH29</f>
        <v>0</v>
      </c>
      <c r="E204" s="233">
        <v>31</v>
      </c>
      <c r="F204" s="233">
        <v>0</v>
      </c>
      <c r="G204" s="234">
        <f t="shared" si="11"/>
        <v>1</v>
      </c>
      <c r="H204" s="308">
        <f t="shared" si="12"/>
        <v>51032904.715733089</v>
      </c>
      <c r="I204" s="41">
        <v>139.42522927661113</v>
      </c>
      <c r="J204" s="41">
        <v>54663.084500000143</v>
      </c>
      <c r="K204" s="136">
        <v>368</v>
      </c>
    </row>
    <row r="205" spans="1:13" ht="13.5" thickBot="1" x14ac:dyDescent="0.25">
      <c r="A205" s="309"/>
      <c r="B205" s="310"/>
      <c r="C205" s="311">
        <f>SUM(C193:C204)</f>
        <v>5140.2357142857127</v>
      </c>
      <c r="D205" s="311">
        <f>SUM(D193:D204)</f>
        <v>141.39007518796976</v>
      </c>
      <c r="E205" s="312"/>
      <c r="F205" s="312"/>
      <c r="G205" s="312"/>
      <c r="H205" s="313">
        <f>SUM(H193:H204)</f>
        <v>513273076.21186602</v>
      </c>
      <c r="L205" s="124">
        <f>+H205-H185</f>
        <v>363019.8029282093</v>
      </c>
      <c r="M205" s="125">
        <f>+L205/H205</f>
        <v>7.0726445580863474E-4</v>
      </c>
    </row>
    <row r="206" spans="1:13" x14ac:dyDescent="0.2">
      <c r="H206" s="121"/>
    </row>
  </sheetData>
  <phoneticPr fontId="0" type="noConversion"/>
  <pageMargins left="0.39" right="0.26" top="1" bottom="1" header="0.5" footer="0.5"/>
  <pageSetup orientation="landscape" verticalDpi="300" r:id="rId1"/>
  <headerFooter alignWithMargins="0">
    <oddFooter>&amp;C&amp;A
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8"/>
  <sheetViews>
    <sheetView topLeftCell="A49" workbookViewId="0">
      <selection activeCell="J27" sqref="J27"/>
    </sheetView>
  </sheetViews>
  <sheetFormatPr defaultRowHeight="12.75" x14ac:dyDescent="0.2"/>
  <cols>
    <col min="2" max="2" width="10.7109375" bestFit="1" customWidth="1"/>
    <col min="7" max="7" width="11.7109375" bestFit="1" customWidth="1"/>
    <col min="8" max="8" width="11.28515625" bestFit="1" customWidth="1"/>
    <col min="10" max="10" width="60" bestFit="1" customWidth="1"/>
    <col min="11" max="11" width="29.140625" bestFit="1" customWidth="1"/>
    <col min="12" max="12" width="15" bestFit="1" customWidth="1"/>
    <col min="13" max="13" width="11.85546875" bestFit="1" customWidth="1"/>
  </cols>
  <sheetData>
    <row r="1" spans="1:18" ht="25.5" x14ac:dyDescent="0.2">
      <c r="J1" s="333" t="s">
        <v>243</v>
      </c>
    </row>
    <row r="4" spans="1:18" ht="38.25" x14ac:dyDescent="0.2">
      <c r="A4" s="314"/>
      <c r="B4" s="315" t="s">
        <v>0</v>
      </c>
      <c r="C4" s="316" t="s">
        <v>4</v>
      </c>
      <c r="D4" s="316" t="s">
        <v>5</v>
      </c>
      <c r="E4" s="316" t="s">
        <v>6</v>
      </c>
      <c r="F4" s="316" t="s">
        <v>18</v>
      </c>
      <c r="G4" s="316" t="s">
        <v>11</v>
      </c>
      <c r="H4" s="116" t="s">
        <v>12</v>
      </c>
      <c r="I4" s="116" t="s">
        <v>140</v>
      </c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2">
      <c r="A5" s="314">
        <v>42005</v>
      </c>
      <c r="B5" s="317">
        <v>60955014.140000008</v>
      </c>
      <c r="C5" s="318">
        <v>935.45499999999993</v>
      </c>
      <c r="D5" s="318">
        <v>0</v>
      </c>
      <c r="E5" s="317">
        <v>31</v>
      </c>
      <c r="F5" s="317">
        <v>0</v>
      </c>
      <c r="G5" s="317">
        <f>+C5*$K$22+D5*$K$23+E5*$K$24+F5*$K$25+$K$21</f>
        <v>54149213.605333768</v>
      </c>
      <c r="H5" s="11">
        <f t="shared" ref="H5:H36" si="0">G5-B5</f>
        <v>-6805800.5346662402</v>
      </c>
      <c r="I5" s="132">
        <f t="shared" ref="I5:I36" si="1">ABS(H5/B5)</f>
        <v>0.11165284153711853</v>
      </c>
      <c r="J5" t="s">
        <v>19</v>
      </c>
    </row>
    <row r="6" spans="1:18" ht="13.5" thickBot="1" x14ac:dyDescent="0.25">
      <c r="A6" s="314">
        <v>42036</v>
      </c>
      <c r="B6" s="317">
        <v>56605601.299999997</v>
      </c>
      <c r="C6" s="318">
        <v>814.8599999999999</v>
      </c>
      <c r="D6" s="318">
        <v>0</v>
      </c>
      <c r="E6" s="317">
        <v>28</v>
      </c>
      <c r="F6" s="317">
        <v>0</v>
      </c>
      <c r="G6" s="317">
        <f t="shared" ref="G6:G64" si="2">+C6*$K$22+D6*$K$23+E6*$K$24+F6*$K$25+$K$21</f>
        <v>48920755.860022791</v>
      </c>
      <c r="H6" s="11">
        <f t="shared" si="0"/>
        <v>-7684845.4399772063</v>
      </c>
      <c r="I6" s="132">
        <f t="shared" si="1"/>
        <v>0.13576121909294525</v>
      </c>
    </row>
    <row r="7" spans="1:18" x14ac:dyDescent="0.2">
      <c r="A7" s="314">
        <v>42064</v>
      </c>
      <c r="B7" s="317">
        <v>52369680.829999998</v>
      </c>
      <c r="C7" s="318">
        <v>708.64499999999998</v>
      </c>
      <c r="D7" s="318">
        <v>6.9999999999999993E-2</v>
      </c>
      <c r="E7" s="317">
        <v>31</v>
      </c>
      <c r="F7" s="317">
        <v>1</v>
      </c>
      <c r="G7" s="317">
        <f t="shared" si="2"/>
        <v>47098284.672606975</v>
      </c>
      <c r="H7" s="11">
        <f t="shared" si="0"/>
        <v>-5271396.1573930234</v>
      </c>
      <c r="I7" s="132">
        <f t="shared" si="1"/>
        <v>0.10065740470148715</v>
      </c>
      <c r="J7" s="31" t="s">
        <v>20</v>
      </c>
      <c r="K7" s="31"/>
    </row>
    <row r="8" spans="1:18" x14ac:dyDescent="0.2">
      <c r="A8" s="314">
        <v>42095</v>
      </c>
      <c r="B8" s="317">
        <v>42936932</v>
      </c>
      <c r="C8" s="318">
        <v>461.17500000000001</v>
      </c>
      <c r="D8" s="318">
        <v>0.01</v>
      </c>
      <c r="E8" s="317">
        <v>30</v>
      </c>
      <c r="F8" s="317">
        <v>1</v>
      </c>
      <c r="G8" s="317">
        <f t="shared" si="2"/>
        <v>40802103.57998988</v>
      </c>
      <c r="H8" s="11">
        <f t="shared" si="0"/>
        <v>-2134828.4200101197</v>
      </c>
      <c r="I8" s="132">
        <f t="shared" si="1"/>
        <v>4.9720096908883002E-2</v>
      </c>
      <c r="J8" s="28" t="s">
        <v>21</v>
      </c>
      <c r="K8" s="255">
        <v>0.97835139641235858</v>
      </c>
    </row>
    <row r="9" spans="1:18" x14ac:dyDescent="0.2">
      <c r="A9" s="314">
        <v>42125</v>
      </c>
      <c r="B9" s="317">
        <v>38321444.109999999</v>
      </c>
      <c r="C9" s="318">
        <v>199.75500000000002</v>
      </c>
      <c r="D9" s="318">
        <v>9.68</v>
      </c>
      <c r="E9" s="317">
        <v>31</v>
      </c>
      <c r="F9" s="317">
        <v>1</v>
      </c>
      <c r="G9" s="317">
        <f t="shared" si="2"/>
        <v>36988361.643717013</v>
      </c>
      <c r="H9" s="11">
        <f t="shared" si="0"/>
        <v>-1333082.4662829861</v>
      </c>
      <c r="I9" s="132">
        <f t="shared" si="1"/>
        <v>3.4786853607511041E-2</v>
      </c>
      <c r="J9" s="28" t="s">
        <v>22</v>
      </c>
      <c r="K9" s="255">
        <v>0.95717145486201205</v>
      </c>
    </row>
    <row r="10" spans="1:18" x14ac:dyDescent="0.2">
      <c r="A10" s="314">
        <v>42156</v>
      </c>
      <c r="B10" s="317">
        <v>37322701.109999999</v>
      </c>
      <c r="C10" s="318">
        <v>78.965000000000003</v>
      </c>
      <c r="D10" s="318">
        <v>17.859999999999996</v>
      </c>
      <c r="E10" s="317">
        <v>30</v>
      </c>
      <c r="F10" s="317">
        <v>0</v>
      </c>
      <c r="G10" s="317">
        <f t="shared" si="2"/>
        <v>36457410.67077928</v>
      </c>
      <c r="H10" s="11">
        <f t="shared" si="0"/>
        <v>-865290.43922071904</v>
      </c>
      <c r="I10" s="132">
        <f t="shared" si="1"/>
        <v>2.3184025096963809E-2</v>
      </c>
      <c r="J10" s="28" t="s">
        <v>23</v>
      </c>
      <c r="K10" s="255">
        <v>0.95405665157924924</v>
      </c>
    </row>
    <row r="11" spans="1:18" x14ac:dyDescent="0.2">
      <c r="A11" s="314">
        <v>42186</v>
      </c>
      <c r="B11" s="317">
        <v>41173435.550000004</v>
      </c>
      <c r="C11" s="318">
        <v>22.305</v>
      </c>
      <c r="D11" s="318">
        <v>63.589999999999996</v>
      </c>
      <c r="E11" s="317">
        <v>31</v>
      </c>
      <c r="F11" s="317">
        <v>0</v>
      </c>
      <c r="G11" s="317">
        <f t="shared" si="2"/>
        <v>41087589.394035466</v>
      </c>
      <c r="H11" s="11">
        <f t="shared" si="0"/>
        <v>-85846.155964538455</v>
      </c>
      <c r="I11" s="132">
        <f t="shared" si="1"/>
        <v>2.0849888967921803E-3</v>
      </c>
      <c r="J11" s="28" t="s">
        <v>24</v>
      </c>
      <c r="K11" s="28">
        <v>1380193.7476317249</v>
      </c>
    </row>
    <row r="12" spans="1:18" ht="13.5" thickBot="1" x14ac:dyDescent="0.25">
      <c r="A12" s="314">
        <v>42217</v>
      </c>
      <c r="B12" s="317">
        <v>40113558.109999999</v>
      </c>
      <c r="C12" s="318">
        <v>34.94</v>
      </c>
      <c r="D12" s="318">
        <v>40.075000000000003</v>
      </c>
      <c r="E12" s="317">
        <v>31</v>
      </c>
      <c r="F12" s="317">
        <v>0</v>
      </c>
      <c r="G12" s="317">
        <f t="shared" si="2"/>
        <v>38787474.951428317</v>
      </c>
      <c r="H12" s="11">
        <f t="shared" si="0"/>
        <v>-1326083.1585716829</v>
      </c>
      <c r="I12" s="132">
        <f t="shared" si="1"/>
        <v>3.3058228216387035E-2</v>
      </c>
      <c r="J12" s="29" t="s">
        <v>25</v>
      </c>
      <c r="K12" s="29">
        <v>60</v>
      </c>
    </row>
    <row r="13" spans="1:18" x14ac:dyDescent="0.2">
      <c r="A13" s="314">
        <v>42248</v>
      </c>
      <c r="B13" s="317">
        <v>39126212.020000003</v>
      </c>
      <c r="C13" s="318">
        <v>139.505</v>
      </c>
      <c r="D13" s="318">
        <v>15.985000000000003</v>
      </c>
      <c r="E13" s="317">
        <v>30</v>
      </c>
      <c r="F13" s="317">
        <v>1</v>
      </c>
      <c r="G13" s="317">
        <f t="shared" si="2"/>
        <v>35496719.575176209</v>
      </c>
      <c r="H13" s="11">
        <f t="shared" si="0"/>
        <v>-3629492.4448237941</v>
      </c>
      <c r="I13" s="132">
        <f t="shared" si="1"/>
        <v>9.2763706411663871E-2</v>
      </c>
    </row>
    <row r="14" spans="1:18" ht="13.5" thickBot="1" x14ac:dyDescent="0.25">
      <c r="A14" s="314">
        <v>42278</v>
      </c>
      <c r="B14" s="317">
        <v>40715708.719999999</v>
      </c>
      <c r="C14" s="318">
        <v>338.37</v>
      </c>
      <c r="D14" s="318">
        <v>0.32</v>
      </c>
      <c r="E14" s="317">
        <v>31</v>
      </c>
      <c r="F14" s="317">
        <v>1</v>
      </c>
      <c r="G14" s="317">
        <f t="shared" si="2"/>
        <v>39003199.621422663</v>
      </c>
      <c r="H14" s="11">
        <f t="shared" si="0"/>
        <v>-1712509.0985773355</v>
      </c>
      <c r="I14" s="132">
        <f t="shared" si="1"/>
        <v>4.206015693731821E-2</v>
      </c>
      <c r="J14" t="s">
        <v>26</v>
      </c>
    </row>
    <row r="15" spans="1:18" x14ac:dyDescent="0.2">
      <c r="A15" s="314">
        <v>42309</v>
      </c>
      <c r="B15" s="317">
        <v>42394598.530000001</v>
      </c>
      <c r="C15" s="318">
        <v>568.69500000000005</v>
      </c>
      <c r="D15" s="318">
        <v>0</v>
      </c>
      <c r="E15" s="317">
        <v>30</v>
      </c>
      <c r="F15" s="317">
        <v>1</v>
      </c>
      <c r="G15" s="317">
        <f t="shared" si="2"/>
        <v>43159604.915817671</v>
      </c>
      <c r="H15" s="11">
        <f t="shared" si="0"/>
        <v>765006.38581766933</v>
      </c>
      <c r="I15" s="132">
        <f t="shared" si="1"/>
        <v>1.8044902236220548E-2</v>
      </c>
      <c r="J15" s="30"/>
      <c r="K15" s="30" t="s">
        <v>29</v>
      </c>
      <c r="L15" s="30" t="s">
        <v>30</v>
      </c>
      <c r="M15" s="30" t="s">
        <v>31</v>
      </c>
      <c r="N15" s="30" t="s">
        <v>32</v>
      </c>
      <c r="O15" s="30" t="s">
        <v>33</v>
      </c>
    </row>
    <row r="16" spans="1:18" x14ac:dyDescent="0.2">
      <c r="A16" s="314">
        <v>42339</v>
      </c>
      <c r="B16" s="317">
        <v>46288309.32</v>
      </c>
      <c r="C16" s="318">
        <v>790.04000000000008</v>
      </c>
      <c r="D16" s="318">
        <v>0</v>
      </c>
      <c r="E16" s="319">
        <v>31</v>
      </c>
      <c r="F16" s="317">
        <v>0</v>
      </c>
      <c r="G16" s="317">
        <f t="shared" si="2"/>
        <v>50959337.918607794</v>
      </c>
      <c r="H16" s="11">
        <f t="shared" si="0"/>
        <v>4671028.5986077935</v>
      </c>
      <c r="I16" s="132">
        <f t="shared" si="1"/>
        <v>0.10091162687140014</v>
      </c>
      <c r="J16" s="28" t="s">
        <v>27</v>
      </c>
      <c r="K16" s="28">
        <v>4</v>
      </c>
      <c r="L16" s="28">
        <v>2341527255784045</v>
      </c>
      <c r="M16" s="28">
        <v>585381813946011.25</v>
      </c>
      <c r="N16" s="28">
        <v>307.29756198697243</v>
      </c>
      <c r="O16" s="28">
        <v>6.444396557517594E-37</v>
      </c>
    </row>
    <row r="17" spans="1:18" x14ac:dyDescent="0.2">
      <c r="A17" s="314">
        <v>42370</v>
      </c>
      <c r="B17" s="317">
        <v>53275789.689999998</v>
      </c>
      <c r="C17" s="318">
        <v>935.45499999999993</v>
      </c>
      <c r="D17" s="318">
        <v>0</v>
      </c>
      <c r="E17" s="319">
        <v>31</v>
      </c>
      <c r="F17" s="317">
        <v>0</v>
      </c>
      <c r="G17" s="317">
        <f t="shared" si="2"/>
        <v>54149213.605333768</v>
      </c>
      <c r="H17" s="11">
        <f t="shared" si="0"/>
        <v>873423.91533377022</v>
      </c>
      <c r="I17" s="132">
        <f t="shared" si="1"/>
        <v>1.6394387026753245E-2</v>
      </c>
      <c r="J17" s="28" t="s">
        <v>28</v>
      </c>
      <c r="K17" s="28">
        <v>55</v>
      </c>
      <c r="L17" s="28">
        <v>104771412955093.8</v>
      </c>
      <c r="M17" s="28">
        <v>1904934781001.7053</v>
      </c>
      <c r="N17" s="28"/>
      <c r="O17" s="28"/>
    </row>
    <row r="18" spans="1:18" ht="13.5" thickBot="1" x14ac:dyDescent="0.25">
      <c r="A18" s="314">
        <v>42401</v>
      </c>
      <c r="B18" s="317">
        <v>50185519.68</v>
      </c>
      <c r="C18" s="318">
        <v>814.8599999999999</v>
      </c>
      <c r="D18" s="318">
        <v>0</v>
      </c>
      <c r="E18" s="319">
        <v>29</v>
      </c>
      <c r="F18" s="317">
        <v>0</v>
      </c>
      <c r="G18" s="317">
        <f t="shared" si="2"/>
        <v>49781770.025442861</v>
      </c>
      <c r="H18" s="11">
        <f t="shared" si="0"/>
        <v>-403749.65455713868</v>
      </c>
      <c r="I18" s="132">
        <f t="shared" si="1"/>
        <v>8.0451424460996779E-3</v>
      </c>
      <c r="J18" s="29" t="s">
        <v>10</v>
      </c>
      <c r="K18" s="29">
        <v>59</v>
      </c>
      <c r="L18" s="29">
        <v>2446298668739139</v>
      </c>
      <c r="M18" s="29"/>
      <c r="N18" s="29"/>
      <c r="O18" s="29"/>
    </row>
    <row r="19" spans="1:18" ht="13.5" thickBot="1" x14ac:dyDescent="0.25">
      <c r="A19" s="314">
        <v>42430</v>
      </c>
      <c r="B19" s="317">
        <v>45995357.460000001</v>
      </c>
      <c r="C19" s="318">
        <v>708.64499999999998</v>
      </c>
      <c r="D19" s="318">
        <v>6.9999999999999993E-2</v>
      </c>
      <c r="E19" s="319">
        <v>31</v>
      </c>
      <c r="F19" s="317">
        <v>1</v>
      </c>
      <c r="G19" s="317">
        <f t="shared" si="2"/>
        <v>47098284.672606975</v>
      </c>
      <c r="H19" s="11">
        <f t="shared" si="0"/>
        <v>1102927.2126069739</v>
      </c>
      <c r="I19" s="132">
        <f t="shared" si="1"/>
        <v>2.3979098620249616E-2</v>
      </c>
    </row>
    <row r="20" spans="1:18" x14ac:dyDescent="0.2">
      <c r="A20" s="314">
        <v>42461</v>
      </c>
      <c r="B20" s="317">
        <v>41316026.82</v>
      </c>
      <c r="C20" s="318">
        <v>461.17500000000001</v>
      </c>
      <c r="D20" s="318">
        <v>0.01</v>
      </c>
      <c r="E20" s="317">
        <v>30</v>
      </c>
      <c r="F20" s="317">
        <v>1</v>
      </c>
      <c r="G20" s="317">
        <f t="shared" si="2"/>
        <v>40802103.57998988</v>
      </c>
      <c r="H20" s="11">
        <f t="shared" si="0"/>
        <v>-513923.24001011997</v>
      </c>
      <c r="I20" s="132">
        <f t="shared" si="1"/>
        <v>1.2438834988879988E-2</v>
      </c>
      <c r="J20" s="30"/>
      <c r="K20" s="30" t="s">
        <v>34</v>
      </c>
      <c r="L20" s="30" t="s">
        <v>24</v>
      </c>
      <c r="M20" s="30" t="s">
        <v>35</v>
      </c>
      <c r="N20" s="30" t="s">
        <v>36</v>
      </c>
      <c r="O20" s="30" t="s">
        <v>37</v>
      </c>
      <c r="P20" s="30" t="s">
        <v>38</v>
      </c>
      <c r="Q20" s="30" t="s">
        <v>161</v>
      </c>
      <c r="R20" s="30" t="s">
        <v>162</v>
      </c>
    </row>
    <row r="21" spans="1:18" x14ac:dyDescent="0.2">
      <c r="A21" s="314">
        <v>42491</v>
      </c>
      <c r="B21" s="317">
        <v>36199389.279999994</v>
      </c>
      <c r="C21" s="318">
        <v>199.75500000000002</v>
      </c>
      <c r="D21" s="318">
        <v>9.68</v>
      </c>
      <c r="E21" s="317">
        <v>31</v>
      </c>
      <c r="F21" s="317">
        <v>1</v>
      </c>
      <c r="G21" s="317">
        <f t="shared" si="2"/>
        <v>36988361.643717013</v>
      </c>
      <c r="H21" s="11">
        <f t="shared" si="0"/>
        <v>788972.36371701956</v>
      </c>
      <c r="I21" s="132">
        <f t="shared" si="1"/>
        <v>2.1795184377680188E-2</v>
      </c>
      <c r="J21" s="28" t="s">
        <v>124</v>
      </c>
      <c r="K21" s="256">
        <v>6937297.4940139567</v>
      </c>
      <c r="L21" s="28">
        <v>6820540.9259391651</v>
      </c>
      <c r="M21" s="256">
        <v>1.0171183736513851</v>
      </c>
      <c r="N21" s="28">
        <v>0.31355062074215168</v>
      </c>
      <c r="O21" s="28">
        <v>-6731371.9678245457</v>
      </c>
      <c r="P21" s="28">
        <v>20605966.95585246</v>
      </c>
      <c r="Q21" s="28">
        <v>-6731371.9678245457</v>
      </c>
      <c r="R21" s="28">
        <v>20605966.95585246</v>
      </c>
    </row>
    <row r="22" spans="1:18" x14ac:dyDescent="0.2">
      <c r="A22" s="314">
        <v>42522</v>
      </c>
      <c r="B22" s="317">
        <v>36570354.549999997</v>
      </c>
      <c r="C22" s="318">
        <v>78.965000000000003</v>
      </c>
      <c r="D22" s="318">
        <v>17.859999999999996</v>
      </c>
      <c r="E22" s="317">
        <v>30</v>
      </c>
      <c r="F22" s="317">
        <v>0</v>
      </c>
      <c r="G22" s="317">
        <f t="shared" si="2"/>
        <v>36457410.67077928</v>
      </c>
      <c r="H22" s="11">
        <f t="shared" si="0"/>
        <v>-112943.87922071666</v>
      </c>
      <c r="I22" s="132">
        <f t="shared" si="1"/>
        <v>3.0883998968699268E-3</v>
      </c>
      <c r="J22" s="28" t="s">
        <v>4</v>
      </c>
      <c r="K22" s="256">
        <v>21936.359293924117</v>
      </c>
      <c r="L22" s="28">
        <v>748.39981627408224</v>
      </c>
      <c r="M22" s="256">
        <v>29.311016407158615</v>
      </c>
      <c r="N22" s="28">
        <v>2.9850631118911255E-35</v>
      </c>
      <c r="O22" s="28">
        <v>20436.532546305487</v>
      </c>
      <c r="P22" s="28">
        <v>23436.186041542747</v>
      </c>
      <c r="Q22" s="28">
        <v>20436.532546305487</v>
      </c>
      <c r="R22" s="28">
        <v>23436.186041542747</v>
      </c>
    </row>
    <row r="23" spans="1:18" x14ac:dyDescent="0.2">
      <c r="A23" s="314">
        <v>42552</v>
      </c>
      <c r="B23" s="317">
        <v>40114786.689999998</v>
      </c>
      <c r="C23" s="318">
        <v>22.305</v>
      </c>
      <c r="D23" s="318">
        <v>63.589999999999996</v>
      </c>
      <c r="E23" s="317">
        <v>31</v>
      </c>
      <c r="F23" s="317">
        <v>0</v>
      </c>
      <c r="G23" s="317">
        <f t="shared" si="2"/>
        <v>41087589.394035466</v>
      </c>
      <c r="H23" s="11">
        <f t="shared" si="0"/>
        <v>972802.7040354684</v>
      </c>
      <c r="I23" s="132">
        <f t="shared" si="1"/>
        <v>2.4250476801811669E-2</v>
      </c>
      <c r="J23" s="28" t="s">
        <v>5</v>
      </c>
      <c r="K23" s="256">
        <v>109601.54549376482</v>
      </c>
      <c r="L23" s="28">
        <v>12298.27701309162</v>
      </c>
      <c r="M23" s="256">
        <v>8.9119431426933264</v>
      </c>
      <c r="N23" s="28">
        <v>2.9234292125944223E-12</v>
      </c>
      <c r="O23" s="28">
        <v>84955.247602233751</v>
      </c>
      <c r="P23" s="28">
        <v>134247.84338529588</v>
      </c>
      <c r="Q23" s="28">
        <v>84955.247602233751</v>
      </c>
      <c r="R23" s="28">
        <v>134247.84338529588</v>
      </c>
    </row>
    <row r="24" spans="1:18" x14ac:dyDescent="0.2">
      <c r="A24" s="314">
        <v>42583</v>
      </c>
      <c r="B24" s="317">
        <v>41396574.859999999</v>
      </c>
      <c r="C24" s="318">
        <v>34.94</v>
      </c>
      <c r="D24" s="318">
        <v>40.075000000000003</v>
      </c>
      <c r="E24" s="317">
        <v>31</v>
      </c>
      <c r="F24" s="317">
        <v>0</v>
      </c>
      <c r="G24" s="317">
        <f t="shared" si="2"/>
        <v>38787474.951428317</v>
      </c>
      <c r="H24" s="11">
        <f t="shared" si="0"/>
        <v>-2609099.9085716829</v>
      </c>
      <c r="I24" s="132">
        <f t="shared" si="1"/>
        <v>6.302695132134617E-2</v>
      </c>
      <c r="J24" s="28" t="s">
        <v>6</v>
      </c>
      <c r="K24" s="256">
        <v>861014.1654200654</v>
      </c>
      <c r="L24" s="28">
        <v>224866.44809693948</v>
      </c>
      <c r="M24" s="256">
        <v>3.8290023821111983</v>
      </c>
      <c r="N24" s="28">
        <v>3.3178858990512661E-4</v>
      </c>
      <c r="O24" s="28">
        <v>410371.73317463446</v>
      </c>
      <c r="P24" s="28">
        <v>1311656.5976654964</v>
      </c>
      <c r="Q24" s="28">
        <v>410371.73317463446</v>
      </c>
      <c r="R24" s="28">
        <v>1311656.5976654964</v>
      </c>
    </row>
    <row r="25" spans="1:18" ht="13.5" thickBot="1" x14ac:dyDescent="0.25">
      <c r="A25" s="314">
        <v>42614</v>
      </c>
      <c r="B25" s="317">
        <v>36257722.280000001</v>
      </c>
      <c r="C25" s="318">
        <v>139.505</v>
      </c>
      <c r="D25" s="318">
        <v>15.985000000000003</v>
      </c>
      <c r="E25" s="317">
        <v>30</v>
      </c>
      <c r="F25" s="317">
        <v>1</v>
      </c>
      <c r="G25" s="317">
        <f t="shared" si="2"/>
        <v>35496719.575176209</v>
      </c>
      <c r="H25" s="11">
        <f t="shared" si="0"/>
        <v>-761002.70482379198</v>
      </c>
      <c r="I25" s="132">
        <f t="shared" si="1"/>
        <v>2.0988706873171847E-2</v>
      </c>
      <c r="J25" s="29" t="s">
        <v>18</v>
      </c>
      <c r="K25" s="257">
        <v>-2083215.3894564267</v>
      </c>
      <c r="L25" s="29">
        <v>407542.18219589384</v>
      </c>
      <c r="M25" s="257">
        <v>-5.1116558738331648</v>
      </c>
      <c r="N25" s="29">
        <v>4.1555149131339647E-6</v>
      </c>
      <c r="O25" s="29">
        <v>-2899948.1736563821</v>
      </c>
      <c r="P25" s="29">
        <v>-1266482.6052564713</v>
      </c>
      <c r="Q25" s="29">
        <v>-2899948.1736563821</v>
      </c>
      <c r="R25" s="29">
        <v>-1266482.6052564713</v>
      </c>
    </row>
    <row r="26" spans="1:18" x14ac:dyDescent="0.2">
      <c r="A26" s="314">
        <v>42644</v>
      </c>
      <c r="B26" s="317">
        <v>38047287.729999997</v>
      </c>
      <c r="C26" s="318">
        <v>338.37</v>
      </c>
      <c r="D26" s="318">
        <v>0.32</v>
      </c>
      <c r="E26" s="317">
        <v>31</v>
      </c>
      <c r="F26" s="317">
        <v>1</v>
      </c>
      <c r="G26" s="317">
        <f t="shared" si="2"/>
        <v>39003199.621422663</v>
      </c>
      <c r="H26" s="11">
        <f t="shared" si="0"/>
        <v>955911.89142266661</v>
      </c>
      <c r="I26" s="132">
        <f t="shared" si="1"/>
        <v>2.5124311046985284E-2</v>
      </c>
    </row>
    <row r="27" spans="1:18" x14ac:dyDescent="0.2">
      <c r="A27" s="314">
        <v>42675</v>
      </c>
      <c r="B27" s="317">
        <v>40688064.800000004</v>
      </c>
      <c r="C27" s="318">
        <v>568.69500000000005</v>
      </c>
      <c r="D27" s="318">
        <v>0</v>
      </c>
      <c r="E27" s="317">
        <v>30</v>
      </c>
      <c r="F27" s="317">
        <v>1</v>
      </c>
      <c r="G27" s="317">
        <f t="shared" si="2"/>
        <v>43159604.915817671</v>
      </c>
      <c r="H27" s="11">
        <f t="shared" si="0"/>
        <v>2471540.1158176661</v>
      </c>
      <c r="I27" s="132">
        <f t="shared" si="1"/>
        <v>6.0743614324406642E-2</v>
      </c>
    </row>
    <row r="28" spans="1:18" x14ac:dyDescent="0.2">
      <c r="A28" s="314">
        <v>42705</v>
      </c>
      <c r="B28" s="317">
        <v>48940750.400000006</v>
      </c>
      <c r="C28" s="318">
        <v>790.04000000000008</v>
      </c>
      <c r="D28" s="318">
        <v>0</v>
      </c>
      <c r="E28" s="317">
        <v>31</v>
      </c>
      <c r="F28" s="317">
        <v>0</v>
      </c>
      <c r="G28" s="317">
        <f t="shared" si="2"/>
        <v>50959337.918607794</v>
      </c>
      <c r="H28" s="11">
        <f t="shared" si="0"/>
        <v>2018587.5186077878</v>
      </c>
      <c r="I28" s="132">
        <f t="shared" si="1"/>
        <v>4.1245536737985686E-2</v>
      </c>
    </row>
    <row r="29" spans="1:18" x14ac:dyDescent="0.2">
      <c r="A29" s="314">
        <v>42736</v>
      </c>
      <c r="B29" s="317">
        <v>50172295.439999998</v>
      </c>
      <c r="C29" s="318">
        <v>935.45499999999993</v>
      </c>
      <c r="D29" s="318">
        <v>0</v>
      </c>
      <c r="E29" s="317">
        <v>31</v>
      </c>
      <c r="F29" s="317">
        <v>0</v>
      </c>
      <c r="G29" s="317">
        <f t="shared" si="2"/>
        <v>54149213.605333768</v>
      </c>
      <c r="H29" s="11">
        <f t="shared" si="0"/>
        <v>3976918.1653337702</v>
      </c>
      <c r="I29" s="132">
        <f t="shared" si="1"/>
        <v>7.926522257865766E-2</v>
      </c>
      <c r="J29" s="130"/>
      <c r="K29" s="130"/>
      <c r="L29" s="25"/>
      <c r="M29" s="25"/>
      <c r="N29" s="25"/>
      <c r="O29" s="25"/>
      <c r="P29" s="25"/>
      <c r="Q29" s="25"/>
      <c r="R29" s="25"/>
    </row>
    <row r="30" spans="1:18" x14ac:dyDescent="0.2">
      <c r="A30" s="314">
        <v>42767</v>
      </c>
      <c r="B30" s="317">
        <v>44767408.370000005</v>
      </c>
      <c r="C30" s="318">
        <v>814.8599999999999</v>
      </c>
      <c r="D30" s="318">
        <v>0</v>
      </c>
      <c r="E30" s="317">
        <v>28</v>
      </c>
      <c r="F30" s="317">
        <v>0</v>
      </c>
      <c r="G30" s="317">
        <f t="shared" si="2"/>
        <v>48920755.860022791</v>
      </c>
      <c r="H30" s="11">
        <f t="shared" si="0"/>
        <v>4153347.490022786</v>
      </c>
      <c r="I30" s="132">
        <f t="shared" si="1"/>
        <v>9.2776143208818621E-2</v>
      </c>
      <c r="J30" s="130"/>
      <c r="K30" s="130"/>
      <c r="L30" s="25"/>
      <c r="M30" s="25"/>
      <c r="N30" s="25"/>
      <c r="O30" s="25"/>
      <c r="P30" s="25"/>
      <c r="Q30" s="25"/>
      <c r="R30" s="25"/>
    </row>
    <row r="31" spans="1:18" x14ac:dyDescent="0.2">
      <c r="A31" s="314">
        <v>42795</v>
      </c>
      <c r="B31" s="317">
        <v>48902656.549999997</v>
      </c>
      <c r="C31" s="318">
        <v>708.64499999999998</v>
      </c>
      <c r="D31" s="318">
        <v>6.9999999999999993E-2</v>
      </c>
      <c r="E31" s="317">
        <v>31</v>
      </c>
      <c r="F31" s="317">
        <v>1</v>
      </c>
      <c r="G31" s="317">
        <f t="shared" si="2"/>
        <v>47098284.672606975</v>
      </c>
      <c r="H31" s="11">
        <f t="shared" si="0"/>
        <v>-1804371.8773930222</v>
      </c>
      <c r="I31" s="132">
        <f t="shared" si="1"/>
        <v>3.6897215911944607E-2</v>
      </c>
      <c r="J31" s="130"/>
      <c r="K31" s="130"/>
      <c r="L31" s="25"/>
      <c r="M31" s="25"/>
      <c r="N31" s="25"/>
      <c r="O31" s="25"/>
      <c r="P31" s="25"/>
      <c r="Q31" s="25"/>
      <c r="R31" s="25"/>
    </row>
    <row r="32" spans="1:18" x14ac:dyDescent="0.2">
      <c r="A32" s="314">
        <v>42826</v>
      </c>
      <c r="B32" s="317">
        <v>38767220.770000003</v>
      </c>
      <c r="C32" s="318">
        <v>461.17500000000001</v>
      </c>
      <c r="D32" s="318">
        <v>0.01</v>
      </c>
      <c r="E32" s="317">
        <v>30</v>
      </c>
      <c r="F32" s="317">
        <v>1</v>
      </c>
      <c r="G32" s="317">
        <f t="shared" si="2"/>
        <v>40802103.57998988</v>
      </c>
      <c r="H32" s="11">
        <f t="shared" si="0"/>
        <v>2034882.809989877</v>
      </c>
      <c r="I32" s="132">
        <f t="shared" si="1"/>
        <v>5.2489777950875713E-2</v>
      </c>
      <c r="J32" s="130"/>
      <c r="K32" s="130"/>
      <c r="L32" s="25"/>
      <c r="M32" s="25"/>
      <c r="N32" s="25"/>
      <c r="O32" s="25"/>
      <c r="P32" s="25"/>
      <c r="Q32" s="25"/>
      <c r="R32" s="25"/>
    </row>
    <row r="33" spans="1:18" x14ac:dyDescent="0.2">
      <c r="A33" s="314">
        <v>42856</v>
      </c>
      <c r="B33" s="317">
        <v>36984603.399999999</v>
      </c>
      <c r="C33" s="318">
        <v>199.75500000000002</v>
      </c>
      <c r="D33" s="318">
        <v>9.68</v>
      </c>
      <c r="E33" s="317">
        <v>31</v>
      </c>
      <c r="F33" s="317">
        <v>1</v>
      </c>
      <c r="G33" s="317">
        <f t="shared" si="2"/>
        <v>36988361.643717013</v>
      </c>
      <c r="H33" s="11">
        <f t="shared" si="0"/>
        <v>3758.2437170147896</v>
      </c>
      <c r="I33" s="132">
        <f t="shared" si="1"/>
        <v>1.0161643958617628E-4</v>
      </c>
      <c r="J33" s="130"/>
      <c r="K33" s="130"/>
      <c r="L33" s="25"/>
      <c r="M33" s="25"/>
      <c r="N33" s="25"/>
      <c r="O33" s="25"/>
      <c r="P33" s="25"/>
      <c r="Q33" s="25"/>
      <c r="R33" s="25"/>
    </row>
    <row r="34" spans="1:18" x14ac:dyDescent="0.2">
      <c r="A34" s="314">
        <v>42887</v>
      </c>
      <c r="B34" s="317">
        <v>35651141.509999998</v>
      </c>
      <c r="C34" s="318">
        <v>78.965000000000003</v>
      </c>
      <c r="D34" s="318">
        <v>17.859999999999996</v>
      </c>
      <c r="E34" s="317">
        <v>30</v>
      </c>
      <c r="F34" s="317">
        <v>0</v>
      </c>
      <c r="G34" s="317">
        <f t="shared" si="2"/>
        <v>36457410.67077928</v>
      </c>
      <c r="H34" s="11">
        <f t="shared" si="0"/>
        <v>806269.16077928245</v>
      </c>
      <c r="I34" s="132">
        <f t="shared" si="1"/>
        <v>2.2615521597060987E-2</v>
      </c>
      <c r="J34" s="130"/>
      <c r="K34" s="130"/>
      <c r="L34" s="25"/>
      <c r="M34" s="25"/>
      <c r="N34" s="25"/>
      <c r="O34" s="25"/>
      <c r="P34" s="25"/>
      <c r="Q34" s="25"/>
      <c r="R34" s="25"/>
    </row>
    <row r="35" spans="1:18" x14ac:dyDescent="0.2">
      <c r="A35" s="314">
        <v>42917</v>
      </c>
      <c r="B35" s="317">
        <v>38088069.340000004</v>
      </c>
      <c r="C35" s="318">
        <v>22.305</v>
      </c>
      <c r="D35" s="318">
        <v>63.589999999999996</v>
      </c>
      <c r="E35" s="317">
        <v>31</v>
      </c>
      <c r="F35" s="317">
        <v>0</v>
      </c>
      <c r="G35" s="317">
        <f t="shared" si="2"/>
        <v>41087589.394035466</v>
      </c>
      <c r="H35" s="11">
        <f t="shared" si="0"/>
        <v>2999520.0540354624</v>
      </c>
      <c r="I35" s="132">
        <f t="shared" si="1"/>
        <v>7.8752220997596573E-2</v>
      </c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2">
      <c r="A36" s="314">
        <v>42948</v>
      </c>
      <c r="B36" s="317">
        <v>36767307.260000005</v>
      </c>
      <c r="C36" s="318">
        <v>34.94</v>
      </c>
      <c r="D36" s="318">
        <v>40.075000000000003</v>
      </c>
      <c r="E36" s="317">
        <v>31</v>
      </c>
      <c r="F36" s="317">
        <v>0</v>
      </c>
      <c r="G36" s="317">
        <f t="shared" si="2"/>
        <v>38787474.951428317</v>
      </c>
      <c r="H36" s="11">
        <f t="shared" si="0"/>
        <v>2020167.6914283112</v>
      </c>
      <c r="I36" s="132">
        <f t="shared" si="1"/>
        <v>5.4944673460656117E-2</v>
      </c>
      <c r="J36" s="25"/>
      <c r="K36" s="25"/>
      <c r="L36" s="25"/>
      <c r="M36" s="25"/>
      <c r="N36" s="25"/>
      <c r="O36" s="25"/>
      <c r="P36" s="25"/>
      <c r="Q36" s="25"/>
      <c r="R36" s="25"/>
    </row>
    <row r="37" spans="1:18" x14ac:dyDescent="0.2">
      <c r="A37" s="314">
        <v>42979</v>
      </c>
      <c r="B37" s="317">
        <v>36665579.789999999</v>
      </c>
      <c r="C37" s="318">
        <v>139.505</v>
      </c>
      <c r="D37" s="318">
        <v>15.985000000000003</v>
      </c>
      <c r="E37" s="317">
        <v>30</v>
      </c>
      <c r="F37" s="317">
        <v>1</v>
      </c>
      <c r="G37" s="317">
        <f t="shared" si="2"/>
        <v>35496719.575176209</v>
      </c>
      <c r="H37" s="11">
        <f t="shared" ref="H37:H64" si="3">G37-B37</f>
        <v>-1168860.2148237899</v>
      </c>
      <c r="I37" s="132">
        <f t="shared" ref="I37:I64" si="4">ABS(H37/B37)</f>
        <v>3.1878950817588854E-2</v>
      </c>
      <c r="J37" s="25"/>
      <c r="K37" s="25"/>
      <c r="L37" s="25"/>
      <c r="M37" s="25"/>
      <c r="N37" s="25"/>
      <c r="O37" s="25"/>
      <c r="P37" s="25"/>
      <c r="Q37" s="25"/>
      <c r="R37" s="25"/>
    </row>
    <row r="38" spans="1:18" x14ac:dyDescent="0.2">
      <c r="A38" s="314">
        <v>43009</v>
      </c>
      <c r="B38" s="317">
        <v>37361044.370000005</v>
      </c>
      <c r="C38" s="318">
        <v>338.37</v>
      </c>
      <c r="D38" s="318">
        <v>0.32</v>
      </c>
      <c r="E38" s="317">
        <v>31</v>
      </c>
      <c r="F38" s="317">
        <v>1</v>
      </c>
      <c r="G38" s="317">
        <f t="shared" si="2"/>
        <v>39003199.621422663</v>
      </c>
      <c r="H38" s="11">
        <f t="shared" si="3"/>
        <v>1642155.2514226586</v>
      </c>
      <c r="I38" s="132">
        <f t="shared" si="4"/>
        <v>4.3953676325527685E-2</v>
      </c>
      <c r="J38" s="25"/>
      <c r="K38" s="25"/>
      <c r="L38" s="25"/>
      <c r="M38" s="25"/>
      <c r="N38" s="25"/>
      <c r="O38" s="25"/>
      <c r="P38" s="25"/>
      <c r="Q38" s="25"/>
      <c r="R38" s="25"/>
    </row>
    <row r="39" spans="1:18" x14ac:dyDescent="0.2">
      <c r="A39" s="314">
        <v>43040</v>
      </c>
      <c r="B39" s="317">
        <v>43727236.93</v>
      </c>
      <c r="C39" s="318">
        <v>568.69500000000005</v>
      </c>
      <c r="D39" s="318">
        <v>0</v>
      </c>
      <c r="E39" s="317">
        <v>30</v>
      </c>
      <c r="F39" s="317">
        <v>1</v>
      </c>
      <c r="G39" s="317">
        <f t="shared" si="2"/>
        <v>43159604.915817671</v>
      </c>
      <c r="H39" s="11">
        <f t="shared" si="3"/>
        <v>-567632.01418232918</v>
      </c>
      <c r="I39" s="132">
        <f t="shared" si="4"/>
        <v>1.2981200140567152E-2</v>
      </c>
      <c r="J39" s="25"/>
      <c r="K39" s="25"/>
      <c r="L39" s="25"/>
      <c r="M39" s="25"/>
      <c r="N39" s="25"/>
      <c r="O39" s="25"/>
      <c r="P39" s="25"/>
      <c r="Q39" s="25"/>
      <c r="R39" s="25"/>
    </row>
    <row r="40" spans="1:18" x14ac:dyDescent="0.2">
      <c r="A40" s="314">
        <v>43070</v>
      </c>
      <c r="B40" s="317">
        <v>52843775.450000003</v>
      </c>
      <c r="C40" s="318">
        <v>790.04000000000008</v>
      </c>
      <c r="D40" s="318">
        <v>0</v>
      </c>
      <c r="E40" s="317">
        <v>31</v>
      </c>
      <c r="F40" s="317">
        <v>0</v>
      </c>
      <c r="G40" s="317">
        <f t="shared" si="2"/>
        <v>50959337.918607794</v>
      </c>
      <c r="H40" s="11">
        <f t="shared" si="3"/>
        <v>-1884437.5313922092</v>
      </c>
      <c r="I40" s="132">
        <f t="shared" si="4"/>
        <v>3.5660539303730032E-2</v>
      </c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">
      <c r="A41" s="314">
        <v>43101</v>
      </c>
      <c r="B41" s="317">
        <v>55165428.389999993</v>
      </c>
      <c r="C41" s="318">
        <v>935.45499999999993</v>
      </c>
      <c r="D41" s="318">
        <v>0</v>
      </c>
      <c r="E41" s="317">
        <v>31</v>
      </c>
      <c r="F41" s="317">
        <v>0</v>
      </c>
      <c r="G41" s="317">
        <f t="shared" si="2"/>
        <v>54149213.605333768</v>
      </c>
      <c r="H41" s="11">
        <f t="shared" si="3"/>
        <v>-1016214.7846662253</v>
      </c>
      <c r="I41" s="132">
        <f t="shared" si="4"/>
        <v>1.8421225291353628E-2</v>
      </c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">
      <c r="A42" s="314">
        <v>43132</v>
      </c>
      <c r="B42" s="317">
        <v>46543672.770000003</v>
      </c>
      <c r="C42" s="318">
        <v>814.8599999999999</v>
      </c>
      <c r="D42" s="318">
        <v>0</v>
      </c>
      <c r="E42" s="317">
        <v>28</v>
      </c>
      <c r="F42" s="317">
        <v>0</v>
      </c>
      <c r="G42" s="317">
        <f t="shared" si="2"/>
        <v>48920755.860022791</v>
      </c>
      <c r="H42" s="11">
        <f t="shared" si="3"/>
        <v>2377083.0900227875</v>
      </c>
      <c r="I42" s="132">
        <f t="shared" si="4"/>
        <v>5.1072099569137358E-2</v>
      </c>
      <c r="J42" s="25"/>
      <c r="K42" s="25"/>
      <c r="L42" s="25"/>
      <c r="M42" s="25"/>
      <c r="N42" s="25"/>
      <c r="O42" s="25"/>
      <c r="P42" s="25"/>
      <c r="Q42" s="25"/>
      <c r="R42" s="25"/>
    </row>
    <row r="43" spans="1:18" x14ac:dyDescent="0.2">
      <c r="A43" s="314">
        <v>43160</v>
      </c>
      <c r="B43" s="317">
        <v>46187500.800000004</v>
      </c>
      <c r="C43" s="318">
        <v>708.64499999999998</v>
      </c>
      <c r="D43" s="318">
        <v>6.9999999999999993E-2</v>
      </c>
      <c r="E43" s="317">
        <v>31</v>
      </c>
      <c r="F43" s="317">
        <v>1</v>
      </c>
      <c r="G43" s="317">
        <f t="shared" si="2"/>
        <v>47098284.672606975</v>
      </c>
      <c r="H43" s="11">
        <f t="shared" si="3"/>
        <v>910783.87260697037</v>
      </c>
      <c r="I43" s="132">
        <f t="shared" si="4"/>
        <v>1.9719271595811702E-2</v>
      </c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">
      <c r="A44" s="314">
        <v>43191</v>
      </c>
      <c r="B44" s="317">
        <v>42016294.270000003</v>
      </c>
      <c r="C44" s="318">
        <v>461.17500000000001</v>
      </c>
      <c r="D44" s="318">
        <v>0.01</v>
      </c>
      <c r="E44" s="317">
        <v>30</v>
      </c>
      <c r="F44" s="317">
        <v>1</v>
      </c>
      <c r="G44" s="317">
        <f t="shared" si="2"/>
        <v>40802103.57998988</v>
      </c>
      <c r="H44" s="11">
        <f t="shared" si="3"/>
        <v>-1214190.690010123</v>
      </c>
      <c r="I44" s="132">
        <f t="shared" si="4"/>
        <v>2.8898090874165113E-2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2">
      <c r="A45" s="314">
        <v>43221</v>
      </c>
      <c r="B45" s="317">
        <v>36563258.369999997</v>
      </c>
      <c r="C45" s="318">
        <v>199.75500000000002</v>
      </c>
      <c r="D45" s="318">
        <v>9.68</v>
      </c>
      <c r="E45" s="317">
        <v>31</v>
      </c>
      <c r="F45" s="317">
        <v>1</v>
      </c>
      <c r="G45" s="317">
        <f t="shared" si="2"/>
        <v>36988361.643717013</v>
      </c>
      <c r="H45" s="11">
        <f t="shared" si="3"/>
        <v>425103.27371701598</v>
      </c>
      <c r="I45" s="132">
        <f t="shared" si="4"/>
        <v>1.1626515050032069E-2</v>
      </c>
      <c r="J45" s="25"/>
      <c r="K45" s="25"/>
      <c r="L45" s="25"/>
      <c r="M45" s="25"/>
      <c r="N45" s="25"/>
      <c r="O45" s="25"/>
      <c r="P45" s="25"/>
      <c r="Q45" s="25"/>
      <c r="R45" s="25"/>
    </row>
    <row r="46" spans="1:18" x14ac:dyDescent="0.2">
      <c r="A46" s="314">
        <v>43252</v>
      </c>
      <c r="B46" s="317">
        <v>35697073.240000002</v>
      </c>
      <c r="C46" s="318">
        <v>78.965000000000003</v>
      </c>
      <c r="D46" s="318">
        <v>17.859999999999996</v>
      </c>
      <c r="E46" s="317">
        <v>30</v>
      </c>
      <c r="F46" s="317">
        <v>0</v>
      </c>
      <c r="G46" s="317">
        <f t="shared" si="2"/>
        <v>36457410.67077928</v>
      </c>
      <c r="H46" s="11">
        <f t="shared" si="3"/>
        <v>760337.43077927828</v>
      </c>
      <c r="I46" s="132">
        <f t="shared" si="4"/>
        <v>2.1299713443378034E-2</v>
      </c>
      <c r="J46" s="25"/>
      <c r="K46" s="25"/>
      <c r="L46" s="25"/>
      <c r="M46" s="25"/>
      <c r="N46" s="25"/>
      <c r="O46" s="25"/>
      <c r="P46" s="25"/>
      <c r="Q46" s="25"/>
      <c r="R46" s="25"/>
    </row>
    <row r="47" spans="1:18" x14ac:dyDescent="0.2">
      <c r="A47" s="314">
        <v>43282</v>
      </c>
      <c r="B47" s="317">
        <v>42293825.449999996</v>
      </c>
      <c r="C47" s="318">
        <v>22.305</v>
      </c>
      <c r="D47" s="318">
        <v>63.589999999999996</v>
      </c>
      <c r="E47" s="317">
        <v>31</v>
      </c>
      <c r="F47" s="317">
        <v>0</v>
      </c>
      <c r="G47" s="317">
        <f t="shared" si="2"/>
        <v>41087589.394035466</v>
      </c>
      <c r="H47" s="11">
        <f t="shared" si="3"/>
        <v>-1206236.0559645295</v>
      </c>
      <c r="I47" s="132">
        <f t="shared" si="4"/>
        <v>2.852038195009219E-2</v>
      </c>
      <c r="J47" s="25"/>
      <c r="K47" s="25"/>
      <c r="L47" s="25"/>
      <c r="M47" s="25"/>
      <c r="N47" s="25"/>
      <c r="O47" s="25"/>
      <c r="P47" s="25"/>
      <c r="Q47" s="25"/>
      <c r="R47" s="25"/>
    </row>
    <row r="48" spans="1:18" x14ac:dyDescent="0.2">
      <c r="A48" s="314">
        <v>43313</v>
      </c>
      <c r="B48" s="317">
        <v>40093008.969999999</v>
      </c>
      <c r="C48" s="318">
        <v>34.94</v>
      </c>
      <c r="D48" s="318">
        <v>40.075000000000003</v>
      </c>
      <c r="E48" s="317">
        <v>31</v>
      </c>
      <c r="F48" s="317">
        <v>0</v>
      </c>
      <c r="G48" s="317">
        <f t="shared" si="2"/>
        <v>38787474.951428317</v>
      </c>
      <c r="H48" s="11">
        <f t="shared" si="3"/>
        <v>-1305534.0185716823</v>
      </c>
      <c r="I48" s="132">
        <f t="shared" si="4"/>
        <v>3.2562635035663236E-2</v>
      </c>
      <c r="J48" s="25"/>
      <c r="K48" s="25"/>
      <c r="L48" s="25"/>
      <c r="M48" s="25"/>
      <c r="N48" s="25"/>
      <c r="O48" s="25"/>
      <c r="P48" s="25"/>
      <c r="Q48" s="25"/>
      <c r="R48" s="25"/>
    </row>
    <row r="49" spans="1:18" x14ac:dyDescent="0.2">
      <c r="A49" s="314">
        <v>43344</v>
      </c>
      <c r="B49" s="317">
        <v>35816190.109999999</v>
      </c>
      <c r="C49" s="318">
        <v>139.505</v>
      </c>
      <c r="D49" s="318">
        <v>15.985000000000003</v>
      </c>
      <c r="E49" s="317">
        <v>30</v>
      </c>
      <c r="F49" s="317">
        <v>1</v>
      </c>
      <c r="G49" s="317">
        <f t="shared" si="2"/>
        <v>35496719.575176209</v>
      </c>
      <c r="H49" s="11">
        <f t="shared" si="3"/>
        <v>-319470.53482379019</v>
      </c>
      <c r="I49" s="132">
        <f t="shared" si="4"/>
        <v>8.9197241203662521E-3</v>
      </c>
      <c r="J49" s="25"/>
      <c r="K49" s="25"/>
      <c r="L49" s="25"/>
      <c r="M49" s="25"/>
      <c r="N49" s="25"/>
      <c r="O49" s="25"/>
      <c r="P49" s="25"/>
      <c r="Q49" s="25"/>
      <c r="R49" s="25"/>
    </row>
    <row r="50" spans="1:18" x14ac:dyDescent="0.2">
      <c r="A50" s="314">
        <v>43374</v>
      </c>
      <c r="B50" s="317">
        <v>39622117.82</v>
      </c>
      <c r="C50" s="318">
        <v>338.37</v>
      </c>
      <c r="D50" s="318">
        <v>0.32</v>
      </c>
      <c r="E50" s="317">
        <v>31</v>
      </c>
      <c r="F50" s="317">
        <v>1</v>
      </c>
      <c r="G50" s="317">
        <f t="shared" si="2"/>
        <v>39003199.621422663</v>
      </c>
      <c r="H50" s="11">
        <f t="shared" si="3"/>
        <v>-618918.19857733697</v>
      </c>
      <c r="I50" s="132">
        <f t="shared" si="4"/>
        <v>1.5620522895546145E-2</v>
      </c>
      <c r="J50" s="25"/>
      <c r="K50" s="25"/>
      <c r="L50" s="25"/>
      <c r="M50" s="25"/>
      <c r="N50" s="25"/>
      <c r="O50" s="25"/>
      <c r="P50" s="25"/>
      <c r="Q50" s="25"/>
      <c r="R50" s="25"/>
    </row>
    <row r="51" spans="1:18" x14ac:dyDescent="0.2">
      <c r="A51" s="314">
        <v>43405</v>
      </c>
      <c r="B51" s="317">
        <v>44982862.210000001</v>
      </c>
      <c r="C51" s="318">
        <v>568.69500000000005</v>
      </c>
      <c r="D51" s="318">
        <v>0</v>
      </c>
      <c r="E51" s="317">
        <v>30</v>
      </c>
      <c r="F51" s="317">
        <v>1</v>
      </c>
      <c r="G51" s="317">
        <f t="shared" si="2"/>
        <v>43159604.915817671</v>
      </c>
      <c r="H51" s="11">
        <f t="shared" si="3"/>
        <v>-1823257.2941823304</v>
      </c>
      <c r="I51" s="132">
        <f t="shared" si="4"/>
        <v>4.053226505842502E-2</v>
      </c>
      <c r="J51" s="25"/>
      <c r="K51" s="25"/>
      <c r="L51" s="25"/>
      <c r="M51" s="25"/>
      <c r="N51" s="25"/>
      <c r="O51" s="25"/>
      <c r="P51" s="25"/>
      <c r="Q51" s="25"/>
      <c r="R51" s="25"/>
    </row>
    <row r="52" spans="1:18" x14ac:dyDescent="0.2">
      <c r="A52" s="314">
        <v>43435</v>
      </c>
      <c r="B52" s="317">
        <v>49908333.010000005</v>
      </c>
      <c r="C52" s="318">
        <v>790.04000000000008</v>
      </c>
      <c r="D52" s="318">
        <v>0</v>
      </c>
      <c r="E52" s="317">
        <v>31</v>
      </c>
      <c r="F52" s="317">
        <v>0</v>
      </c>
      <c r="G52" s="317">
        <f t="shared" si="2"/>
        <v>50959337.918607794</v>
      </c>
      <c r="H52" s="11">
        <f t="shared" si="3"/>
        <v>1051004.9086077884</v>
      </c>
      <c r="I52" s="132">
        <f t="shared" si="4"/>
        <v>2.105870593588452E-2</v>
      </c>
      <c r="J52" s="25"/>
      <c r="K52" s="25"/>
      <c r="L52" s="25"/>
      <c r="M52" s="25"/>
      <c r="N52" s="25"/>
      <c r="O52" s="25"/>
      <c r="P52" s="25"/>
      <c r="Q52" s="25"/>
      <c r="R52" s="25"/>
    </row>
    <row r="53" spans="1:18" x14ac:dyDescent="0.2">
      <c r="A53" s="314">
        <v>43466</v>
      </c>
      <c r="B53" s="317">
        <v>56704515.530000001</v>
      </c>
      <c r="C53" s="318">
        <v>935.45499999999993</v>
      </c>
      <c r="D53" s="318">
        <v>0</v>
      </c>
      <c r="E53" s="317">
        <v>31</v>
      </c>
      <c r="F53" s="317">
        <v>0</v>
      </c>
      <c r="G53" s="317">
        <f t="shared" si="2"/>
        <v>54149213.605333768</v>
      </c>
      <c r="H53" s="11">
        <f t="shared" si="3"/>
        <v>-2555301.9246662334</v>
      </c>
      <c r="I53" s="132">
        <f t="shared" si="4"/>
        <v>4.5063464536864432E-2</v>
      </c>
      <c r="J53" s="25"/>
      <c r="K53" s="25"/>
      <c r="L53" s="25"/>
      <c r="M53" s="25"/>
      <c r="N53" s="25"/>
      <c r="O53" s="25"/>
      <c r="P53" s="25"/>
      <c r="Q53" s="25"/>
      <c r="R53" s="25"/>
    </row>
    <row r="54" spans="1:18" x14ac:dyDescent="0.2">
      <c r="A54" s="314">
        <v>43497</v>
      </c>
      <c r="B54" s="317">
        <v>49050451.480000004</v>
      </c>
      <c r="C54" s="318">
        <v>814.8599999999999</v>
      </c>
      <c r="D54" s="318">
        <v>0</v>
      </c>
      <c r="E54" s="317">
        <v>28</v>
      </c>
      <c r="F54" s="317">
        <v>0</v>
      </c>
      <c r="G54" s="317">
        <f t="shared" si="2"/>
        <v>48920755.860022791</v>
      </c>
      <c r="H54" s="11">
        <f t="shared" si="3"/>
        <v>-129695.61997721344</v>
      </c>
      <c r="I54" s="132">
        <f t="shared" si="4"/>
        <v>2.6441269359181326E-3</v>
      </c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2">
      <c r="A55" s="314">
        <v>43525</v>
      </c>
      <c r="B55" s="317">
        <v>48618580.050000004</v>
      </c>
      <c r="C55" s="318">
        <v>708.64499999999998</v>
      </c>
      <c r="D55" s="318">
        <v>6.9999999999999993E-2</v>
      </c>
      <c r="E55" s="317">
        <v>31</v>
      </c>
      <c r="F55" s="317">
        <v>1</v>
      </c>
      <c r="G55" s="317">
        <f t="shared" si="2"/>
        <v>47098284.672606975</v>
      </c>
      <c r="H55" s="11">
        <f t="shared" si="3"/>
        <v>-1520295.3773930296</v>
      </c>
      <c r="I55" s="132">
        <f t="shared" si="4"/>
        <v>3.1269843253948125E-2</v>
      </c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">
      <c r="A56" s="314">
        <v>43556</v>
      </c>
      <c r="B56" s="317">
        <v>40799605.960000001</v>
      </c>
      <c r="C56" s="318">
        <v>461.17500000000001</v>
      </c>
      <c r="D56" s="318">
        <v>0.01</v>
      </c>
      <c r="E56" s="317">
        <v>30</v>
      </c>
      <c r="F56" s="317">
        <v>1</v>
      </c>
      <c r="G56" s="317">
        <f t="shared" si="2"/>
        <v>40802103.57998988</v>
      </c>
      <c r="H56" s="11">
        <f t="shared" si="3"/>
        <v>2497.6199898794293</v>
      </c>
      <c r="I56" s="132">
        <f t="shared" si="4"/>
        <v>6.1216767444472383E-5</v>
      </c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">
      <c r="A57" s="314">
        <v>43586</v>
      </c>
      <c r="B57" s="317">
        <v>36697206.219999999</v>
      </c>
      <c r="C57" s="318">
        <v>199.75500000000002</v>
      </c>
      <c r="D57" s="318">
        <v>9.68</v>
      </c>
      <c r="E57" s="317">
        <v>31</v>
      </c>
      <c r="F57" s="317">
        <v>1</v>
      </c>
      <c r="G57" s="317">
        <f t="shared" si="2"/>
        <v>36988361.643717013</v>
      </c>
      <c r="H57" s="11">
        <f t="shared" si="3"/>
        <v>291155.42371701449</v>
      </c>
      <c r="I57" s="132">
        <f t="shared" si="4"/>
        <v>7.9339942657088332E-3</v>
      </c>
      <c r="J57" s="25"/>
      <c r="K57" s="25"/>
      <c r="L57" s="25"/>
      <c r="M57" s="25"/>
      <c r="N57" s="25"/>
      <c r="O57" s="25"/>
      <c r="P57" s="25"/>
      <c r="Q57" s="25"/>
      <c r="R57" s="25"/>
    </row>
    <row r="58" spans="1:18" x14ac:dyDescent="0.2">
      <c r="A58" s="314">
        <v>43617</v>
      </c>
      <c r="B58" s="317">
        <v>35140288.480000004</v>
      </c>
      <c r="C58" s="318">
        <v>78.965000000000003</v>
      </c>
      <c r="D58" s="318">
        <v>17.859999999999996</v>
      </c>
      <c r="E58" s="317">
        <v>30</v>
      </c>
      <c r="F58" s="317">
        <v>0</v>
      </c>
      <c r="G58" s="317">
        <f t="shared" si="2"/>
        <v>36457410.67077928</v>
      </c>
      <c r="H58" s="11">
        <f t="shared" si="3"/>
        <v>1317122.1907792762</v>
      </c>
      <c r="I58" s="132">
        <f t="shared" si="4"/>
        <v>3.748182635236226E-2</v>
      </c>
      <c r="J58" s="25"/>
      <c r="K58" s="25"/>
      <c r="L58" s="25"/>
      <c r="M58" s="25"/>
      <c r="N58" s="25"/>
      <c r="O58" s="25"/>
      <c r="P58" s="25"/>
      <c r="Q58" s="25"/>
      <c r="R58" s="25"/>
    </row>
    <row r="59" spans="1:18" x14ac:dyDescent="0.2">
      <c r="A59" s="314">
        <v>43647</v>
      </c>
      <c r="B59" s="317">
        <v>42388534.140000001</v>
      </c>
      <c r="C59" s="318">
        <v>22.305</v>
      </c>
      <c r="D59" s="318">
        <v>63.589999999999996</v>
      </c>
      <c r="E59" s="317">
        <v>31</v>
      </c>
      <c r="F59" s="317">
        <v>0</v>
      </c>
      <c r="G59" s="317">
        <f t="shared" si="2"/>
        <v>41087589.394035466</v>
      </c>
      <c r="H59" s="11">
        <f t="shared" si="3"/>
        <v>-1300944.7459645346</v>
      </c>
      <c r="I59" s="132">
        <f t="shared" si="4"/>
        <v>3.0690958589598791E-2</v>
      </c>
      <c r="J59" s="25"/>
      <c r="K59" s="25"/>
      <c r="L59" s="25"/>
      <c r="M59" s="25"/>
      <c r="N59" s="25"/>
      <c r="O59" s="25"/>
      <c r="P59" s="25"/>
      <c r="Q59" s="25"/>
      <c r="R59" s="25"/>
    </row>
    <row r="60" spans="1:18" x14ac:dyDescent="0.2">
      <c r="A60" s="314">
        <v>43678</v>
      </c>
      <c r="B60" s="317">
        <v>37599279.030000001</v>
      </c>
      <c r="C60" s="318">
        <v>34.94</v>
      </c>
      <c r="D60" s="318">
        <v>40.075000000000003</v>
      </c>
      <c r="E60" s="317">
        <v>31</v>
      </c>
      <c r="F60" s="317">
        <v>0</v>
      </c>
      <c r="G60" s="317">
        <f t="shared" si="2"/>
        <v>38787474.951428317</v>
      </c>
      <c r="H60" s="11">
        <f t="shared" si="3"/>
        <v>1188195.9214283153</v>
      </c>
      <c r="I60" s="132">
        <f t="shared" si="4"/>
        <v>3.1601561308669465E-2</v>
      </c>
      <c r="J60" s="25"/>
      <c r="K60" s="25"/>
      <c r="L60" s="25"/>
      <c r="M60" s="25"/>
      <c r="N60" s="25"/>
      <c r="O60" s="25"/>
      <c r="P60" s="25"/>
      <c r="Q60" s="25"/>
      <c r="R60" s="25"/>
    </row>
    <row r="61" spans="1:18" x14ac:dyDescent="0.2">
      <c r="A61" s="314">
        <v>43709</v>
      </c>
      <c r="B61" s="317">
        <v>33915684.770000003</v>
      </c>
      <c r="C61" s="318">
        <v>139.505</v>
      </c>
      <c r="D61" s="318">
        <v>15.985000000000003</v>
      </c>
      <c r="E61" s="317">
        <v>30</v>
      </c>
      <c r="F61" s="317">
        <v>1</v>
      </c>
      <c r="G61" s="317">
        <f t="shared" si="2"/>
        <v>35496719.575176209</v>
      </c>
      <c r="H61" s="11">
        <f t="shared" si="3"/>
        <v>1581034.8051762059</v>
      </c>
      <c r="I61" s="132">
        <f t="shared" si="4"/>
        <v>4.6616626375024707E-2</v>
      </c>
      <c r="J61" s="25"/>
      <c r="K61" s="25"/>
      <c r="L61" s="25"/>
      <c r="M61" s="25"/>
      <c r="N61" s="25"/>
      <c r="O61" s="25"/>
      <c r="P61" s="25"/>
      <c r="Q61" s="25"/>
      <c r="R61" s="25"/>
    </row>
    <row r="62" spans="1:18" x14ac:dyDescent="0.2">
      <c r="A62" s="314">
        <v>43739</v>
      </c>
      <c r="B62" s="317">
        <v>37837875.810000002</v>
      </c>
      <c r="C62" s="318">
        <v>338.37</v>
      </c>
      <c r="D62" s="318">
        <v>0.32</v>
      </c>
      <c r="E62" s="317">
        <v>31</v>
      </c>
      <c r="F62" s="317">
        <v>1</v>
      </c>
      <c r="G62" s="317">
        <f t="shared" si="2"/>
        <v>39003199.621422663</v>
      </c>
      <c r="H62" s="11">
        <f t="shared" si="3"/>
        <v>1165323.8114226609</v>
      </c>
      <c r="I62" s="132">
        <f t="shared" si="4"/>
        <v>3.0797812680453979E-2</v>
      </c>
      <c r="J62" s="25"/>
      <c r="K62" s="25"/>
      <c r="L62" s="25"/>
      <c r="M62" s="25"/>
      <c r="N62" s="25"/>
      <c r="O62" s="25"/>
      <c r="P62" s="25"/>
      <c r="Q62" s="25"/>
      <c r="R62" s="25"/>
    </row>
    <row r="63" spans="1:18" x14ac:dyDescent="0.2">
      <c r="A63" s="314">
        <v>43770</v>
      </c>
      <c r="B63" s="317">
        <v>45382224.899999999</v>
      </c>
      <c r="C63" s="318">
        <v>568.69500000000005</v>
      </c>
      <c r="D63" s="318">
        <v>0</v>
      </c>
      <c r="E63" s="317">
        <v>30</v>
      </c>
      <c r="F63" s="317">
        <v>1</v>
      </c>
      <c r="G63" s="317">
        <f t="shared" si="2"/>
        <v>43159604.915817671</v>
      </c>
      <c r="H63" s="11">
        <f t="shared" si="3"/>
        <v>-2222619.984182328</v>
      </c>
      <c r="I63" s="132">
        <f t="shared" si="4"/>
        <v>4.8975562328199738E-2</v>
      </c>
      <c r="J63" s="25"/>
      <c r="K63" s="25"/>
      <c r="L63" s="25"/>
      <c r="M63" s="25"/>
      <c r="N63" s="25"/>
      <c r="O63" s="25"/>
      <c r="P63" s="25"/>
      <c r="Q63" s="25"/>
      <c r="R63" s="25"/>
    </row>
    <row r="64" spans="1:18" x14ac:dyDescent="0.2">
      <c r="A64" s="314">
        <v>43800</v>
      </c>
      <c r="B64" s="317">
        <v>50013577.5</v>
      </c>
      <c r="C64" s="318">
        <v>790.04000000000008</v>
      </c>
      <c r="D64" s="318">
        <v>0</v>
      </c>
      <c r="E64" s="317">
        <v>31</v>
      </c>
      <c r="F64" s="317">
        <v>0</v>
      </c>
      <c r="G64" s="317">
        <f t="shared" si="2"/>
        <v>50959337.918607794</v>
      </c>
      <c r="H64" s="11">
        <f t="shared" si="3"/>
        <v>945760.41860779375</v>
      </c>
      <c r="I64" s="132">
        <f t="shared" si="4"/>
        <v>1.8910073341739924E-2</v>
      </c>
      <c r="J64" s="25"/>
      <c r="K64" s="25"/>
      <c r="L64" s="25"/>
      <c r="M64" s="25"/>
      <c r="N64" s="25"/>
      <c r="O64" s="25"/>
      <c r="P64" s="25"/>
      <c r="Q64" s="25"/>
      <c r="R64" s="25"/>
    </row>
    <row r="65" spans="1:12" x14ac:dyDescent="0.2">
      <c r="H65" s="11">
        <f>+SUM(H5:H64)</f>
        <v>-11635252.229890838</v>
      </c>
      <c r="I65" s="270">
        <f>AVERAGE(I5:I64)</f>
        <v>3.730702785442213E-2</v>
      </c>
      <c r="J65" s="207"/>
    </row>
    <row r="67" spans="1:12" x14ac:dyDescent="0.2">
      <c r="A67" t="s">
        <v>215</v>
      </c>
      <c r="B67" t="s">
        <v>100</v>
      </c>
      <c r="C67" s="332">
        <f>+'Purchased Power Model'!C139</f>
        <v>935.45499999999993</v>
      </c>
      <c r="D67" s="332">
        <f>+'Purchased Power Model'!D139</f>
        <v>0</v>
      </c>
      <c r="E67" s="332"/>
    </row>
    <row r="68" spans="1:12" x14ac:dyDescent="0.2">
      <c r="B68" t="s">
        <v>101</v>
      </c>
      <c r="C68" s="332">
        <f>+'Purchased Power Model'!C140</f>
        <v>814.8599999999999</v>
      </c>
      <c r="D68" s="332">
        <f>+'Purchased Power Model'!D140</f>
        <v>0</v>
      </c>
      <c r="E68" s="332"/>
    </row>
    <row r="69" spans="1:12" x14ac:dyDescent="0.2">
      <c r="B69" t="s">
        <v>102</v>
      </c>
      <c r="C69" s="332">
        <f>+'Purchased Power Model'!C141</f>
        <v>708.64499999999998</v>
      </c>
      <c r="D69" s="332">
        <f>+'Purchased Power Model'!D141</f>
        <v>6.9999999999999993E-2</v>
      </c>
      <c r="E69" s="332"/>
      <c r="J69" t="s">
        <v>218</v>
      </c>
      <c r="K69" t="s">
        <v>219</v>
      </c>
      <c r="L69" t="s">
        <v>220</v>
      </c>
    </row>
    <row r="70" spans="1:12" x14ac:dyDescent="0.2">
      <c r="B70" t="s">
        <v>103</v>
      </c>
      <c r="C70" s="332">
        <f>+'Purchased Power Model'!C142</f>
        <v>461.17500000000001</v>
      </c>
      <c r="D70" s="332">
        <f>+'Purchased Power Model'!D142</f>
        <v>0.01</v>
      </c>
      <c r="E70" s="332"/>
      <c r="F70">
        <v>2015</v>
      </c>
      <c r="G70" s="271">
        <f>+SUM(G5:G16)</f>
        <v>512910056.40893781</v>
      </c>
      <c r="J70" s="175">
        <f>+G70/'Rate Class Energy Model'!F16</f>
        <v>492335277.89869791</v>
      </c>
      <c r="K70" s="175">
        <f>+'Rate Class Energy Model'!G16</f>
        <v>516728999.29000038</v>
      </c>
      <c r="L70" s="286">
        <f>+J70-K70</f>
        <v>-24393721.391302466</v>
      </c>
    </row>
    <row r="71" spans="1:12" x14ac:dyDescent="0.2">
      <c r="B71" t="s">
        <v>104</v>
      </c>
      <c r="C71" s="332">
        <f>+'Purchased Power Model'!C143</f>
        <v>199.75500000000002</v>
      </c>
      <c r="D71" s="332">
        <f>+'Purchased Power Model'!D143</f>
        <v>9.68</v>
      </c>
      <c r="E71" s="332"/>
      <c r="F71">
        <v>2016</v>
      </c>
      <c r="G71" s="271">
        <f>+SUM(G17:G28)</f>
        <v>513771070.57435787</v>
      </c>
      <c r="H71" t="s">
        <v>217</v>
      </c>
      <c r="J71" s="175">
        <f>+G71/'Rate Class Energy Model'!F17</f>
        <v>493358896.72325963</v>
      </c>
      <c r="K71" s="175">
        <f>+'Rate Class Energy Model'!G17</f>
        <v>488765497.17000061</v>
      </c>
      <c r="L71" s="286">
        <f t="shared" ref="L71:L74" si="5">+J71-K71</f>
        <v>4593399.5532590151</v>
      </c>
    </row>
    <row r="72" spans="1:12" x14ac:dyDescent="0.2">
      <c r="B72" t="s">
        <v>105</v>
      </c>
      <c r="C72" s="332">
        <f>+'Purchased Power Model'!C144</f>
        <v>78.965000000000003</v>
      </c>
      <c r="D72" s="332">
        <f>+'Purchased Power Model'!D144</f>
        <v>17.859999999999996</v>
      </c>
      <c r="E72" s="332"/>
      <c r="F72">
        <v>2017</v>
      </c>
      <c r="G72" s="271">
        <f>+SUM(G29:G40)</f>
        <v>512910056.40893781</v>
      </c>
      <c r="J72" s="175">
        <f>+G72/'Rate Class Energy Model'!F18</f>
        <v>494163942.95960683</v>
      </c>
      <c r="K72" s="175">
        <f>+'Rate Class Energy Model'!G18</f>
        <v>482398546.16000038</v>
      </c>
      <c r="L72" s="286">
        <f t="shared" si="5"/>
        <v>11765396.799606442</v>
      </c>
    </row>
    <row r="73" spans="1:12" x14ac:dyDescent="0.2">
      <c r="B73" t="s">
        <v>106</v>
      </c>
      <c r="C73" s="332">
        <f>+'Purchased Power Model'!C145</f>
        <v>22.305</v>
      </c>
      <c r="D73" s="332">
        <f>+'Purchased Power Model'!D145</f>
        <v>63.589999999999996</v>
      </c>
      <c r="E73" s="332"/>
      <c r="F73">
        <v>2018</v>
      </c>
      <c r="G73" s="271">
        <f>+SUM(G41:G52)</f>
        <v>512910056.40893781</v>
      </c>
      <c r="J73" s="175">
        <f>+G73/'Rate Class Energy Model'!F19</f>
        <v>495070312.25855172</v>
      </c>
      <c r="K73" s="175">
        <f>+'Rate Class Energy Model'!G19</f>
        <v>496980971.10999972</v>
      </c>
      <c r="L73" s="286">
        <f t="shared" si="5"/>
        <v>-1910658.8514479995</v>
      </c>
    </row>
    <row r="74" spans="1:12" x14ac:dyDescent="0.2">
      <c r="B74" t="s">
        <v>107</v>
      </c>
      <c r="C74" s="332">
        <f>+'Purchased Power Model'!C146</f>
        <v>34.94</v>
      </c>
      <c r="D74" s="332">
        <f>+'Purchased Power Model'!D146</f>
        <v>40.075000000000003</v>
      </c>
      <c r="E74" s="332"/>
      <c r="F74">
        <v>2019</v>
      </c>
      <c r="G74" s="271">
        <f>+SUM(G53:G64)</f>
        <v>512910056.40893781</v>
      </c>
      <c r="J74" s="175">
        <f>+G74/'Rate Class Energy Model'!F20</f>
        <v>494568305.693533</v>
      </c>
      <c r="K74" s="175">
        <f>+'Rate Class Energy Model'!G20</f>
        <v>495761810.37999994</v>
      </c>
      <c r="L74" s="286">
        <f t="shared" si="5"/>
        <v>-1193504.6864669323</v>
      </c>
    </row>
    <row r="75" spans="1:12" x14ac:dyDescent="0.2">
      <c r="B75" t="s">
        <v>108</v>
      </c>
      <c r="C75" s="332">
        <f>+'Purchased Power Model'!C147</f>
        <v>139.505</v>
      </c>
      <c r="D75" s="332">
        <f>+'Purchased Power Model'!D147</f>
        <v>15.985000000000003</v>
      </c>
      <c r="E75" s="332"/>
    </row>
    <row r="76" spans="1:12" x14ac:dyDescent="0.2">
      <c r="B76" t="s">
        <v>109</v>
      </c>
      <c r="C76" s="332">
        <f>+'Purchased Power Model'!C148</f>
        <v>338.37</v>
      </c>
      <c r="D76" s="332">
        <f>+'Purchased Power Model'!D148</f>
        <v>0.32</v>
      </c>
      <c r="E76" s="332"/>
      <c r="F76" s="13" t="s">
        <v>216</v>
      </c>
      <c r="G76" s="13"/>
      <c r="H76" s="13"/>
    </row>
    <row r="77" spans="1:12" x14ac:dyDescent="0.2">
      <c r="B77" t="s">
        <v>110</v>
      </c>
      <c r="C77" s="332">
        <f>+'Purchased Power Model'!C149</f>
        <v>568.69500000000005</v>
      </c>
      <c r="D77" s="332">
        <f>+'Purchased Power Model'!D149</f>
        <v>0</v>
      </c>
      <c r="E77" s="332"/>
    </row>
    <row r="78" spans="1:12" x14ac:dyDescent="0.2">
      <c r="B78" t="s">
        <v>111</v>
      </c>
      <c r="C78" s="332">
        <f>+'Purchased Power Model'!C150</f>
        <v>790.04000000000008</v>
      </c>
      <c r="D78" s="332">
        <f>+'Purchased Power Model'!D150</f>
        <v>0</v>
      </c>
      <c r="E78" s="332"/>
    </row>
  </sheetData>
  <phoneticPr fontId="6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Y123"/>
  <sheetViews>
    <sheetView tabSelected="1" topLeftCell="A61" workbookViewId="0">
      <selection activeCell="K74" sqref="K74"/>
    </sheetView>
  </sheetViews>
  <sheetFormatPr defaultRowHeight="12.75" x14ac:dyDescent="0.2"/>
  <cols>
    <col min="1" max="1" width="30.140625" customWidth="1"/>
    <col min="2" max="5" width="18" style="1" customWidth="1"/>
    <col min="6" max="6" width="17.570312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2" width="11.140625" style="6" customWidth="1"/>
    <col min="13" max="13" width="11.28515625" style="6" customWidth="1"/>
    <col min="14" max="14" width="11.5703125" style="6" customWidth="1"/>
    <col min="15" max="15" width="13.85546875" style="6" bestFit="1" customWidth="1"/>
    <col min="16" max="16" width="11.140625" style="6" customWidth="1"/>
    <col min="17" max="17" width="12" style="6" bestFit="1" customWidth="1"/>
    <col min="18" max="18" width="15" style="6" bestFit="1" customWidth="1"/>
    <col min="19" max="19" width="14" style="6" bestFit="1" customWidth="1"/>
    <col min="20" max="20" width="15" style="6" bestFit="1" customWidth="1"/>
    <col min="21" max="21" width="14" bestFit="1" customWidth="1"/>
    <col min="22" max="22" width="12.85546875" bestFit="1" customWidth="1"/>
    <col min="23" max="23" width="11.28515625" bestFit="1" customWidth="1"/>
    <col min="24" max="24" width="10.28515625" bestFit="1" customWidth="1"/>
    <col min="25" max="25" width="15" bestFit="1" customWidth="1"/>
  </cols>
  <sheetData>
    <row r="1" spans="1:25" x14ac:dyDescent="0.2">
      <c r="Q1" s="350"/>
      <c r="R1" s="351" t="s">
        <v>221</v>
      </c>
      <c r="S1" s="351"/>
      <c r="T1" s="351"/>
      <c r="U1" s="352"/>
      <c r="V1" s="352"/>
      <c r="W1" s="352"/>
      <c r="X1" s="352"/>
      <c r="Y1" s="353"/>
    </row>
    <row r="2" spans="1:25" ht="42" customHeight="1" x14ac:dyDescent="0.2">
      <c r="B2" s="2" t="s">
        <v>7</v>
      </c>
      <c r="C2" s="2" t="s">
        <v>8</v>
      </c>
      <c r="D2" s="2" t="s">
        <v>39</v>
      </c>
      <c r="E2" s="2" t="s">
        <v>9</v>
      </c>
      <c r="F2" s="2" t="s">
        <v>1</v>
      </c>
      <c r="G2" s="7" t="s">
        <v>3</v>
      </c>
      <c r="H2" s="115" t="s">
        <v>2</v>
      </c>
      <c r="I2" s="209" t="s">
        <v>55</v>
      </c>
      <c r="J2" s="209" t="s">
        <v>144</v>
      </c>
      <c r="K2" s="209" t="s">
        <v>145</v>
      </c>
      <c r="L2" s="118" t="s">
        <v>142</v>
      </c>
      <c r="M2" s="118" t="s">
        <v>143</v>
      </c>
      <c r="N2" s="118" t="s">
        <v>146</v>
      </c>
      <c r="Q2" s="354"/>
      <c r="R2" s="230" t="s">
        <v>2</v>
      </c>
      <c r="S2" s="355" t="s">
        <v>55</v>
      </c>
      <c r="T2" s="355" t="s">
        <v>144</v>
      </c>
      <c r="U2" s="355" t="s">
        <v>145</v>
      </c>
      <c r="V2" s="356" t="s">
        <v>142</v>
      </c>
      <c r="W2" s="356" t="s">
        <v>143</v>
      </c>
      <c r="X2" s="356" t="s">
        <v>146</v>
      </c>
      <c r="Y2" s="357" t="s">
        <v>10</v>
      </c>
    </row>
    <row r="3" spans="1:25" x14ac:dyDescent="0.2">
      <c r="Q3" s="354"/>
      <c r="R3" s="184"/>
      <c r="S3" s="184"/>
      <c r="T3" s="184"/>
      <c r="U3" s="358"/>
      <c r="V3" s="358"/>
      <c r="W3" s="358"/>
      <c r="X3" s="358"/>
      <c r="Y3" s="359"/>
    </row>
    <row r="4" spans="1:25" x14ac:dyDescent="0.2">
      <c r="A4" s="12"/>
      <c r="B4" s="34" t="s">
        <v>58</v>
      </c>
      <c r="Q4" s="354"/>
      <c r="R4" s="184"/>
      <c r="S4" s="184"/>
      <c r="T4" s="184"/>
      <c r="U4" s="358"/>
      <c r="V4" s="358"/>
      <c r="W4" s="358"/>
      <c r="X4" s="358"/>
      <c r="Y4" s="359"/>
    </row>
    <row r="5" spans="1:25" x14ac:dyDescent="0.2">
      <c r="B5"/>
      <c r="C5"/>
      <c r="D5"/>
      <c r="E5"/>
      <c r="F5"/>
      <c r="G5"/>
      <c r="H5"/>
      <c r="I5" s="42"/>
      <c r="J5"/>
      <c r="K5" s="54"/>
      <c r="L5"/>
      <c r="M5"/>
      <c r="N5"/>
      <c r="O5"/>
      <c r="P5"/>
      <c r="Q5" s="360"/>
      <c r="R5" s="358"/>
      <c r="S5" s="358"/>
      <c r="T5" s="358"/>
      <c r="U5" s="358"/>
      <c r="V5" s="358"/>
      <c r="W5" s="358"/>
      <c r="X5" s="358"/>
      <c r="Y5" s="359"/>
    </row>
    <row r="6" spans="1:25" x14ac:dyDescent="0.2">
      <c r="A6">
        <f>'Purchased Power Model'!A169</f>
        <v>0</v>
      </c>
      <c r="B6" s="6">
        <f>'Purchased Power Model'!B169</f>
        <v>0</v>
      </c>
      <c r="C6" s="6">
        <f>'Purchased Power Model'!H169</f>
        <v>0</v>
      </c>
      <c r="D6" s="32">
        <f>C6-B6</f>
        <v>0</v>
      </c>
      <c r="E6" s="5" t="e">
        <f>D6/B6</f>
        <v>#DIV/0!</v>
      </c>
      <c r="F6" s="18">
        <f t="shared" ref="F6:F11" si="0">1 +(B6-G6)/G6</f>
        <v>0</v>
      </c>
      <c r="G6" s="21">
        <f t="shared" ref="G6:G11" si="1">SUM(H6:N6)</f>
        <v>577056179.81000006</v>
      </c>
      <c r="H6" s="21">
        <v>213809354.78</v>
      </c>
      <c r="I6" s="21">
        <v>91284157.510000005</v>
      </c>
      <c r="J6" s="21">
        <v>210628244.74000001</v>
      </c>
      <c r="K6" s="21">
        <v>57056735.82</v>
      </c>
      <c r="L6" s="21">
        <v>3289523.16</v>
      </c>
      <c r="M6" s="21">
        <v>616682.23</v>
      </c>
      <c r="N6" s="156">
        <v>371481.57</v>
      </c>
      <c r="O6" s="6">
        <f>+I6+J6+K6</f>
        <v>358969138.06999999</v>
      </c>
      <c r="P6"/>
      <c r="Q6" s="361"/>
      <c r="R6" s="362"/>
      <c r="S6" s="122"/>
      <c r="T6" s="122"/>
      <c r="U6" s="358"/>
      <c r="V6" s="358"/>
      <c r="W6" s="358"/>
      <c r="X6" s="358"/>
      <c r="Y6" s="359"/>
    </row>
    <row r="7" spans="1:25" x14ac:dyDescent="0.2">
      <c r="A7">
        <f>'Purchased Power Model'!A170</f>
        <v>0</v>
      </c>
      <c r="B7" s="6">
        <f>'Purchased Power Model'!B170</f>
        <v>0</v>
      </c>
      <c r="C7" s="6">
        <f>'Purchased Power Model'!H170</f>
        <v>0</v>
      </c>
      <c r="D7" s="32">
        <f>C7-B7</f>
        <v>0</v>
      </c>
      <c r="E7" s="5" t="e">
        <f>D7/B7</f>
        <v>#DIV/0!</v>
      </c>
      <c r="F7" s="18">
        <f t="shared" si="0"/>
        <v>0</v>
      </c>
      <c r="G7" s="21">
        <f t="shared" si="1"/>
        <v>560321499.11000001</v>
      </c>
      <c r="H7" s="21">
        <v>207199584.38999999</v>
      </c>
      <c r="I7" s="21">
        <v>90175437.709999993</v>
      </c>
      <c r="J7" s="21">
        <v>207117427.59</v>
      </c>
      <c r="K7" s="21">
        <v>51603011.810000002</v>
      </c>
      <c r="L7" s="21">
        <v>3278339.58</v>
      </c>
      <c r="M7" s="21">
        <v>577962.65</v>
      </c>
      <c r="N7" s="156">
        <v>369735.38</v>
      </c>
      <c r="O7" s="6">
        <f>+I7+J7+K7</f>
        <v>348895877.11000001</v>
      </c>
      <c r="P7"/>
      <c r="Q7" s="361"/>
      <c r="R7" s="362"/>
      <c r="S7" s="184"/>
      <c r="T7" s="184"/>
      <c r="U7" s="358"/>
      <c r="V7" s="358"/>
      <c r="W7" s="358"/>
      <c r="X7" s="358"/>
      <c r="Y7" s="359"/>
    </row>
    <row r="8" spans="1:25" x14ac:dyDescent="0.2">
      <c r="A8">
        <f>'Purchased Power Model'!A171</f>
        <v>0</v>
      </c>
      <c r="B8" s="6">
        <f>'Purchased Power Model'!B171</f>
        <v>0</v>
      </c>
      <c r="C8" s="6">
        <f>'Purchased Power Model'!H171</f>
        <v>0</v>
      </c>
      <c r="D8" s="32">
        <f>C8-B8</f>
        <v>0</v>
      </c>
      <c r="E8" s="5" t="e">
        <f>D8/B8</f>
        <v>#DIV/0!</v>
      </c>
      <c r="F8" s="18">
        <f t="shared" si="0"/>
        <v>0</v>
      </c>
      <c r="G8" s="21">
        <f t="shared" si="1"/>
        <v>570440203.63</v>
      </c>
      <c r="H8" s="21">
        <v>213131700.81999999</v>
      </c>
      <c r="I8" s="21">
        <v>89681002.129999995</v>
      </c>
      <c r="J8" s="21">
        <v>213456497</v>
      </c>
      <c r="K8" s="21">
        <v>49926707.789999999</v>
      </c>
      <c r="L8" s="21">
        <v>3306185.5</v>
      </c>
      <c r="M8" s="21">
        <v>568495.63</v>
      </c>
      <c r="N8" s="156">
        <v>369614.76</v>
      </c>
      <c r="O8" s="6">
        <f>+I8+J8+K8</f>
        <v>353064206.92000002</v>
      </c>
      <c r="P8"/>
      <c r="Q8" s="361"/>
      <c r="R8" s="362"/>
      <c r="S8" s="184"/>
      <c r="T8" s="184"/>
      <c r="U8" s="358"/>
      <c r="V8" s="358"/>
      <c r="W8" s="358"/>
      <c r="X8" s="358"/>
      <c r="Y8" s="359"/>
    </row>
    <row r="9" spans="1:25" x14ac:dyDescent="0.2">
      <c r="A9">
        <f>'Purchased Power Model'!A172</f>
        <v>0</v>
      </c>
      <c r="B9" s="6">
        <f>'Purchased Power Model'!B172</f>
        <v>0</v>
      </c>
      <c r="C9" s="6">
        <f>'Purchased Power Model'!H172</f>
        <v>0</v>
      </c>
      <c r="D9" s="32">
        <f>C9-B9</f>
        <v>0</v>
      </c>
      <c r="E9" s="5" t="e">
        <f>D9/B9</f>
        <v>#DIV/0!</v>
      </c>
      <c r="F9" s="18">
        <f t="shared" si="0"/>
        <v>0</v>
      </c>
      <c r="G9" s="21">
        <f t="shared" si="1"/>
        <v>567021540.09000003</v>
      </c>
      <c r="H9" s="21">
        <v>213813391.87</v>
      </c>
      <c r="I9" s="21">
        <v>88723630.799999997</v>
      </c>
      <c r="J9" s="21">
        <v>215710011.33000001</v>
      </c>
      <c r="K9" s="21">
        <v>44528103.780000001</v>
      </c>
      <c r="L9" s="21">
        <v>3327500.91</v>
      </c>
      <c r="M9" s="21">
        <v>567633.18999999994</v>
      </c>
      <c r="N9" s="156">
        <v>351268.21</v>
      </c>
      <c r="O9" s="6">
        <f>+I9+J9+K9</f>
        <v>348961745.90999997</v>
      </c>
      <c r="P9"/>
      <c r="Q9" s="361"/>
      <c r="R9" s="362"/>
      <c r="S9" s="184"/>
      <c r="T9" s="184"/>
      <c r="U9" s="358"/>
      <c r="V9" s="358"/>
      <c r="W9" s="358"/>
      <c r="X9" s="358"/>
      <c r="Y9" s="359"/>
    </row>
    <row r="10" spans="1:25" x14ac:dyDescent="0.2">
      <c r="A10">
        <v>2009</v>
      </c>
      <c r="B10" s="6">
        <f>'Purchased Power Model'!B173</f>
        <v>580320683.07692301</v>
      </c>
      <c r="C10" s="6">
        <f>'Purchased Power Model'!H173</f>
        <v>0</v>
      </c>
      <c r="D10" s="32">
        <f t="shared" ref="D10:D20" si="2">C10-B10</f>
        <v>-580320683.07692301</v>
      </c>
      <c r="E10" s="5">
        <f t="shared" ref="E10:E20" si="3">D10/B10</f>
        <v>-1</v>
      </c>
      <c r="F10" s="18">
        <f t="shared" si="0"/>
        <v>1.0496297315850773</v>
      </c>
      <c r="G10" s="21">
        <f t="shared" si="1"/>
        <v>552881331.0200001</v>
      </c>
      <c r="H10" s="21">
        <v>213412761.69999999</v>
      </c>
      <c r="I10" s="21">
        <v>87404596.400000006</v>
      </c>
      <c r="J10" s="21">
        <v>210054005.56</v>
      </c>
      <c r="K10" s="21">
        <v>37817391.770000003</v>
      </c>
      <c r="L10" s="21">
        <v>3322758.85</v>
      </c>
      <c r="M10" s="21">
        <v>557945.86</v>
      </c>
      <c r="N10" s="156">
        <v>311870.88</v>
      </c>
      <c r="O10" s="6">
        <f>+I10+J10+K10</f>
        <v>335275993.73000002</v>
      </c>
      <c r="P10"/>
      <c r="Q10" s="361"/>
      <c r="R10" s="362"/>
      <c r="S10" s="184"/>
      <c r="T10" s="184"/>
      <c r="U10" s="358"/>
      <c r="V10" s="358"/>
      <c r="W10" s="358"/>
      <c r="X10" s="358"/>
      <c r="Y10" s="359"/>
    </row>
    <row r="11" spans="1:25" x14ac:dyDescent="0.2">
      <c r="A11">
        <f>'Purchased Power Model'!A174</f>
        <v>2010</v>
      </c>
      <c r="B11" s="6">
        <f>'Purchased Power Model'!B174</f>
        <v>592105953.84615386</v>
      </c>
      <c r="C11" s="6">
        <f>'Purchased Power Model'!H174</f>
        <v>0</v>
      </c>
      <c r="D11" s="32">
        <f t="shared" si="2"/>
        <v>-592105953.84615386</v>
      </c>
      <c r="E11" s="5">
        <f t="shared" si="3"/>
        <v>-1</v>
      </c>
      <c r="F11" s="18">
        <f t="shared" si="0"/>
        <v>1.04482812032207</v>
      </c>
      <c r="G11" s="21">
        <f t="shared" si="1"/>
        <v>566701778.33999741</v>
      </c>
      <c r="H11" s="21">
        <v>206535117.74999696</v>
      </c>
      <c r="I11" s="21">
        <v>85042099.07000047</v>
      </c>
      <c r="J11" s="21">
        <v>230037736.63</v>
      </c>
      <c r="K11" s="21">
        <v>41028103.810000002</v>
      </c>
      <c r="L11" s="21">
        <v>3324190.13</v>
      </c>
      <c r="M11" s="21">
        <v>569407.56999999995</v>
      </c>
      <c r="N11" s="156">
        <v>165123.38</v>
      </c>
      <c r="O11" s="6">
        <f t="shared" ref="O11:O20" si="4">+I11+J11+K11</f>
        <v>356107939.51000047</v>
      </c>
      <c r="P11"/>
      <c r="Q11" s="363"/>
      <c r="R11" s="364"/>
      <c r="S11" s="184"/>
      <c r="T11" s="184"/>
      <c r="U11" s="358"/>
      <c r="V11" s="358"/>
      <c r="W11" s="358"/>
      <c r="X11" s="358"/>
      <c r="Y11" s="359"/>
    </row>
    <row r="12" spans="1:25" x14ac:dyDescent="0.2">
      <c r="A12">
        <f>'Purchased Power Model'!A175</f>
        <v>2011</v>
      </c>
      <c r="B12" s="6">
        <f>'Purchased Power Model'!B175</f>
        <v>593738607.69230771</v>
      </c>
      <c r="C12" s="6">
        <f>'Purchased Power Model'!H175</f>
        <v>0</v>
      </c>
      <c r="D12" s="32">
        <f t="shared" si="2"/>
        <v>-593738607.69230771</v>
      </c>
      <c r="E12" s="5">
        <f t="shared" si="3"/>
        <v>-1</v>
      </c>
      <c r="F12" s="18">
        <f t="shared" ref="F12:F20" si="5">1 +(B12-G12)/G12</f>
        <v>1.0510409500200104</v>
      </c>
      <c r="G12" s="21">
        <f t="shared" ref="G12:G20" si="6">SUM(H12:N12)</f>
        <v>564905304.29000294</v>
      </c>
      <c r="H12" s="21">
        <v>207358082.23000044</v>
      </c>
      <c r="I12" s="21">
        <v>85023143.980002552</v>
      </c>
      <c r="J12" s="21">
        <v>231667366.05000007</v>
      </c>
      <c r="K12" s="21">
        <v>37086851.810000002</v>
      </c>
      <c r="L12" s="21">
        <v>3204122.67</v>
      </c>
      <c r="M12" s="21">
        <v>481664.12000000005</v>
      </c>
      <c r="N12" s="156">
        <v>84073.43</v>
      </c>
      <c r="O12" s="6">
        <f t="shared" si="4"/>
        <v>353777361.8400026</v>
      </c>
      <c r="P12"/>
      <c r="Q12" s="363"/>
      <c r="R12" s="364"/>
      <c r="S12" s="184"/>
      <c r="T12" s="184"/>
      <c r="U12" s="358"/>
      <c r="V12" s="358"/>
      <c r="W12" s="358"/>
      <c r="X12" s="358"/>
      <c r="Y12" s="359"/>
    </row>
    <row r="13" spans="1:25" x14ac:dyDescent="0.2">
      <c r="A13">
        <f>'Purchased Power Model'!A176</f>
        <v>2012</v>
      </c>
      <c r="B13" s="6">
        <f>'Purchased Power Model'!B176</f>
        <v>572612692.67601395</v>
      </c>
      <c r="C13" s="6">
        <f>'Purchased Power Model'!H176</f>
        <v>0</v>
      </c>
      <c r="D13" s="32">
        <f t="shared" si="2"/>
        <v>-572612692.67601395</v>
      </c>
      <c r="E13" s="5">
        <f t="shared" si="3"/>
        <v>-1</v>
      </c>
      <c r="F13" s="18">
        <f t="shared" si="5"/>
        <v>1.0442636909360064</v>
      </c>
      <c r="G13" s="21">
        <f t="shared" si="6"/>
        <v>548341092.05000055</v>
      </c>
      <c r="H13" s="21">
        <v>200614424.25000054</v>
      </c>
      <c r="I13" s="21">
        <v>84948670.560000002</v>
      </c>
      <c r="J13" s="21">
        <v>223688452.94999999</v>
      </c>
      <c r="K13" s="21">
        <v>35722771.82</v>
      </c>
      <c r="L13" s="21">
        <v>2790238.49</v>
      </c>
      <c r="M13" s="21">
        <v>487759.49</v>
      </c>
      <c r="N13" s="156">
        <v>88774.489999999976</v>
      </c>
      <c r="O13" s="6">
        <f t="shared" si="4"/>
        <v>344359895.32999998</v>
      </c>
      <c r="P13"/>
      <c r="Q13" s="363"/>
      <c r="R13" s="364"/>
      <c r="S13" s="184"/>
      <c r="T13" s="184"/>
      <c r="U13" s="358"/>
      <c r="V13" s="358"/>
      <c r="W13" s="358"/>
      <c r="X13" s="358"/>
      <c r="Y13" s="359"/>
    </row>
    <row r="14" spans="1:25" x14ac:dyDescent="0.2">
      <c r="A14">
        <f>'Purchased Power Model'!A177</f>
        <v>2013</v>
      </c>
      <c r="B14" s="6">
        <f>'Purchased Power Model'!B177</f>
        <v>573172084.77666664</v>
      </c>
      <c r="C14" s="6">
        <f>'Purchased Power Model'!H177</f>
        <v>0</v>
      </c>
      <c r="D14" s="32">
        <f t="shared" si="2"/>
        <v>-573172084.77666664</v>
      </c>
      <c r="E14" s="5">
        <f t="shared" si="3"/>
        <v>-1</v>
      </c>
      <c r="F14" s="18">
        <f t="shared" si="5"/>
        <v>1.045559047590467</v>
      </c>
      <c r="G14" s="21">
        <f t="shared" si="6"/>
        <v>548196762.3900007</v>
      </c>
      <c r="H14" s="21">
        <v>207806639.26000017</v>
      </c>
      <c r="I14" s="21">
        <v>85119330.710000545</v>
      </c>
      <c r="J14" s="21">
        <v>216614453.60999995</v>
      </c>
      <c r="K14" s="21">
        <v>35775035.789999999</v>
      </c>
      <c r="L14" s="21">
        <v>2348268.23</v>
      </c>
      <c r="M14" s="21">
        <v>443950.62000000069</v>
      </c>
      <c r="N14" s="156">
        <v>89084.169999999984</v>
      </c>
      <c r="O14" s="6">
        <f t="shared" si="4"/>
        <v>337508820.11000055</v>
      </c>
      <c r="P14"/>
      <c r="Q14" s="354"/>
      <c r="R14" s="184"/>
      <c r="S14" s="184"/>
      <c r="T14" s="184"/>
      <c r="U14" s="358"/>
      <c r="V14" s="358"/>
      <c r="W14" s="358"/>
      <c r="X14" s="358"/>
      <c r="Y14" s="359"/>
    </row>
    <row r="15" spans="1:25" x14ac:dyDescent="0.2">
      <c r="A15">
        <f>'Purchased Power Model'!A178</f>
        <v>2014</v>
      </c>
      <c r="B15" s="6">
        <f>+'Purchased Power Model'!B178</f>
        <v>561189731.7228204</v>
      </c>
      <c r="C15" s="21">
        <f>'Purchased Power Model'!H178</f>
        <v>0</v>
      </c>
      <c r="D15" s="32">
        <f t="shared" si="2"/>
        <v>-561189731.7228204</v>
      </c>
      <c r="E15" s="5">
        <f t="shared" si="3"/>
        <v>-1</v>
      </c>
      <c r="F15" s="18">
        <f t="shared" si="5"/>
        <v>1.0431364633798155</v>
      </c>
      <c r="G15" s="21">
        <f t="shared" si="6"/>
        <v>537983045.77000117</v>
      </c>
      <c r="H15" s="6">
        <v>205950079.75000036</v>
      </c>
      <c r="I15" s="6">
        <v>85369054.680000916</v>
      </c>
      <c r="J15" s="6">
        <v>217236187.44</v>
      </c>
      <c r="K15" s="6">
        <v>26926555.820000004</v>
      </c>
      <c r="L15" s="6">
        <v>2026565.8900000001</v>
      </c>
      <c r="M15" s="6">
        <v>423992.64000000048</v>
      </c>
      <c r="N15" s="156">
        <v>50609.549999999988</v>
      </c>
      <c r="O15" s="6">
        <f t="shared" si="4"/>
        <v>329531797.94000089</v>
      </c>
      <c r="P15"/>
      <c r="Q15" s="354"/>
      <c r="R15" s="184"/>
      <c r="S15" s="184"/>
      <c r="T15" s="184"/>
      <c r="U15" s="358"/>
      <c r="V15" s="358"/>
      <c r="W15" s="358"/>
      <c r="X15" s="358"/>
      <c r="Y15" s="359"/>
    </row>
    <row r="16" spans="1:25" x14ac:dyDescent="0.2">
      <c r="A16">
        <f>'Purchased Power Model'!A179</f>
        <v>2015</v>
      </c>
      <c r="B16" s="6">
        <f>+'Purchased Power Model'!B179</f>
        <v>538323195.74000001</v>
      </c>
      <c r="C16" s="21">
        <f>'Purchased Power Model'!H179</f>
        <v>514903442.02267593</v>
      </c>
      <c r="D16" s="32">
        <f t="shared" si="2"/>
        <v>-23419753.717324078</v>
      </c>
      <c r="E16" s="5">
        <f t="shared" si="3"/>
        <v>-4.3505005733833139E-2</v>
      </c>
      <c r="F16" s="18">
        <f t="shared" si="5"/>
        <v>1.0417901772102411</v>
      </c>
      <c r="G16" s="21">
        <f t="shared" si="6"/>
        <v>516728999.29000038</v>
      </c>
      <c r="H16" s="6">
        <v>196730100.79999995</v>
      </c>
      <c r="I16" s="6">
        <v>83568205.870000467</v>
      </c>
      <c r="J16" s="6">
        <v>216238874.38999999</v>
      </c>
      <c r="K16" s="6">
        <v>17738635.890000001</v>
      </c>
      <c r="L16" s="6">
        <v>2036368.7200000002</v>
      </c>
      <c r="M16" s="6">
        <v>373880.03000000049</v>
      </c>
      <c r="N16" s="156">
        <v>42933.59</v>
      </c>
      <c r="O16" s="6">
        <f t="shared" si="4"/>
        <v>317545716.15000045</v>
      </c>
      <c r="Q16" s="354"/>
      <c r="R16" s="365">
        <v>187442874.27547359</v>
      </c>
      <c r="S16" s="365">
        <v>79623121.437029213</v>
      </c>
      <c r="T16" s="365">
        <v>206030678.48250046</v>
      </c>
      <c r="U16" s="365">
        <v>16901231.094919842</v>
      </c>
      <c r="V16" s="365">
        <v>1940235.9090412627</v>
      </c>
      <c r="W16" s="365">
        <v>356229.91688824672</v>
      </c>
      <c r="X16" s="365">
        <v>40906.78284532619</v>
      </c>
      <c r="Y16" s="366">
        <f>+'Weather Normalized Historical'!J70</f>
        <v>492335277.89869791</v>
      </c>
    </row>
    <row r="17" spans="1:25" x14ac:dyDescent="0.2">
      <c r="A17">
        <f>'Purchased Power Model'!A180</f>
        <v>2016</v>
      </c>
      <c r="B17" s="6">
        <f>+'Purchased Power Model'!B180</f>
        <v>508987624.24000013</v>
      </c>
      <c r="C17" s="21">
        <f>'Purchased Power Model'!H180</f>
        <v>513927826.56305665</v>
      </c>
      <c r="D17" s="32">
        <f t="shared" si="2"/>
        <v>4940202.323056519</v>
      </c>
      <c r="E17" s="5">
        <f t="shared" si="3"/>
        <v>9.7059379988521932E-3</v>
      </c>
      <c r="F17" s="18">
        <f t="shared" si="5"/>
        <v>1.0413738841777653</v>
      </c>
      <c r="G17" s="21">
        <f t="shared" si="6"/>
        <v>488765497.17000061</v>
      </c>
      <c r="H17" s="6">
        <v>188194721.51000041</v>
      </c>
      <c r="I17" s="6">
        <v>80643102.520000204</v>
      </c>
      <c r="J17" s="6">
        <v>200880475.03000003</v>
      </c>
      <c r="K17" s="6">
        <v>16805471.899999999</v>
      </c>
      <c r="L17" s="6">
        <v>2042501.58</v>
      </c>
      <c r="M17" s="6">
        <v>156291.07</v>
      </c>
      <c r="N17" s="156">
        <v>42933.55999999999</v>
      </c>
      <c r="O17" s="6">
        <f t="shared" si="4"/>
        <v>298329049.45000023</v>
      </c>
      <c r="Q17" s="354"/>
      <c r="R17" s="365">
        <v>189963368.34516984</v>
      </c>
      <c r="S17" s="365">
        <v>81400983.330396175</v>
      </c>
      <c r="T17" s="365">
        <v>202768342.09427509</v>
      </c>
      <c r="U17" s="365">
        <v>16963409.085756212</v>
      </c>
      <c r="V17" s="365">
        <v>2061696.9321666847</v>
      </c>
      <c r="W17" s="365">
        <v>157759.88753166524</v>
      </c>
      <c r="X17" s="365">
        <v>43337.047963994359</v>
      </c>
      <c r="Y17" s="366">
        <f>+'Weather Normalized Historical'!J71</f>
        <v>493358896.72325963</v>
      </c>
    </row>
    <row r="18" spans="1:25" x14ac:dyDescent="0.2">
      <c r="A18">
        <f>'Purchased Power Model'!A181</f>
        <v>2017</v>
      </c>
      <c r="B18" s="6">
        <f>+'Purchased Power Model'!B181</f>
        <v>500698339.18000001</v>
      </c>
      <c r="C18" s="21">
        <f>'Purchased Power Model'!H181</f>
        <v>507121218.68637317</v>
      </c>
      <c r="D18" s="32">
        <f t="shared" si="2"/>
        <v>6422879.506373167</v>
      </c>
      <c r="E18" s="5">
        <f t="shared" si="3"/>
        <v>1.2827842642522038E-2</v>
      </c>
      <c r="F18" s="18">
        <f t="shared" si="5"/>
        <v>1.0379350086472483</v>
      </c>
      <c r="G18" s="21">
        <f t="shared" si="6"/>
        <v>482398546.16000038</v>
      </c>
      <c r="H18" s="6">
        <v>184546623.13000023</v>
      </c>
      <c r="I18" s="6">
        <v>78774627.370000109</v>
      </c>
      <c r="J18" s="6">
        <v>200346165.47999999</v>
      </c>
      <c r="K18" s="6">
        <v>16522751.91</v>
      </c>
      <c r="L18" s="6">
        <v>2036368.7200000002</v>
      </c>
      <c r="M18" s="6">
        <v>129075.95999999989</v>
      </c>
      <c r="N18" s="156">
        <v>42933.589999999989</v>
      </c>
      <c r="O18" s="6">
        <f t="shared" si="4"/>
        <v>295643544.76000011</v>
      </c>
      <c r="Q18" s="354"/>
      <c r="R18" s="365">
        <v>189047599.06874555</v>
      </c>
      <c r="S18" s="365">
        <v>80695890.931274995</v>
      </c>
      <c r="T18" s="365">
        <v>205232482.30851299</v>
      </c>
      <c r="U18" s="365">
        <v>16925731.425568707</v>
      </c>
      <c r="V18" s="365">
        <v>2086034.4708854936</v>
      </c>
      <c r="W18" s="365">
        <v>132224.04139199154</v>
      </c>
      <c r="X18" s="365">
        <v>43980.713227054817</v>
      </c>
      <c r="Y18" s="366">
        <f>+'Weather Normalized Historical'!J72</f>
        <v>494163942.95960683</v>
      </c>
    </row>
    <row r="19" spans="1:25" x14ac:dyDescent="0.2">
      <c r="A19">
        <f>'Purchased Power Model'!A182</f>
        <v>2018</v>
      </c>
      <c r="B19" s="6">
        <f>+'Purchased Power Model'!B182</f>
        <v>514889565.40999997</v>
      </c>
      <c r="C19" s="21">
        <f>'Purchased Power Model'!H182</f>
        <v>524508322.63358557</v>
      </c>
      <c r="D19" s="32">
        <f t="shared" si="2"/>
        <v>9618757.2235856056</v>
      </c>
      <c r="E19" s="5">
        <f t="shared" si="3"/>
        <v>1.8681204416963301E-2</v>
      </c>
      <c r="F19" s="18">
        <f t="shared" si="5"/>
        <v>1.0360347686149867</v>
      </c>
      <c r="G19" s="21">
        <f t="shared" si="6"/>
        <v>496980971.10999972</v>
      </c>
      <c r="H19" s="6">
        <v>196784129.94999957</v>
      </c>
      <c r="I19" s="6">
        <v>81814082.000000045</v>
      </c>
      <c r="J19" s="6">
        <v>199998668.12000006</v>
      </c>
      <c r="K19" s="6">
        <v>16185719.91</v>
      </c>
      <c r="L19" s="6">
        <v>2031595.1800000002</v>
      </c>
      <c r="M19" s="6">
        <v>124703.3299999999</v>
      </c>
      <c r="N19" s="156">
        <v>42072.619999999988</v>
      </c>
      <c r="O19" s="6">
        <f t="shared" si="4"/>
        <v>297998470.03000015</v>
      </c>
      <c r="Q19" s="354"/>
      <c r="R19" s="365">
        <v>196027587.22186714</v>
      </c>
      <c r="S19" s="365">
        <v>81499545.208787978</v>
      </c>
      <c r="T19" s="365">
        <v>199229766.99956521</v>
      </c>
      <c r="U19" s="365">
        <v>16123493.40473959</v>
      </c>
      <c r="V19" s="365">
        <v>2023784.6489356894</v>
      </c>
      <c r="W19" s="365">
        <v>124223.90415651666</v>
      </c>
      <c r="X19" s="365">
        <v>41910.870499557212</v>
      </c>
      <c r="Y19" s="366">
        <f>+'Weather Normalized Historical'!J73</f>
        <v>495070312.25855172</v>
      </c>
    </row>
    <row r="20" spans="1:25" x14ac:dyDescent="0.2">
      <c r="A20">
        <f>'Purchased Power Model'!A183</f>
        <v>2019</v>
      </c>
      <c r="B20" s="6">
        <f>+'Purchased Power Model'!B183</f>
        <v>514147823.86999995</v>
      </c>
      <c r="C20" s="21">
        <f>'Purchased Power Model'!H183</f>
        <v>516585738.53430808</v>
      </c>
      <c r="D20" s="32">
        <f t="shared" si="2"/>
        <v>2437914.6643081307</v>
      </c>
      <c r="E20" s="5">
        <f t="shared" si="3"/>
        <v>4.741660960378871E-3</v>
      </c>
      <c r="F20" s="18">
        <f t="shared" si="5"/>
        <v>1.0370863852459857</v>
      </c>
      <c r="G20" s="21">
        <f t="shared" si="6"/>
        <v>495761810.37999994</v>
      </c>
      <c r="H20" s="6">
        <v>197847017.74999991</v>
      </c>
      <c r="I20" s="6">
        <v>80410230.090000004</v>
      </c>
      <c r="J20" s="6">
        <v>199953323.73000002</v>
      </c>
      <c r="K20" s="6">
        <v>15352959.899999999</v>
      </c>
      <c r="L20" s="6">
        <v>2036368.7200000002</v>
      </c>
      <c r="M20" s="6">
        <v>122420.49</v>
      </c>
      <c r="N20" s="156">
        <v>39489.699999999997</v>
      </c>
      <c r="O20" s="6">
        <f t="shared" si="4"/>
        <v>295716513.72000003</v>
      </c>
      <c r="Q20" s="354"/>
      <c r="R20" s="365">
        <v>197370717.76491809</v>
      </c>
      <c r="S20" s="365">
        <v>80216649.252503186</v>
      </c>
      <c r="T20" s="365">
        <v>199471952.99116987</v>
      </c>
      <c r="U20" s="365">
        <v>15315998.945751134</v>
      </c>
      <c r="V20" s="365">
        <v>2031466.3342982221</v>
      </c>
      <c r="W20" s="365">
        <v>122125.77300995475</v>
      </c>
      <c r="X20" s="365">
        <v>39394.631882548492</v>
      </c>
      <c r="Y20" s="366">
        <f>+'Weather Normalized Historical'!J74</f>
        <v>494568305.693533</v>
      </c>
    </row>
    <row r="21" spans="1:25" x14ac:dyDescent="0.2">
      <c r="A21">
        <f>'Purchased Power Model'!A184</f>
        <v>2020</v>
      </c>
      <c r="B21" s="15">
        <f>+'Purchased Power Model'!B184</f>
        <v>0</v>
      </c>
      <c r="C21" s="21">
        <f>'Purchased Power Model'!H184</f>
        <v>513771070.57435787</v>
      </c>
      <c r="D21" s="32"/>
      <c r="E21" s="5"/>
      <c r="F21" s="18"/>
      <c r="G21" s="15">
        <f>C21/F$26</f>
        <v>494560346.33527142</v>
      </c>
      <c r="H21" s="194" t="s">
        <v>176</v>
      </c>
      <c r="Q21" s="354"/>
      <c r="R21" s="367"/>
      <c r="S21" s="367"/>
      <c r="T21" s="367"/>
      <c r="U21" s="367"/>
      <c r="V21" s="367"/>
      <c r="W21" s="367"/>
      <c r="X21" s="367"/>
      <c r="Y21" s="359"/>
    </row>
    <row r="22" spans="1:25" x14ac:dyDescent="0.2">
      <c r="A22">
        <f>'Purchased Power Model'!A185</f>
        <v>2021</v>
      </c>
      <c r="B22" s="15">
        <f>+'Purchased Power Model'!B185</f>
        <v>0</v>
      </c>
      <c r="C22" s="21">
        <f>'Purchased Power Model'!H185</f>
        <v>512910056.40893781</v>
      </c>
      <c r="D22" s="32"/>
      <c r="E22" s="5"/>
      <c r="F22" s="18"/>
      <c r="G22" s="15">
        <f>C22/F$26</f>
        <v>493731526.87026399</v>
      </c>
      <c r="H22" s="194" t="s">
        <v>176</v>
      </c>
      <c r="Q22" s="354"/>
      <c r="R22" s="184"/>
      <c r="S22" s="184"/>
      <c r="T22" s="184"/>
      <c r="U22" s="358"/>
      <c r="V22" s="358"/>
      <c r="W22" s="358"/>
      <c r="X22" s="358"/>
      <c r="Y22" s="359"/>
    </row>
    <row r="23" spans="1:25" s="25" customFormat="1" x14ac:dyDescent="0.2">
      <c r="B23" s="21"/>
      <c r="C23" s="21"/>
      <c r="D23" s="127"/>
      <c r="E23" s="128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68"/>
      <c r="R23" s="122"/>
      <c r="S23" s="122"/>
      <c r="T23" s="122"/>
      <c r="U23" s="121"/>
      <c r="V23" s="121"/>
      <c r="W23" s="121"/>
      <c r="X23" s="121"/>
      <c r="Y23" s="369"/>
    </row>
    <row r="24" spans="1:25" x14ac:dyDescent="0.2">
      <c r="A24" s="13" t="s">
        <v>157</v>
      </c>
      <c r="F24" s="147">
        <f>AVERAGE(F19:F20)</f>
        <v>1.0365605769304862</v>
      </c>
      <c r="H24"/>
      <c r="I24"/>
      <c r="J24"/>
      <c r="K24"/>
      <c r="L24"/>
      <c r="M24"/>
      <c r="N24"/>
      <c r="O24"/>
      <c r="P24"/>
      <c r="Q24" s="354"/>
      <c r="R24" s="184"/>
      <c r="S24" s="184"/>
      <c r="T24" s="184"/>
      <c r="U24" s="358"/>
      <c r="V24" s="358"/>
      <c r="W24" s="358"/>
      <c r="X24" s="358"/>
      <c r="Y24" s="359"/>
    </row>
    <row r="25" spans="1:25" x14ac:dyDescent="0.2">
      <c r="A25" s="149" t="s">
        <v>127</v>
      </c>
      <c r="F25" s="18">
        <v>1.0470999999999999</v>
      </c>
      <c r="I25" s="46">
        <v>0.42857142857142855</v>
      </c>
      <c r="Q25" s="354"/>
      <c r="R25" s="184"/>
      <c r="S25" s="184"/>
      <c r="T25" s="184"/>
      <c r="U25" s="358"/>
      <c r="V25" s="358"/>
      <c r="W25" s="358"/>
      <c r="X25" s="358"/>
      <c r="Y25" s="359"/>
    </row>
    <row r="26" spans="1:25" x14ac:dyDescent="0.2">
      <c r="E26" s="205" t="s">
        <v>135</v>
      </c>
      <c r="F26" s="18">
        <f>AVERAGE(F16:F20)</f>
        <v>1.0388440447792455</v>
      </c>
      <c r="Q26" s="354"/>
      <c r="R26" s="184"/>
      <c r="S26" s="184"/>
      <c r="T26" s="184"/>
      <c r="U26" s="358"/>
      <c r="V26" s="358"/>
      <c r="W26" s="358"/>
      <c r="X26" s="358"/>
      <c r="Y26" s="359"/>
    </row>
    <row r="27" spans="1:25" x14ac:dyDescent="0.2">
      <c r="A27" s="16" t="s">
        <v>15</v>
      </c>
      <c r="B27" s="9"/>
      <c r="Q27" s="354"/>
      <c r="R27" s="184"/>
      <c r="S27" s="184"/>
      <c r="T27" s="184"/>
      <c r="U27" s="358"/>
      <c r="V27" s="358"/>
      <c r="W27" s="358"/>
      <c r="X27" s="358"/>
      <c r="Y27" s="359"/>
    </row>
    <row r="28" spans="1:25" x14ac:dyDescent="0.2">
      <c r="Q28" s="354"/>
      <c r="R28" s="184"/>
      <c r="S28" s="184"/>
      <c r="T28" s="184"/>
      <c r="U28" s="358"/>
      <c r="V28" s="358"/>
      <c r="W28" s="358"/>
      <c r="X28" s="358"/>
      <c r="Y28" s="359"/>
    </row>
    <row r="29" spans="1:25" x14ac:dyDescent="0.2">
      <c r="H29" s="21"/>
      <c r="I29" s="21"/>
      <c r="J29" s="21"/>
      <c r="K29" s="21"/>
      <c r="L29" s="21"/>
      <c r="M29" s="21"/>
      <c r="N29" s="21"/>
      <c r="Q29" s="354"/>
      <c r="R29" s="184"/>
      <c r="S29" s="184"/>
      <c r="T29" s="184"/>
      <c r="U29" s="358"/>
      <c r="V29" s="358"/>
      <c r="W29" s="358"/>
      <c r="X29" s="358"/>
      <c r="Y29" s="359"/>
    </row>
    <row r="30" spans="1:25" x14ac:dyDescent="0.2">
      <c r="H30" s="21"/>
      <c r="I30" s="21"/>
      <c r="J30" s="21"/>
      <c r="K30" s="21"/>
      <c r="L30" s="21"/>
      <c r="M30" s="21"/>
      <c r="N30" s="21"/>
      <c r="Q30" s="354"/>
      <c r="R30" s="184"/>
      <c r="S30" s="184"/>
      <c r="T30" s="184"/>
      <c r="U30" s="358"/>
      <c r="V30" s="358"/>
      <c r="W30" s="358"/>
      <c r="X30" s="358"/>
      <c r="Y30" s="359"/>
    </row>
    <row r="31" spans="1:25" x14ac:dyDescent="0.2">
      <c r="H31" s="21"/>
      <c r="I31" s="21"/>
      <c r="J31" s="21"/>
      <c r="K31" s="21"/>
      <c r="L31" s="21"/>
      <c r="M31" s="21"/>
      <c r="N31" s="21"/>
      <c r="Q31" s="354"/>
      <c r="R31" s="184"/>
      <c r="S31" s="184"/>
      <c r="T31" s="184"/>
      <c r="U31" s="358"/>
      <c r="V31" s="358"/>
      <c r="W31" s="358"/>
      <c r="X31" s="358"/>
      <c r="Y31" s="359"/>
    </row>
    <row r="32" spans="1:25" x14ac:dyDescent="0.2">
      <c r="H32" s="21"/>
      <c r="I32" s="21"/>
      <c r="J32" s="21"/>
      <c r="K32" s="21"/>
      <c r="L32" s="21"/>
      <c r="M32" s="21"/>
      <c r="N32" s="21"/>
      <c r="Q32" s="354"/>
      <c r="R32" s="184"/>
      <c r="S32" s="184"/>
      <c r="T32" s="184"/>
      <c r="U32" s="358"/>
      <c r="V32" s="358"/>
      <c r="W32" s="358"/>
      <c r="X32" s="358"/>
      <c r="Y32" s="359"/>
    </row>
    <row r="33" spans="1:25" x14ac:dyDescent="0.2">
      <c r="A33">
        <v>2009</v>
      </c>
      <c r="H33" s="21">
        <f>H10/'Rate Class Customer Model'!B13</f>
        <v>10235.62406235012</v>
      </c>
      <c r="I33" s="21">
        <f>I10/'Rate Class Customer Model'!C13</f>
        <v>33246.328033472804</v>
      </c>
      <c r="J33" s="21">
        <f>J10/'Rate Class Customer Model'!D13</f>
        <v>766620.45824817521</v>
      </c>
      <c r="K33" s="21">
        <f>K10/'Rate Class Customer Model'!E13</f>
        <v>18908695.885000002</v>
      </c>
      <c r="L33" s="21">
        <f>L10/'Rate Class Customer Model'!F13</f>
        <v>596.43849398671694</v>
      </c>
      <c r="M33" s="21">
        <f>M10/'Rate Class Customer Model'!G13</f>
        <v>1077.1155598455598</v>
      </c>
      <c r="N33" s="21">
        <f>N10/'Rate Class Customer Model'!H13</f>
        <v>14850.994285714285</v>
      </c>
      <c r="Q33" s="354"/>
      <c r="R33" s="184"/>
      <c r="S33" s="184"/>
      <c r="T33" s="184"/>
      <c r="U33" s="358"/>
      <c r="V33" s="358"/>
      <c r="W33" s="358"/>
      <c r="X33" s="358"/>
      <c r="Y33" s="359"/>
    </row>
    <row r="34" spans="1:25" x14ac:dyDescent="0.2">
      <c r="A34">
        <f>A11</f>
        <v>2010</v>
      </c>
      <c r="H34" s="21">
        <f>H11/'Rate Class Customer Model'!B14</f>
        <v>9857.5371205611373</v>
      </c>
      <c r="I34" s="21">
        <f>I11/'Rate Class Customer Model'!C14</f>
        <v>32298.556426130068</v>
      </c>
      <c r="J34" s="21">
        <f>J11/'Rate Class Customer Model'!D14</f>
        <v>855158.87223048322</v>
      </c>
      <c r="K34" s="21">
        <f>K11/'Rate Class Customer Model'!E14</f>
        <v>20514051.905000001</v>
      </c>
      <c r="L34" s="21">
        <f>L11/'Rate Class Customer Model'!F14</f>
        <v>596.58832196697767</v>
      </c>
      <c r="M34" s="21">
        <f>M11/'Rate Class Customer Model'!G14</f>
        <v>1118.6789194499017</v>
      </c>
      <c r="N34" s="21">
        <f>N11/'Rate Class Customer Model'!H14</f>
        <v>8690.7042105263154</v>
      </c>
      <c r="Q34" s="354"/>
      <c r="R34" s="184"/>
      <c r="S34" s="184"/>
      <c r="T34" s="184"/>
      <c r="U34" s="358"/>
      <c r="V34" s="358"/>
      <c r="W34" s="358"/>
      <c r="X34" s="358"/>
      <c r="Y34" s="359"/>
    </row>
    <row r="35" spans="1:25" x14ac:dyDescent="0.2">
      <c r="A35">
        <f>A12</f>
        <v>2011</v>
      </c>
      <c r="H35" s="21">
        <f>H12/'Rate Class Customer Model'!B15</f>
        <v>9829.2606290292206</v>
      </c>
      <c r="I35" s="21">
        <f>I12/'Rate Class Customer Model'!C15</f>
        <v>32414.465871140888</v>
      </c>
      <c r="J35" s="21">
        <f>J12/'Rate Class Customer Model'!D15</f>
        <v>864430.47033582116</v>
      </c>
      <c r="K35" s="21">
        <f>K12/'Rate Class Customer Model'!E15</f>
        <v>18543425.905000001</v>
      </c>
      <c r="L35" s="21">
        <f>L12/'Rate Class Customer Model'!F15</f>
        <v>574.83363293864375</v>
      </c>
      <c r="M35" s="21">
        <f>M12/'Rate Class Customer Model'!G15</f>
        <v>1016.1690295358651</v>
      </c>
      <c r="N35" s="21">
        <f>N12/'Rate Class Customer Model'!H15</f>
        <v>4670.7461111111106</v>
      </c>
      <c r="Q35" s="354"/>
      <c r="R35" s="184"/>
      <c r="S35" s="184"/>
      <c r="T35" s="184"/>
      <c r="U35" s="358"/>
      <c r="V35" s="358"/>
      <c r="W35" s="358"/>
      <c r="X35" s="358"/>
      <c r="Y35" s="359"/>
    </row>
    <row r="36" spans="1:25" x14ac:dyDescent="0.2">
      <c r="A36">
        <v>2012</v>
      </c>
      <c r="H36" s="21">
        <f>H13/'Rate Class Customer Model'!B16</f>
        <v>9519.5228361962854</v>
      </c>
      <c r="I36" s="21">
        <f>I13/'Rate Class Customer Model'!C16</f>
        <v>32116.699644612476</v>
      </c>
      <c r="J36" s="21">
        <f>J13/'Rate Class Customer Model'!D16</f>
        <v>880663.20059055113</v>
      </c>
      <c r="K36" s="21">
        <f>K13/'Rate Class Customer Model'!E16</f>
        <v>17861385.91</v>
      </c>
      <c r="L36" s="21">
        <f>L13/'Rate Class Customer Model'!F16</f>
        <v>500.58099928238255</v>
      </c>
      <c r="M36" s="21">
        <f>M13/'Rate Class Customer Model'!G16</f>
        <v>1091.1845413870246</v>
      </c>
      <c r="N36" s="21">
        <f>N13/'Rate Class Customer Model'!H16</f>
        <v>5222.0288235294101</v>
      </c>
      <c r="Q36" s="354"/>
      <c r="R36" s="184"/>
      <c r="S36" s="184"/>
      <c r="T36" s="184"/>
      <c r="U36" s="358"/>
      <c r="V36" s="358"/>
      <c r="W36" s="358"/>
      <c r="X36" s="358"/>
      <c r="Y36" s="359"/>
    </row>
    <row r="37" spans="1:25" x14ac:dyDescent="0.2">
      <c r="A37">
        <v>2013</v>
      </c>
      <c r="H37" s="21">
        <f>H14/'Rate Class Customer Model'!B17</f>
        <v>9844.9232167898499</v>
      </c>
      <c r="I37" s="21">
        <f>I14/'Rate Class Customer Model'!C17</f>
        <v>32132.627674594391</v>
      </c>
      <c r="J37" s="21">
        <f>J14/'Rate Class Customer Model'!D17</f>
        <v>849468.44552941155</v>
      </c>
      <c r="K37" s="21">
        <f>K14/'Rate Class Customer Model'!E17</f>
        <v>17887517.895</v>
      </c>
      <c r="L37" s="21">
        <f>L14/'Rate Class Customer Model'!F17</f>
        <v>421.28959992823826</v>
      </c>
      <c r="M37" s="21">
        <f>M14/'Rate Class Customer Model'!G17</f>
        <v>1039.6970023419219</v>
      </c>
      <c r="N37" s="21">
        <f>N14/'Rate Class Customer Model'!H17</f>
        <v>5938.9446666666654</v>
      </c>
      <c r="Q37" s="354"/>
      <c r="R37" s="184"/>
      <c r="S37" s="184"/>
      <c r="T37" s="184"/>
      <c r="U37" s="358"/>
      <c r="V37" s="358"/>
      <c r="W37" s="358"/>
      <c r="X37" s="358"/>
      <c r="Y37" s="359"/>
    </row>
    <row r="38" spans="1:25" x14ac:dyDescent="0.2">
      <c r="A38">
        <v>2014</v>
      </c>
      <c r="H38" s="21">
        <f>H15/'Rate Class Customer Model'!B18</f>
        <v>9752.8095728560093</v>
      </c>
      <c r="I38" s="21">
        <f>I15/'Rate Class Customer Model'!C18</f>
        <v>32129.866270229926</v>
      </c>
      <c r="J38" s="21">
        <f>J15/'Rate Class Customer Model'!D18</f>
        <v>862048.36285714281</v>
      </c>
      <c r="K38" s="21">
        <f>K15/'Rate Class Customer Model'!E18</f>
        <v>13463277.910000002</v>
      </c>
      <c r="L38" s="21">
        <f>L15/'Rate Class Customer Model'!F18</f>
        <v>373.97414467613953</v>
      </c>
      <c r="M38" s="21">
        <f>M15/'Rate Class Customer Model'!G18</f>
        <v>992.95700234192145</v>
      </c>
      <c r="N38" s="21">
        <f>N15/'Rate Class Customer Model'!H18</f>
        <v>4600.8681818181803</v>
      </c>
      <c r="Q38" s="354"/>
      <c r="R38" s="184"/>
      <c r="S38" s="184"/>
      <c r="T38" s="184"/>
      <c r="U38" s="358"/>
      <c r="V38" s="358"/>
      <c r="W38" s="358"/>
      <c r="X38" s="358"/>
      <c r="Y38" s="359"/>
    </row>
    <row r="39" spans="1:25" x14ac:dyDescent="0.2">
      <c r="A39">
        <v>2015</v>
      </c>
      <c r="H39" s="21">
        <f>H16/'Rate Class Customer Model'!B19</f>
        <v>9313.9901903228838</v>
      </c>
      <c r="I39" s="21">
        <f>I16/'Rate Class Customer Model'!C19</f>
        <v>31582.844244142278</v>
      </c>
      <c r="J39" s="21">
        <f>J16/'Rate Class Customer Model'!D19</f>
        <v>851334.15114173223</v>
      </c>
      <c r="K39" s="21">
        <f>K16/'Rate Class Customer Model'!E19</f>
        <v>17738635.890000001</v>
      </c>
      <c r="L39" s="21">
        <f>L16/'Rate Class Customer Model'!F19</f>
        <v>375.57519734415348</v>
      </c>
      <c r="M39" s="21">
        <f>M16/'Rate Class Customer Model'!G19</f>
        <v>930.04982587064796</v>
      </c>
      <c r="N39" s="21">
        <f>N16/'Rate Class Customer Model'!H19</f>
        <v>4293.3589999999995</v>
      </c>
      <c r="Q39" s="354"/>
      <c r="R39" s="184">
        <f>+R16/'Rate Class Customer Model'!B19</f>
        <v>8874.2957236754846</v>
      </c>
      <c r="S39" s="184">
        <f>+S16/'Rate Class Customer Model'!C19</f>
        <v>30091.882629262742</v>
      </c>
      <c r="T39" s="184">
        <f>+T16/'Rate Class Customer Model'!D19</f>
        <v>811144.40347441123</v>
      </c>
      <c r="U39" s="184">
        <f>+U16/'Rate Class Customer Model'!E19</f>
        <v>16901231.094919842</v>
      </c>
      <c r="V39" s="184">
        <f>+V16/'Rate Class Customer Model'!F19</f>
        <v>357.8450588419887</v>
      </c>
      <c r="W39" s="184">
        <f>+W16/'Rate Class Customer Model'!G19</f>
        <v>886.14407186131029</v>
      </c>
      <c r="X39" s="184">
        <f>+X16/'Rate Class Customer Model'!H19</f>
        <v>4090.6782845326188</v>
      </c>
      <c r="Y39" s="370">
        <f>+Y16/'Rate Class Customer Model'!I19</f>
        <v>16489.777201282712</v>
      </c>
    </row>
    <row r="40" spans="1:25" x14ac:dyDescent="0.2">
      <c r="A40">
        <v>2016</v>
      </c>
      <c r="H40" s="21">
        <f>H17/'Rate Class Customer Model'!B20</f>
        <v>8888.429675057876</v>
      </c>
      <c r="I40" s="21">
        <f>I17/'Rate Class Customer Model'!C20</f>
        <v>30328.357472734187</v>
      </c>
      <c r="J40" s="21">
        <f>J17/'Rate Class Customer Model'!D20</f>
        <v>793993.97245059302</v>
      </c>
      <c r="K40" s="21">
        <f>K17/'Rate Class Customer Model'!E20</f>
        <v>16805471.899999999</v>
      </c>
      <c r="L40" s="21">
        <f>L17/'Rate Class Customer Model'!F20</f>
        <v>376.56740044247789</v>
      </c>
      <c r="M40" s="21">
        <f>M17/'Rate Class Customer Model'!G20</f>
        <v>352.00691441441444</v>
      </c>
      <c r="N40" s="21">
        <f>N17/'Rate Class Customer Model'!H20</f>
        <v>4293.3559999999989</v>
      </c>
      <c r="Q40" s="354"/>
      <c r="R40" s="184">
        <f>+R17/'Rate Class Customer Model'!B20</f>
        <v>8971.9627990917597</v>
      </c>
      <c r="S40" s="184">
        <f>+S17/'Rate Class Customer Model'!C20</f>
        <v>30613.382222789085</v>
      </c>
      <c r="T40" s="184">
        <f>+T17/'Rate Class Customer Model'!D20</f>
        <v>801455.89760583034</v>
      </c>
      <c r="U40" s="184">
        <f>+U17/'Rate Class Customer Model'!E20</f>
        <v>16963409.085756212</v>
      </c>
      <c r="V40" s="184">
        <f>+V17/'Rate Class Customer Model'!F20</f>
        <v>380.10636654990498</v>
      </c>
      <c r="W40" s="184">
        <f>+W17/'Rate Class Customer Model'!G20</f>
        <v>355.31506200825504</v>
      </c>
      <c r="X40" s="184">
        <f>+X17/'Rate Class Customer Model'!H20</f>
        <v>4333.7047963994355</v>
      </c>
      <c r="Y40" s="370">
        <f>+Y17/'Rate Class Customer Model'!I20</f>
        <v>16465.054622989574</v>
      </c>
    </row>
    <row r="41" spans="1:25" x14ac:dyDescent="0.2">
      <c r="A41">
        <v>2017</v>
      </c>
      <c r="H41" s="21">
        <f>H18/'Rate Class Customer Model'!B21</f>
        <v>8708.3155497357602</v>
      </c>
      <c r="I41" s="21">
        <f>I18/'Rate Class Customer Model'!C21</f>
        <v>29692.660147003433</v>
      </c>
      <c r="J41" s="21">
        <f>J18/'Rate Class Customer Model'!D21</f>
        <v>767609.82942528732</v>
      </c>
      <c r="K41" s="21">
        <f>K18/'Rate Class Customer Model'!E21</f>
        <v>16522751.91</v>
      </c>
      <c r="L41" s="21">
        <f>L18/'Rate Class Customer Model'!F21</f>
        <v>375.4367109144543</v>
      </c>
      <c r="M41" s="21">
        <f>M18/'Rate Class Customer Model'!G21</f>
        <v>296.04577981651352</v>
      </c>
      <c r="N41" s="21">
        <f>N18/'Rate Class Customer Model'!H21</f>
        <v>4293.3589999999986</v>
      </c>
      <c r="Q41" s="354"/>
      <c r="R41" s="184">
        <f>+R18/'Rate Class Customer Model'!B21</f>
        <v>8920.7058828211375</v>
      </c>
      <c r="S41" s="184">
        <f>+S18/'Rate Class Customer Model'!C21</f>
        <v>30416.845432067468</v>
      </c>
      <c r="T41" s="184">
        <f>+T18/'Rate Class Customer Model'!D21</f>
        <v>786331.34984104591</v>
      </c>
      <c r="U41" s="184">
        <f>+U18/'Rate Class Customer Model'!E21</f>
        <v>16925731.425568707</v>
      </c>
      <c r="V41" s="184">
        <f>+V18/'Rate Class Customer Model'!F21</f>
        <v>384.59337590071783</v>
      </c>
      <c r="W41" s="184">
        <f>+W18/'Rate Class Customer Model'!G21</f>
        <v>303.266149981632</v>
      </c>
      <c r="X41" s="184">
        <f>+X18/'Rate Class Customer Model'!H21</f>
        <v>4398.0713227054821</v>
      </c>
      <c r="Y41" s="370">
        <f>+Y18/'Rate Class Customer Model'!I21</f>
        <v>16484.769755466084</v>
      </c>
    </row>
    <row r="42" spans="1:25" x14ac:dyDescent="0.2">
      <c r="A42">
        <v>2018</v>
      </c>
      <c r="H42" s="21">
        <f>H19/'Rate Class Customer Model'!B22</f>
        <v>9269.5901808846193</v>
      </c>
      <c r="I42" s="21">
        <f>I19/'Rate Class Customer Model'!C22</f>
        <v>30826.707611152993</v>
      </c>
      <c r="J42" s="21">
        <f>J19/'Rate Class Customer Model'!D22</f>
        <v>775188.63612403127</v>
      </c>
      <c r="K42" s="21">
        <f>K19/'Rate Class Customer Model'!E22</f>
        <v>16185719.91</v>
      </c>
      <c r="L42" s="21">
        <f>L19/'Rate Class Customer Model'!F22</f>
        <v>374.55663348082601</v>
      </c>
      <c r="M42" s="21">
        <f>M19/'Rate Class Customer Model'!G22</f>
        <v>293.41959999999978</v>
      </c>
      <c r="N42" s="21">
        <f>N19/'Rate Class Customer Model'!H22</f>
        <v>4207.2619999999988</v>
      </c>
      <c r="Q42" s="354"/>
      <c r="R42" s="184">
        <f>+R19/'Rate Class Customer Model'!B22</f>
        <v>9233.9529521817858</v>
      </c>
      <c r="S42" s="184">
        <f>+S19/'Rate Class Customer Model'!C22</f>
        <v>30708.193371811598</v>
      </c>
      <c r="T42" s="184">
        <f>+T19/'Rate Class Customer Model'!D22</f>
        <v>772208.399223121</v>
      </c>
      <c r="U42" s="184">
        <f>+U19/'Rate Class Customer Model'!E22</f>
        <v>16123493.40473959</v>
      </c>
      <c r="V42" s="184">
        <f>+V19/'Rate Class Customer Model'!F22</f>
        <v>373.11663881557695</v>
      </c>
      <c r="W42" s="184">
        <f>+W19/'Rate Class Customer Model'!G22</f>
        <v>292.29153919180391</v>
      </c>
      <c r="X42" s="184">
        <f>+X19/'Rate Class Customer Model'!H22</f>
        <v>4191.0870499557213</v>
      </c>
      <c r="Y42" s="370">
        <f>+Y19/'Rate Class Customer Model'!I22</f>
        <v>16501.793682162319</v>
      </c>
    </row>
    <row r="43" spans="1:25" ht="13.5" thickBot="1" x14ac:dyDescent="0.25">
      <c r="A43">
        <v>2019</v>
      </c>
      <c r="H43" s="21">
        <f>H20/'Rate Class Customer Model'!B23</f>
        <v>9297.3222626879651</v>
      </c>
      <c r="I43" s="21">
        <f>I20/'Rate Class Customer Model'!C23</f>
        <v>30309.170784018093</v>
      </c>
      <c r="J43" s="21">
        <f>J20/'Rate Class Customer Model'!D23</f>
        <v>760278.79745247157</v>
      </c>
      <c r="K43" s="21">
        <f>K20/'Rate Class Customer Model'!E23</f>
        <v>15352959.899999999</v>
      </c>
      <c r="L43" s="21">
        <f>L20/'Rate Class Customer Model'!F23</f>
        <v>375.4367109144543</v>
      </c>
      <c r="M43" s="21">
        <f>M20/'Rate Class Customer Model'!G23</f>
        <v>293.57431654676259</v>
      </c>
      <c r="N43" s="21">
        <f>N20/'Rate Class Customer Model'!H23</f>
        <v>4387.7444444444445</v>
      </c>
      <c r="Q43" s="371"/>
      <c r="R43" s="372">
        <f>+R20/'Rate Class Customer Model'!B23</f>
        <v>9274.9397445920149</v>
      </c>
      <c r="S43" s="372">
        <f>+S20/'Rate Class Customer Model'!C23</f>
        <v>30236.20401526694</v>
      </c>
      <c r="T43" s="372">
        <f>+T20/'Rate Class Customer Model'!D23</f>
        <v>758448.49046072189</v>
      </c>
      <c r="U43" s="372">
        <f>+U20/'Rate Class Customer Model'!E23</f>
        <v>15315998.945751134</v>
      </c>
      <c r="V43" s="372">
        <f>+V20/'Rate Class Customer Model'!F23</f>
        <v>374.53287874229756</v>
      </c>
      <c r="W43" s="372">
        <f>+W20/'Rate Class Customer Model'!G23</f>
        <v>292.86756117495145</v>
      </c>
      <c r="X43" s="372">
        <f>+X20/'Rate Class Customer Model'!H23</f>
        <v>4377.1813202831654</v>
      </c>
      <c r="Y43" s="373">
        <f>+Y20/'Rate Class Customer Model'!I23</f>
        <v>16459.823133541886</v>
      </c>
    </row>
    <row r="44" spans="1:25" x14ac:dyDescent="0.2">
      <c r="A44">
        <v>2020</v>
      </c>
      <c r="H44" s="15">
        <f>+H43*H62</f>
        <v>9437.7579041424033</v>
      </c>
      <c r="I44" s="15">
        <f>+I43*I62</f>
        <v>30302.777918850436</v>
      </c>
      <c r="J44" s="15">
        <f>+J43*J62</f>
        <v>749361.60425910156</v>
      </c>
      <c r="K44" s="15">
        <f>+K43*K62</f>
        <v>14897243.509943135</v>
      </c>
      <c r="L44" s="15">
        <f t="shared" ref="L44:N45" si="7">+L43</f>
        <v>375.4367109144543</v>
      </c>
      <c r="M44" s="15">
        <f t="shared" si="7"/>
        <v>293.57431654676259</v>
      </c>
      <c r="N44" s="15">
        <f t="shared" si="7"/>
        <v>4387.7444444444445</v>
      </c>
      <c r="O44" s="275"/>
    </row>
    <row r="45" spans="1:25" x14ac:dyDescent="0.2">
      <c r="A45">
        <v>2021</v>
      </c>
      <c r="H45" s="15">
        <f>+H44*H62</f>
        <v>9580.3148197479877</v>
      </c>
      <c r="I45" s="15">
        <f>+I44*I62</f>
        <v>30296.386402077471</v>
      </c>
      <c r="J45" s="15">
        <f>+J44*J62</f>
        <v>738601.17606775544</v>
      </c>
      <c r="K45" s="15">
        <f>+K44*K62</f>
        <v>14455053.985684082</v>
      </c>
      <c r="L45" s="15">
        <f t="shared" si="7"/>
        <v>375.4367109144543</v>
      </c>
      <c r="M45" s="15">
        <f t="shared" si="7"/>
        <v>293.57431654676259</v>
      </c>
      <c r="N45" s="15">
        <f t="shared" si="7"/>
        <v>4387.7444444444445</v>
      </c>
    </row>
    <row r="46" spans="1:25" x14ac:dyDescent="0.2">
      <c r="H46" s="258"/>
    </row>
    <row r="47" spans="1:25" x14ac:dyDescent="0.2">
      <c r="A47" s="33"/>
      <c r="D47" s="6"/>
      <c r="H47" s="19"/>
      <c r="I47" s="19"/>
      <c r="J47" s="19"/>
      <c r="K47" s="19"/>
      <c r="L47" s="19"/>
      <c r="M47" s="19"/>
      <c r="N47" s="19"/>
      <c r="P47" s="212"/>
      <c r="Q47" s="212"/>
      <c r="R47" s="212"/>
      <c r="S47" s="212"/>
      <c r="T47" s="212"/>
      <c r="U47" s="212"/>
      <c r="V47" s="212"/>
      <c r="W47" s="212"/>
    </row>
    <row r="48" spans="1:25" x14ac:dyDescent="0.2">
      <c r="A48" s="33"/>
      <c r="D48" s="6"/>
      <c r="H48" s="19"/>
      <c r="I48" s="19"/>
      <c r="J48" s="19"/>
      <c r="K48" s="19"/>
      <c r="L48" s="19"/>
      <c r="M48" s="19"/>
      <c r="N48" s="19"/>
      <c r="P48" s="212"/>
      <c r="Q48" s="212"/>
      <c r="R48" s="212"/>
      <c r="S48" s="212"/>
      <c r="T48" s="212"/>
      <c r="U48" s="212"/>
      <c r="V48" s="212"/>
      <c r="W48" s="212"/>
    </row>
    <row r="49" spans="1:24" x14ac:dyDescent="0.2">
      <c r="A49" s="33"/>
      <c r="D49" s="6"/>
      <c r="H49" s="19"/>
      <c r="I49" s="19"/>
      <c r="J49" s="19"/>
      <c r="K49" s="19"/>
      <c r="L49" s="19"/>
      <c r="M49" s="19"/>
      <c r="N49" s="19"/>
      <c r="P49" s="212"/>
      <c r="Q49" s="212"/>
      <c r="R49" s="212"/>
      <c r="S49" s="212"/>
      <c r="T49" s="212"/>
      <c r="U49" s="212"/>
      <c r="V49" s="212"/>
      <c r="W49" s="212"/>
    </row>
    <row r="50" spans="1:24" x14ac:dyDescent="0.2">
      <c r="D50" s="6"/>
      <c r="H50" s="19"/>
      <c r="I50" s="19"/>
      <c r="J50" s="19"/>
      <c r="K50" s="19"/>
      <c r="L50" s="19"/>
      <c r="M50" s="19"/>
      <c r="N50" s="19"/>
      <c r="P50" s="212"/>
      <c r="Q50" s="212"/>
      <c r="R50" s="212"/>
      <c r="S50" s="212"/>
      <c r="T50" s="212"/>
      <c r="U50" s="212"/>
      <c r="V50" s="212"/>
      <c r="W50" s="212"/>
    </row>
    <row r="51" spans="1:24" x14ac:dyDescent="0.2">
      <c r="A51">
        <v>2010</v>
      </c>
      <c r="D51" s="6"/>
      <c r="H51" s="19">
        <f t="shared" ref="H51:N60" si="8">H34/H33</f>
        <v>0.96306166194793075</v>
      </c>
      <c r="I51" s="19">
        <f t="shared" si="8"/>
        <v>0.9714924425221183</v>
      </c>
      <c r="J51" s="19">
        <f t="shared" si="8"/>
        <v>1.115491848710416</v>
      </c>
      <c r="K51" s="19">
        <f t="shared" si="8"/>
        <v>1.0849004093018126</v>
      </c>
      <c r="L51" s="19">
        <f t="shared" si="8"/>
        <v>1.0002512044104652</v>
      </c>
      <c r="M51" s="19">
        <f t="shared" si="8"/>
        <v>1.0385876512732779</v>
      </c>
      <c r="N51" s="19">
        <f t="shared" si="8"/>
        <v>0.58519342498745841</v>
      </c>
      <c r="P51" s="212"/>
      <c r="Q51" s="212"/>
      <c r="R51" s="212"/>
      <c r="S51" s="212"/>
      <c r="T51" s="212"/>
      <c r="U51" s="212"/>
      <c r="V51" s="212"/>
      <c r="W51" s="212"/>
    </row>
    <row r="52" spans="1:24" x14ac:dyDescent="0.2">
      <c r="A52">
        <v>2011</v>
      </c>
      <c r="D52" s="6"/>
      <c r="H52" s="19">
        <f t="shared" si="8"/>
        <v>0.99713148515840366</v>
      </c>
      <c r="I52" s="19">
        <f t="shared" si="8"/>
        <v>1.0035886880974361</v>
      </c>
      <c r="J52" s="19">
        <f t="shared" si="8"/>
        <v>1.0108419597883083</v>
      </c>
      <c r="K52" s="19">
        <f t="shared" si="8"/>
        <v>0.90393774915234137</v>
      </c>
      <c r="L52" s="19">
        <f t="shared" si="8"/>
        <v>0.96353483930659622</v>
      </c>
      <c r="M52" s="19">
        <f t="shared" si="8"/>
        <v>0.90836522604319314</v>
      </c>
      <c r="N52" s="19">
        <f t="shared" si="8"/>
        <v>0.5374416155429419</v>
      </c>
      <c r="P52" s="212"/>
      <c r="Q52" s="212"/>
      <c r="R52" s="212"/>
      <c r="S52" s="212"/>
      <c r="T52" s="212"/>
      <c r="U52" s="212"/>
      <c r="V52" s="212"/>
      <c r="W52" s="212"/>
    </row>
    <row r="53" spans="1:24" x14ac:dyDescent="0.2">
      <c r="A53">
        <v>2012</v>
      </c>
      <c r="D53" s="6"/>
      <c r="H53" s="19">
        <f t="shared" si="8"/>
        <v>0.96848819005590592</v>
      </c>
      <c r="I53" s="19">
        <f t="shared" si="8"/>
        <v>0.9908137858043955</v>
      </c>
      <c r="J53" s="19">
        <f t="shared" si="8"/>
        <v>1.0187785262225009</v>
      </c>
      <c r="K53" s="19">
        <f t="shared" si="8"/>
        <v>0.96321931025614327</v>
      </c>
      <c r="L53" s="19">
        <f t="shared" si="8"/>
        <v>0.87082761097907657</v>
      </c>
      <c r="M53" s="19">
        <f t="shared" si="8"/>
        <v>1.0738218836342837</v>
      </c>
      <c r="N53" s="19">
        <f t="shared" si="8"/>
        <v>1.1180288329324661</v>
      </c>
      <c r="P53" s="212"/>
      <c r="Q53" s="212"/>
      <c r="R53" s="212"/>
      <c r="S53" s="212"/>
      <c r="T53" s="212"/>
      <c r="U53" s="212"/>
      <c r="V53" s="212"/>
      <c r="W53" s="212"/>
    </row>
    <row r="54" spans="1:24" x14ac:dyDescent="0.2">
      <c r="A54">
        <v>2013</v>
      </c>
      <c r="D54" s="6"/>
      <c r="H54" s="19">
        <f t="shared" si="8"/>
        <v>1.0341824255472436</v>
      </c>
      <c r="I54" s="19">
        <f t="shared" si="8"/>
        <v>1.000495942302857</v>
      </c>
      <c r="J54" s="19">
        <f t="shared" si="8"/>
        <v>0.96457810995143078</v>
      </c>
      <c r="K54" s="19">
        <f t="shared" si="8"/>
        <v>1.0014630435248235</v>
      </c>
      <c r="L54" s="19">
        <f t="shared" si="8"/>
        <v>0.84160126039978744</v>
      </c>
      <c r="M54" s="19">
        <f t="shared" si="8"/>
        <v>0.95281500324440449</v>
      </c>
      <c r="N54" s="19">
        <f t="shared" si="8"/>
        <v>1.1372868414488593</v>
      </c>
      <c r="P54" s="212"/>
      <c r="Q54" s="212"/>
      <c r="R54" s="212"/>
      <c r="S54" s="212"/>
      <c r="T54" s="212"/>
      <c r="U54" s="212"/>
      <c r="V54" s="212"/>
      <c r="W54" s="212"/>
    </row>
    <row r="55" spans="1:24" x14ac:dyDescent="0.2">
      <c r="A55" s="52">
        <v>2014</v>
      </c>
      <c r="D55" s="6"/>
      <c r="H55" s="19">
        <f t="shared" si="8"/>
        <v>0.99064353861320653</v>
      </c>
      <c r="I55" s="19">
        <f t="shared" si="8"/>
        <v>0.99991406229230828</v>
      </c>
      <c r="J55" s="19">
        <f t="shared" si="8"/>
        <v>1.0148091637705166</v>
      </c>
      <c r="K55" s="19">
        <f t="shared" si="8"/>
        <v>0.7526632811231635</v>
      </c>
      <c r="L55" s="19">
        <f t="shared" si="8"/>
        <v>0.88768900238658077</v>
      </c>
      <c r="M55" s="19">
        <f t="shared" si="8"/>
        <v>0.95504459482453208</v>
      </c>
      <c r="N55" s="19">
        <f t="shared" si="8"/>
        <v>0.77469456949840498</v>
      </c>
      <c r="P55" s="212"/>
      <c r="Q55" s="212"/>
      <c r="R55" s="212"/>
      <c r="S55" s="212"/>
      <c r="T55" s="212"/>
      <c r="U55" s="212"/>
      <c r="V55" s="212"/>
      <c r="W55" s="212"/>
    </row>
    <row r="56" spans="1:24" x14ac:dyDescent="0.2">
      <c r="A56">
        <v>2015</v>
      </c>
      <c r="D56" s="6"/>
      <c r="H56" s="19">
        <f t="shared" si="8"/>
        <v>0.95500584941651623</v>
      </c>
      <c r="I56" s="19">
        <f t="shared" si="8"/>
        <v>0.98297465599492728</v>
      </c>
      <c r="J56" s="19">
        <f t="shared" si="8"/>
        <v>0.98757121737358244</v>
      </c>
      <c r="K56" s="19">
        <f t="shared" si="8"/>
        <v>1.3175569878732452</v>
      </c>
      <c r="L56" s="19">
        <f t="shared" si="8"/>
        <v>1.0042811854530758</v>
      </c>
      <c r="M56" s="19">
        <f t="shared" si="8"/>
        <v>0.93664662586304859</v>
      </c>
      <c r="N56" s="19">
        <f t="shared" si="8"/>
        <v>0.93316279239787769</v>
      </c>
      <c r="P56" s="212"/>
      <c r="Q56" s="212"/>
      <c r="R56" s="212"/>
      <c r="S56" s="212"/>
      <c r="T56" s="212"/>
      <c r="U56" s="212"/>
      <c r="V56" s="212"/>
      <c r="W56" s="212"/>
    </row>
    <row r="57" spans="1:24" x14ac:dyDescent="0.2">
      <c r="A57" s="52">
        <v>2016</v>
      </c>
      <c r="D57" s="6"/>
      <c r="H57" s="19">
        <f t="shared" si="8"/>
        <v>0.95430953795644324</v>
      </c>
      <c r="I57" s="19">
        <f t="shared" si="8"/>
        <v>0.96027948712564859</v>
      </c>
      <c r="J57" s="19">
        <f t="shared" si="8"/>
        <v>0.93264668330967371</v>
      </c>
      <c r="K57" s="19">
        <f t="shared" si="8"/>
        <v>0.94739370063252359</v>
      </c>
      <c r="L57" s="19">
        <f t="shared" si="8"/>
        <v>1.0026418227437293</v>
      </c>
      <c r="M57" s="19">
        <f t="shared" si="8"/>
        <v>0.37848178089264201</v>
      </c>
      <c r="N57" s="19">
        <f t="shared" si="8"/>
        <v>0.99999930124641323</v>
      </c>
      <c r="P57" s="212"/>
      <c r="Q57" s="212"/>
      <c r="R57" s="212"/>
      <c r="S57" s="212"/>
      <c r="T57" s="212"/>
      <c r="U57" s="212"/>
      <c r="V57" s="212"/>
      <c r="W57" s="212"/>
    </row>
    <row r="58" spans="1:24" x14ac:dyDescent="0.2">
      <c r="A58">
        <v>2017</v>
      </c>
      <c r="D58" s="6"/>
      <c r="H58" s="19">
        <f t="shared" si="8"/>
        <v>0.97973611403738281</v>
      </c>
      <c r="I58" s="19">
        <f t="shared" si="8"/>
        <v>0.97903950695970732</v>
      </c>
      <c r="J58" s="19">
        <f t="shared" si="8"/>
        <v>0.96677034846514853</v>
      </c>
      <c r="K58" s="19">
        <f t="shared" si="8"/>
        <v>0.98317690858773221</v>
      </c>
      <c r="L58" s="19">
        <f t="shared" si="8"/>
        <v>0.9969973780877075</v>
      </c>
      <c r="M58" s="19">
        <f t="shared" si="8"/>
        <v>0.84102262681119266</v>
      </c>
      <c r="N58" s="19">
        <f t="shared" si="8"/>
        <v>1.0000006987540748</v>
      </c>
      <c r="P58" s="212"/>
      <c r="Q58" s="212"/>
      <c r="R58" s="212"/>
      <c r="S58" s="212"/>
      <c r="T58" s="212"/>
      <c r="U58" s="212"/>
      <c r="V58" s="212"/>
      <c r="W58" s="212"/>
    </row>
    <row r="59" spans="1:24" x14ac:dyDescent="0.2">
      <c r="A59" s="52">
        <v>2018</v>
      </c>
      <c r="D59" s="6"/>
      <c r="H59" s="19">
        <f t="shared" si="8"/>
        <v>1.0644527208440318</v>
      </c>
      <c r="I59" s="19">
        <f t="shared" si="8"/>
        <v>1.0381928550198964</v>
      </c>
      <c r="J59" s="19">
        <f t="shared" si="8"/>
        <v>1.0098732538435813</v>
      </c>
      <c r="K59" s="19">
        <f t="shared" si="8"/>
        <v>0.97960194513384791</v>
      </c>
      <c r="L59" s="19">
        <f t="shared" si="8"/>
        <v>0.99765585674484347</v>
      </c>
      <c r="M59" s="19">
        <f t="shared" si="8"/>
        <v>0.99112914287060117</v>
      </c>
      <c r="N59" s="19">
        <f t="shared" si="8"/>
        <v>0.97994647081690589</v>
      </c>
      <c r="P59" s="212"/>
      <c r="Q59" s="212"/>
      <c r="R59" s="212"/>
      <c r="S59" s="212"/>
      <c r="T59" s="212"/>
      <c r="U59" s="212"/>
      <c r="V59" s="212"/>
      <c r="W59" s="212"/>
    </row>
    <row r="60" spans="1:24" x14ac:dyDescent="0.2">
      <c r="A60">
        <v>2019</v>
      </c>
      <c r="D60" s="6"/>
      <c r="H60" s="19">
        <f t="shared" si="8"/>
        <v>1.0029917268468389</v>
      </c>
      <c r="I60" s="19">
        <f t="shared" si="8"/>
        <v>0.98321141415219904</v>
      </c>
      <c r="J60" s="19">
        <f t="shared" si="8"/>
        <v>0.98076618002798732</v>
      </c>
      <c r="K60" s="19">
        <f t="shared" si="8"/>
        <v>0.94854970834596619</v>
      </c>
      <c r="L60" s="19">
        <f t="shared" si="8"/>
        <v>1.0023496511741083</v>
      </c>
      <c r="M60" s="19">
        <f t="shared" si="8"/>
        <v>1.0005272877025353</v>
      </c>
      <c r="N60" s="19">
        <f t="shared" si="8"/>
        <v>1.0428978381770486</v>
      </c>
      <c r="P60" s="212"/>
      <c r="Q60" s="212"/>
      <c r="R60" s="212"/>
      <c r="S60" s="212"/>
      <c r="T60" s="212"/>
      <c r="U60" s="212"/>
      <c r="V60" s="212"/>
      <c r="W60" s="212"/>
    </row>
    <row r="61" spans="1:24" x14ac:dyDescent="0.2">
      <c r="A61" s="3"/>
      <c r="D61" s="6"/>
      <c r="E61" s="6"/>
      <c r="F61" s="6"/>
      <c r="H61" s="21"/>
      <c r="I61" s="21"/>
      <c r="J61" s="21"/>
      <c r="K61" s="21"/>
      <c r="L61" s="21"/>
      <c r="M61" s="21"/>
      <c r="N61" s="21"/>
    </row>
    <row r="62" spans="1:24" x14ac:dyDescent="0.2">
      <c r="A62" t="s">
        <v>17</v>
      </c>
      <c r="D62" s="6"/>
      <c r="H62" s="19">
        <f t="shared" ref="H62:N62" si="9">H64</f>
        <v>1.0151049557589322</v>
      </c>
      <c r="I62" s="19">
        <f t="shared" si="9"/>
        <v>0.99978907818979235</v>
      </c>
      <c r="J62" s="19">
        <f t="shared" si="9"/>
        <v>0.98564053972049315</v>
      </c>
      <c r="K62" s="19">
        <f t="shared" si="9"/>
        <v>0.97031735945217557</v>
      </c>
      <c r="L62" s="19">
        <f t="shared" si="9"/>
        <v>0.99899812260613774</v>
      </c>
      <c r="M62" s="19">
        <f t="shared" si="9"/>
        <v>0.94128749267579903</v>
      </c>
      <c r="N62" s="19">
        <f t="shared" si="9"/>
        <v>1.0072751997992335</v>
      </c>
    </row>
    <row r="63" spans="1:24" ht="13.5" thickBot="1" x14ac:dyDescent="0.25">
      <c r="A63" s="3"/>
      <c r="D63" s="6"/>
      <c r="H63" s="9"/>
      <c r="I63" s="9"/>
      <c r="K63" s="8"/>
      <c r="L63" s="8"/>
      <c r="M63" s="8"/>
      <c r="N63" s="8"/>
    </row>
    <row r="64" spans="1:24" ht="13.5" thickBot="1" x14ac:dyDescent="0.25">
      <c r="A64" t="s">
        <v>118</v>
      </c>
      <c r="D64" s="6"/>
      <c r="H64" s="53">
        <f>GEOMEAN(H58:H60)</f>
        <v>1.0151049557589322</v>
      </c>
      <c r="I64" s="53">
        <f t="shared" ref="I64:N64" si="10">GEOMEAN(I58:I60)</f>
        <v>0.99978907818979235</v>
      </c>
      <c r="J64" s="53">
        <f t="shared" si="10"/>
        <v>0.98564053972049315</v>
      </c>
      <c r="K64" s="53">
        <f t="shared" si="10"/>
        <v>0.97031735945217557</v>
      </c>
      <c r="L64" s="53">
        <f t="shared" si="10"/>
        <v>0.99899812260613774</v>
      </c>
      <c r="M64" s="53">
        <f t="shared" si="10"/>
        <v>0.94128749267579903</v>
      </c>
      <c r="N64" s="53">
        <f t="shared" si="10"/>
        <v>1.0072751997992335</v>
      </c>
      <c r="O64" s="454" t="s">
        <v>159</v>
      </c>
      <c r="P64" s="455"/>
      <c r="R64" s="201"/>
      <c r="S64" s="201"/>
      <c r="T64" s="201"/>
      <c r="U64" s="201"/>
      <c r="V64" s="201"/>
      <c r="W64" s="201"/>
      <c r="X64" s="201"/>
    </row>
    <row r="65" spans="1:19" x14ac:dyDescent="0.2">
      <c r="D65" s="6"/>
      <c r="H65" s="19"/>
      <c r="I65" s="19"/>
      <c r="J65" s="19"/>
      <c r="K65" s="19"/>
      <c r="L65" s="19"/>
      <c r="M65" s="19"/>
      <c r="N65" s="19"/>
    </row>
    <row r="66" spans="1:19" x14ac:dyDescent="0.2">
      <c r="A66" s="13" t="s">
        <v>41</v>
      </c>
    </row>
    <row r="67" spans="1:19" x14ac:dyDescent="0.2">
      <c r="A67" s="207">
        <v>2020</v>
      </c>
      <c r="G67" s="6">
        <f>SUM(H67:N67)</f>
        <v>497930978.73158717</v>
      </c>
      <c r="H67" s="6">
        <f>+H44*'Rate Class Customer Model'!B24</f>
        <v>201175247.48469946</v>
      </c>
      <c r="I67" s="6">
        <f>+I44*'Rate Class Customer Model'!C24</f>
        <v>80332664.262872502</v>
      </c>
      <c r="J67" s="6">
        <f>+J44*'Rate Class Customer Model'!D24</f>
        <v>199330186.732921</v>
      </c>
      <c r="K67" s="6">
        <f>+K44*'Rate Class Customer Model'!E24</f>
        <v>14897243.509943135</v>
      </c>
      <c r="L67" s="6">
        <f>+L44*'Rate Class Customer Model'!F24</f>
        <v>2036368.7200000002</v>
      </c>
      <c r="M67" s="6">
        <f>+M44*'Rate Class Customer Model'!G24</f>
        <v>119778.32115107913</v>
      </c>
      <c r="N67" s="6">
        <f>+N44*'Rate Class Customer Model'!H24</f>
        <v>39489.699999999997</v>
      </c>
    </row>
    <row r="68" spans="1:19" x14ac:dyDescent="0.2">
      <c r="A68">
        <v>2021</v>
      </c>
      <c r="F68" s="6"/>
      <c r="G68" s="6">
        <f>SUM(H68:N68)</f>
        <v>500146068.10489124</v>
      </c>
      <c r="H68" s="6">
        <f>+H45*'Rate Class Customer Model'!B25</f>
        <v>204558882.03125903</v>
      </c>
      <c r="I68" s="6">
        <f>+I45*'Rate Class Customer Model'!C25</f>
        <v>80255127.579103217</v>
      </c>
      <c r="J68" s="6">
        <f>+J45*'Rate Class Customer Model'!D25</f>
        <v>198683716.36222622</v>
      </c>
      <c r="K68" s="6">
        <f>+K45*'Rate Class Customer Model'!E25</f>
        <v>14455053.985684082</v>
      </c>
      <c r="L68" s="6">
        <f>+L45*'Rate Class Customer Model'!F25</f>
        <v>2036368.7200000002</v>
      </c>
      <c r="M68" s="6">
        <f>+M45*'Rate Class Customer Model'!G25</f>
        <v>117429.72661870504</v>
      </c>
      <c r="N68" s="6">
        <f>+N45*'Rate Class Customer Model'!H25</f>
        <v>39489.699999999997</v>
      </c>
    </row>
    <row r="69" spans="1:19" x14ac:dyDescent="0.2">
      <c r="Q69" s="456"/>
    </row>
    <row r="70" spans="1:19" x14ac:dyDescent="0.2">
      <c r="A70" s="13" t="s">
        <v>166</v>
      </c>
      <c r="O70" s="6" t="s">
        <v>16</v>
      </c>
      <c r="P70" s="6" t="s">
        <v>177</v>
      </c>
      <c r="Q70" s="457"/>
    </row>
    <row r="71" spans="1:19" x14ac:dyDescent="0.2">
      <c r="A71">
        <f>A67</f>
        <v>2020</v>
      </c>
      <c r="G71" s="15">
        <f>G21</f>
        <v>494560346.33527142</v>
      </c>
      <c r="H71" s="21">
        <f t="shared" ref="H71:N71" si="11">H67+H80-H83+H88</f>
        <v>199682216.91900477</v>
      </c>
      <c r="I71" s="21">
        <f t="shared" si="11"/>
        <v>79636963.846008897</v>
      </c>
      <c r="J71" s="21">
        <f t="shared" si="11"/>
        <v>196683267.31916356</v>
      </c>
      <c r="K71" s="21">
        <f t="shared" si="11"/>
        <v>14897243.509943135</v>
      </c>
      <c r="L71" s="21">
        <f t="shared" si="11"/>
        <v>2036368.7200000002</v>
      </c>
      <c r="M71" s="21">
        <f t="shared" si="11"/>
        <v>119778.32115107913</v>
      </c>
      <c r="N71" s="21">
        <f t="shared" si="11"/>
        <v>39489.699999999997</v>
      </c>
      <c r="O71" s="55">
        <f>SUM(H71:N71)</f>
        <v>493095328.33527148</v>
      </c>
      <c r="P71" s="6">
        <f>O83</f>
        <v>1465018</v>
      </c>
      <c r="Q71" s="266"/>
      <c r="R71" s="6">
        <f>SUM(O71:Q71)</f>
        <v>494560346.33527148</v>
      </c>
      <c r="S71" s="6">
        <f>R71-G71</f>
        <v>0</v>
      </c>
    </row>
    <row r="72" spans="1:19" x14ac:dyDescent="0.2">
      <c r="A72">
        <f>A68</f>
        <v>2021</v>
      </c>
      <c r="F72" s="6"/>
      <c r="G72" s="15">
        <f>G22</f>
        <v>493731526.87026399</v>
      </c>
      <c r="H72" s="21">
        <f>H68+H81-H84+B89</f>
        <v>201705111.05903772</v>
      </c>
      <c r="I72" s="21">
        <f>I68+I81-I84+C89</f>
        <v>79035853.179389015</v>
      </c>
      <c r="J72" s="21">
        <f>J68+J81-J84+D89</f>
        <v>194877202.49953446</v>
      </c>
      <c r="K72" s="21">
        <f>K68+K81-K84+E89</f>
        <v>14455053.985684082</v>
      </c>
      <c r="L72" s="21">
        <f>L68+L81-L84+F89</f>
        <v>2036368.7200000002</v>
      </c>
      <c r="M72" s="21">
        <f>M68+M81-M84+G89</f>
        <v>117429.72661870504</v>
      </c>
      <c r="N72" s="21">
        <f>N68+N81-N84</f>
        <v>39489.699999999997</v>
      </c>
      <c r="O72" s="55">
        <f>SUM(H72:N72)</f>
        <v>492266508.87026399</v>
      </c>
      <c r="P72" s="6">
        <f>O84</f>
        <v>1465018</v>
      </c>
      <c r="Q72" s="266"/>
      <c r="R72" s="6">
        <f>SUM(O72:Q72)</f>
        <v>493731526.87026399</v>
      </c>
      <c r="S72" s="6">
        <f>R72-G72</f>
        <v>0</v>
      </c>
    </row>
    <row r="73" spans="1:19" x14ac:dyDescent="0.2">
      <c r="F73" s="6"/>
      <c r="G73" s="21"/>
      <c r="H73" s="21"/>
      <c r="I73" s="21"/>
      <c r="J73" s="21"/>
      <c r="K73" s="21"/>
      <c r="L73" s="21"/>
      <c r="M73" s="21"/>
      <c r="N73" s="21"/>
      <c r="O73" s="55"/>
    </row>
    <row r="74" spans="1:19" x14ac:dyDescent="0.2">
      <c r="I74" s="39"/>
      <c r="J74" s="39" t="s">
        <v>60</v>
      </c>
      <c r="K74" s="39"/>
    </row>
    <row r="75" spans="1:19" x14ac:dyDescent="0.2">
      <c r="A75" t="s">
        <v>42</v>
      </c>
      <c r="H75" s="38">
        <v>0.91</v>
      </c>
      <c r="I75" s="38">
        <v>0.91</v>
      </c>
      <c r="J75" s="38">
        <v>0.81620000000000004</v>
      </c>
      <c r="K75" s="38">
        <v>0</v>
      </c>
      <c r="L75" s="38">
        <v>0</v>
      </c>
      <c r="M75" s="38">
        <v>0</v>
      </c>
      <c r="N75" s="38">
        <v>0</v>
      </c>
      <c r="O75" s="6" t="s">
        <v>16</v>
      </c>
      <c r="P75" s="390"/>
      <c r="Q75" s="21"/>
    </row>
    <row r="76" spans="1:19" x14ac:dyDescent="0.2">
      <c r="A76">
        <f>A71</f>
        <v>2020</v>
      </c>
      <c r="G76" s="21">
        <f>G71-G67</f>
        <v>-3370632.3963157535</v>
      </c>
      <c r="H76" s="21">
        <f>H67*H75</f>
        <v>183069475.2110765</v>
      </c>
      <c r="I76" s="21">
        <f t="shared" ref="I76:N76" si="12">I67*I75</f>
        <v>73102724.479213983</v>
      </c>
      <c r="J76" s="21">
        <f t="shared" si="12"/>
        <v>162693298.41141012</v>
      </c>
      <c r="K76" s="21">
        <f t="shared" si="12"/>
        <v>0</v>
      </c>
      <c r="L76" s="21">
        <f t="shared" si="12"/>
        <v>0</v>
      </c>
      <c r="M76" s="21">
        <f t="shared" si="12"/>
        <v>0</v>
      </c>
      <c r="N76" s="21">
        <f t="shared" si="12"/>
        <v>0</v>
      </c>
      <c r="O76" s="6">
        <f>SUM(H76:N76)</f>
        <v>418865498.1017006</v>
      </c>
    </row>
    <row r="77" spans="1:19" x14ac:dyDescent="0.2">
      <c r="A77">
        <f>A72</f>
        <v>2021</v>
      </c>
      <c r="F77" s="46"/>
      <c r="G77" s="21">
        <f>G72-G68</f>
        <v>-6414541.2346272469</v>
      </c>
      <c r="H77" s="21">
        <f>H68*H75</f>
        <v>186148582.64844573</v>
      </c>
      <c r="I77" s="21">
        <f t="shared" ref="I77:N77" si="13">I68*I75</f>
        <v>73032166.096983925</v>
      </c>
      <c r="J77" s="21">
        <f t="shared" si="13"/>
        <v>162165649.29484904</v>
      </c>
      <c r="K77" s="21">
        <f t="shared" si="13"/>
        <v>0</v>
      </c>
      <c r="L77" s="21">
        <f t="shared" si="13"/>
        <v>0</v>
      </c>
      <c r="M77" s="21">
        <f t="shared" si="13"/>
        <v>0</v>
      </c>
      <c r="N77" s="21">
        <f t="shared" si="13"/>
        <v>0</v>
      </c>
      <c r="O77" s="6">
        <f>SUM(H77:N77)</f>
        <v>421346398.04027867</v>
      </c>
    </row>
    <row r="78" spans="1:19" ht="12" customHeight="1" x14ac:dyDescent="0.2">
      <c r="G78" s="21"/>
      <c r="H78" s="21"/>
      <c r="I78" s="21"/>
      <c r="J78" s="21"/>
      <c r="K78" s="21"/>
    </row>
    <row r="79" spans="1:19" x14ac:dyDescent="0.2">
      <c r="A79" t="s">
        <v>43</v>
      </c>
      <c r="G79" s="21"/>
      <c r="H79" s="21"/>
      <c r="I79" s="21"/>
      <c r="J79" s="21"/>
      <c r="K79" s="21"/>
    </row>
    <row r="80" spans="1:19" x14ac:dyDescent="0.2">
      <c r="A80">
        <f>A76</f>
        <v>2020</v>
      </c>
      <c r="G80" s="21"/>
      <c r="H80" s="21">
        <f>H76/$O$76*$G$76</f>
        <v>-1473169.5656947042</v>
      </c>
      <c r="I80" s="21">
        <f t="shared" ref="I80:N80" si="14">I76/$O$76*$G$76</f>
        <v>-588261.41686359851</v>
      </c>
      <c r="J80" s="21">
        <f t="shared" si="14"/>
        <v>-1309201.4137574509</v>
      </c>
      <c r="K80" s="21">
        <f t="shared" si="14"/>
        <v>0</v>
      </c>
      <c r="L80" s="21">
        <f t="shared" si="14"/>
        <v>0</v>
      </c>
      <c r="M80" s="21">
        <f t="shared" si="14"/>
        <v>0</v>
      </c>
      <c r="N80" s="21">
        <f t="shared" si="14"/>
        <v>0</v>
      </c>
      <c r="O80" s="6">
        <f>SUM(H80:N80)</f>
        <v>-3370632.3963157535</v>
      </c>
    </row>
    <row r="81" spans="1:22" x14ac:dyDescent="0.2">
      <c r="A81">
        <f>A77</f>
        <v>2021</v>
      </c>
      <c r="G81" s="21"/>
      <c r="H81" s="21">
        <f t="shared" ref="H81:N81" si="15">H77/$O$77*$G$77</f>
        <v>-2833909.9722213056</v>
      </c>
      <c r="I81" s="21">
        <f t="shared" si="15"/>
        <v>-1111835.3997141947</v>
      </c>
      <c r="J81" s="21">
        <f t="shared" si="15"/>
        <v>-2468795.862691747</v>
      </c>
      <c r="K81" s="21">
        <f t="shared" si="15"/>
        <v>0</v>
      </c>
      <c r="L81" s="21">
        <f t="shared" si="15"/>
        <v>0</v>
      </c>
      <c r="M81" s="21">
        <f t="shared" si="15"/>
        <v>0</v>
      </c>
      <c r="N81" s="21">
        <f t="shared" si="15"/>
        <v>0</v>
      </c>
      <c r="O81" s="6">
        <f>SUM(H81:N81)</f>
        <v>-6414541.2346272469</v>
      </c>
      <c r="P81" s="183"/>
      <c r="Q81" s="21"/>
      <c r="R81" s="21"/>
    </row>
    <row r="83" spans="1:22" s="25" customFormat="1" x14ac:dyDescent="0.2">
      <c r="A83" s="284" t="s">
        <v>182</v>
      </c>
      <c r="B83" s="129"/>
      <c r="C83" s="129"/>
      <c r="D83" s="129"/>
      <c r="E83" s="129"/>
      <c r="F83" s="129"/>
      <c r="G83" s="130">
        <v>2020</v>
      </c>
      <c r="H83" s="21">
        <v>19861</v>
      </c>
      <c r="I83" s="21">
        <v>107439</v>
      </c>
      <c r="J83" s="21">
        <f>+H102</f>
        <v>1337718</v>
      </c>
      <c r="K83" s="21"/>
      <c r="L83" s="21"/>
      <c r="M83" s="21"/>
      <c r="N83" s="21"/>
      <c r="O83" s="21">
        <f>+H83+I83+J83</f>
        <v>1465018</v>
      </c>
      <c r="P83" s="21"/>
      <c r="Q83" s="21"/>
      <c r="R83" s="21"/>
      <c r="S83" s="21"/>
      <c r="T83" s="21"/>
    </row>
    <row r="84" spans="1:22" s="25" customFormat="1" x14ac:dyDescent="0.2">
      <c r="A84" s="130"/>
      <c r="B84" s="129"/>
      <c r="C84" s="129"/>
      <c r="D84" s="129"/>
      <c r="E84" s="129"/>
      <c r="F84" s="129"/>
      <c r="G84" s="130">
        <v>2021</v>
      </c>
      <c r="H84" s="21">
        <v>19861</v>
      </c>
      <c r="I84" s="21">
        <v>107439</v>
      </c>
      <c r="J84" s="21">
        <f>+H102</f>
        <v>1337718</v>
      </c>
      <c r="K84" s="21"/>
      <c r="L84" s="21"/>
      <c r="M84" s="21"/>
      <c r="N84" s="21"/>
      <c r="O84" s="21">
        <f>+H84+I84+J84</f>
        <v>1465018</v>
      </c>
      <c r="P84" s="21"/>
      <c r="Q84" s="21"/>
      <c r="R84" s="21"/>
      <c r="S84" s="21"/>
      <c r="T84" s="21"/>
    </row>
    <row r="85" spans="1:22" x14ac:dyDescent="0.2">
      <c r="G85" s="21"/>
      <c r="H85" s="21"/>
      <c r="I85" s="21"/>
      <c r="J85" s="21"/>
      <c r="K85" s="21"/>
      <c r="L85" s="21"/>
      <c r="M85" s="21"/>
      <c r="N85" s="21"/>
      <c r="P85" s="21"/>
      <c r="Q85" s="21"/>
      <c r="R85" s="21"/>
      <c r="S85" s="21"/>
      <c r="T85" s="21"/>
      <c r="U85" s="25"/>
      <c r="V85" s="25"/>
    </row>
    <row r="86" spans="1:22" x14ac:dyDescent="0.2">
      <c r="A86" s="130"/>
      <c r="B86" s="17"/>
      <c r="C86" s="17"/>
      <c r="D86" s="17"/>
      <c r="E86" s="17"/>
      <c r="F86" s="374"/>
      <c r="G86" s="130"/>
      <c r="H86" s="47"/>
      <c r="I86" s="47"/>
      <c r="J86" s="47"/>
      <c r="K86" s="47"/>
      <c r="L86" s="21"/>
      <c r="M86" s="21"/>
      <c r="N86" s="21"/>
      <c r="O86" s="21"/>
      <c r="P86" s="21"/>
      <c r="Q86" s="21"/>
      <c r="R86" s="21"/>
      <c r="S86" s="21"/>
      <c r="T86" s="21"/>
      <c r="U86" s="25"/>
      <c r="V86" s="25"/>
    </row>
    <row r="87" spans="1:22" x14ac:dyDescent="0.2">
      <c r="A87" s="25"/>
      <c r="B87" s="17"/>
      <c r="C87" s="17"/>
      <c r="D87" s="17"/>
      <c r="E87" s="17"/>
      <c r="F87" s="17"/>
      <c r="G87" s="25"/>
      <c r="H87" s="47"/>
      <c r="I87" s="47"/>
      <c r="J87" s="47"/>
      <c r="K87" s="47"/>
      <c r="L87" s="21"/>
      <c r="M87" s="21"/>
      <c r="N87" s="21"/>
      <c r="O87" s="21"/>
      <c r="P87" s="21"/>
      <c r="Q87" s="21"/>
      <c r="R87" s="21"/>
      <c r="S87" s="21"/>
      <c r="T87" s="21"/>
      <c r="U87" s="25"/>
      <c r="V87" s="25"/>
    </row>
    <row r="88" spans="1:22" ht="13.5" thickBot="1" x14ac:dyDescent="0.25">
      <c r="A88" s="25"/>
      <c r="B88" s="17"/>
      <c r="C88" s="17"/>
      <c r="D88" s="17"/>
      <c r="E88" s="17"/>
      <c r="F88" s="17"/>
      <c r="G88" s="13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5"/>
      <c r="V88" s="25"/>
    </row>
    <row r="89" spans="1:22" x14ac:dyDescent="0.2">
      <c r="A89" s="6"/>
      <c r="B89" s="161"/>
      <c r="C89" s="161"/>
      <c r="D89" s="161"/>
      <c r="E89" s="161"/>
      <c r="F89" s="161"/>
      <c r="H89" s="459">
        <v>2517387</v>
      </c>
      <c r="I89" s="460" t="s">
        <v>291</v>
      </c>
      <c r="J89" s="461"/>
      <c r="K89" s="461"/>
      <c r="L89" s="461"/>
      <c r="M89" s="461"/>
      <c r="N89" s="461"/>
      <c r="O89" s="462"/>
      <c r="P89"/>
      <c r="Q89"/>
      <c r="R89"/>
      <c r="S89"/>
      <c r="T89"/>
    </row>
    <row r="90" spans="1:22" x14ac:dyDescent="0.2">
      <c r="A90" s="258"/>
      <c r="B90" s="6"/>
      <c r="C90" s="6"/>
      <c r="D90" s="6"/>
      <c r="E90" s="6"/>
      <c r="F90" s="6"/>
      <c r="H90" s="463"/>
      <c r="I90" s="464"/>
      <c r="J90" s="464"/>
      <c r="K90" s="464"/>
      <c r="L90" s="464"/>
      <c r="M90" s="464"/>
      <c r="N90" s="464"/>
      <c r="O90" s="465"/>
      <c r="P90"/>
      <c r="Q90"/>
      <c r="R90"/>
      <c r="S90"/>
      <c r="T90"/>
    </row>
    <row r="91" spans="1:22" x14ac:dyDescent="0.2">
      <c r="A91" s="258"/>
      <c r="B91" s="6"/>
      <c r="C91" s="6"/>
      <c r="D91" s="6"/>
      <c r="E91" s="6"/>
      <c r="F91" s="6"/>
      <c r="H91" s="463">
        <v>2322262</v>
      </c>
      <c r="I91" s="466" t="s">
        <v>292</v>
      </c>
      <c r="J91" s="466"/>
      <c r="K91" s="466"/>
      <c r="L91" s="464"/>
      <c r="M91" s="464"/>
      <c r="N91" s="464"/>
      <c r="O91" s="465"/>
      <c r="P91"/>
      <c r="Q91"/>
      <c r="R91"/>
      <c r="S91"/>
      <c r="T91"/>
    </row>
    <row r="92" spans="1:22" x14ac:dyDescent="0.2">
      <c r="A92" s="258"/>
      <c r="B92" s="6"/>
      <c r="C92" s="6"/>
      <c r="D92" s="6"/>
      <c r="E92" s="6"/>
      <c r="F92" s="6"/>
      <c r="H92" s="467">
        <v>195125</v>
      </c>
      <c r="I92" s="466" t="s">
        <v>293</v>
      </c>
      <c r="J92" s="466"/>
      <c r="K92" s="466"/>
      <c r="L92" s="464"/>
      <c r="M92" s="464"/>
      <c r="N92" s="464"/>
      <c r="O92" s="465"/>
      <c r="P92"/>
      <c r="Q92"/>
      <c r="R92"/>
      <c r="S92"/>
      <c r="T92"/>
    </row>
    <row r="93" spans="1:22" x14ac:dyDescent="0.2">
      <c r="A93" s="258"/>
      <c r="F93" s="6"/>
      <c r="H93" s="463">
        <f>+H92+H91</f>
        <v>2517387</v>
      </c>
      <c r="I93" s="466"/>
      <c r="J93" s="466"/>
      <c r="K93" s="466"/>
      <c r="L93" s="464"/>
      <c r="M93" s="464"/>
      <c r="N93" s="464"/>
      <c r="O93" s="465"/>
      <c r="P93"/>
      <c r="Q93"/>
      <c r="R93"/>
      <c r="S93"/>
      <c r="T93"/>
    </row>
    <row r="94" spans="1:22" x14ac:dyDescent="0.2">
      <c r="A94" s="1"/>
      <c r="F94" s="6"/>
      <c r="H94" s="463"/>
      <c r="I94" s="466"/>
      <c r="J94" s="466"/>
      <c r="K94" s="466"/>
      <c r="L94" s="464"/>
      <c r="M94" s="464"/>
      <c r="N94" s="464"/>
      <c r="O94" s="465"/>
      <c r="P94"/>
      <c r="Q94"/>
      <c r="R94"/>
      <c r="S94"/>
      <c r="T94"/>
    </row>
    <row r="95" spans="1:22" x14ac:dyDescent="0.2">
      <c r="A95" s="1"/>
      <c r="F95" s="161"/>
      <c r="H95" s="468"/>
      <c r="I95" s="464"/>
      <c r="J95" s="464"/>
      <c r="K95" s="464"/>
      <c r="L95" s="464"/>
      <c r="M95" s="464"/>
      <c r="N95" s="464"/>
      <c r="O95" s="465"/>
      <c r="P95"/>
      <c r="Q95"/>
      <c r="R95"/>
      <c r="S95"/>
      <c r="T95"/>
    </row>
    <row r="96" spans="1:22" x14ac:dyDescent="0.2">
      <c r="A96" s="275"/>
      <c r="F96" s="161"/>
      <c r="H96" s="469" t="s">
        <v>294</v>
      </c>
      <c r="I96" s="470"/>
      <c r="J96" s="464"/>
      <c r="K96" s="464"/>
      <c r="L96" s="464"/>
      <c r="M96" s="464"/>
      <c r="N96" s="464"/>
      <c r="O96" s="465"/>
      <c r="P96"/>
      <c r="Q96"/>
      <c r="R96"/>
      <c r="S96"/>
      <c r="T96"/>
    </row>
    <row r="97" spans="1:20" x14ac:dyDescent="0.2">
      <c r="A97" s="258"/>
      <c r="F97" s="161"/>
      <c r="H97" s="468"/>
      <c r="I97" s="464"/>
      <c r="J97" s="464"/>
      <c r="K97" s="464"/>
      <c r="L97" s="464"/>
      <c r="M97" s="464"/>
      <c r="N97" s="464"/>
      <c r="O97" s="465"/>
      <c r="P97"/>
      <c r="Q97"/>
      <c r="R97"/>
      <c r="S97"/>
      <c r="T97"/>
    </row>
    <row r="98" spans="1:20" x14ac:dyDescent="0.2">
      <c r="A98" s="1"/>
      <c r="F98" s="161"/>
      <c r="H98" s="463">
        <f>+H91</f>
        <v>2322262</v>
      </c>
      <c r="I98" s="466" t="s">
        <v>292</v>
      </c>
      <c r="J98" s="464"/>
      <c r="K98" s="464"/>
      <c r="L98" s="464"/>
      <c r="M98" s="464"/>
      <c r="N98" s="464"/>
      <c r="O98" s="465"/>
      <c r="P98"/>
      <c r="Q98"/>
      <c r="R98"/>
      <c r="S98"/>
      <c r="T98"/>
    </row>
    <row r="99" spans="1:20" x14ac:dyDescent="0.2">
      <c r="A99" s="1"/>
      <c r="F99" s="6"/>
      <c r="H99" s="467">
        <v>1179669</v>
      </c>
      <c r="I99" s="470" t="s">
        <v>295</v>
      </c>
      <c r="J99" s="464"/>
      <c r="K99" s="464"/>
      <c r="L99" s="464"/>
      <c r="M99" s="464"/>
      <c r="N99" s="464"/>
      <c r="O99" s="465"/>
      <c r="P99"/>
      <c r="Q99"/>
      <c r="R99"/>
      <c r="S99"/>
      <c r="T99"/>
    </row>
    <row r="100" spans="1:20" x14ac:dyDescent="0.2">
      <c r="A100" s="6"/>
      <c r="F100" s="6"/>
      <c r="H100" s="463">
        <f>+H98-H99</f>
        <v>1142593</v>
      </c>
      <c r="I100" s="464"/>
      <c r="J100" s="464"/>
      <c r="K100" s="464"/>
      <c r="L100" s="464"/>
      <c r="M100" s="464"/>
      <c r="N100" s="464"/>
      <c r="O100" s="465"/>
      <c r="P100"/>
      <c r="Q100"/>
      <c r="R100"/>
      <c r="S100"/>
      <c r="T100"/>
    </row>
    <row r="101" spans="1:20" x14ac:dyDescent="0.2">
      <c r="A101" s="275"/>
      <c r="F101" s="6"/>
      <c r="H101" s="463"/>
      <c r="I101" s="464"/>
      <c r="J101" s="464"/>
      <c r="K101" s="464"/>
      <c r="L101" s="464"/>
      <c r="M101" s="464"/>
      <c r="N101" s="464"/>
      <c r="O101" s="465"/>
      <c r="P101"/>
      <c r="Q101"/>
      <c r="R101"/>
      <c r="S101"/>
      <c r="T101"/>
    </row>
    <row r="102" spans="1:20" ht="13.5" thickBot="1" x14ac:dyDescent="0.25">
      <c r="A102" s="258"/>
      <c r="F102" s="6"/>
      <c r="G102" s="458"/>
      <c r="H102" s="471">
        <f>+H100+H92</f>
        <v>1337718</v>
      </c>
      <c r="I102" s="472" t="s">
        <v>296</v>
      </c>
      <c r="J102" s="473"/>
      <c r="K102" s="473"/>
      <c r="L102" s="473"/>
      <c r="M102" s="473"/>
      <c r="N102" s="473"/>
      <c r="O102" s="474"/>
      <c r="P102"/>
      <c r="Q102"/>
      <c r="R102"/>
      <c r="S102"/>
      <c r="T102"/>
    </row>
    <row r="103" spans="1:20" x14ac:dyDescent="0.2">
      <c r="A103" s="258"/>
      <c r="F103" s="6"/>
      <c r="G103" s="458"/>
      <c r="O103"/>
      <c r="P103"/>
      <c r="Q103"/>
      <c r="R103"/>
      <c r="S103"/>
      <c r="T103"/>
    </row>
    <row r="104" spans="1:20" x14ac:dyDescent="0.2">
      <c r="A104" s="258"/>
      <c r="F104" s="6"/>
      <c r="O104"/>
      <c r="P104"/>
      <c r="Q104"/>
      <c r="R104"/>
      <c r="S104"/>
      <c r="T104"/>
    </row>
    <row r="105" spans="1:20" x14ac:dyDescent="0.2">
      <c r="A105" s="258"/>
      <c r="F105" s="6"/>
      <c r="O105"/>
      <c r="P105"/>
      <c r="Q105"/>
      <c r="R105"/>
      <c r="S105"/>
      <c r="T105"/>
    </row>
    <row r="106" spans="1:20" x14ac:dyDescent="0.2">
      <c r="A106" s="1"/>
      <c r="F106" s="6"/>
      <c r="O106"/>
      <c r="P106"/>
      <c r="Q106"/>
      <c r="R106"/>
      <c r="S106"/>
      <c r="T106"/>
    </row>
    <row r="107" spans="1:20" x14ac:dyDescent="0.2">
      <c r="A107" s="1"/>
      <c r="B107" s="6"/>
      <c r="C107" s="6"/>
      <c r="D107" s="6"/>
      <c r="E107" s="6"/>
      <c r="F107" s="6"/>
      <c r="O107"/>
      <c r="P107"/>
      <c r="Q107"/>
      <c r="R107"/>
      <c r="S107"/>
      <c r="T107"/>
    </row>
    <row r="108" spans="1:20" x14ac:dyDescent="0.2">
      <c r="A108" s="6"/>
      <c r="B108" s="6"/>
      <c r="C108" s="6"/>
      <c r="D108" s="6"/>
      <c r="E108" s="6"/>
      <c r="F108" s="6"/>
      <c r="O108"/>
      <c r="P108"/>
      <c r="Q108"/>
      <c r="R108"/>
      <c r="S108"/>
      <c r="T108"/>
    </row>
    <row r="109" spans="1:20" x14ac:dyDescent="0.2">
      <c r="A109" s="6"/>
      <c r="B109" s="6"/>
      <c r="C109" s="6"/>
      <c r="D109" s="6"/>
      <c r="E109" s="6"/>
      <c r="F109" s="6"/>
      <c r="O109"/>
      <c r="P109"/>
      <c r="Q109"/>
      <c r="R109"/>
      <c r="S109"/>
      <c r="T109"/>
    </row>
    <row r="110" spans="1:20" x14ac:dyDescent="0.2">
      <c r="A110" s="6"/>
      <c r="B110" s="6"/>
      <c r="C110" s="6"/>
      <c r="D110" s="6"/>
      <c r="E110" s="6"/>
      <c r="F110" s="6"/>
      <c r="O110"/>
      <c r="P110"/>
      <c r="Q110"/>
      <c r="R110"/>
      <c r="S110"/>
      <c r="T110"/>
    </row>
    <row r="111" spans="1:20" x14ac:dyDescent="0.2">
      <c r="A111" s="6"/>
      <c r="B111" s="6"/>
      <c r="C111" s="6"/>
      <c r="D111" s="6"/>
      <c r="E111" s="6"/>
      <c r="F111" s="6"/>
      <c r="O111"/>
      <c r="P111"/>
      <c r="Q111"/>
      <c r="R111"/>
      <c r="S111"/>
      <c r="T111"/>
    </row>
    <row r="112" spans="1:20" x14ac:dyDescent="0.2">
      <c r="A112" s="6"/>
      <c r="B112" s="6"/>
      <c r="C112" s="6"/>
      <c r="D112" s="6"/>
      <c r="E112" s="6"/>
      <c r="F112" s="6"/>
      <c r="O112"/>
      <c r="P112"/>
      <c r="Q112"/>
      <c r="R112"/>
      <c r="S112"/>
      <c r="T112"/>
    </row>
    <row r="113" spans="1:20" x14ac:dyDescent="0.2">
      <c r="A113" s="6"/>
      <c r="B113" s="6"/>
      <c r="C113" s="6"/>
      <c r="D113" s="6"/>
      <c r="E113" s="6"/>
      <c r="F113" s="6"/>
      <c r="O113"/>
      <c r="P113"/>
      <c r="Q113"/>
      <c r="R113"/>
      <c r="S113"/>
      <c r="T113"/>
    </row>
    <row r="114" spans="1:20" x14ac:dyDescent="0.2">
      <c r="A114" s="6"/>
      <c r="B114" s="6"/>
      <c r="C114" s="6"/>
      <c r="D114" s="6"/>
      <c r="E114" s="6"/>
      <c r="F114" s="6"/>
      <c r="O114"/>
      <c r="P114"/>
      <c r="Q114"/>
      <c r="R114"/>
      <c r="S114"/>
      <c r="T114"/>
    </row>
    <row r="115" spans="1:20" x14ac:dyDescent="0.2">
      <c r="A115" s="6"/>
      <c r="B115" s="6"/>
      <c r="C115" s="6"/>
      <c r="D115" s="6"/>
      <c r="E115" s="6"/>
      <c r="F115" s="6"/>
      <c r="O115"/>
      <c r="P115"/>
      <c r="Q115"/>
      <c r="R115"/>
      <c r="S115"/>
      <c r="T115"/>
    </row>
    <row r="116" spans="1:20" x14ac:dyDescent="0.2">
      <c r="A116" s="6"/>
      <c r="B116" s="6"/>
      <c r="C116" s="6"/>
      <c r="D116" s="6"/>
      <c r="E116" s="6"/>
      <c r="F116" s="6"/>
      <c r="O116"/>
      <c r="P116"/>
      <c r="Q116"/>
      <c r="R116"/>
      <c r="S116"/>
      <c r="T116"/>
    </row>
    <row r="117" spans="1:20" x14ac:dyDescent="0.2">
      <c r="A117" s="6"/>
      <c r="B117" s="6"/>
      <c r="C117" s="6"/>
      <c r="D117" s="6"/>
      <c r="E117" s="6"/>
      <c r="F117" s="6"/>
      <c r="O117"/>
      <c r="P117"/>
      <c r="Q117"/>
      <c r="R117"/>
      <c r="S117"/>
      <c r="T117"/>
    </row>
    <row r="118" spans="1:20" x14ac:dyDescent="0.2">
      <c r="A118" s="6"/>
      <c r="B118" s="6"/>
      <c r="C118" s="6"/>
      <c r="D118" s="6"/>
      <c r="E118" s="6"/>
      <c r="F118" s="6"/>
      <c r="O118"/>
      <c r="P118"/>
      <c r="Q118"/>
      <c r="R118"/>
      <c r="S118"/>
      <c r="T118"/>
    </row>
    <row r="119" spans="1:20" s="121" customFormat="1" x14ac:dyDescent="0.2">
      <c r="B119" s="126"/>
      <c r="C119" s="378"/>
      <c r="D119" s="237"/>
      <c r="E119" s="126"/>
      <c r="F119" s="126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</row>
    <row r="120" spans="1:20" s="121" customFormat="1" x14ac:dyDescent="0.2">
      <c r="B120" s="126"/>
      <c r="C120" s="375"/>
      <c r="D120" s="237"/>
      <c r="E120" s="126"/>
      <c r="F120" s="126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</row>
    <row r="121" spans="1:20" s="121" customFormat="1" x14ac:dyDescent="0.2">
      <c r="B121" s="126"/>
      <c r="C121" s="126"/>
      <c r="D121" s="126"/>
      <c r="E121" s="126"/>
      <c r="F121" s="126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</row>
    <row r="122" spans="1:20" s="121" customFormat="1" x14ac:dyDescent="0.2">
      <c r="B122" s="126"/>
      <c r="C122" s="379"/>
      <c r="D122" s="377"/>
      <c r="E122" s="126"/>
      <c r="F122" s="126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</row>
    <row r="123" spans="1:20" s="121" customFormat="1" x14ac:dyDescent="0.2">
      <c r="B123" s="126"/>
      <c r="C123" s="126"/>
      <c r="D123" s="126"/>
      <c r="E123" s="126"/>
      <c r="F123" s="126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</row>
  </sheetData>
  <mergeCells count="2">
    <mergeCell ref="O64:P64"/>
    <mergeCell ref="Q69:Q70"/>
  </mergeCells>
  <phoneticPr fontId="0" type="noConversion"/>
  <pageMargins left="0.39" right="0.26" top="0.23" bottom="0.33" header="0.23" footer="0.16"/>
  <pageSetup scale="43" fitToHeight="100" orientation="landscape" r:id="rId1"/>
  <headerFooter alignWithMargins="0">
    <oddFooter>&amp;C&amp;A
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V72"/>
  <sheetViews>
    <sheetView topLeftCell="A4" workbookViewId="0">
      <selection activeCell="J42" sqref="J42"/>
    </sheetView>
  </sheetViews>
  <sheetFormatPr defaultRowHeight="12.75" x14ac:dyDescent="0.2"/>
  <cols>
    <col min="1" max="1" width="19.85546875" customWidth="1"/>
    <col min="2" max="2" width="15.28515625" style="6" customWidth="1"/>
    <col min="3" max="4" width="14.140625" style="6" bestFit="1" customWidth="1"/>
    <col min="5" max="5" width="17.5703125" style="6" customWidth="1"/>
    <col min="6" max="6" width="12.5703125" style="6" customWidth="1"/>
    <col min="7" max="7" width="11.28515625" style="6" customWidth="1"/>
    <col min="8" max="8" width="11.5703125" style="6" customWidth="1"/>
    <col min="9" max="9" width="12.7109375" style="6" bestFit="1" customWidth="1"/>
    <col min="10" max="10" width="12.7109375" style="6" customWidth="1"/>
    <col min="11" max="11" width="12.7109375" customWidth="1"/>
    <col min="12" max="12" width="12.7109375" bestFit="1" customWidth="1"/>
    <col min="13" max="13" width="11.7109375" bestFit="1" customWidth="1"/>
    <col min="14" max="14" width="10.7109375" bestFit="1" customWidth="1"/>
  </cols>
  <sheetData>
    <row r="1" spans="1:22" x14ac:dyDescent="0.2">
      <c r="A1" s="200" t="s">
        <v>134</v>
      </c>
      <c r="D1"/>
      <c r="E1"/>
      <c r="F1"/>
      <c r="G1"/>
      <c r="H1"/>
      <c r="I1"/>
    </row>
    <row r="2" spans="1:22" s="13" customFormat="1" ht="42" customHeight="1" x14ac:dyDescent="0.2">
      <c r="B2" s="195" t="str">
        <f>'Rate Class Energy Model'!H2</f>
        <v xml:space="preserve">Residential </v>
      </c>
      <c r="C2" s="195" t="str">
        <f>'Rate Class Energy Model'!I2</f>
        <v>General Service &lt; 50 kW</v>
      </c>
      <c r="D2" s="195" t="str">
        <f>'Rate Class Energy Model'!J2</f>
        <v>General Service 50 to 2999 kW</v>
      </c>
      <c r="E2" s="195" t="str">
        <f>'Rate Class Energy Model'!K2</f>
        <v>General Service 3000 to 4999 kW</v>
      </c>
      <c r="F2" s="195" t="str">
        <f>'Rate Class Energy Model'!L2</f>
        <v>Street Lighting</v>
      </c>
      <c r="G2" s="195" t="str">
        <f>'Rate Class Energy Model'!M2</f>
        <v>Sentinel Lighting</v>
      </c>
      <c r="H2" s="195" t="str">
        <f>'Rate Class Energy Model'!N2</f>
        <v xml:space="preserve">Unmetered Scattered Load </v>
      </c>
      <c r="I2" s="114" t="s">
        <v>10</v>
      </c>
      <c r="J2" s="114"/>
      <c r="K2"/>
      <c r="L2"/>
      <c r="M2"/>
      <c r="N2"/>
      <c r="O2"/>
      <c r="P2"/>
      <c r="Q2"/>
      <c r="R2"/>
    </row>
    <row r="3" spans="1:22" x14ac:dyDescent="0.2">
      <c r="A3" s="4">
        <v>1999</v>
      </c>
      <c r="B3" s="120">
        <v>19386</v>
      </c>
      <c r="C3" s="120">
        <v>2489</v>
      </c>
      <c r="D3" s="120">
        <v>219</v>
      </c>
      <c r="E3" s="120">
        <v>3</v>
      </c>
      <c r="F3" s="120">
        <v>5000</v>
      </c>
      <c r="G3" s="120">
        <v>579</v>
      </c>
      <c r="H3" s="120">
        <v>21</v>
      </c>
      <c r="I3" s="21">
        <f>SUM(B3:H3)</f>
        <v>27697</v>
      </c>
      <c r="J3" s="21">
        <f>+D3+C3+H3+E3</f>
        <v>2732</v>
      </c>
    </row>
    <row r="4" spans="1:22" x14ac:dyDescent="0.2">
      <c r="A4" s="4">
        <v>2000</v>
      </c>
      <c r="B4" s="21">
        <v>19468</v>
      </c>
      <c r="C4" s="21">
        <v>2499</v>
      </c>
      <c r="D4" s="21">
        <v>229</v>
      </c>
      <c r="E4" s="120">
        <v>3</v>
      </c>
      <c r="F4" s="120">
        <v>5139</v>
      </c>
      <c r="G4" s="120">
        <v>579</v>
      </c>
      <c r="H4" s="21">
        <v>21</v>
      </c>
      <c r="I4" s="21">
        <f t="shared" ref="I4:I11" si="0">SUM(B4:H4)</f>
        <v>27938</v>
      </c>
      <c r="J4" s="21">
        <f>+C4+D4+E4+H4</f>
        <v>2752</v>
      </c>
      <c r="S4" s="42"/>
      <c r="V4" s="42"/>
    </row>
    <row r="5" spans="1:22" x14ac:dyDescent="0.2">
      <c r="A5" s="4">
        <v>2001</v>
      </c>
      <c r="B5" s="120">
        <v>19645</v>
      </c>
      <c r="C5" s="120">
        <v>2555</v>
      </c>
      <c r="D5" s="120">
        <v>244</v>
      </c>
      <c r="E5" s="120">
        <v>3</v>
      </c>
      <c r="F5" s="120">
        <v>5139</v>
      </c>
      <c r="G5" s="120">
        <v>579</v>
      </c>
      <c r="H5" s="120">
        <v>21</v>
      </c>
      <c r="I5" s="21">
        <f t="shared" si="0"/>
        <v>28186</v>
      </c>
      <c r="J5" s="21">
        <f>+C5+D5+E5+H5</f>
        <v>2823</v>
      </c>
    </row>
    <row r="6" spans="1:22" x14ac:dyDescent="0.2">
      <c r="A6" s="4">
        <v>2002</v>
      </c>
      <c r="B6" s="120">
        <v>19973</v>
      </c>
      <c r="C6" s="120">
        <v>2562</v>
      </c>
      <c r="D6" s="120">
        <v>255</v>
      </c>
      <c r="E6" s="120">
        <v>3</v>
      </c>
      <c r="F6" s="120">
        <v>5287</v>
      </c>
      <c r="G6" s="120">
        <v>579</v>
      </c>
      <c r="H6" s="120">
        <v>21</v>
      </c>
      <c r="I6" s="21">
        <f t="shared" si="0"/>
        <v>28680</v>
      </c>
      <c r="J6" s="21">
        <f t="shared" ref="J6:J25" si="1">+C6+D6</f>
        <v>2817</v>
      </c>
    </row>
    <row r="7" spans="1:22" x14ac:dyDescent="0.2">
      <c r="A7" s="4">
        <v>2003</v>
      </c>
      <c r="B7" s="120">
        <v>19862</v>
      </c>
      <c r="C7" s="120">
        <v>2568</v>
      </c>
      <c r="D7" s="120">
        <v>253</v>
      </c>
      <c r="E7" s="120">
        <v>2</v>
      </c>
      <c r="F7" s="120">
        <v>5277</v>
      </c>
      <c r="G7" s="120">
        <v>641</v>
      </c>
      <c r="H7" s="120">
        <v>21</v>
      </c>
      <c r="I7" s="21">
        <f t="shared" si="0"/>
        <v>28624</v>
      </c>
      <c r="J7" s="21">
        <f t="shared" si="1"/>
        <v>2821</v>
      </c>
    </row>
    <row r="8" spans="1:22" x14ac:dyDescent="0.2">
      <c r="A8" s="4">
        <v>2004</v>
      </c>
      <c r="B8" s="120">
        <v>19966</v>
      </c>
      <c r="C8" s="120">
        <v>2598</v>
      </c>
      <c r="D8" s="120">
        <v>253</v>
      </c>
      <c r="E8" s="120">
        <v>2</v>
      </c>
      <c r="F8" s="120">
        <v>5508</v>
      </c>
      <c r="G8" s="120">
        <v>574</v>
      </c>
      <c r="H8" s="120">
        <v>21</v>
      </c>
      <c r="I8" s="21">
        <f t="shared" si="0"/>
        <v>28922</v>
      </c>
      <c r="J8" s="21">
        <f t="shared" si="1"/>
        <v>2851</v>
      </c>
    </row>
    <row r="9" spans="1:22" x14ac:dyDescent="0.2">
      <c r="A9" s="4">
        <v>2005</v>
      </c>
      <c r="B9" s="120">
        <v>20125</v>
      </c>
      <c r="C9" s="120">
        <v>2595</v>
      </c>
      <c r="D9" s="120">
        <v>255</v>
      </c>
      <c r="E9" s="120">
        <v>2</v>
      </c>
      <c r="F9" s="120">
        <v>5534</v>
      </c>
      <c r="G9" s="120">
        <v>555</v>
      </c>
      <c r="H9" s="120">
        <v>21</v>
      </c>
      <c r="I9" s="21">
        <f t="shared" si="0"/>
        <v>29087</v>
      </c>
      <c r="J9" s="21">
        <f t="shared" si="1"/>
        <v>2850</v>
      </c>
    </row>
    <row r="10" spans="1:22" x14ac:dyDescent="0.2">
      <c r="A10" s="4">
        <v>2006</v>
      </c>
      <c r="B10" s="120">
        <v>20555</v>
      </c>
      <c r="C10" s="120">
        <v>2678</v>
      </c>
      <c r="D10" s="120">
        <v>258</v>
      </c>
      <c r="E10" s="120">
        <v>2</v>
      </c>
      <c r="F10" s="120">
        <v>5510</v>
      </c>
      <c r="G10" s="120">
        <v>606</v>
      </c>
      <c r="H10" s="120">
        <v>21</v>
      </c>
      <c r="I10" s="21">
        <f t="shared" si="0"/>
        <v>29630</v>
      </c>
      <c r="J10" s="21">
        <f t="shared" si="1"/>
        <v>2936</v>
      </c>
    </row>
    <row r="11" spans="1:22" x14ac:dyDescent="0.2">
      <c r="A11" s="4">
        <v>2007</v>
      </c>
      <c r="B11" s="120">
        <v>20726</v>
      </c>
      <c r="C11" s="120">
        <v>2626</v>
      </c>
      <c r="D11" s="120">
        <v>267</v>
      </c>
      <c r="E11" s="120">
        <v>2</v>
      </c>
      <c r="F11" s="120">
        <v>5534</v>
      </c>
      <c r="G11" s="120">
        <v>577</v>
      </c>
      <c r="H11" s="120">
        <v>21</v>
      </c>
      <c r="I11" s="21">
        <f t="shared" si="0"/>
        <v>29753</v>
      </c>
      <c r="J11" s="21">
        <f t="shared" si="1"/>
        <v>2893</v>
      </c>
    </row>
    <row r="12" spans="1:22" x14ac:dyDescent="0.2">
      <c r="A12" s="4">
        <v>2008</v>
      </c>
      <c r="B12" s="120">
        <v>20757</v>
      </c>
      <c r="C12" s="120">
        <v>2616</v>
      </c>
      <c r="D12" s="120">
        <v>273</v>
      </c>
      <c r="E12" s="120">
        <v>2</v>
      </c>
      <c r="F12" s="120">
        <v>5550</v>
      </c>
      <c r="G12" s="120">
        <v>521</v>
      </c>
      <c r="H12" s="120">
        <v>21</v>
      </c>
      <c r="I12" s="21">
        <f>SUM(B12:H12)</f>
        <v>29740</v>
      </c>
      <c r="J12" s="21">
        <f t="shared" si="1"/>
        <v>2889</v>
      </c>
    </row>
    <row r="13" spans="1:22" x14ac:dyDescent="0.2">
      <c r="A13" s="49">
        <v>2009</v>
      </c>
      <c r="B13" s="21">
        <v>20850</v>
      </c>
      <c r="C13" s="21">
        <v>2629</v>
      </c>
      <c r="D13" s="120">
        <v>274</v>
      </c>
      <c r="E13" s="21">
        <v>2</v>
      </c>
      <c r="F13" s="21">
        <v>5571</v>
      </c>
      <c r="G13" s="21">
        <v>518</v>
      </c>
      <c r="H13" s="21">
        <v>21</v>
      </c>
      <c r="I13" s="21">
        <f t="shared" ref="I13:I25" si="2">SUM(B13:H13)</f>
        <v>29865</v>
      </c>
      <c r="J13" s="21">
        <f t="shared" si="1"/>
        <v>2903</v>
      </c>
    </row>
    <row r="14" spans="1:22" x14ac:dyDescent="0.2">
      <c r="A14" s="49">
        <v>2010</v>
      </c>
      <c r="B14" s="120">
        <v>20952</v>
      </c>
      <c r="C14" s="120">
        <v>2633</v>
      </c>
      <c r="D14" s="120">
        <v>269</v>
      </c>
      <c r="E14" s="21">
        <v>2</v>
      </c>
      <c r="F14" s="21">
        <v>5572</v>
      </c>
      <c r="G14" s="21">
        <v>509</v>
      </c>
      <c r="H14" s="21">
        <v>19</v>
      </c>
      <c r="I14" s="21">
        <f t="shared" si="2"/>
        <v>29956</v>
      </c>
      <c r="J14" s="21">
        <f t="shared" si="1"/>
        <v>2902</v>
      </c>
    </row>
    <row r="15" spans="1:22" x14ac:dyDescent="0.2">
      <c r="A15" s="4">
        <v>2011</v>
      </c>
      <c r="B15" s="21">
        <v>21096</v>
      </c>
      <c r="C15" s="21">
        <v>2623</v>
      </c>
      <c r="D15" s="21">
        <v>268</v>
      </c>
      <c r="E15" s="21">
        <v>2</v>
      </c>
      <c r="F15" s="21">
        <v>5574</v>
      </c>
      <c r="G15" s="21">
        <v>474</v>
      </c>
      <c r="H15" s="21">
        <v>18</v>
      </c>
      <c r="I15" s="21">
        <f t="shared" si="2"/>
        <v>30055</v>
      </c>
      <c r="J15" s="21">
        <f t="shared" si="1"/>
        <v>2891</v>
      </c>
    </row>
    <row r="16" spans="1:22" x14ac:dyDescent="0.2">
      <c r="A16" s="4">
        <v>2012</v>
      </c>
      <c r="B16" s="21">
        <v>21074</v>
      </c>
      <c r="C16" s="21">
        <v>2645</v>
      </c>
      <c r="D16" s="21">
        <v>254</v>
      </c>
      <c r="E16" s="21">
        <v>2</v>
      </c>
      <c r="F16" s="21">
        <v>5574</v>
      </c>
      <c r="G16" s="21">
        <v>447</v>
      </c>
      <c r="H16" s="21">
        <v>17</v>
      </c>
      <c r="I16" s="21">
        <f t="shared" si="2"/>
        <v>30013</v>
      </c>
      <c r="J16" s="21">
        <f t="shared" si="1"/>
        <v>2899</v>
      </c>
    </row>
    <row r="17" spans="1:16" x14ac:dyDescent="0.2">
      <c r="A17" s="4">
        <v>2013</v>
      </c>
      <c r="B17" s="21">
        <v>21108</v>
      </c>
      <c r="C17" s="21">
        <v>2649</v>
      </c>
      <c r="D17" s="21">
        <v>255</v>
      </c>
      <c r="E17" s="21">
        <v>2</v>
      </c>
      <c r="F17" s="21">
        <v>5574</v>
      </c>
      <c r="G17" s="21">
        <v>427</v>
      </c>
      <c r="H17" s="21">
        <v>15</v>
      </c>
      <c r="I17" s="21">
        <f t="shared" si="2"/>
        <v>30030</v>
      </c>
      <c r="J17" s="21">
        <f t="shared" si="1"/>
        <v>2904</v>
      </c>
    </row>
    <row r="18" spans="1:16" x14ac:dyDescent="0.2">
      <c r="A18" s="4">
        <v>2014</v>
      </c>
      <c r="B18" s="21">
        <v>21117</v>
      </c>
      <c r="C18" s="21">
        <v>2657</v>
      </c>
      <c r="D18" s="21">
        <v>252</v>
      </c>
      <c r="E18" s="21">
        <v>2</v>
      </c>
      <c r="F18" s="21">
        <v>5419</v>
      </c>
      <c r="G18" s="21">
        <v>427</v>
      </c>
      <c r="H18" s="21">
        <v>11</v>
      </c>
      <c r="I18" s="21">
        <f t="shared" si="2"/>
        <v>29885</v>
      </c>
      <c r="J18" s="6">
        <f t="shared" si="1"/>
        <v>2909</v>
      </c>
    </row>
    <row r="19" spans="1:16" x14ac:dyDescent="0.2">
      <c r="A19" s="4">
        <v>2015</v>
      </c>
      <c r="B19" s="15">
        <v>21122</v>
      </c>
      <c r="C19" s="15">
        <v>2646</v>
      </c>
      <c r="D19" s="15">
        <v>254</v>
      </c>
      <c r="E19" s="148">
        <v>1</v>
      </c>
      <c r="F19" s="148">
        <v>5422</v>
      </c>
      <c r="G19" s="15">
        <v>402</v>
      </c>
      <c r="H19" s="15">
        <v>10</v>
      </c>
      <c r="I19" s="21">
        <f t="shared" si="2"/>
        <v>29857</v>
      </c>
      <c r="J19" s="6">
        <f t="shared" si="1"/>
        <v>2900</v>
      </c>
    </row>
    <row r="20" spans="1:16" x14ac:dyDescent="0.2">
      <c r="A20" s="4">
        <v>2016</v>
      </c>
      <c r="B20" s="15">
        <v>21173</v>
      </c>
      <c r="C20" s="15">
        <v>2659</v>
      </c>
      <c r="D20" s="15">
        <v>253</v>
      </c>
      <c r="E20" s="148">
        <v>1</v>
      </c>
      <c r="F20" s="148">
        <v>5424</v>
      </c>
      <c r="G20" s="15">
        <v>444</v>
      </c>
      <c r="H20" s="15">
        <v>10</v>
      </c>
      <c r="I20" s="21">
        <f t="shared" si="2"/>
        <v>29964</v>
      </c>
      <c r="J20" s="6">
        <f t="shared" si="1"/>
        <v>2912</v>
      </c>
    </row>
    <row r="21" spans="1:16" x14ac:dyDescent="0.2">
      <c r="A21" s="4">
        <v>2017</v>
      </c>
      <c r="B21" s="15">
        <v>21192</v>
      </c>
      <c r="C21" s="15">
        <v>2653</v>
      </c>
      <c r="D21" s="15">
        <v>261</v>
      </c>
      <c r="E21" s="148">
        <v>1</v>
      </c>
      <c r="F21" s="148">
        <v>5424</v>
      </c>
      <c r="G21" s="15">
        <v>436</v>
      </c>
      <c r="H21" s="15">
        <v>10</v>
      </c>
      <c r="I21" s="21">
        <f t="shared" si="2"/>
        <v>29977</v>
      </c>
      <c r="J21" s="6">
        <f t="shared" si="1"/>
        <v>2914</v>
      </c>
    </row>
    <row r="22" spans="1:16" x14ac:dyDescent="0.2">
      <c r="A22" s="4">
        <v>2018</v>
      </c>
      <c r="B22" s="15">
        <v>21229</v>
      </c>
      <c r="C22" s="15">
        <v>2654</v>
      </c>
      <c r="D22" s="15">
        <v>258</v>
      </c>
      <c r="E22" s="148">
        <v>1</v>
      </c>
      <c r="F22" s="148">
        <v>5424</v>
      </c>
      <c r="G22" s="15">
        <v>425</v>
      </c>
      <c r="H22" s="15">
        <v>10</v>
      </c>
      <c r="I22" s="21">
        <f t="shared" si="2"/>
        <v>30001</v>
      </c>
      <c r="J22" s="6">
        <f t="shared" si="1"/>
        <v>2912</v>
      </c>
    </row>
    <row r="23" spans="1:16" x14ac:dyDescent="0.2">
      <c r="A23" s="4">
        <v>2019</v>
      </c>
      <c r="B23" s="15">
        <v>21280</v>
      </c>
      <c r="C23" s="15">
        <v>2653</v>
      </c>
      <c r="D23" s="15">
        <v>263</v>
      </c>
      <c r="E23" s="148">
        <v>1</v>
      </c>
      <c r="F23" s="148">
        <v>5424</v>
      </c>
      <c r="G23" s="15">
        <v>417</v>
      </c>
      <c r="H23" s="15">
        <v>9</v>
      </c>
      <c r="I23" s="21">
        <f t="shared" si="2"/>
        <v>30047</v>
      </c>
      <c r="J23" s="6">
        <f t="shared" si="1"/>
        <v>2916</v>
      </c>
    </row>
    <row r="24" spans="1:16" x14ac:dyDescent="0.2">
      <c r="A24" s="4">
        <v>2020</v>
      </c>
      <c r="B24" s="15">
        <f>ROUND(B23*$B$52,0)</f>
        <v>21316</v>
      </c>
      <c r="C24" s="15">
        <f>ROUND(C23*$C$52,0)</f>
        <v>2651</v>
      </c>
      <c r="D24" s="15">
        <f>ROUND(D23*$D$52,0)</f>
        <v>266</v>
      </c>
      <c r="E24" s="15">
        <f>ROUND(E23*$E$52,0)</f>
        <v>1</v>
      </c>
      <c r="F24" s="15">
        <f>ROUND(F23*$F$52,0)</f>
        <v>5424</v>
      </c>
      <c r="G24" s="15">
        <f>ROUND(G23*$G$52,0)</f>
        <v>408</v>
      </c>
      <c r="H24" s="15">
        <f>ROUND(H23*$H$52,0)</f>
        <v>9</v>
      </c>
      <c r="I24" s="21">
        <f t="shared" si="2"/>
        <v>30075</v>
      </c>
      <c r="J24" s="6">
        <f t="shared" si="1"/>
        <v>2917</v>
      </c>
    </row>
    <row r="25" spans="1:16" x14ac:dyDescent="0.2">
      <c r="A25" s="4">
        <v>2021</v>
      </c>
      <c r="B25" s="15">
        <f>ROUND(B24*$B$52,0)</f>
        <v>21352</v>
      </c>
      <c r="C25" s="15">
        <f>ROUND(C24*$C$52,0)</f>
        <v>2649</v>
      </c>
      <c r="D25" s="15">
        <f>ROUND(D24*$D$52,0)</f>
        <v>269</v>
      </c>
      <c r="E25" s="15">
        <f>ROUND(E24*$E$52,0)</f>
        <v>1</v>
      </c>
      <c r="F25" s="15">
        <f>ROUND(F24*$F$52,0)</f>
        <v>5424</v>
      </c>
      <c r="G25" s="15">
        <f>ROUND(G24*$G$52,0)</f>
        <v>400</v>
      </c>
      <c r="H25" s="15">
        <f>ROUND(H24*$H$52,0)</f>
        <v>9</v>
      </c>
      <c r="I25" s="21">
        <f t="shared" si="2"/>
        <v>30104</v>
      </c>
      <c r="J25" s="6">
        <f t="shared" si="1"/>
        <v>2918</v>
      </c>
    </row>
    <row r="26" spans="1:16" x14ac:dyDescent="0.2">
      <c r="B26"/>
      <c r="D26" s="8"/>
      <c r="E26" s="8"/>
      <c r="F26" s="8"/>
      <c r="H26" s="21"/>
      <c r="I26" s="21"/>
      <c r="J26" s="21"/>
    </row>
    <row r="27" spans="1:16" x14ac:dyDescent="0.2">
      <c r="A27" s="154"/>
      <c r="B27" s="160"/>
      <c r="C27" s="160"/>
      <c r="H27" s="21"/>
      <c r="I27" s="21"/>
      <c r="J27" s="21"/>
    </row>
    <row r="28" spans="1:16" x14ac:dyDescent="0.2">
      <c r="A28" s="13" t="s">
        <v>40</v>
      </c>
      <c r="B28" s="5"/>
      <c r="C28" s="5"/>
      <c r="D28" s="5"/>
      <c r="E28" s="5"/>
      <c r="F28" s="50"/>
      <c r="H28" s="5"/>
    </row>
    <row r="29" spans="1:16" s="25" customFormat="1" x14ac:dyDescent="0.2">
      <c r="A29" s="49"/>
      <c r="B29" s="147"/>
      <c r="C29" s="147"/>
      <c r="D29" s="147"/>
      <c r="E29" s="147"/>
      <c r="F29" s="147"/>
      <c r="G29" s="147"/>
      <c r="H29" s="147"/>
      <c r="I29" s="21"/>
      <c r="J29" s="21"/>
      <c r="K29"/>
      <c r="L29"/>
      <c r="M29"/>
      <c r="N29"/>
      <c r="O29"/>
      <c r="P29"/>
    </row>
    <row r="30" spans="1:16" x14ac:dyDescent="0.2">
      <c r="A30" s="4">
        <v>2000</v>
      </c>
      <c r="B30" s="18">
        <f t="shared" ref="B30:H41" si="3">B4/B3</f>
        <v>1.0042298565975447</v>
      </c>
      <c r="C30" s="18">
        <f t="shared" si="3"/>
        <v>1.0040176777822418</v>
      </c>
      <c r="D30" s="18">
        <f t="shared" si="3"/>
        <v>1.0456621004566211</v>
      </c>
      <c r="E30" s="18">
        <f t="shared" si="3"/>
        <v>1</v>
      </c>
      <c r="F30" s="18">
        <f t="shared" si="3"/>
        <v>1.0278</v>
      </c>
      <c r="G30" s="18">
        <f t="shared" si="3"/>
        <v>1</v>
      </c>
      <c r="H30" s="18">
        <f t="shared" si="3"/>
        <v>1</v>
      </c>
    </row>
    <row r="31" spans="1:16" x14ac:dyDescent="0.2">
      <c r="A31" s="4">
        <v>2001</v>
      </c>
      <c r="B31" s="18">
        <f t="shared" si="3"/>
        <v>1.0090918430244504</v>
      </c>
      <c r="C31" s="18">
        <f t="shared" si="3"/>
        <v>1.0224089635854341</v>
      </c>
      <c r="D31" s="18">
        <f t="shared" si="3"/>
        <v>1.0655021834061136</v>
      </c>
      <c r="E31" s="18">
        <f t="shared" si="3"/>
        <v>1</v>
      </c>
      <c r="F31" s="18">
        <f t="shared" si="3"/>
        <v>1</v>
      </c>
      <c r="G31" s="18">
        <f t="shared" si="3"/>
        <v>1</v>
      </c>
      <c r="H31" s="18">
        <f t="shared" si="3"/>
        <v>1</v>
      </c>
    </row>
    <row r="32" spans="1:16" x14ac:dyDescent="0.2">
      <c r="A32" s="4">
        <v>2002</v>
      </c>
      <c r="B32" s="18">
        <f t="shared" si="3"/>
        <v>1.0166963603970476</v>
      </c>
      <c r="C32" s="18">
        <f t="shared" si="3"/>
        <v>1.0027397260273974</v>
      </c>
      <c r="D32" s="18">
        <f t="shared" si="3"/>
        <v>1.0450819672131149</v>
      </c>
      <c r="E32" s="18">
        <f t="shared" si="3"/>
        <v>1</v>
      </c>
      <c r="F32" s="18">
        <f t="shared" si="3"/>
        <v>1.0287993773107609</v>
      </c>
      <c r="G32" s="18">
        <f t="shared" si="3"/>
        <v>1</v>
      </c>
      <c r="H32" s="18">
        <f t="shared" si="3"/>
        <v>1</v>
      </c>
    </row>
    <row r="33" spans="1:8" x14ac:dyDescent="0.2">
      <c r="A33" s="4">
        <v>2003</v>
      </c>
      <c r="B33" s="18">
        <f t="shared" si="3"/>
        <v>0.99444249737145141</v>
      </c>
      <c r="C33" s="18">
        <f t="shared" si="3"/>
        <v>1.0023419203747073</v>
      </c>
      <c r="D33" s="18">
        <f t="shared" si="3"/>
        <v>0.99215686274509807</v>
      </c>
      <c r="E33" s="18">
        <f t="shared" si="3"/>
        <v>0.66666666666666663</v>
      </c>
      <c r="F33" s="18">
        <f t="shared" si="3"/>
        <v>0.99810856818611693</v>
      </c>
      <c r="G33" s="18">
        <f t="shared" si="3"/>
        <v>1.1070811744386875</v>
      </c>
      <c r="H33" s="18">
        <f t="shared" si="3"/>
        <v>1</v>
      </c>
    </row>
    <row r="34" spans="1:8" x14ac:dyDescent="0.2">
      <c r="A34" s="4">
        <v>2004</v>
      </c>
      <c r="B34" s="18">
        <f t="shared" si="3"/>
        <v>1.0052361292921157</v>
      </c>
      <c r="C34" s="18">
        <f t="shared" si="3"/>
        <v>1.0116822429906542</v>
      </c>
      <c r="D34" s="18">
        <f t="shared" si="3"/>
        <v>1</v>
      </c>
      <c r="E34" s="18">
        <f t="shared" si="3"/>
        <v>1</v>
      </c>
      <c r="F34" s="18">
        <f t="shared" si="3"/>
        <v>1.0437748720864128</v>
      </c>
      <c r="G34" s="18">
        <f t="shared" si="3"/>
        <v>0.8954758190327613</v>
      </c>
      <c r="H34" s="18">
        <f t="shared" si="3"/>
        <v>1</v>
      </c>
    </row>
    <row r="35" spans="1:8" x14ac:dyDescent="0.2">
      <c r="A35" s="4">
        <v>2005</v>
      </c>
      <c r="B35" s="18">
        <f t="shared" si="3"/>
        <v>1.0079635380146248</v>
      </c>
      <c r="C35" s="18">
        <f t="shared" si="3"/>
        <v>0.99884526558891451</v>
      </c>
      <c r="D35" s="18">
        <f t="shared" si="3"/>
        <v>1.0079051383399209</v>
      </c>
      <c r="E35" s="18">
        <f t="shared" si="3"/>
        <v>1</v>
      </c>
      <c r="F35" s="18">
        <f t="shared" si="3"/>
        <v>1.004720406681191</v>
      </c>
      <c r="G35" s="18">
        <f t="shared" si="3"/>
        <v>0.9668989547038328</v>
      </c>
      <c r="H35" s="18">
        <f t="shared" si="3"/>
        <v>1</v>
      </c>
    </row>
    <row r="36" spans="1:8" x14ac:dyDescent="0.2">
      <c r="A36" s="4">
        <v>2006</v>
      </c>
      <c r="B36" s="18">
        <f t="shared" si="3"/>
        <v>1.0213664596273291</v>
      </c>
      <c r="C36" s="18">
        <f t="shared" si="3"/>
        <v>1.0319845857418111</v>
      </c>
      <c r="D36" s="18">
        <f t="shared" si="3"/>
        <v>1.0117647058823529</v>
      </c>
      <c r="E36" s="18">
        <f t="shared" si="3"/>
        <v>1</v>
      </c>
      <c r="F36" s="18">
        <f t="shared" si="3"/>
        <v>0.99566317311167329</v>
      </c>
      <c r="G36" s="18">
        <f t="shared" si="3"/>
        <v>1.0918918918918918</v>
      </c>
      <c r="H36" s="18">
        <f t="shared" si="3"/>
        <v>1</v>
      </c>
    </row>
    <row r="37" spans="1:8" x14ac:dyDescent="0.2">
      <c r="A37" s="4">
        <v>2007</v>
      </c>
      <c r="B37" s="18">
        <f t="shared" si="3"/>
        <v>1.0083191437606422</v>
      </c>
      <c r="C37" s="18">
        <f t="shared" si="3"/>
        <v>0.98058252427184467</v>
      </c>
      <c r="D37" s="18">
        <f t="shared" si="3"/>
        <v>1.0348837209302326</v>
      </c>
      <c r="E37" s="18">
        <f t="shared" si="3"/>
        <v>1</v>
      </c>
      <c r="F37" s="18">
        <f t="shared" si="3"/>
        <v>1.004355716878403</v>
      </c>
      <c r="G37" s="18">
        <f t="shared" si="3"/>
        <v>0.95214521452145218</v>
      </c>
      <c r="H37" s="18">
        <f t="shared" si="3"/>
        <v>1</v>
      </c>
    </row>
    <row r="38" spans="1:8" x14ac:dyDescent="0.2">
      <c r="A38" s="4">
        <v>2008</v>
      </c>
      <c r="B38" s="18">
        <f t="shared" si="3"/>
        <v>1.0014957058766767</v>
      </c>
      <c r="C38" s="18">
        <f t="shared" si="3"/>
        <v>0.99619192688499614</v>
      </c>
      <c r="D38" s="18">
        <f t="shared" si="3"/>
        <v>1.0224719101123596</v>
      </c>
      <c r="E38" s="18">
        <f t="shared" si="3"/>
        <v>1</v>
      </c>
      <c r="F38" s="18">
        <f t="shared" si="3"/>
        <v>1.0028912179255511</v>
      </c>
      <c r="G38" s="18">
        <f t="shared" si="3"/>
        <v>0.90294627383015602</v>
      </c>
      <c r="H38" s="18">
        <f t="shared" si="3"/>
        <v>1</v>
      </c>
    </row>
    <row r="39" spans="1:8" x14ac:dyDescent="0.2">
      <c r="A39" s="4">
        <v>2009</v>
      </c>
      <c r="B39" s="18">
        <f t="shared" si="3"/>
        <v>1.0044804162451222</v>
      </c>
      <c r="C39" s="18">
        <f t="shared" si="3"/>
        <v>1.0049694189602447</v>
      </c>
      <c r="D39" s="18">
        <f t="shared" si="3"/>
        <v>1.0036630036630036</v>
      </c>
      <c r="E39" s="18">
        <f t="shared" si="3"/>
        <v>1</v>
      </c>
      <c r="F39" s="18">
        <f t="shared" si="3"/>
        <v>1.0037837837837837</v>
      </c>
      <c r="G39" s="18">
        <f t="shared" si="3"/>
        <v>0.99424184261036463</v>
      </c>
      <c r="H39" s="18">
        <f t="shared" si="3"/>
        <v>1</v>
      </c>
    </row>
    <row r="40" spans="1:8" x14ac:dyDescent="0.2">
      <c r="A40" s="4">
        <v>2010</v>
      </c>
      <c r="B40" s="18">
        <f t="shared" si="3"/>
        <v>1.0048920863309352</v>
      </c>
      <c r="C40" s="18">
        <f t="shared" si="3"/>
        <v>1.00152149106124</v>
      </c>
      <c r="D40" s="18">
        <f t="shared" si="3"/>
        <v>0.98175182481751821</v>
      </c>
      <c r="E40" s="18">
        <f t="shared" si="3"/>
        <v>1</v>
      </c>
      <c r="F40" s="18">
        <f t="shared" si="3"/>
        <v>1.0001795009872554</v>
      </c>
      <c r="G40" s="18">
        <f t="shared" si="3"/>
        <v>0.98262548262548266</v>
      </c>
      <c r="H40" s="18">
        <f t="shared" si="3"/>
        <v>0.90476190476190477</v>
      </c>
    </row>
    <row r="41" spans="1:8" x14ac:dyDescent="0.2">
      <c r="A41" s="4">
        <v>2011</v>
      </c>
      <c r="B41" s="18">
        <f t="shared" si="3"/>
        <v>1.006872852233677</v>
      </c>
      <c r="C41" s="18">
        <f t="shared" si="3"/>
        <v>0.99620205089251801</v>
      </c>
      <c r="D41" s="18">
        <f t="shared" si="3"/>
        <v>0.99628252788104088</v>
      </c>
      <c r="E41" s="18">
        <f t="shared" si="3"/>
        <v>1</v>
      </c>
      <c r="F41" s="18">
        <f t="shared" si="3"/>
        <v>1.0003589375448672</v>
      </c>
      <c r="G41" s="18">
        <f t="shared" si="3"/>
        <v>0.93123772102161095</v>
      </c>
      <c r="H41" s="18">
        <f t="shared" si="3"/>
        <v>0.94736842105263153</v>
      </c>
    </row>
    <row r="42" spans="1:8" x14ac:dyDescent="0.2">
      <c r="A42" s="4">
        <v>2012</v>
      </c>
      <c r="B42" s="18">
        <f t="shared" ref="B42:D44" si="4">B16/B15</f>
        <v>0.9989571482745544</v>
      </c>
      <c r="C42" s="18">
        <f t="shared" si="4"/>
        <v>1.0083873427373238</v>
      </c>
      <c r="D42" s="18">
        <f t="shared" si="4"/>
        <v>0.94776119402985071</v>
      </c>
      <c r="E42" s="18">
        <v>1</v>
      </c>
      <c r="F42" s="18">
        <v>1</v>
      </c>
      <c r="G42" s="18">
        <f t="shared" ref="G42:H44" si="5">G16/G15</f>
        <v>0.94303797468354433</v>
      </c>
      <c r="H42" s="18">
        <f t="shared" si="5"/>
        <v>0.94444444444444442</v>
      </c>
    </row>
    <row r="43" spans="1:8" x14ac:dyDescent="0.2">
      <c r="A43" s="4">
        <v>2013</v>
      </c>
      <c r="B43" s="18">
        <f t="shared" si="4"/>
        <v>1.0016133624371264</v>
      </c>
      <c r="C43" s="18">
        <f t="shared" si="4"/>
        <v>1.0015122873345936</v>
      </c>
      <c r="D43" s="18">
        <f t="shared" si="4"/>
        <v>1.0039370078740157</v>
      </c>
      <c r="E43" s="18">
        <v>1</v>
      </c>
      <c r="F43" s="18">
        <v>1</v>
      </c>
      <c r="G43" s="18">
        <f t="shared" si="5"/>
        <v>0.95525727069351229</v>
      </c>
      <c r="H43" s="18">
        <f t="shared" si="5"/>
        <v>0.88235294117647056</v>
      </c>
    </row>
    <row r="44" spans="1:8" x14ac:dyDescent="0.2">
      <c r="A44" s="4">
        <v>2014</v>
      </c>
      <c r="B44" s="18">
        <f t="shared" si="4"/>
        <v>1.0004263786242182</v>
      </c>
      <c r="C44" s="18">
        <f t="shared" si="4"/>
        <v>1.0030200075500189</v>
      </c>
      <c r="D44" s="18">
        <f t="shared" si="4"/>
        <v>0.9882352941176471</v>
      </c>
      <c r="E44" s="18">
        <v>1</v>
      </c>
      <c r="F44" s="18">
        <v>1</v>
      </c>
      <c r="G44" s="18">
        <f t="shared" si="5"/>
        <v>1</v>
      </c>
      <c r="H44" s="18">
        <f t="shared" si="5"/>
        <v>0.73333333333333328</v>
      </c>
    </row>
    <row r="45" spans="1:8" x14ac:dyDescent="0.2">
      <c r="A45" s="4">
        <v>2015</v>
      </c>
      <c r="B45" s="18">
        <f t="shared" ref="B45:D49" si="6">B19/B18</f>
        <v>1.0002367760572051</v>
      </c>
      <c r="C45" s="18">
        <f t="shared" si="6"/>
        <v>0.99585999247271362</v>
      </c>
      <c r="D45" s="18">
        <f t="shared" si="6"/>
        <v>1.0079365079365079</v>
      </c>
      <c r="E45" s="18">
        <v>1</v>
      </c>
      <c r="F45" s="18">
        <v>1</v>
      </c>
      <c r="G45" s="18">
        <f t="shared" ref="G45:H49" si="7">G19/G18</f>
        <v>0.94145199063231855</v>
      </c>
      <c r="H45" s="18">
        <f t="shared" si="7"/>
        <v>0.90909090909090906</v>
      </c>
    </row>
    <row r="46" spans="1:8" x14ac:dyDescent="0.2">
      <c r="A46" s="4">
        <v>2016</v>
      </c>
      <c r="B46" s="18">
        <f t="shared" si="6"/>
        <v>1.0024145440772654</v>
      </c>
      <c r="C46" s="18">
        <f t="shared" si="6"/>
        <v>1.0049130763416478</v>
      </c>
      <c r="D46" s="18">
        <f t="shared" si="6"/>
        <v>0.99606299212598426</v>
      </c>
      <c r="E46" s="18">
        <v>1</v>
      </c>
      <c r="F46" s="18">
        <v>1</v>
      </c>
      <c r="G46" s="18">
        <f t="shared" si="7"/>
        <v>1.1044776119402986</v>
      </c>
      <c r="H46" s="18">
        <f t="shared" si="7"/>
        <v>1</v>
      </c>
    </row>
    <row r="47" spans="1:8" x14ac:dyDescent="0.2">
      <c r="A47" s="4">
        <v>2017</v>
      </c>
      <c r="B47" s="18">
        <f t="shared" si="6"/>
        <v>1.0008973692910783</v>
      </c>
      <c r="C47" s="18">
        <f t="shared" si="6"/>
        <v>0.99774351259872129</v>
      </c>
      <c r="D47" s="18">
        <f t="shared" si="6"/>
        <v>1.0316205533596838</v>
      </c>
      <c r="E47" s="18">
        <v>1</v>
      </c>
      <c r="F47" s="18">
        <v>1</v>
      </c>
      <c r="G47" s="18">
        <f t="shared" si="7"/>
        <v>0.98198198198198194</v>
      </c>
      <c r="H47" s="18">
        <f t="shared" si="7"/>
        <v>1</v>
      </c>
    </row>
    <row r="48" spans="1:8" x14ac:dyDescent="0.2">
      <c r="A48" s="4">
        <v>2018</v>
      </c>
      <c r="B48" s="18">
        <f t="shared" si="6"/>
        <v>1.0017459418648547</v>
      </c>
      <c r="C48" s="18">
        <f t="shared" si="6"/>
        <v>1.0003769317753486</v>
      </c>
      <c r="D48" s="18">
        <f t="shared" si="6"/>
        <v>0.9885057471264368</v>
      </c>
      <c r="E48" s="18">
        <v>1</v>
      </c>
      <c r="F48" s="18">
        <v>1</v>
      </c>
      <c r="G48" s="18">
        <f t="shared" si="7"/>
        <v>0.97477064220183485</v>
      </c>
      <c r="H48" s="18">
        <f t="shared" si="7"/>
        <v>1</v>
      </c>
    </row>
    <row r="49" spans="1:10" x14ac:dyDescent="0.2">
      <c r="A49" s="4">
        <v>2019</v>
      </c>
      <c r="B49" s="18">
        <f t="shared" si="6"/>
        <v>1.0024023741108861</v>
      </c>
      <c r="C49" s="18">
        <f t="shared" si="6"/>
        <v>0.99962321024868128</v>
      </c>
      <c r="D49" s="18">
        <f t="shared" si="6"/>
        <v>1.0193798449612403</v>
      </c>
      <c r="E49" s="18">
        <v>1</v>
      </c>
      <c r="F49" s="18">
        <v>1</v>
      </c>
      <c r="G49" s="18">
        <f t="shared" si="7"/>
        <v>0.98117647058823532</v>
      </c>
      <c r="H49" s="18">
        <f t="shared" si="7"/>
        <v>0.9</v>
      </c>
    </row>
    <row r="50" spans="1:10" x14ac:dyDescent="0.2">
      <c r="A50" s="4"/>
      <c r="B50" s="18"/>
      <c r="C50" s="18"/>
      <c r="D50" s="18"/>
      <c r="E50" s="18"/>
      <c r="F50" s="18"/>
      <c r="G50" s="18"/>
      <c r="H50" s="18"/>
    </row>
    <row r="51" spans="1:10" x14ac:dyDescent="0.2">
      <c r="B51" s="21"/>
      <c r="C51" s="21"/>
      <c r="D51" s="21"/>
      <c r="E51" s="21"/>
      <c r="F51" s="21"/>
      <c r="G51" s="21"/>
      <c r="H51" s="21"/>
    </row>
    <row r="52" spans="1:10" x14ac:dyDescent="0.2">
      <c r="A52" t="s">
        <v>54</v>
      </c>
      <c r="B52" s="19">
        <f t="shared" ref="B52:G52" si="8">B54</f>
        <v>1.0016817056167395</v>
      </c>
      <c r="C52" s="19">
        <f t="shared" si="8"/>
        <v>0.99924727107423705</v>
      </c>
      <c r="D52" s="19">
        <f t="shared" si="8"/>
        <v>1.0130053579908576</v>
      </c>
      <c r="E52" s="19">
        <f t="shared" si="8"/>
        <v>1</v>
      </c>
      <c r="F52" s="19">
        <f t="shared" si="8"/>
        <v>1</v>
      </c>
      <c r="G52" s="19">
        <f t="shared" si="8"/>
        <v>0.97930437556550631</v>
      </c>
      <c r="H52" s="19">
        <v>1</v>
      </c>
    </row>
    <row r="53" spans="1:10" x14ac:dyDescent="0.2">
      <c r="B53" s="19"/>
      <c r="C53" s="19"/>
      <c r="D53" s="19"/>
      <c r="E53" s="19"/>
      <c r="F53" s="19"/>
      <c r="G53" s="19"/>
      <c r="H53" s="19"/>
    </row>
    <row r="54" spans="1:10" x14ac:dyDescent="0.2">
      <c r="A54" s="137" t="s">
        <v>14</v>
      </c>
      <c r="B54" s="176">
        <f>GEOMEAN(B47:B49)</f>
        <v>1.0016817056167395</v>
      </c>
      <c r="C54" s="176">
        <f t="shared" ref="C54:H54" si="9">GEOMEAN(C47:C49)</f>
        <v>0.99924727107423705</v>
      </c>
      <c r="D54" s="176">
        <f t="shared" si="9"/>
        <v>1.0130053579908576</v>
      </c>
      <c r="E54" s="176">
        <f t="shared" si="9"/>
        <v>1</v>
      </c>
      <c r="F54" s="176">
        <f t="shared" si="9"/>
        <v>1</v>
      </c>
      <c r="G54" s="176">
        <f t="shared" si="9"/>
        <v>0.97930437556550631</v>
      </c>
      <c r="H54" s="176">
        <f t="shared" si="9"/>
        <v>0.96548938460562972</v>
      </c>
      <c r="I54" s="274"/>
    </row>
    <row r="55" spans="1:10" x14ac:dyDescent="0.2">
      <c r="A55" s="34" t="s">
        <v>61</v>
      </c>
      <c r="B55" s="19">
        <f>AVERAGEA(B48:B49)</f>
        <v>1.0020741579878703</v>
      </c>
      <c r="C55" s="19">
        <f t="shared" ref="C55:H55" si="10">AVERAGEA(C48:C49)</f>
        <v>1.0000000710120149</v>
      </c>
      <c r="D55" s="19">
        <f t="shared" si="10"/>
        <v>1.0039427960438385</v>
      </c>
      <c r="E55" s="19">
        <f t="shared" si="10"/>
        <v>1</v>
      </c>
      <c r="F55" s="19">
        <f t="shared" si="10"/>
        <v>1</v>
      </c>
      <c r="G55" s="19">
        <f t="shared" si="10"/>
        <v>0.97797355639503514</v>
      </c>
      <c r="H55" s="19">
        <f t="shared" si="10"/>
        <v>0.95</v>
      </c>
    </row>
    <row r="56" spans="1:10" x14ac:dyDescent="0.2">
      <c r="A56" s="4"/>
      <c r="B56" s="19">
        <f t="shared" ref="B56:H56" si="11">+B54-B55</f>
        <v>-3.9245237113072484E-4</v>
      </c>
      <c r="C56" s="19">
        <f t="shared" si="11"/>
        <v>-7.5279993777788157E-4</v>
      </c>
      <c r="D56" s="19">
        <f t="shared" si="11"/>
        <v>9.0625619470190433E-3</v>
      </c>
      <c r="E56" s="19">
        <f t="shared" si="11"/>
        <v>0</v>
      </c>
      <c r="F56" s="19">
        <f t="shared" si="11"/>
        <v>0</v>
      </c>
      <c r="G56" s="19">
        <f t="shared" si="11"/>
        <v>1.3308191704711758E-3</v>
      </c>
      <c r="H56" s="19">
        <f t="shared" si="11"/>
        <v>1.5489384605629763E-2</v>
      </c>
    </row>
    <row r="57" spans="1:10" x14ac:dyDescent="0.2">
      <c r="A57" s="4"/>
      <c r="B57" s="19"/>
      <c r="C57" s="19"/>
      <c r="D57" s="19"/>
      <c r="E57" s="19"/>
      <c r="F57" s="19"/>
      <c r="G57" s="19"/>
      <c r="H57" s="19"/>
    </row>
    <row r="58" spans="1:10" x14ac:dyDescent="0.2">
      <c r="A58" s="4"/>
      <c r="B58" s="19"/>
      <c r="C58" s="19"/>
      <c r="D58" s="19"/>
      <c r="E58" s="19"/>
      <c r="F58" s="19"/>
      <c r="G58" s="19"/>
      <c r="H58" s="19"/>
    </row>
    <row r="59" spans="1:10" x14ac:dyDescent="0.2">
      <c r="A59" s="143"/>
      <c r="G59" s="51"/>
      <c r="H59" s="21"/>
      <c r="I59" s="21"/>
      <c r="J59" s="21"/>
    </row>
    <row r="60" spans="1:10" x14ac:dyDescent="0.2">
      <c r="A60" s="181"/>
      <c r="B60" s="182"/>
      <c r="C60" s="182"/>
      <c r="D60" s="8"/>
      <c r="G60" s="51"/>
      <c r="H60" s="21"/>
      <c r="I60" s="21"/>
      <c r="J60" s="21"/>
    </row>
    <row r="61" spans="1:10" x14ac:dyDescent="0.2">
      <c r="B61"/>
      <c r="C61"/>
      <c r="D61"/>
      <c r="E61"/>
      <c r="F61"/>
      <c r="G61"/>
      <c r="H61"/>
      <c r="I61"/>
      <c r="J61"/>
    </row>
    <row r="62" spans="1:10" x14ac:dyDescent="0.2">
      <c r="B62"/>
      <c r="C62"/>
      <c r="D62"/>
      <c r="E62"/>
      <c r="F62"/>
      <c r="G62"/>
      <c r="H62"/>
      <c r="I62"/>
      <c r="J62"/>
    </row>
    <row r="63" spans="1:10" x14ac:dyDescent="0.2">
      <c r="B63" s="19"/>
      <c r="C63" s="19"/>
      <c r="D63" s="19"/>
      <c r="E63" s="19"/>
      <c r="F63" s="19"/>
      <c r="G63" s="19"/>
      <c r="H63" s="19"/>
    </row>
    <row r="64" spans="1:10" x14ac:dyDescent="0.2">
      <c r="B64" s="19"/>
      <c r="C64" s="19"/>
      <c r="D64" s="19"/>
      <c r="E64" s="19"/>
      <c r="F64" s="19"/>
      <c r="G64" s="19"/>
      <c r="H64" s="19"/>
    </row>
    <row r="65" spans="2:8" x14ac:dyDescent="0.2">
      <c r="B65" s="19"/>
      <c r="C65" s="19"/>
      <c r="D65" s="19"/>
      <c r="E65" s="19"/>
      <c r="F65" s="19"/>
      <c r="G65" s="19"/>
      <c r="H65" s="19"/>
    </row>
    <row r="66" spans="2:8" x14ac:dyDescent="0.2">
      <c r="B66" s="19"/>
      <c r="C66" s="19"/>
      <c r="D66" s="19"/>
      <c r="E66" s="19"/>
      <c r="F66" s="19"/>
      <c r="G66" s="19"/>
      <c r="H66" s="19"/>
    </row>
    <row r="67" spans="2:8" x14ac:dyDescent="0.2">
      <c r="B67" s="19"/>
      <c r="C67" s="19"/>
      <c r="D67" s="19"/>
      <c r="E67" s="19"/>
      <c r="F67" s="19"/>
      <c r="G67" s="19"/>
      <c r="H67" s="19"/>
    </row>
    <row r="68" spans="2:8" x14ac:dyDescent="0.2">
      <c r="B68" s="19"/>
      <c r="C68" s="19"/>
      <c r="D68" s="19"/>
      <c r="E68" s="19"/>
      <c r="F68" s="19"/>
      <c r="G68" s="19"/>
      <c r="H68" s="19"/>
    </row>
    <row r="69" spans="2:8" x14ac:dyDescent="0.2">
      <c r="B69" s="19"/>
      <c r="C69" s="19"/>
      <c r="D69" s="19"/>
      <c r="E69" s="19"/>
      <c r="F69" s="19"/>
      <c r="G69" s="19"/>
      <c r="H69" s="19"/>
    </row>
    <row r="70" spans="2:8" x14ac:dyDescent="0.2">
      <c r="B70" s="19"/>
      <c r="C70" s="19"/>
      <c r="D70" s="19"/>
      <c r="E70" s="19"/>
      <c r="F70" s="19"/>
      <c r="G70" s="19"/>
      <c r="H70" s="19"/>
    </row>
    <row r="71" spans="2:8" x14ac:dyDescent="0.2">
      <c r="B71" s="19"/>
      <c r="C71" s="19"/>
      <c r="D71" s="19"/>
      <c r="E71" s="19"/>
      <c r="F71" s="19"/>
      <c r="G71" s="19"/>
      <c r="H71" s="19"/>
    </row>
    <row r="72" spans="2:8" x14ac:dyDescent="0.2">
      <c r="B72" s="19"/>
      <c r="C72" s="19"/>
      <c r="D72" s="19"/>
      <c r="E72" s="19"/>
      <c r="F72" s="19"/>
      <c r="G72" s="19"/>
      <c r="H72" s="19"/>
    </row>
  </sheetData>
  <phoneticPr fontId="0" type="noConversion"/>
  <pageMargins left="0.39" right="0.26" top="0.23" bottom="0.5" header="0.23" footer="0.16"/>
  <pageSetup scale="83" orientation="landscape" r:id="rId1"/>
  <headerFooter alignWithMargins="0">
    <oddFooter>&amp;C&amp;A
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T250"/>
  <sheetViews>
    <sheetView topLeftCell="A16" workbookViewId="0">
      <selection activeCell="G64" sqref="G64"/>
    </sheetView>
  </sheetViews>
  <sheetFormatPr defaultRowHeight="12.75" x14ac:dyDescent="0.2"/>
  <cols>
    <col min="1" max="1" width="11" customWidth="1"/>
    <col min="2" max="2" width="14.28515625" style="6" bestFit="1" customWidth="1"/>
    <col min="3" max="3" width="17.7109375" style="6" customWidth="1"/>
    <col min="4" max="5" width="12.5703125" style="6" customWidth="1"/>
    <col min="6" max="6" width="12.85546875" style="6" bestFit="1" customWidth="1"/>
    <col min="7" max="8" width="12.85546875" style="6" customWidth="1"/>
    <col min="14" max="14" width="23.140625" bestFit="1" customWidth="1"/>
    <col min="15" max="15" width="22.140625" bestFit="1" customWidth="1"/>
    <col min="16" max="16" width="27.28515625" bestFit="1" customWidth="1"/>
    <col min="17" max="17" width="29.28515625" bestFit="1" customWidth="1"/>
  </cols>
  <sheetData>
    <row r="1" spans="1:150" ht="42" customHeight="1" x14ac:dyDescent="0.2">
      <c r="A1" s="13"/>
      <c r="B1" s="193" t="str">
        <f>'Rate Class Customer Model'!D2</f>
        <v>General Service 50 to 2999 kW</v>
      </c>
      <c r="C1" s="193" t="str">
        <f>'Rate Class Customer Model'!E2</f>
        <v>General Service 3000 to 4999 kW</v>
      </c>
      <c r="D1" s="193" t="str">
        <f>'Rate Class Customer Model'!F2</f>
        <v>Street Lighting</v>
      </c>
      <c r="E1" s="193" t="str">
        <f>'Rate Class Customer Model'!G2</f>
        <v>Sentinel Lighting</v>
      </c>
      <c r="F1" s="194" t="s">
        <v>10</v>
      </c>
      <c r="G1" s="194"/>
      <c r="H1" s="194"/>
      <c r="N1" s="350" t="s">
        <v>221</v>
      </c>
      <c r="O1" s="351"/>
      <c r="P1" s="351"/>
      <c r="Q1" s="352"/>
      <c r="R1" s="353"/>
    </row>
    <row r="2" spans="1:150" s="43" customFormat="1" ht="25.5" x14ac:dyDescent="0.2">
      <c r="A2" s="48">
        <v>1999</v>
      </c>
      <c r="B2" s="177">
        <v>604561.49</v>
      </c>
      <c r="C2" s="177">
        <v>200911.4</v>
      </c>
      <c r="D2" s="177">
        <v>8604</v>
      </c>
      <c r="E2" s="177">
        <v>1469</v>
      </c>
      <c r="F2" s="6">
        <f>SUM(B2:E2)</f>
        <v>815545.89</v>
      </c>
      <c r="G2" s="6"/>
      <c r="H2" s="6"/>
      <c r="I2" s="25"/>
      <c r="J2" s="25"/>
      <c r="K2" s="25"/>
      <c r="L2" s="25"/>
      <c r="M2" s="25"/>
      <c r="N2" s="380" t="s">
        <v>209</v>
      </c>
      <c r="O2" s="381" t="s">
        <v>210</v>
      </c>
      <c r="P2" s="381" t="s">
        <v>142</v>
      </c>
      <c r="Q2" s="381" t="s">
        <v>143</v>
      </c>
      <c r="R2" s="369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</row>
    <row r="3" spans="1:150" x14ac:dyDescent="0.2">
      <c r="A3" s="24">
        <v>2000</v>
      </c>
      <c r="B3" s="177">
        <v>615896.57999999996</v>
      </c>
      <c r="C3" s="177">
        <v>210331.37</v>
      </c>
      <c r="D3" s="177">
        <v>8004.8</v>
      </c>
      <c r="E3" s="177">
        <v>1026</v>
      </c>
      <c r="F3" s="6">
        <f>SUM(B3:E3)</f>
        <v>835258.75</v>
      </c>
      <c r="I3" s="25"/>
      <c r="J3" s="25"/>
      <c r="K3" s="25"/>
      <c r="L3" s="25"/>
      <c r="M3" s="25"/>
      <c r="N3" s="376"/>
      <c r="O3" s="121"/>
      <c r="P3" s="121"/>
      <c r="Q3" s="121"/>
      <c r="R3" s="369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</row>
    <row r="4" spans="1:150" x14ac:dyDescent="0.2">
      <c r="A4" s="24">
        <v>2001</v>
      </c>
      <c r="B4" s="178">
        <v>618479.91</v>
      </c>
      <c r="C4" s="178">
        <v>182444.07</v>
      </c>
      <c r="D4" s="177">
        <v>8801.16</v>
      </c>
      <c r="E4" s="177">
        <v>1013</v>
      </c>
      <c r="F4" s="6">
        <f t="shared" ref="F4:F13" si="0">SUM(B4:E4)</f>
        <v>810738.14</v>
      </c>
      <c r="I4" s="25"/>
      <c r="J4" s="25"/>
      <c r="K4" s="25"/>
      <c r="L4" s="25"/>
      <c r="M4" s="25"/>
      <c r="N4" s="376"/>
      <c r="O4" s="121"/>
      <c r="P4" s="121"/>
      <c r="Q4" s="121"/>
      <c r="R4" s="369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</row>
    <row r="5" spans="1:150" x14ac:dyDescent="0.2">
      <c r="A5" s="24">
        <v>2002</v>
      </c>
      <c r="B5" s="178">
        <v>599393.30000000005</v>
      </c>
      <c r="C5" s="178">
        <v>116994.94</v>
      </c>
      <c r="D5" s="177">
        <v>8805.7199999999993</v>
      </c>
      <c r="E5" s="177">
        <v>1494.9</v>
      </c>
      <c r="F5" s="6">
        <f t="shared" si="0"/>
        <v>726688.86</v>
      </c>
      <c r="I5" s="25"/>
      <c r="J5" s="25"/>
      <c r="K5" s="25"/>
      <c r="L5" s="25"/>
      <c r="M5" s="25"/>
      <c r="N5" s="376"/>
      <c r="O5" s="121"/>
      <c r="P5" s="121"/>
      <c r="Q5" s="121"/>
      <c r="R5" s="369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</row>
    <row r="6" spans="1:150" x14ac:dyDescent="0.2">
      <c r="A6" s="24">
        <v>2003</v>
      </c>
      <c r="B6" s="21">
        <v>593814.14</v>
      </c>
      <c r="C6" s="178">
        <v>107185.13</v>
      </c>
      <c r="D6" s="179">
        <v>9600</v>
      </c>
      <c r="E6" s="179">
        <v>1608.2</v>
      </c>
      <c r="F6" s="6">
        <f>SUM(B6:E6)</f>
        <v>712207.47</v>
      </c>
      <c r="I6" s="25"/>
      <c r="J6" s="25"/>
      <c r="K6" s="25"/>
      <c r="L6" s="25"/>
      <c r="M6" s="25"/>
      <c r="N6" s="376"/>
      <c r="O6" s="121"/>
      <c r="P6" s="121"/>
      <c r="Q6" s="121"/>
      <c r="R6" s="369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</row>
    <row r="7" spans="1:150" x14ac:dyDescent="0.2">
      <c r="A7" s="24">
        <v>2004</v>
      </c>
      <c r="B7" s="178">
        <v>590317.42000000004</v>
      </c>
      <c r="C7" s="178">
        <v>109315.81</v>
      </c>
      <c r="D7" s="179">
        <v>9618.24</v>
      </c>
      <c r="E7" s="179">
        <v>1734.77</v>
      </c>
      <c r="F7" s="6">
        <f t="shared" si="0"/>
        <v>710986.23999999999</v>
      </c>
      <c r="I7" s="25"/>
      <c r="J7" s="25"/>
      <c r="K7" s="25"/>
      <c r="L7" s="25"/>
      <c r="M7" s="25"/>
      <c r="N7" s="376"/>
      <c r="O7" s="121"/>
      <c r="P7" s="121"/>
      <c r="Q7" s="121"/>
      <c r="R7" s="369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</row>
    <row r="8" spans="1:150" x14ac:dyDescent="0.2">
      <c r="A8" s="24">
        <v>2005</v>
      </c>
      <c r="B8" s="178">
        <v>613159.62</v>
      </c>
      <c r="C8" s="178">
        <v>109679.8</v>
      </c>
      <c r="D8" s="179">
        <v>9192</v>
      </c>
      <c r="E8" s="179">
        <v>1703.85</v>
      </c>
      <c r="F8" s="6">
        <f t="shared" si="0"/>
        <v>733735.27</v>
      </c>
      <c r="I8" s="25"/>
      <c r="J8" s="25"/>
      <c r="K8" s="25"/>
      <c r="L8" s="25"/>
      <c r="M8" s="25"/>
      <c r="N8" s="376"/>
      <c r="O8" s="121"/>
      <c r="P8" s="121"/>
      <c r="Q8" s="121"/>
      <c r="R8" s="369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</row>
    <row r="9" spans="1:150" x14ac:dyDescent="0.2">
      <c r="A9" s="24">
        <v>2006</v>
      </c>
      <c r="B9" s="178">
        <v>602160.47</v>
      </c>
      <c r="C9" s="178">
        <v>96179.77</v>
      </c>
      <c r="D9" s="179">
        <v>9192</v>
      </c>
      <c r="E9" s="179">
        <v>1594.68</v>
      </c>
      <c r="F9" s="6">
        <f t="shared" si="0"/>
        <v>709126.92</v>
      </c>
      <c r="I9" s="25"/>
      <c r="J9" s="25"/>
      <c r="K9" s="25"/>
      <c r="L9" s="25"/>
      <c r="M9" s="25"/>
      <c r="N9" s="376"/>
      <c r="O9" s="121"/>
      <c r="P9" s="121"/>
      <c r="Q9" s="121"/>
      <c r="R9" s="369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</row>
    <row r="10" spans="1:150" x14ac:dyDescent="0.2">
      <c r="A10" s="24">
        <v>2007</v>
      </c>
      <c r="B10" s="178">
        <v>604779.68000000005</v>
      </c>
      <c r="C10" s="178">
        <v>95579.78</v>
      </c>
      <c r="D10" s="179">
        <v>9238.56</v>
      </c>
      <c r="E10" s="179">
        <v>1542.98</v>
      </c>
      <c r="F10" s="6">
        <f t="shared" si="0"/>
        <v>711141.00000000012</v>
      </c>
      <c r="I10" s="25"/>
      <c r="J10" s="25"/>
      <c r="K10" s="25"/>
      <c r="L10" s="25"/>
      <c r="M10" s="25"/>
      <c r="N10" s="376"/>
      <c r="O10" s="121"/>
      <c r="P10" s="121"/>
      <c r="Q10" s="121"/>
      <c r="R10" s="369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</row>
    <row r="11" spans="1:150" x14ac:dyDescent="0.2">
      <c r="A11" s="24">
        <v>2008</v>
      </c>
      <c r="B11" s="177">
        <v>602776.31999999995</v>
      </c>
      <c r="C11" s="177">
        <v>88903.8</v>
      </c>
      <c r="D11" s="177">
        <v>9270.1200000000008</v>
      </c>
      <c r="E11" s="177">
        <v>1530.54</v>
      </c>
      <c r="F11" s="6">
        <f t="shared" si="0"/>
        <v>702480.78</v>
      </c>
      <c r="I11" s="25"/>
      <c r="J11" s="25"/>
      <c r="K11" s="25"/>
      <c r="L11" s="25"/>
      <c r="M11" s="25"/>
      <c r="N11" s="376"/>
      <c r="O11" s="121"/>
      <c r="P11" s="121"/>
      <c r="Q11" s="121"/>
      <c r="R11" s="369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</row>
    <row r="12" spans="1:150" x14ac:dyDescent="0.2">
      <c r="A12" s="24">
        <v>2009</v>
      </c>
      <c r="B12" s="178">
        <v>584819</v>
      </c>
      <c r="C12" s="178">
        <v>79624</v>
      </c>
      <c r="D12" s="178">
        <v>9285</v>
      </c>
      <c r="E12" s="178">
        <v>1506</v>
      </c>
      <c r="F12" s="6">
        <f t="shared" si="0"/>
        <v>675234</v>
      </c>
      <c r="I12" s="25"/>
      <c r="J12" s="25"/>
      <c r="K12" s="25"/>
      <c r="L12" s="25"/>
      <c r="M12" s="25"/>
      <c r="N12" s="376"/>
      <c r="O12" s="121"/>
      <c r="P12" s="121"/>
      <c r="Q12" s="121"/>
      <c r="R12" s="369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</row>
    <row r="13" spans="1:150" x14ac:dyDescent="0.2">
      <c r="A13" s="24">
        <v>2010</v>
      </c>
      <c r="B13" s="178">
        <v>588203.21</v>
      </c>
      <c r="C13" s="178">
        <v>78059.55</v>
      </c>
      <c r="D13" s="178">
        <v>9284.76</v>
      </c>
      <c r="E13" s="178">
        <v>1541.04</v>
      </c>
      <c r="F13" s="6">
        <f t="shared" si="0"/>
        <v>677088.56</v>
      </c>
      <c r="I13" s="25"/>
      <c r="J13" s="25"/>
      <c r="K13" s="25"/>
      <c r="L13" s="25"/>
      <c r="M13" s="25"/>
      <c r="N13" s="376"/>
      <c r="O13" s="121"/>
      <c r="P13" s="121"/>
      <c r="Q13" s="121"/>
      <c r="R13" s="369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</row>
    <row r="14" spans="1:150" x14ac:dyDescent="0.2">
      <c r="A14" s="24">
        <v>2011</v>
      </c>
      <c r="B14" s="178">
        <v>582945.86</v>
      </c>
      <c r="C14" s="178">
        <v>70473.350000000006</v>
      </c>
      <c r="D14" s="178">
        <v>9041.75</v>
      </c>
      <c r="E14" s="178">
        <v>1286.7100000000016</v>
      </c>
      <c r="F14" s="6">
        <f t="shared" ref="F14:F22" si="1">SUM(B14:E14)</f>
        <v>663747.66999999993</v>
      </c>
      <c r="I14" s="25"/>
      <c r="J14" s="25"/>
      <c r="K14" s="25"/>
      <c r="L14" s="25"/>
      <c r="M14" s="25"/>
      <c r="N14" s="376"/>
      <c r="O14" s="121"/>
      <c r="P14" s="121"/>
      <c r="Q14" s="121"/>
      <c r="R14" s="369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</row>
    <row r="15" spans="1:150" x14ac:dyDescent="0.2">
      <c r="A15" s="24">
        <v>2012</v>
      </c>
      <c r="B15" s="178">
        <v>540969</v>
      </c>
      <c r="C15" s="178">
        <v>68480</v>
      </c>
      <c r="D15" s="178">
        <v>7788</v>
      </c>
      <c r="E15" s="178">
        <f>2345-744</f>
        <v>1601</v>
      </c>
      <c r="F15" s="6">
        <f t="shared" si="1"/>
        <v>618838</v>
      </c>
      <c r="I15" s="25"/>
      <c r="J15" s="25"/>
      <c r="K15" s="25"/>
      <c r="L15" s="25"/>
      <c r="M15" s="25"/>
      <c r="N15" s="376"/>
      <c r="O15" s="121"/>
      <c r="P15" s="121"/>
      <c r="Q15" s="121"/>
      <c r="R15" s="369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</row>
    <row r="16" spans="1:150" x14ac:dyDescent="0.2">
      <c r="A16" s="24">
        <v>2013</v>
      </c>
      <c r="B16" s="178">
        <v>535312.51999999979</v>
      </c>
      <c r="C16" s="189">
        <v>69448.33</v>
      </c>
      <c r="D16" s="178">
        <v>6559.4</v>
      </c>
      <c r="E16" s="189">
        <v>1224.070000000002</v>
      </c>
      <c r="F16" s="6">
        <f t="shared" si="1"/>
        <v>612544.31999999972</v>
      </c>
      <c r="I16" s="25"/>
      <c r="J16" s="25"/>
      <c r="K16" s="25"/>
      <c r="L16" s="25"/>
      <c r="M16" s="25"/>
      <c r="N16" s="376"/>
      <c r="O16" s="121"/>
      <c r="P16" s="121"/>
      <c r="Q16" s="121"/>
      <c r="R16" s="369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</row>
    <row r="17" spans="1:150" x14ac:dyDescent="0.2">
      <c r="A17" s="24">
        <v>2014</v>
      </c>
      <c r="B17" s="178">
        <v>533378.05000000005</v>
      </c>
      <c r="C17" s="189">
        <v>54354.869999999995</v>
      </c>
      <c r="D17" s="178">
        <v>5677.1200000000008</v>
      </c>
      <c r="E17" s="189">
        <v>1178.6100000000022</v>
      </c>
      <c r="F17" s="6">
        <f t="shared" si="1"/>
        <v>594588.65</v>
      </c>
      <c r="I17" s="25"/>
      <c r="J17" s="25"/>
      <c r="K17" s="25"/>
      <c r="L17" s="25"/>
      <c r="M17" s="25"/>
      <c r="N17" s="376"/>
      <c r="O17" s="121"/>
      <c r="P17" s="121"/>
      <c r="Q17" s="121"/>
      <c r="R17" s="369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</row>
    <row r="18" spans="1:150" x14ac:dyDescent="0.2">
      <c r="A18" s="24">
        <v>2015</v>
      </c>
      <c r="B18" s="177">
        <v>537897.68000000017</v>
      </c>
      <c r="C18" s="177">
        <v>39466.039999999994</v>
      </c>
      <c r="D18" s="276">
        <v>5690.27</v>
      </c>
      <c r="E18" s="177">
        <v>1033.7400000000014</v>
      </c>
      <c r="F18" s="6">
        <f t="shared" si="1"/>
        <v>584087.73000000021</v>
      </c>
      <c r="I18" s="25"/>
      <c r="J18" s="25"/>
      <c r="K18" s="25"/>
      <c r="L18" s="25"/>
      <c r="M18" s="25"/>
      <c r="N18" s="382">
        <v>523491.9375038062</v>
      </c>
      <c r="O18" s="383">
        <v>33217.437720696485</v>
      </c>
      <c r="P18" s="383">
        <v>5426.957697973914</v>
      </c>
      <c r="Q18" s="383">
        <v>968.30222985814169</v>
      </c>
      <c r="R18" s="384">
        <f>+SUM(N18:Q18)</f>
        <v>563104.6351523347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</row>
    <row r="19" spans="1:150" x14ac:dyDescent="0.2">
      <c r="A19" s="24">
        <v>2016</v>
      </c>
      <c r="B19" s="177">
        <v>529360.3600000001</v>
      </c>
      <c r="C19" s="177">
        <v>35717.369999999995</v>
      </c>
      <c r="D19" s="276">
        <v>5690.28</v>
      </c>
      <c r="E19" s="177">
        <v>406.11999999999938</v>
      </c>
      <c r="F19" s="6">
        <f t="shared" si="1"/>
        <v>571174.13000000012</v>
      </c>
      <c r="G19" s="21"/>
      <c r="H19" s="21"/>
      <c r="I19" s="25"/>
      <c r="J19" s="25"/>
      <c r="K19" s="25"/>
      <c r="L19" s="25"/>
      <c r="M19" s="25"/>
      <c r="N19" s="382">
        <v>515202.84769815218</v>
      </c>
      <c r="O19" s="383">
        <v>33339.641454058015</v>
      </c>
      <c r="P19" s="383">
        <v>5766.691557852846</v>
      </c>
      <c r="Q19" s="383">
        <v>428.82207146853239</v>
      </c>
      <c r="R19" s="384">
        <f t="shared" ref="R19:R22" si="2">+SUM(N19:Q19)</f>
        <v>554738.00278153166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</row>
    <row r="20" spans="1:150" x14ac:dyDescent="0.2">
      <c r="A20" s="24">
        <v>2017</v>
      </c>
      <c r="B20" s="177">
        <v>528741.1399999999</v>
      </c>
      <c r="C20" s="177">
        <v>30516.22</v>
      </c>
      <c r="D20" s="276">
        <v>5690.28</v>
      </c>
      <c r="E20" s="177">
        <v>329.73999999999944</v>
      </c>
      <c r="F20" s="6">
        <f t="shared" si="1"/>
        <v>565277.37999999989</v>
      </c>
      <c r="G20" s="21"/>
      <c r="H20" s="21"/>
      <c r="I20" s="25"/>
      <c r="J20" s="25"/>
      <c r="K20" s="25"/>
      <c r="L20" s="25"/>
      <c r="M20" s="25"/>
      <c r="N20" s="382">
        <v>521463.84506288206</v>
      </c>
      <c r="O20" s="383">
        <v>33265.590319929914</v>
      </c>
      <c r="P20" s="383">
        <v>5834.7651320426166</v>
      </c>
      <c r="Q20" s="383">
        <v>359.41067285734442</v>
      </c>
      <c r="R20" s="384">
        <f t="shared" si="2"/>
        <v>560923.61118771182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</row>
    <row r="21" spans="1:150" x14ac:dyDescent="0.2">
      <c r="A21" s="24">
        <v>2018</v>
      </c>
      <c r="B21" s="177">
        <v>522247.32</v>
      </c>
      <c r="C21" s="177">
        <v>30271.190000000002</v>
      </c>
      <c r="D21" s="276">
        <v>5690.28</v>
      </c>
      <c r="E21" s="177">
        <v>315.71999999999952</v>
      </c>
      <c r="F21" s="6">
        <f t="shared" si="1"/>
        <v>558524.51</v>
      </c>
      <c r="G21" s="21"/>
      <c r="H21" s="21"/>
      <c r="I21" s="25"/>
      <c r="J21" s="25"/>
      <c r="K21" s="25"/>
      <c r="L21" s="25"/>
      <c r="M21" s="25"/>
      <c r="N21" s="382">
        <v>506211.87826594833</v>
      </c>
      <c r="O21" s="383">
        <v>31688.883194608377</v>
      </c>
      <c r="P21" s="383">
        <v>5660.6485986593498</v>
      </c>
      <c r="Q21" s="383">
        <v>337.66474317252329</v>
      </c>
      <c r="R21" s="384">
        <f t="shared" si="2"/>
        <v>543899.07480238844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</row>
    <row r="22" spans="1:150" ht="13.5" thickBot="1" x14ac:dyDescent="0.25">
      <c r="A22" s="24">
        <v>2019</v>
      </c>
      <c r="B22" s="177">
        <v>523294.41</v>
      </c>
      <c r="C22" s="177">
        <v>29275.15</v>
      </c>
      <c r="D22" s="276">
        <v>5690.28</v>
      </c>
      <c r="E22" s="177">
        <v>310.34000000000003</v>
      </c>
      <c r="F22" s="6">
        <f t="shared" si="1"/>
        <v>558570.17999999993</v>
      </c>
      <c r="G22" s="21"/>
      <c r="H22" s="21"/>
      <c r="I22" s="25"/>
      <c r="J22" s="25"/>
      <c r="K22" s="25"/>
      <c r="L22" s="25"/>
      <c r="M22" s="25"/>
      <c r="N22" s="385">
        <v>506827.23523567343</v>
      </c>
      <c r="O22" s="386">
        <v>30101.845140953283</v>
      </c>
      <c r="P22" s="386">
        <v>5682.1347392453217</v>
      </c>
      <c r="Q22" s="386">
        <v>331.96161445863692</v>
      </c>
      <c r="R22" s="387">
        <f t="shared" si="2"/>
        <v>542943.17673033057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</row>
    <row r="23" spans="1:150" s="43" customFormat="1" x14ac:dyDescent="0.2">
      <c r="A23" s="24">
        <v>2020</v>
      </c>
      <c r="B23" s="190">
        <f>+'Rate Class Energy Model'!J71*B$54+B31-B33</f>
        <v>522020.53109148762</v>
      </c>
      <c r="C23" s="190">
        <f>+'Rate Class Energy Model'!K71*C$54</f>
        <v>27927.216521161627</v>
      </c>
      <c r="D23" s="190">
        <f>+'Rate Class Energy Model'!L71*D$54</f>
        <v>5690.28</v>
      </c>
      <c r="E23" s="190">
        <f>+'Rate Class Energy Model'!M71*E$54</f>
        <v>304.29369952634471</v>
      </c>
      <c r="F23" s="6">
        <f>SUM(B23:E23)</f>
        <v>555942.3213121756</v>
      </c>
      <c r="G23" s="278"/>
      <c r="H23" s="21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</row>
    <row r="24" spans="1:150" x14ac:dyDescent="0.2">
      <c r="A24" s="24">
        <v>2021</v>
      </c>
      <c r="B24" s="190">
        <f>+'Rate Class Energy Model'!J72*B$54+B32-B34</f>
        <v>517284.14137790038</v>
      </c>
      <c r="C24" s="190">
        <f>+'Rate Class Energy Model'!K72*C$54</f>
        <v>27098.262991662719</v>
      </c>
      <c r="D24" s="190">
        <f>+'Rate Class Energy Model'!L72*D$54</f>
        <v>5690.28</v>
      </c>
      <c r="E24" s="190">
        <f>+'Rate Class Energy Model'!M72*E$54</f>
        <v>298.32715639837716</v>
      </c>
      <c r="F24" s="6">
        <f>SUM(B24:E24)</f>
        <v>550371.01152596145</v>
      </c>
      <c r="G24" s="278"/>
      <c r="H24" s="21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</row>
    <row r="25" spans="1:150" x14ac:dyDescent="0.2">
      <c r="B25"/>
      <c r="C25"/>
      <c r="D25"/>
      <c r="E25"/>
      <c r="F25" s="21"/>
      <c r="G25" s="21"/>
      <c r="H25" s="21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</row>
    <row r="26" spans="1:150" x14ac:dyDescent="0.2">
      <c r="B26"/>
      <c r="C26"/>
      <c r="D26"/>
      <c r="E26"/>
      <c r="F26" s="21"/>
      <c r="G26" s="21"/>
      <c r="H26" s="21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</row>
    <row r="27" spans="1:150" x14ac:dyDescent="0.2">
      <c r="A27" s="24">
        <v>2020</v>
      </c>
      <c r="B27" s="175">
        <v>526474.92072791478</v>
      </c>
      <c r="C27" s="175">
        <v>28781.528279499042</v>
      </c>
      <c r="D27" s="175">
        <v>5690.28</v>
      </c>
      <c r="E27" s="175">
        <v>304.29369952634471</v>
      </c>
      <c r="F27" s="278" t="s">
        <v>184</v>
      </c>
      <c r="G27" s="21"/>
      <c r="H27" s="21"/>
      <c r="I27" s="388" t="s">
        <v>185</v>
      </c>
      <c r="J27" s="389"/>
      <c r="K27" s="389"/>
      <c r="L27" s="389"/>
      <c r="M27" s="389"/>
      <c r="N27" s="389"/>
      <c r="O27" s="389"/>
      <c r="P27" s="389"/>
      <c r="Q27" s="389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</row>
    <row r="28" spans="1:150" x14ac:dyDescent="0.2">
      <c r="A28" s="24">
        <v>2021</v>
      </c>
      <c r="B28" s="175">
        <v>528913.28315318841</v>
      </c>
      <c r="C28" s="175">
        <v>28781.528279499042</v>
      </c>
      <c r="D28" s="175">
        <v>5690.28</v>
      </c>
      <c r="E28" s="175">
        <v>298.32715639837716</v>
      </c>
      <c r="F28" s="278" t="s">
        <v>184</v>
      </c>
      <c r="G28" s="21"/>
      <c r="H28" s="21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</row>
    <row r="29" spans="1:150" x14ac:dyDescent="0.2">
      <c r="A29" s="24">
        <v>2020</v>
      </c>
      <c r="B29" s="175">
        <v>519873.09461274423</v>
      </c>
      <c r="C29" s="175">
        <v>28781.528279499042</v>
      </c>
      <c r="D29" s="175">
        <v>5690.28</v>
      </c>
      <c r="E29" s="175">
        <v>304.29369952634471</v>
      </c>
      <c r="F29" s="285" t="s">
        <v>178</v>
      </c>
      <c r="G29" s="21"/>
      <c r="H29" s="21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</row>
    <row r="30" spans="1:150" x14ac:dyDescent="0.2">
      <c r="A30" s="24">
        <v>2021</v>
      </c>
      <c r="B30" s="175">
        <v>522311.45703801792</v>
      </c>
      <c r="C30" s="175">
        <v>28781.528279499042</v>
      </c>
      <c r="D30" s="175">
        <v>5690.28</v>
      </c>
      <c r="E30" s="175">
        <v>298.32715639837716</v>
      </c>
      <c r="F30" s="285" t="s">
        <v>178</v>
      </c>
      <c r="G30" s="21"/>
      <c r="H30" s="2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</row>
    <row r="31" spans="1:150" x14ac:dyDescent="0.2">
      <c r="A31" s="207" t="s">
        <v>180</v>
      </c>
      <c r="B31" s="286">
        <v>6601.8261151705519</v>
      </c>
      <c r="C31" s="175"/>
      <c r="D31" s="175"/>
      <c r="E31" s="175"/>
      <c r="F31" s="285"/>
      <c r="G31" s="21"/>
      <c r="H31" s="2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</row>
    <row r="32" spans="1:150" x14ac:dyDescent="0.2">
      <c r="A32" t="s">
        <v>179</v>
      </c>
      <c r="B32" s="286">
        <v>6601.8261151704937</v>
      </c>
      <c r="C32" s="286">
        <f>+C28-C30</f>
        <v>0</v>
      </c>
      <c r="D32" s="286">
        <f>+D28-D30</f>
        <v>0</v>
      </c>
      <c r="E32" s="286">
        <f>+E28-E30</f>
        <v>0</v>
      </c>
      <c r="F32" s="21"/>
      <c r="G32" s="21"/>
      <c r="H32" s="2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</row>
    <row r="33" spans="1:150" x14ac:dyDescent="0.2">
      <c r="A33" s="207" t="s">
        <v>186</v>
      </c>
      <c r="B33" s="286">
        <v>381.5</v>
      </c>
      <c r="C33" s="286"/>
      <c r="D33" s="286"/>
      <c r="E33" s="286"/>
      <c r="F33" s="21"/>
      <c r="G33" s="21"/>
      <c r="H33" s="21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</row>
    <row r="34" spans="1:150" x14ac:dyDescent="0.2">
      <c r="A34" s="207" t="s">
        <v>186</v>
      </c>
      <c r="B34" s="286">
        <v>381.5</v>
      </c>
      <c r="C34" s="286"/>
      <c r="D34" s="286"/>
      <c r="E34" s="286"/>
      <c r="F34" s="21"/>
      <c r="G34" s="21"/>
      <c r="H34" s="2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</row>
    <row r="35" spans="1:150" ht="15" x14ac:dyDescent="0.25">
      <c r="A35" s="14"/>
      <c r="B35" s="202"/>
      <c r="C35" s="21"/>
      <c r="D35" s="21"/>
      <c r="E35" s="21"/>
      <c r="F35" s="21"/>
      <c r="G35" s="21"/>
      <c r="H35" s="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</row>
    <row r="36" spans="1:150" ht="15" x14ac:dyDescent="0.25">
      <c r="A36" s="13" t="s">
        <v>56</v>
      </c>
      <c r="B36" s="122"/>
      <c r="C36" s="203"/>
      <c r="D36" s="128"/>
      <c r="E36" s="128"/>
      <c r="F36" s="21"/>
      <c r="G36" s="21"/>
      <c r="H36" s="21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</row>
    <row r="37" spans="1:150" x14ac:dyDescent="0.2">
      <c r="A37" s="4">
        <v>2005</v>
      </c>
      <c r="B37" s="22">
        <f>B8/'Rate Class Energy Model'!J6</f>
        <v>2.9110987501077342E-3</v>
      </c>
      <c r="C37" s="22">
        <f>C8/'Rate Class Energy Model'!K6</f>
        <v>1.9222936332357473E-3</v>
      </c>
      <c r="D37" s="22">
        <f>D8/'Rate Class Energy Model'!L6</f>
        <v>2.794325971549019E-3</v>
      </c>
      <c r="E37" s="22">
        <f>E8/'Rate Class Energy Model'!M6</f>
        <v>2.7629302696138983E-3</v>
      </c>
      <c r="F37" s="21"/>
      <c r="G37" s="21"/>
      <c r="H37" s="21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</row>
    <row r="38" spans="1:150" x14ac:dyDescent="0.2">
      <c r="A38" s="4">
        <v>2006</v>
      </c>
      <c r="B38" s="22">
        <f>B9/'Rate Class Energy Model'!J7</f>
        <v>2.907338493948509E-3</v>
      </c>
      <c r="C38" s="22">
        <f>C9/'Rate Class Energy Model'!K7</f>
        <v>1.8638402416147656E-3</v>
      </c>
      <c r="D38" s="22">
        <f>D9/'Rate Class Energy Model'!L7</f>
        <v>2.8038584093231732E-3</v>
      </c>
      <c r="E38" s="22">
        <f>E9/'Rate Class Energy Model'!M7</f>
        <v>2.7591402316395359E-3</v>
      </c>
      <c r="F38" s="21"/>
      <c r="G38" s="21"/>
      <c r="H38" s="21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</row>
    <row r="39" spans="1:150" s="43" customFormat="1" x14ac:dyDescent="0.2">
      <c r="A39" s="4">
        <v>2007</v>
      </c>
      <c r="B39" s="22">
        <f>B10/'Rate Class Energy Model'!J8</f>
        <v>2.8332690196822634E-3</v>
      </c>
      <c r="C39" s="22">
        <f>C10/'Rate Class Energy Model'!K8</f>
        <v>1.9144018147966891E-3</v>
      </c>
      <c r="D39" s="22">
        <f>D10/'Rate Class Energy Model'!L8</f>
        <v>2.7943259687032078E-3</v>
      </c>
      <c r="E39" s="22">
        <f>E10/'Rate Class Energy Model'!M8</f>
        <v>2.7141457534159059E-3</v>
      </c>
      <c r="F39" s="21"/>
      <c r="G39" s="21"/>
      <c r="H39" s="2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</row>
    <row r="40" spans="1:150" x14ac:dyDescent="0.2">
      <c r="A40" s="4">
        <v>2008</v>
      </c>
      <c r="B40" s="22">
        <f>B11/'Rate Class Energy Model'!J9</f>
        <v>2.7943826820251453E-3</v>
      </c>
      <c r="C40" s="22">
        <f>C11/'Rate Class Energy Model'!K9</f>
        <v>1.9965772726197144E-3</v>
      </c>
      <c r="D40" s="22">
        <f>D11/'Rate Class Energy Model'!L9</f>
        <v>2.7859105829666025E-3</v>
      </c>
      <c r="E40" s="22">
        <f>E11/'Rate Class Energy Model'!M9</f>
        <v>2.6963539605568167E-3</v>
      </c>
      <c r="F40" s="21"/>
      <c r="G40" s="21"/>
      <c r="H40" s="21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</row>
    <row r="41" spans="1:150" x14ac:dyDescent="0.2">
      <c r="A41" s="4">
        <v>2009</v>
      </c>
      <c r="B41" s="22">
        <f>B12/'Rate Class Energy Model'!J10</f>
        <v>2.7841363864539673E-3</v>
      </c>
      <c r="C41" s="22">
        <f>C12/'Rate Class Energy Model'!K10</f>
        <v>2.1054862927687304E-3</v>
      </c>
      <c r="D41" s="22">
        <f>D12/'Rate Class Energy Model'!L10</f>
        <v>2.7943646888488462E-3</v>
      </c>
      <c r="E41" s="22">
        <f>E12/'Rate Class Energy Model'!M10</f>
        <v>2.6991866200064647E-3</v>
      </c>
      <c r="F41" s="21"/>
      <c r="G41" s="21"/>
      <c r="H41" s="21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</row>
    <row r="42" spans="1:150" x14ac:dyDescent="0.2">
      <c r="A42" s="4">
        <v>2010</v>
      </c>
      <c r="B42" s="22">
        <f>B13/'Rate Class Energy Model'!J11</f>
        <v>2.5569857303286057E-3</v>
      </c>
      <c r="C42" s="22">
        <f>C13/'Rate Class Energy Model'!K11</f>
        <v>1.9025873182317073E-3</v>
      </c>
      <c r="D42" s="22">
        <f>D13/'Rate Class Energy Model'!L11</f>
        <v>2.7930893351157384E-3</v>
      </c>
      <c r="E42" s="22">
        <f>E13/'Rate Class Energy Model'!M11</f>
        <v>2.7063918380993779E-3</v>
      </c>
      <c r="F42" s="21"/>
      <c r="G42" s="21"/>
      <c r="H42" s="2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</row>
    <row r="43" spans="1:150" x14ac:dyDescent="0.2">
      <c r="A43" s="4">
        <v>2011</v>
      </c>
      <c r="B43" s="22">
        <f>B14/'Rate Class Energy Model'!J12</f>
        <v>2.5163054682211241E-3</v>
      </c>
      <c r="C43" s="22">
        <f>C14/'Rate Class Energy Model'!K12</f>
        <v>1.9002246499930132E-3</v>
      </c>
      <c r="D43" s="22">
        <f>D14/'Rate Class Energy Model'!L12</f>
        <v>2.821911309656568E-3</v>
      </c>
      <c r="E43" s="22">
        <f>E14/'Rate Class Energy Model'!M12</f>
        <v>2.6713843663505629E-3</v>
      </c>
      <c r="F43" s="21"/>
      <c r="G43" s="21"/>
      <c r="H43" s="2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</row>
    <row r="44" spans="1:150" x14ac:dyDescent="0.2">
      <c r="A44" s="4">
        <v>2012</v>
      </c>
      <c r="B44" s="22">
        <f>B15/'Rate Class Energy Model'!J13</f>
        <v>2.4184037792997757E-3</v>
      </c>
      <c r="C44" s="22">
        <f>C15/'Rate Class Energy Model'!K13</f>
        <v>1.9169845034718248E-3</v>
      </c>
      <c r="D44" s="22">
        <f>D15/'Rate Class Energy Model'!L13</f>
        <v>2.7911592603684565E-3</v>
      </c>
      <c r="E44" s="22">
        <f>E15/'Rate Class Energy Model'!M13</f>
        <v>3.2823554084001525E-3</v>
      </c>
      <c r="F44" s="21"/>
      <c r="G44" s="21"/>
      <c r="H44" s="21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</row>
    <row r="45" spans="1:150" x14ac:dyDescent="0.2">
      <c r="A45" s="4">
        <v>2013</v>
      </c>
      <c r="B45" s="22">
        <f>B16/'Rate Class Energy Model'!J14</f>
        <v>2.471268703813249E-3</v>
      </c>
      <c r="C45" s="22">
        <f>C16/'Rate Class Energy Model'!K14</f>
        <v>1.9412511676483778E-3</v>
      </c>
      <c r="D45" s="22">
        <f>D16/'Rate Class Energy Model'!L14</f>
        <v>2.7932924851604367E-3</v>
      </c>
      <c r="E45" s="22">
        <f>E16/'Rate Class Energy Model'!M14</f>
        <v>2.7572210621082138E-3</v>
      </c>
      <c r="F45" s="21"/>
      <c r="G45" s="21"/>
      <c r="H45" s="21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</row>
    <row r="46" spans="1:150" x14ac:dyDescent="0.2">
      <c r="A46" s="4">
        <v>2014</v>
      </c>
      <c r="B46" s="22">
        <f>B17/'Rate Class Energy Model'!J15</f>
        <v>2.4552909728602079E-3</v>
      </c>
      <c r="C46" s="22">
        <f>C17/'Rate Class Energy Model'!K15</f>
        <v>2.0186343312287754E-3</v>
      </c>
      <c r="D46" s="22">
        <f>D17/'Rate Class Energy Model'!L15</f>
        <v>2.8013498243573023E-3</v>
      </c>
      <c r="E46" s="22">
        <f>E17/'Rate Class Energy Model'!M15</f>
        <v>2.7797888189757276E-3</v>
      </c>
      <c r="F46" s="21"/>
      <c r="G46" s="21"/>
      <c r="H46" s="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</row>
    <row r="47" spans="1:150" x14ac:dyDescent="0.2">
      <c r="A47" s="4">
        <v>2015</v>
      </c>
      <c r="B47" s="22">
        <f>B18/'Rate Class Energy Model'!J16</f>
        <v>2.4875160931048363E-3</v>
      </c>
      <c r="C47" s="22">
        <f>C18/'Rate Class Energy Model'!K16</f>
        <v>2.224863300917554E-3</v>
      </c>
      <c r="D47" s="22">
        <f>D18/'Rate Class Energy Model'!L16</f>
        <v>2.7943220420317593E-3</v>
      </c>
      <c r="E47" s="22">
        <f>E18/'Rate Class Energy Model'!M16</f>
        <v>2.764897606325751E-3</v>
      </c>
      <c r="F47" s="21"/>
      <c r="G47" s="21"/>
      <c r="H47" s="21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</row>
    <row r="48" spans="1:150" x14ac:dyDescent="0.2">
      <c r="A48" s="4">
        <v>2016</v>
      </c>
      <c r="B48" s="22">
        <f>B19/'Rate Class Energy Model'!J17</f>
        <v>2.6352006581074842E-3</v>
      </c>
      <c r="C48" s="22">
        <f>C19/'Rate Class Energy Model'!K17</f>
        <v>2.1253416870727682E-3</v>
      </c>
      <c r="D48" s="22">
        <f>D19/'Rate Class Energy Model'!L17</f>
        <v>2.7859366453953979E-3</v>
      </c>
      <c r="E48" s="22">
        <f>E19/'Rate Class Energy Model'!M17</f>
        <v>2.5984849934164462E-3</v>
      </c>
      <c r="F48" s="21"/>
      <c r="G48" s="21"/>
      <c r="H48" s="2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</row>
    <row r="49" spans="1:150" x14ac:dyDescent="0.2">
      <c r="A49" s="4">
        <v>2017</v>
      </c>
      <c r="B49" s="22">
        <f>B20/'Rate Class Energy Model'!J18</f>
        <v>2.6391378079695898E-3</v>
      </c>
      <c r="C49" s="22">
        <f>C20/'Rate Class Energy Model'!K18</f>
        <v>1.846921152494627E-3</v>
      </c>
      <c r="D49" s="22">
        <f>D20/'Rate Class Energy Model'!L18</f>
        <v>2.7943269527337853E-3</v>
      </c>
      <c r="E49" s="22">
        <f>E20/'Rate Class Energy Model'!M18</f>
        <v>2.5546197758281228E-3</v>
      </c>
      <c r="F49" s="21"/>
      <c r="G49" s="21"/>
      <c r="H49" s="2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</row>
    <row r="50" spans="1:150" x14ac:dyDescent="0.2">
      <c r="A50" s="4">
        <v>2018</v>
      </c>
      <c r="B50" s="22">
        <f>B21/'Rate Class Energy Model'!J19</f>
        <v>2.6112539893848163E-3</v>
      </c>
      <c r="C50" s="22">
        <f>C21/'Rate Class Energy Model'!K19</f>
        <v>1.8702405681255856E-3</v>
      </c>
      <c r="D50" s="22">
        <f>D21/'Rate Class Energy Model'!L19</f>
        <v>2.8008926463391191E-3</v>
      </c>
      <c r="E50" s="22">
        <f>E21/'Rate Class Energy Model'!M19</f>
        <v>2.5317687987963093E-3</v>
      </c>
      <c r="F50" s="21"/>
      <c r="G50" s="21"/>
      <c r="H50" s="21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</row>
    <row r="51" spans="1:150" x14ac:dyDescent="0.2">
      <c r="A51" s="4">
        <v>2019</v>
      </c>
      <c r="B51" s="22">
        <f>B22/'Rate Class Energy Model'!J20</f>
        <v>2.6170828283235354E-3</v>
      </c>
      <c r="C51" s="22">
        <f>C22/'Rate Class Energy Model'!K20</f>
        <v>1.9068082109691437E-3</v>
      </c>
      <c r="D51" s="22">
        <f>D22/'Rate Class Energy Model'!L20</f>
        <v>2.7943269527337853E-3</v>
      </c>
      <c r="E51" s="22">
        <f>E22/'Rate Class Energy Model'!M20</f>
        <v>2.5350331468204385E-3</v>
      </c>
      <c r="F51" s="21"/>
      <c r="G51" s="21"/>
      <c r="H51" s="21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</row>
    <row r="52" spans="1:150" x14ac:dyDescent="0.2">
      <c r="A52" s="4"/>
      <c r="B52" s="22"/>
      <c r="C52" s="22"/>
      <c r="D52" s="22"/>
      <c r="E52" s="22"/>
      <c r="F52" s="21"/>
      <c r="G52" s="21"/>
      <c r="H52" s="21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</row>
    <row r="53" spans="1:150" x14ac:dyDescent="0.2">
      <c r="A53" s="4"/>
      <c r="B53" s="22"/>
      <c r="C53" s="22"/>
      <c r="D53" s="22"/>
      <c r="E53" s="22"/>
      <c r="F53" s="21"/>
      <c r="G53" s="21"/>
      <c r="H53" s="21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</row>
    <row r="54" spans="1:150" x14ac:dyDescent="0.2">
      <c r="A54" s="208" t="s">
        <v>54</v>
      </c>
      <c r="B54" s="22">
        <f>+B56</f>
        <v>2.6224915418926477E-3</v>
      </c>
      <c r="C54" s="22">
        <f>+C56</f>
        <v>1.8746566438631188E-3</v>
      </c>
      <c r="D54" s="191">
        <f>+D49</f>
        <v>2.7943269527337853E-3</v>
      </c>
      <c r="E54" s="22">
        <f>+E56</f>
        <v>2.5404739071482902E-3</v>
      </c>
      <c r="F54" s="21"/>
      <c r="G54" s="21"/>
      <c r="H54" s="21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</row>
    <row r="55" spans="1:150" ht="13.5" thickBot="1" x14ac:dyDescent="0.25">
      <c r="A55" s="4"/>
      <c r="B55" s="180"/>
      <c r="C55" s="180"/>
      <c r="D55" s="180"/>
      <c r="E55" s="180"/>
      <c r="F55" s="21"/>
      <c r="G55" s="21"/>
      <c r="H55" s="21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</row>
    <row r="56" spans="1:150" ht="13.5" thickBot="1" x14ac:dyDescent="0.25">
      <c r="A56" s="188" t="s">
        <v>13</v>
      </c>
      <c r="B56" s="191">
        <f>AVERAGE(B49:B51)</f>
        <v>2.6224915418926477E-3</v>
      </c>
      <c r="C56" s="191">
        <f>AVERAGE(C49:C51)</f>
        <v>1.8746566438631188E-3</v>
      </c>
      <c r="D56" s="191">
        <f>AVERAGE(D49:D51)</f>
        <v>2.7965155172688968E-3</v>
      </c>
      <c r="E56" s="191">
        <f>AVERAGE(E49:E51)</f>
        <v>2.5404739071482902E-3</v>
      </c>
      <c r="F56" s="185"/>
      <c r="G56" s="187" t="s">
        <v>167</v>
      </c>
      <c r="H56" s="18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</row>
    <row r="57" spans="1:150" x14ac:dyDescent="0.2">
      <c r="A57" t="s">
        <v>125</v>
      </c>
      <c r="B57" s="142"/>
      <c r="C57" s="142"/>
      <c r="D57" s="142"/>
      <c r="E57" s="142"/>
      <c r="F57" s="21"/>
      <c r="G57" s="21"/>
      <c r="H57" s="21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</row>
    <row r="58" spans="1:150" x14ac:dyDescent="0.2">
      <c r="B58" s="142">
        <f>+B56-B57</f>
        <v>2.6224915418926477E-3</v>
      </c>
      <c r="C58" s="142">
        <f>+C56-C57</f>
        <v>1.8746566438631188E-3</v>
      </c>
      <c r="D58" s="142">
        <f>+D56-D57</f>
        <v>2.7965155172688968E-3</v>
      </c>
      <c r="E58" s="142">
        <f>+E56-E57</f>
        <v>2.5404739071482902E-3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</row>
    <row r="59" spans="1:150" x14ac:dyDescent="0.2">
      <c r="B59" s="4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</row>
    <row r="60" spans="1:150" x14ac:dyDescent="0.2">
      <c r="A60" s="143" t="s">
        <v>130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</row>
    <row r="61" spans="1:150" x14ac:dyDescent="0.2">
      <c r="A61" s="277" t="s">
        <v>168</v>
      </c>
      <c r="B61" s="182"/>
      <c r="C61" s="182"/>
      <c r="D61" s="18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</row>
    <row r="62" spans="1:150" x14ac:dyDescent="0.2">
      <c r="B62"/>
      <c r="C62" s="20"/>
      <c r="D62" s="20"/>
      <c r="E62" s="2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</row>
    <row r="63" spans="1:150" x14ac:dyDescent="0.2">
      <c r="A63" t="s">
        <v>222</v>
      </c>
      <c r="B63" s="334">
        <f>AVERAGE(B42:B51)</f>
        <v>2.540844603141322E-3</v>
      </c>
      <c r="C63" s="334">
        <f>AVERAGE(C42:C51)</f>
        <v>1.9653856890153379E-3</v>
      </c>
      <c r="D63" s="334">
        <f>AVERAGE(D42:D51)</f>
        <v>2.7970607453892348E-3</v>
      </c>
      <c r="E63" s="334">
        <f>AVERAGE(E42:E51)</f>
        <v>2.7181945815121103E-3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</row>
    <row r="64" spans="1:150" x14ac:dyDescent="0.2">
      <c r="B64" s="20"/>
      <c r="C64" s="20"/>
      <c r="D64" s="20"/>
      <c r="E64" s="20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</row>
    <row r="65" spans="9:150" x14ac:dyDescent="0.2"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</row>
    <row r="66" spans="9:150" x14ac:dyDescent="0.2"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</row>
    <row r="67" spans="9:150" x14ac:dyDescent="0.2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</row>
    <row r="68" spans="9:150" x14ac:dyDescent="0.2"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</row>
    <row r="69" spans="9:150" x14ac:dyDescent="0.2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</row>
    <row r="70" spans="9:150" x14ac:dyDescent="0.2"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</row>
    <row r="71" spans="9:150" x14ac:dyDescent="0.2"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</row>
    <row r="72" spans="9:150" x14ac:dyDescent="0.2"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</row>
    <row r="73" spans="9:150" x14ac:dyDescent="0.2"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</row>
    <row r="74" spans="9:150" x14ac:dyDescent="0.2"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</row>
    <row r="75" spans="9:150" x14ac:dyDescent="0.2"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</row>
    <row r="76" spans="9:150" x14ac:dyDescent="0.2"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</row>
    <row r="77" spans="9:150" x14ac:dyDescent="0.2"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</row>
    <row r="78" spans="9:150" x14ac:dyDescent="0.2"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</row>
    <row r="79" spans="9:150" x14ac:dyDescent="0.2"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</row>
    <row r="80" spans="9:150" x14ac:dyDescent="0.2"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</row>
    <row r="81" spans="2:150" x14ac:dyDescent="0.2"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</row>
    <row r="82" spans="2:150" x14ac:dyDescent="0.2"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</row>
    <row r="83" spans="2:150" x14ac:dyDescent="0.2">
      <c r="B83" s="10"/>
      <c r="C83" s="10"/>
      <c r="D83" s="10"/>
      <c r="E83" s="10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</row>
    <row r="84" spans="2:150" x14ac:dyDescent="0.2">
      <c r="B84" s="10"/>
      <c r="C84" s="10"/>
      <c r="D84" s="10"/>
      <c r="E84" s="10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</row>
    <row r="85" spans="2:150" x14ac:dyDescent="0.2"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</row>
    <row r="86" spans="2:150" x14ac:dyDescent="0.2"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</row>
    <row r="87" spans="2:150" x14ac:dyDescent="0.2"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</row>
    <row r="88" spans="2:150" x14ac:dyDescent="0.2"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</row>
    <row r="89" spans="2:150" x14ac:dyDescent="0.2"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</row>
    <row r="90" spans="2:150" x14ac:dyDescent="0.2"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</row>
    <row r="91" spans="2:150" x14ac:dyDescent="0.2"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</row>
    <row r="92" spans="2:150" x14ac:dyDescent="0.2"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</row>
    <row r="93" spans="2:150" x14ac:dyDescent="0.2"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</row>
    <row r="94" spans="2:150" x14ac:dyDescent="0.2"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</row>
    <row r="95" spans="2:150" x14ac:dyDescent="0.2"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</row>
    <row r="96" spans="2:150" x14ac:dyDescent="0.2"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</row>
    <row r="97" spans="9:150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</row>
    <row r="98" spans="9:150" x14ac:dyDescent="0.2"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</row>
    <row r="99" spans="9:150" x14ac:dyDescent="0.2"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</row>
    <row r="100" spans="9:150" x14ac:dyDescent="0.2"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</row>
    <row r="101" spans="9:150" x14ac:dyDescent="0.2"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</row>
    <row r="102" spans="9:150" x14ac:dyDescent="0.2"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</row>
    <row r="103" spans="9:150" x14ac:dyDescent="0.2"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</row>
    <row r="104" spans="9:150" x14ac:dyDescent="0.2"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</row>
    <row r="105" spans="9:150" x14ac:dyDescent="0.2"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</row>
    <row r="106" spans="9:150" x14ac:dyDescent="0.2"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</row>
    <row r="107" spans="9:150" x14ac:dyDescent="0.2"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</row>
    <row r="108" spans="9:150" x14ac:dyDescent="0.2"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</row>
    <row r="109" spans="9:150" x14ac:dyDescent="0.2"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</row>
    <row r="110" spans="9:150" x14ac:dyDescent="0.2"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</row>
    <row r="111" spans="9:150" x14ac:dyDescent="0.2"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</row>
    <row r="112" spans="9:150" x14ac:dyDescent="0.2"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</row>
    <row r="113" spans="9:150" x14ac:dyDescent="0.2"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</row>
    <row r="114" spans="9:150" x14ac:dyDescent="0.2"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</row>
    <row r="115" spans="9:150" x14ac:dyDescent="0.2"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</row>
    <row r="116" spans="9:150" x14ac:dyDescent="0.2"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</row>
    <row r="117" spans="9:150" x14ac:dyDescent="0.2"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</row>
    <row r="118" spans="9:150" x14ac:dyDescent="0.2"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</row>
    <row r="119" spans="9:150" x14ac:dyDescent="0.2"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</row>
    <row r="120" spans="9:150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</row>
    <row r="121" spans="9:150" x14ac:dyDescent="0.2"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</row>
    <row r="122" spans="9:150" x14ac:dyDescent="0.2"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</row>
    <row r="123" spans="9:150" x14ac:dyDescent="0.2"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</row>
    <row r="124" spans="9:150" x14ac:dyDescent="0.2"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</row>
    <row r="125" spans="9:150" x14ac:dyDescent="0.2"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</row>
    <row r="126" spans="9:150" x14ac:dyDescent="0.2"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</row>
    <row r="127" spans="9:150" x14ac:dyDescent="0.2"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</row>
    <row r="128" spans="9:150" x14ac:dyDescent="0.2"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</row>
    <row r="129" spans="9:150" x14ac:dyDescent="0.2"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</row>
    <row r="130" spans="9:150" x14ac:dyDescent="0.2"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</row>
    <row r="131" spans="9:150" x14ac:dyDescent="0.2"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</row>
    <row r="132" spans="9:150" x14ac:dyDescent="0.2"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</row>
    <row r="133" spans="9:150" x14ac:dyDescent="0.2"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</row>
    <row r="134" spans="9:150" x14ac:dyDescent="0.2"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</row>
    <row r="135" spans="9:150" x14ac:dyDescent="0.2"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</row>
    <row r="136" spans="9:150" x14ac:dyDescent="0.2"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</row>
    <row r="137" spans="9:150" x14ac:dyDescent="0.2"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</row>
    <row r="138" spans="9:150" x14ac:dyDescent="0.2"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</row>
    <row r="139" spans="9:150" x14ac:dyDescent="0.2"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</row>
    <row r="140" spans="9:150" x14ac:dyDescent="0.2"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</row>
    <row r="141" spans="9:150" x14ac:dyDescent="0.2"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</row>
    <row r="142" spans="9:150" x14ac:dyDescent="0.2"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</row>
    <row r="143" spans="9:150" x14ac:dyDescent="0.2"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</row>
    <row r="144" spans="9:150" x14ac:dyDescent="0.2"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</row>
    <row r="145" spans="9:150" x14ac:dyDescent="0.2"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</row>
    <row r="146" spans="9:150" x14ac:dyDescent="0.2"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</row>
    <row r="147" spans="9:150" x14ac:dyDescent="0.2"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</row>
    <row r="148" spans="9:150" x14ac:dyDescent="0.2"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</row>
    <row r="149" spans="9:150" x14ac:dyDescent="0.2"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</row>
    <row r="150" spans="9:150" x14ac:dyDescent="0.2"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</row>
    <row r="151" spans="9:150" x14ac:dyDescent="0.2"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</row>
    <row r="152" spans="9:150" x14ac:dyDescent="0.2"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</row>
    <row r="153" spans="9:150" x14ac:dyDescent="0.2"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</row>
    <row r="154" spans="9:150" x14ac:dyDescent="0.2"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</row>
    <row r="155" spans="9:150" x14ac:dyDescent="0.2"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</row>
    <row r="156" spans="9:150" x14ac:dyDescent="0.2"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</row>
    <row r="157" spans="9:150" x14ac:dyDescent="0.2"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</row>
    <row r="158" spans="9:150" x14ac:dyDescent="0.2"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</row>
    <row r="159" spans="9:150" x14ac:dyDescent="0.2"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</row>
    <row r="160" spans="9:150" x14ac:dyDescent="0.2"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</row>
    <row r="161" spans="9:150" x14ac:dyDescent="0.2"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</row>
    <row r="162" spans="9:150" x14ac:dyDescent="0.2"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</row>
    <row r="163" spans="9:150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</row>
    <row r="164" spans="9:150" x14ac:dyDescent="0.2"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</row>
    <row r="165" spans="9:150" x14ac:dyDescent="0.2"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</row>
    <row r="166" spans="9:150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</row>
    <row r="167" spans="9:150" x14ac:dyDescent="0.2"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</row>
    <row r="168" spans="9:150" x14ac:dyDescent="0.2"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</row>
    <row r="169" spans="9:150" x14ac:dyDescent="0.2"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</row>
    <row r="170" spans="9:150" x14ac:dyDescent="0.2"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</row>
    <row r="171" spans="9:150" x14ac:dyDescent="0.2"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</row>
    <row r="172" spans="9:150" x14ac:dyDescent="0.2"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</row>
    <row r="173" spans="9:150" x14ac:dyDescent="0.2"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</row>
    <row r="174" spans="9:150" x14ac:dyDescent="0.2"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</row>
    <row r="175" spans="9:150" x14ac:dyDescent="0.2"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</row>
    <row r="176" spans="9:150" x14ac:dyDescent="0.2"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</row>
    <row r="177" spans="9:150" x14ac:dyDescent="0.2"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</row>
    <row r="178" spans="9:150" x14ac:dyDescent="0.2"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</row>
    <row r="179" spans="9:150" x14ac:dyDescent="0.2"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</row>
    <row r="180" spans="9:150" x14ac:dyDescent="0.2"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</row>
    <row r="181" spans="9:150" x14ac:dyDescent="0.2"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</row>
    <row r="182" spans="9:150" x14ac:dyDescent="0.2"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</row>
    <row r="183" spans="9:150" x14ac:dyDescent="0.2"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</row>
    <row r="184" spans="9:150" x14ac:dyDescent="0.2"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</row>
    <row r="185" spans="9:150" x14ac:dyDescent="0.2"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</row>
    <row r="186" spans="9:150" x14ac:dyDescent="0.2"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</row>
    <row r="187" spans="9:150" x14ac:dyDescent="0.2"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</row>
    <row r="188" spans="9:150" x14ac:dyDescent="0.2"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</row>
    <row r="189" spans="9:150" x14ac:dyDescent="0.2"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</row>
    <row r="190" spans="9:150" x14ac:dyDescent="0.2"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</row>
    <row r="191" spans="9:150" x14ac:dyDescent="0.2"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</row>
    <row r="192" spans="9:150" x14ac:dyDescent="0.2"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</row>
    <row r="193" spans="9:150" x14ac:dyDescent="0.2"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</row>
    <row r="194" spans="9:150" x14ac:dyDescent="0.2"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</row>
    <row r="195" spans="9:150" x14ac:dyDescent="0.2"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</row>
    <row r="196" spans="9:150" x14ac:dyDescent="0.2"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</row>
    <row r="197" spans="9:150" x14ac:dyDescent="0.2"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</row>
    <row r="198" spans="9:150" x14ac:dyDescent="0.2"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</row>
    <row r="199" spans="9:150" x14ac:dyDescent="0.2"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</row>
    <row r="200" spans="9:150" x14ac:dyDescent="0.2"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</row>
    <row r="201" spans="9:150" x14ac:dyDescent="0.2"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</row>
    <row r="202" spans="9:150" x14ac:dyDescent="0.2"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</row>
    <row r="203" spans="9:150" x14ac:dyDescent="0.2"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</row>
    <row r="204" spans="9:150" x14ac:dyDescent="0.2"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</row>
    <row r="205" spans="9:150" x14ac:dyDescent="0.2"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</row>
    <row r="206" spans="9:150" x14ac:dyDescent="0.2"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</row>
    <row r="207" spans="9:150" x14ac:dyDescent="0.2"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</row>
    <row r="208" spans="9:150" x14ac:dyDescent="0.2"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</row>
    <row r="209" spans="9:150" x14ac:dyDescent="0.2"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</row>
    <row r="210" spans="9:150" x14ac:dyDescent="0.2"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</row>
    <row r="211" spans="9:150" x14ac:dyDescent="0.2"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</row>
    <row r="212" spans="9:150" x14ac:dyDescent="0.2"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</row>
    <row r="213" spans="9:150" x14ac:dyDescent="0.2"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</row>
    <row r="214" spans="9:150" x14ac:dyDescent="0.2"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</row>
    <row r="215" spans="9:150" x14ac:dyDescent="0.2"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</row>
    <row r="216" spans="9:150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</row>
    <row r="217" spans="9:150" x14ac:dyDescent="0.2"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</row>
    <row r="218" spans="9:150" x14ac:dyDescent="0.2"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</row>
    <row r="219" spans="9:150" x14ac:dyDescent="0.2"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</row>
    <row r="220" spans="9:150" x14ac:dyDescent="0.2"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</row>
    <row r="221" spans="9:150" x14ac:dyDescent="0.2"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</row>
    <row r="222" spans="9:150" x14ac:dyDescent="0.2"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</row>
    <row r="223" spans="9:150" x14ac:dyDescent="0.2"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</row>
    <row r="224" spans="9:150" x14ac:dyDescent="0.2"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</row>
    <row r="225" spans="9:150" x14ac:dyDescent="0.2"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</row>
    <row r="226" spans="9:150" x14ac:dyDescent="0.2"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</row>
    <row r="227" spans="9:150" x14ac:dyDescent="0.2"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</row>
    <row r="228" spans="9:150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</row>
    <row r="229" spans="9:150" x14ac:dyDescent="0.2"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</row>
    <row r="230" spans="9:150" x14ac:dyDescent="0.2"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</row>
    <row r="231" spans="9:150" x14ac:dyDescent="0.2"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</row>
    <row r="232" spans="9:150" x14ac:dyDescent="0.2"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</row>
    <row r="233" spans="9:150" x14ac:dyDescent="0.2"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</row>
    <row r="234" spans="9:150" x14ac:dyDescent="0.2"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</row>
    <row r="235" spans="9:150" x14ac:dyDescent="0.2"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</row>
    <row r="236" spans="9:150" x14ac:dyDescent="0.2"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</row>
    <row r="237" spans="9:150" x14ac:dyDescent="0.2"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</row>
    <row r="238" spans="9:150" x14ac:dyDescent="0.2"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</row>
    <row r="239" spans="9:150" x14ac:dyDescent="0.2"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</row>
    <row r="240" spans="9:150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</row>
    <row r="241" spans="9:150" x14ac:dyDescent="0.2"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</row>
    <row r="242" spans="9:150" x14ac:dyDescent="0.2"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</row>
    <row r="243" spans="9:150" x14ac:dyDescent="0.2"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</row>
    <row r="244" spans="9:150" x14ac:dyDescent="0.2"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</row>
    <row r="245" spans="9:150" x14ac:dyDescent="0.2"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</row>
    <row r="246" spans="9:150" x14ac:dyDescent="0.2"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</row>
    <row r="247" spans="9:150" x14ac:dyDescent="0.2"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</row>
    <row r="248" spans="9:150" x14ac:dyDescent="0.2"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</row>
    <row r="249" spans="9:150" x14ac:dyDescent="0.2"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</row>
    <row r="250" spans="9:150" x14ac:dyDescent="0.2"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</row>
  </sheetData>
  <phoneticPr fontId="0" type="noConversion"/>
  <pageMargins left="0.39" right="0.26" top="0.25" bottom="0.56999999999999995" header="0.23" footer="0.16"/>
  <pageSetup scale="92" orientation="landscape" cellComments="asDisplayed" r:id="rId1"/>
  <headerFooter alignWithMargins="0">
    <oddFooter>&amp;C&amp;A
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2:AH30"/>
  <sheetViews>
    <sheetView workbookViewId="0">
      <selection activeCell="AJ36" sqref="AJ36"/>
    </sheetView>
  </sheetViews>
  <sheetFormatPr defaultRowHeight="12.75" outlineLevelCol="1" x14ac:dyDescent="0.2"/>
  <cols>
    <col min="1" max="1" width="4.85546875" style="13" bestFit="1" customWidth="1"/>
    <col min="2" max="2" width="6.7109375" hidden="1" customWidth="1" outlineLevel="1"/>
    <col min="3" max="6" width="5.140625" hidden="1" customWidth="1" outlineLevel="1"/>
    <col min="7" max="7" width="6.7109375" hidden="1" customWidth="1" outlineLevel="1"/>
    <col min="8" max="9" width="5.140625" hidden="1" customWidth="1" outlineLevel="1"/>
    <col min="10" max="10" width="6.7109375" hidden="1" customWidth="1" outlineLevel="1"/>
    <col min="11" max="11" width="5.140625" hidden="1" customWidth="1" outlineLevel="1"/>
    <col min="12" max="22" width="9.28515625" hidden="1" customWidth="1" outlineLevel="1"/>
    <col min="23" max="23" width="9.28515625" bestFit="1" customWidth="1" collapsed="1"/>
    <col min="24" max="26" width="9.28515625" bestFit="1" customWidth="1"/>
    <col min="27" max="32" width="9.28515625" customWidth="1"/>
    <col min="33" max="33" width="11.5703125" bestFit="1" customWidth="1"/>
    <col min="34" max="34" width="10.5703125" bestFit="1" customWidth="1"/>
  </cols>
  <sheetData>
    <row r="2" spans="1:34" s="13" customFormat="1" x14ac:dyDescent="0.2">
      <c r="A2" s="13" t="s">
        <v>99</v>
      </c>
      <c r="B2" s="13">
        <v>1989</v>
      </c>
      <c r="C2" s="13">
        <v>1990</v>
      </c>
      <c r="D2" s="13">
        <v>1991</v>
      </c>
      <c r="E2" s="13">
        <v>1992</v>
      </c>
      <c r="F2" s="13">
        <v>1993</v>
      </c>
      <c r="G2" s="13">
        <v>1994</v>
      </c>
      <c r="H2" s="13">
        <v>1995</v>
      </c>
      <c r="I2" s="13">
        <v>1996</v>
      </c>
      <c r="J2" s="13">
        <v>1997</v>
      </c>
      <c r="K2" s="13">
        <v>1998</v>
      </c>
      <c r="L2" s="13">
        <v>1999</v>
      </c>
      <c r="M2" s="13">
        <v>2000</v>
      </c>
      <c r="N2" s="13">
        <v>2001</v>
      </c>
      <c r="O2" s="13">
        <v>2002</v>
      </c>
      <c r="P2" s="13">
        <v>2003</v>
      </c>
      <c r="Q2" s="13">
        <v>2004</v>
      </c>
      <c r="R2" s="13">
        <v>2005</v>
      </c>
      <c r="S2" s="13">
        <v>2006</v>
      </c>
      <c r="T2" s="13">
        <v>2007</v>
      </c>
      <c r="U2" s="13">
        <v>2008</v>
      </c>
      <c r="V2" s="13">
        <v>2009</v>
      </c>
      <c r="W2" s="13">
        <v>2010</v>
      </c>
      <c r="X2" s="13">
        <v>2011</v>
      </c>
      <c r="Y2" s="13">
        <v>2012</v>
      </c>
      <c r="Z2" s="13">
        <v>2013</v>
      </c>
      <c r="AA2" s="13">
        <v>2014</v>
      </c>
      <c r="AB2" s="13">
        <v>2015</v>
      </c>
      <c r="AC2" s="13">
        <v>2016</v>
      </c>
      <c r="AD2" s="13">
        <v>2017</v>
      </c>
      <c r="AE2" s="13">
        <v>2018</v>
      </c>
      <c r="AF2" s="13">
        <v>2019</v>
      </c>
      <c r="AG2" s="13" t="s">
        <v>113</v>
      </c>
      <c r="AH2" s="13" t="s">
        <v>114</v>
      </c>
    </row>
    <row r="3" spans="1:34" x14ac:dyDescent="0.2">
      <c r="A3" s="13" t="s">
        <v>100</v>
      </c>
      <c r="B3" s="175">
        <v>867.4</v>
      </c>
      <c r="C3" s="175">
        <v>775.7</v>
      </c>
      <c r="D3" s="175">
        <v>952.9</v>
      </c>
      <c r="E3" s="175">
        <v>953.6</v>
      </c>
      <c r="F3" s="175">
        <v>878.54</v>
      </c>
      <c r="G3" s="175">
        <v>1199.5</v>
      </c>
      <c r="H3" s="175">
        <v>831.4</v>
      </c>
      <c r="I3" s="175">
        <v>997.3</v>
      </c>
      <c r="J3" s="175">
        <v>1032.7</v>
      </c>
      <c r="K3" s="175">
        <v>853.1</v>
      </c>
      <c r="L3" s="175">
        <v>943.6</v>
      </c>
      <c r="M3" s="175">
        <v>972</v>
      </c>
      <c r="N3" s="175">
        <v>883.3</v>
      </c>
      <c r="O3" s="175">
        <v>799.5</v>
      </c>
      <c r="P3" s="175">
        <v>1040.4000000000001</v>
      </c>
      <c r="Q3" s="175">
        <v>1121.5999999999999</v>
      </c>
      <c r="R3" s="175">
        <v>1002.3</v>
      </c>
      <c r="S3" s="175">
        <v>774.4</v>
      </c>
      <c r="T3" s="175">
        <v>883.4</v>
      </c>
      <c r="U3" s="175">
        <v>803.7</v>
      </c>
      <c r="V3" s="175">
        <v>1046.0999999999999</v>
      </c>
      <c r="W3" s="175">
        <v>887.4</v>
      </c>
      <c r="X3" s="175">
        <v>984.2</v>
      </c>
      <c r="Y3" s="175">
        <v>855.4</v>
      </c>
      <c r="Z3" s="175">
        <v>892.80000000000007</v>
      </c>
      <c r="AA3" s="175">
        <f>'Purchased Power Model'!C63</f>
        <v>1024.8</v>
      </c>
      <c r="AB3" s="175">
        <f>+'Purchased Power Model'!C77</f>
        <v>1064.75</v>
      </c>
      <c r="AC3" s="175">
        <f>+'Purchased Power Model'!C89</f>
        <v>881.89999999999986</v>
      </c>
      <c r="AD3" s="175">
        <f>+'Purchased Power Model'!C101</f>
        <v>799.6</v>
      </c>
      <c r="AE3" s="175">
        <f>+'Purchased Power Model'!C113</f>
        <v>921.49999999999989</v>
      </c>
      <c r="AF3" s="175">
        <f>+'Purchased Power Model'!C125</f>
        <v>1042.2</v>
      </c>
      <c r="AG3" s="175">
        <f>SUM(W3:AF3)/10</f>
        <v>935.45500000000015</v>
      </c>
      <c r="AH3" s="175">
        <f>TREND(M3:AF3,$M$2:$AF$2,2015)</f>
        <v>936.43184210526317</v>
      </c>
    </row>
    <row r="4" spans="1:34" x14ac:dyDescent="0.2">
      <c r="A4" s="13" t="s">
        <v>101</v>
      </c>
      <c r="B4" s="175">
        <v>873</v>
      </c>
      <c r="C4" s="175">
        <v>792</v>
      </c>
      <c r="D4" s="175">
        <v>732.2</v>
      </c>
      <c r="E4" s="175">
        <v>861</v>
      </c>
      <c r="F4" s="175">
        <v>909.34</v>
      </c>
      <c r="G4" s="175">
        <v>891.8</v>
      </c>
      <c r="H4" s="175">
        <v>880.6</v>
      </c>
      <c r="I4" s="175">
        <v>874.1</v>
      </c>
      <c r="J4" s="175">
        <v>823.5</v>
      </c>
      <c r="K4" s="175">
        <v>618.29999999999995</v>
      </c>
      <c r="L4" s="175">
        <v>690.8</v>
      </c>
      <c r="M4" s="175">
        <v>758.8</v>
      </c>
      <c r="N4" s="175">
        <v>813.7</v>
      </c>
      <c r="O4" s="175">
        <v>770.7</v>
      </c>
      <c r="P4" s="175">
        <v>908.9</v>
      </c>
      <c r="Q4" s="175">
        <v>780.5</v>
      </c>
      <c r="R4" s="175">
        <v>736.3</v>
      </c>
      <c r="S4" s="175">
        <v>819.9</v>
      </c>
      <c r="T4" s="175">
        <v>909.1</v>
      </c>
      <c r="U4" s="175">
        <v>840.1</v>
      </c>
      <c r="V4" s="175">
        <v>773.1</v>
      </c>
      <c r="W4" s="175">
        <v>753</v>
      </c>
      <c r="X4" s="175">
        <v>798.2</v>
      </c>
      <c r="Y4" s="175">
        <v>717.6</v>
      </c>
      <c r="Z4" s="175">
        <v>801.40000000000009</v>
      </c>
      <c r="AA4" s="175">
        <f>'Purchased Power Model'!C64</f>
        <v>883.40000000000009</v>
      </c>
      <c r="AB4" s="175">
        <f>+'Purchased Power Model'!C78</f>
        <v>1041</v>
      </c>
      <c r="AC4" s="175">
        <f>+'Purchased Power Model'!C90</f>
        <v>856.69999999999993</v>
      </c>
      <c r="AD4" s="175">
        <f>+'Purchased Power Model'!C102</f>
        <v>729.8</v>
      </c>
      <c r="AE4" s="175">
        <f>+'Purchased Power Model'!C114</f>
        <v>756.09999999999991</v>
      </c>
      <c r="AF4" s="175">
        <f>+'Purchased Power Model'!C126</f>
        <v>811.39999999999986</v>
      </c>
      <c r="AG4" s="175">
        <f t="shared" ref="AG4:AG14" si="0">SUM(W4:AF4)/10</f>
        <v>814.86</v>
      </c>
      <c r="AH4" s="175">
        <f t="shared" ref="AH4:AH14" si="1">TREND(M4:AF4,$M$2:$AF$2,2015)</f>
        <v>819.95180451127817</v>
      </c>
    </row>
    <row r="5" spans="1:34" x14ac:dyDescent="0.2">
      <c r="A5" s="13" t="s">
        <v>102</v>
      </c>
      <c r="B5" s="175">
        <v>788.6</v>
      </c>
      <c r="C5" s="175">
        <v>659</v>
      </c>
      <c r="D5" s="175">
        <v>662.5</v>
      </c>
      <c r="E5" s="175">
        <v>815.9</v>
      </c>
      <c r="F5" s="175">
        <v>640.66</v>
      </c>
      <c r="G5" s="175">
        <v>688.1</v>
      </c>
      <c r="H5" s="175">
        <v>631.1</v>
      </c>
      <c r="I5" s="175">
        <v>774.6</v>
      </c>
      <c r="J5" s="175">
        <v>779.3</v>
      </c>
      <c r="K5" s="175">
        <v>656.9</v>
      </c>
      <c r="L5" s="175">
        <v>672.5</v>
      </c>
      <c r="M5" s="175">
        <v>570.79999999999995</v>
      </c>
      <c r="N5" s="175">
        <v>709.6</v>
      </c>
      <c r="O5" s="175">
        <v>756.4</v>
      </c>
      <c r="P5" s="175">
        <v>732.2</v>
      </c>
      <c r="Q5" s="175">
        <v>647.1</v>
      </c>
      <c r="R5" s="175">
        <v>739.1</v>
      </c>
      <c r="S5" s="175">
        <v>666.4</v>
      </c>
      <c r="T5" s="175">
        <v>691</v>
      </c>
      <c r="U5" s="175">
        <v>762.1</v>
      </c>
      <c r="V5" s="175">
        <v>671.1</v>
      </c>
      <c r="W5" s="175">
        <v>501.3</v>
      </c>
      <c r="X5" s="175">
        <v>742.1</v>
      </c>
      <c r="Y5" s="175">
        <v>510.4</v>
      </c>
      <c r="Z5" s="175">
        <v>685.19999999999982</v>
      </c>
      <c r="AA5" s="175">
        <f>'Purchased Power Model'!C65</f>
        <v>879.69999999999982</v>
      </c>
      <c r="AB5" s="175">
        <f>+'Purchased Power Model'!C79</f>
        <v>801.24999999999989</v>
      </c>
      <c r="AC5" s="175">
        <f>+'Purchased Power Model'!C91</f>
        <v>681.3</v>
      </c>
      <c r="AD5" s="175">
        <f>+'Purchased Power Model'!C103</f>
        <v>798.1</v>
      </c>
      <c r="AE5" s="175">
        <f>+'Purchased Power Model'!C115</f>
        <v>716.80000000000007</v>
      </c>
      <c r="AF5" s="175">
        <f>+'Purchased Power Model'!C127</f>
        <v>770.3</v>
      </c>
      <c r="AG5" s="175">
        <f t="shared" si="0"/>
        <v>708.6450000000001</v>
      </c>
      <c r="AH5" s="175">
        <f t="shared" si="1"/>
        <v>725.74860902255659</v>
      </c>
    </row>
    <row r="6" spans="1:34" x14ac:dyDescent="0.2">
      <c r="A6" s="13" t="s">
        <v>103</v>
      </c>
      <c r="B6" s="175">
        <v>507</v>
      </c>
      <c r="C6" s="175">
        <v>406</v>
      </c>
      <c r="D6" s="175">
        <v>362.4</v>
      </c>
      <c r="E6" s="175">
        <v>499.6</v>
      </c>
      <c r="F6" s="175">
        <v>408.28</v>
      </c>
      <c r="G6" s="175">
        <v>456.7</v>
      </c>
      <c r="H6" s="175">
        <v>524.29999999999995</v>
      </c>
      <c r="I6" s="175">
        <v>516.29999999999995</v>
      </c>
      <c r="J6" s="175">
        <v>455.4</v>
      </c>
      <c r="K6" s="175">
        <v>351.1</v>
      </c>
      <c r="L6" s="175">
        <v>383.7</v>
      </c>
      <c r="M6" s="175">
        <v>435.7</v>
      </c>
      <c r="N6" s="175">
        <v>387.2</v>
      </c>
      <c r="O6" s="175">
        <v>443.6</v>
      </c>
      <c r="P6" s="175">
        <v>513.9</v>
      </c>
      <c r="Q6" s="175">
        <v>454.7</v>
      </c>
      <c r="R6" s="175">
        <v>378.9</v>
      </c>
      <c r="S6" s="175">
        <v>368.2</v>
      </c>
      <c r="T6" s="175">
        <v>426.6</v>
      </c>
      <c r="U6" s="175">
        <v>345.5</v>
      </c>
      <c r="V6" s="175">
        <v>421.4</v>
      </c>
      <c r="W6" s="175">
        <v>314.5</v>
      </c>
      <c r="X6" s="175">
        <v>443.5</v>
      </c>
      <c r="Y6" s="175">
        <v>425.7</v>
      </c>
      <c r="Z6" s="175">
        <v>496.25000000000011</v>
      </c>
      <c r="AA6" s="175">
        <f>'Purchased Power Model'!C66</f>
        <v>482.99999999999994</v>
      </c>
      <c r="AB6" s="175">
        <f>+'Purchased Power Model'!C80</f>
        <v>438.8</v>
      </c>
      <c r="AC6" s="175">
        <f>+'Purchased Power Model'!C92</f>
        <v>545.4</v>
      </c>
      <c r="AD6" s="175">
        <f>+'Purchased Power Model'!C104</f>
        <v>397.20000000000005</v>
      </c>
      <c r="AE6" s="175">
        <f>+'Purchased Power Model'!C116</f>
        <v>583.90000000000009</v>
      </c>
      <c r="AF6" s="175">
        <f>+'Purchased Power Model'!C128</f>
        <v>483.50000000000006</v>
      </c>
      <c r="AG6" s="175">
        <f t="shared" si="0"/>
        <v>461.17500000000001</v>
      </c>
      <c r="AH6" s="175">
        <f t="shared" si="1"/>
        <v>463.38454887217995</v>
      </c>
    </row>
    <row r="7" spans="1:34" x14ac:dyDescent="0.2">
      <c r="A7" s="13" t="s">
        <v>104</v>
      </c>
      <c r="B7" s="175">
        <v>200.6</v>
      </c>
      <c r="C7" s="175">
        <v>255</v>
      </c>
      <c r="D7" s="175">
        <v>159</v>
      </c>
      <c r="E7" s="175">
        <v>233.7</v>
      </c>
      <c r="F7" s="175">
        <v>214.58</v>
      </c>
      <c r="G7" s="175">
        <v>240.8</v>
      </c>
      <c r="H7" s="175">
        <v>215</v>
      </c>
      <c r="I7" s="175">
        <v>268.8</v>
      </c>
      <c r="J7" s="175">
        <v>333.4</v>
      </c>
      <c r="K7" s="175">
        <v>83.2</v>
      </c>
      <c r="L7" s="175">
        <v>135.9</v>
      </c>
      <c r="M7" s="175">
        <v>201.1</v>
      </c>
      <c r="N7" s="175">
        <v>155.5</v>
      </c>
      <c r="O7" s="175">
        <v>304</v>
      </c>
      <c r="P7" s="175">
        <v>208.3</v>
      </c>
      <c r="Q7" s="175">
        <v>257.5</v>
      </c>
      <c r="R7" s="175">
        <v>214.9</v>
      </c>
      <c r="S7" s="175">
        <v>162.80000000000001</v>
      </c>
      <c r="T7" s="175">
        <v>189</v>
      </c>
      <c r="U7" s="175">
        <v>261</v>
      </c>
      <c r="V7" s="175">
        <v>257.10000000000002</v>
      </c>
      <c r="W7" s="175">
        <v>147.69999999999999</v>
      </c>
      <c r="X7" s="175">
        <v>175.1</v>
      </c>
      <c r="Y7" s="175">
        <v>138.19999999999999</v>
      </c>
      <c r="Z7" s="175">
        <v>198.95</v>
      </c>
      <c r="AA7" s="175">
        <f>'Purchased Power Model'!C67</f>
        <v>199.79999999999998</v>
      </c>
      <c r="AB7" s="175">
        <f>+'Purchased Power Model'!C81</f>
        <v>191.1</v>
      </c>
      <c r="AC7" s="175">
        <f>+'Purchased Power Model'!C93</f>
        <v>206.6</v>
      </c>
      <c r="AD7" s="175">
        <f>+'Purchased Power Model'!C105</f>
        <v>255.70000000000002</v>
      </c>
      <c r="AE7" s="175">
        <f>+'Purchased Power Model'!C117</f>
        <v>196.00000000000009</v>
      </c>
      <c r="AF7" s="175">
        <f>+'Purchased Power Model'!C129</f>
        <v>288.40000000000003</v>
      </c>
      <c r="AG7" s="175">
        <f t="shared" si="0"/>
        <v>199.755</v>
      </c>
      <c r="AH7" s="175">
        <f t="shared" si="1"/>
        <v>211.95206766917278</v>
      </c>
    </row>
    <row r="8" spans="1:34" x14ac:dyDescent="0.2">
      <c r="A8" s="13" t="s">
        <v>105</v>
      </c>
      <c r="B8" s="175">
        <v>87.1</v>
      </c>
      <c r="C8" s="175">
        <v>86.3</v>
      </c>
      <c r="D8" s="175">
        <v>44.1</v>
      </c>
      <c r="E8" s="175">
        <v>119.7</v>
      </c>
      <c r="F8" s="175">
        <v>85.4</v>
      </c>
      <c r="G8" s="175">
        <v>62</v>
      </c>
      <c r="H8" s="175">
        <v>54.2</v>
      </c>
      <c r="I8" s="175">
        <v>47.1</v>
      </c>
      <c r="J8" s="175">
        <v>30.7</v>
      </c>
      <c r="K8" s="175">
        <v>88.7</v>
      </c>
      <c r="L8" s="175">
        <v>50.6</v>
      </c>
      <c r="M8" s="175">
        <v>104.1</v>
      </c>
      <c r="N8" s="175">
        <v>59.5</v>
      </c>
      <c r="O8" s="175">
        <v>83.6</v>
      </c>
      <c r="P8" s="175">
        <v>64.5</v>
      </c>
      <c r="Q8" s="175">
        <v>104</v>
      </c>
      <c r="R8" s="175">
        <v>32</v>
      </c>
      <c r="S8" s="175">
        <v>53</v>
      </c>
      <c r="T8" s="175">
        <v>71.099999999999994</v>
      </c>
      <c r="U8" s="175">
        <v>53.8</v>
      </c>
      <c r="V8" s="175">
        <v>85.2</v>
      </c>
      <c r="W8" s="175">
        <v>71.2</v>
      </c>
      <c r="X8" s="175">
        <v>65.7</v>
      </c>
      <c r="Y8" s="175">
        <v>50.5</v>
      </c>
      <c r="Z8" s="175">
        <v>102.54999999999998</v>
      </c>
      <c r="AA8" s="175">
        <f>'Purchased Power Model'!C68</f>
        <v>53.399999999999991</v>
      </c>
      <c r="AB8" s="175">
        <f>+'Purchased Power Model'!C82</f>
        <v>100.6</v>
      </c>
      <c r="AC8" s="175">
        <f>+'Purchased Power Model'!C94</f>
        <v>89.699999999999989</v>
      </c>
      <c r="AD8" s="175">
        <f>+'Purchased Power Model'!C106</f>
        <v>86</v>
      </c>
      <c r="AE8" s="175">
        <f>+'Purchased Power Model'!C118</f>
        <v>77.800000000000011</v>
      </c>
      <c r="AF8" s="175">
        <f>+'Purchased Power Model'!C130</f>
        <v>92.199999999999989</v>
      </c>
      <c r="AG8" s="175">
        <f t="shared" si="0"/>
        <v>78.964999999999989</v>
      </c>
      <c r="AH8" s="175">
        <f t="shared" si="1"/>
        <v>78.61755639097737</v>
      </c>
    </row>
    <row r="9" spans="1:34" x14ac:dyDescent="0.2">
      <c r="A9" s="13" t="s">
        <v>106</v>
      </c>
      <c r="B9" s="175">
        <v>18.3</v>
      </c>
      <c r="C9" s="175">
        <v>30.2</v>
      </c>
      <c r="D9" s="175">
        <v>19.5</v>
      </c>
      <c r="E9" s="175">
        <v>84.9</v>
      </c>
      <c r="F9" s="175">
        <v>10.75</v>
      </c>
      <c r="G9" s="175">
        <v>16.100000000000001</v>
      </c>
      <c r="H9" s="175">
        <v>30.1</v>
      </c>
      <c r="I9" s="175">
        <v>34.9</v>
      </c>
      <c r="J9" s="175">
        <v>35.9</v>
      </c>
      <c r="K9" s="175">
        <v>23.3</v>
      </c>
      <c r="L9" s="175">
        <v>17.899999999999999</v>
      </c>
      <c r="M9" s="175">
        <v>48.4</v>
      </c>
      <c r="N9" s="175">
        <v>53.1</v>
      </c>
      <c r="O9" s="175">
        <v>18.2</v>
      </c>
      <c r="P9" s="175">
        <v>16.100000000000001</v>
      </c>
      <c r="Q9" s="175">
        <v>25.1</v>
      </c>
      <c r="R9" s="175">
        <v>13.7</v>
      </c>
      <c r="S9" s="175">
        <v>9.4</v>
      </c>
      <c r="T9" s="175">
        <v>34.200000000000003</v>
      </c>
      <c r="U9" s="175">
        <v>11.5</v>
      </c>
      <c r="V9" s="175">
        <v>46.3</v>
      </c>
      <c r="W9" s="175">
        <v>11</v>
      </c>
      <c r="X9" s="175">
        <v>2.9</v>
      </c>
      <c r="Y9" s="175">
        <v>2.2000000000000002</v>
      </c>
      <c r="Z9" s="175">
        <v>39.149999999999984</v>
      </c>
      <c r="AA9" s="175">
        <f>'Purchased Power Model'!C69</f>
        <v>57.800000000000004</v>
      </c>
      <c r="AB9" s="175">
        <f>+'Purchased Power Model'!C83</f>
        <v>37.100000000000009</v>
      </c>
      <c r="AC9" s="175">
        <f>+'Purchased Power Model'!C95</f>
        <v>28.5</v>
      </c>
      <c r="AD9" s="175">
        <f>+'Purchased Power Model'!C107</f>
        <v>29.6</v>
      </c>
      <c r="AE9" s="175">
        <f>+'Purchased Power Model'!C119</f>
        <v>7.8</v>
      </c>
      <c r="AF9" s="175">
        <f>+'Purchased Power Model'!C131</f>
        <v>7</v>
      </c>
      <c r="AG9" s="175">
        <f t="shared" si="0"/>
        <v>22.305</v>
      </c>
      <c r="AH9" s="175">
        <f t="shared" si="1"/>
        <v>22.022819548872349</v>
      </c>
    </row>
    <row r="10" spans="1:34" x14ac:dyDescent="0.2">
      <c r="A10" s="13" t="s">
        <v>107</v>
      </c>
      <c r="B10" s="175">
        <v>61.9</v>
      </c>
      <c r="C10" s="175">
        <v>39.9</v>
      </c>
      <c r="D10" s="175">
        <v>37.200000000000003</v>
      </c>
      <c r="E10" s="175">
        <v>84.2</v>
      </c>
      <c r="F10" s="175">
        <v>21.94</v>
      </c>
      <c r="G10" s="175">
        <v>80.900000000000006</v>
      </c>
      <c r="H10" s="175">
        <v>30.1</v>
      </c>
      <c r="I10" s="175">
        <v>31.3</v>
      </c>
      <c r="J10" s="175">
        <v>77.400000000000006</v>
      </c>
      <c r="K10" s="175">
        <v>22.6</v>
      </c>
      <c r="L10" s="175">
        <v>56.3</v>
      </c>
      <c r="M10" s="175">
        <v>51.5</v>
      </c>
      <c r="N10" s="175">
        <v>17.899999999999999</v>
      </c>
      <c r="O10" s="175">
        <v>22</v>
      </c>
      <c r="P10" s="175">
        <v>32.9</v>
      </c>
      <c r="Q10" s="175">
        <v>75.599999999999994</v>
      </c>
      <c r="R10" s="175">
        <v>18.8</v>
      </c>
      <c r="S10" s="175">
        <v>50.8</v>
      </c>
      <c r="T10" s="175">
        <v>36.799999999999997</v>
      </c>
      <c r="U10" s="175">
        <v>35.700000000000003</v>
      </c>
      <c r="V10" s="175">
        <v>60.9</v>
      </c>
      <c r="W10" s="175">
        <v>29.4</v>
      </c>
      <c r="X10" s="175">
        <v>16.7</v>
      </c>
      <c r="Y10" s="175">
        <v>27</v>
      </c>
      <c r="Z10" s="175">
        <v>49.000000000000014</v>
      </c>
      <c r="AA10" s="175">
        <f>'Purchased Power Model'!C70</f>
        <v>60</v>
      </c>
      <c r="AB10" s="175">
        <f>+'Purchased Power Model'!C84</f>
        <v>29.9</v>
      </c>
      <c r="AC10" s="175">
        <f>+'Purchased Power Model'!C96</f>
        <v>13.299999999999999</v>
      </c>
      <c r="AD10" s="175">
        <f>+'Purchased Power Model'!C108</f>
        <v>65.399999999999991</v>
      </c>
      <c r="AE10" s="175">
        <f>+'Purchased Power Model'!C120</f>
        <v>16</v>
      </c>
      <c r="AF10" s="175">
        <f>+'Purchased Power Model'!C132</f>
        <v>42.699999999999996</v>
      </c>
      <c r="AG10" s="175">
        <f t="shared" si="0"/>
        <v>34.940000000000005</v>
      </c>
      <c r="AH10" s="175">
        <f t="shared" si="1"/>
        <v>37.262255639097702</v>
      </c>
    </row>
    <row r="11" spans="1:34" x14ac:dyDescent="0.2">
      <c r="A11" s="13" t="s">
        <v>108</v>
      </c>
      <c r="B11" s="175">
        <v>166.9</v>
      </c>
      <c r="C11" s="175">
        <v>200.2</v>
      </c>
      <c r="D11" s="175">
        <v>210.5</v>
      </c>
      <c r="E11" s="175">
        <v>183.44</v>
      </c>
      <c r="F11" s="175">
        <v>238.96</v>
      </c>
      <c r="G11" s="175">
        <v>139.69999999999999</v>
      </c>
      <c r="H11" s="175">
        <v>222.6</v>
      </c>
      <c r="I11" s="175">
        <v>126.5</v>
      </c>
      <c r="J11" s="175">
        <v>167.9</v>
      </c>
      <c r="K11" s="175">
        <v>140.1</v>
      </c>
      <c r="L11" s="175">
        <v>114.9</v>
      </c>
      <c r="M11" s="175">
        <v>195.9</v>
      </c>
      <c r="N11" s="175">
        <v>161.19999999999999</v>
      </c>
      <c r="O11" s="175">
        <v>89.1</v>
      </c>
      <c r="P11" s="175">
        <v>111.8</v>
      </c>
      <c r="Q11" s="175">
        <v>103.5</v>
      </c>
      <c r="R11" s="175">
        <v>85.4</v>
      </c>
      <c r="S11" s="175">
        <v>183.8</v>
      </c>
      <c r="T11" s="175">
        <v>110</v>
      </c>
      <c r="U11" s="175">
        <v>151</v>
      </c>
      <c r="V11" s="175">
        <v>126.2</v>
      </c>
      <c r="W11" s="175">
        <v>177.3</v>
      </c>
      <c r="X11" s="175">
        <v>116.4</v>
      </c>
      <c r="Y11" s="175">
        <v>163</v>
      </c>
      <c r="Z11" s="175">
        <v>181.75</v>
      </c>
      <c r="AA11" s="175">
        <f>'Purchased Power Model'!C71</f>
        <v>157</v>
      </c>
      <c r="AB11" s="175">
        <f>+'Purchased Power Model'!C85</f>
        <v>72.45</v>
      </c>
      <c r="AC11" s="175">
        <f>+'Purchased Power Model'!C97</f>
        <v>102.10000000000001</v>
      </c>
      <c r="AD11" s="175">
        <f>+'Purchased Power Model'!C109</f>
        <v>120.60000000000001</v>
      </c>
      <c r="AE11" s="175">
        <f>+'Purchased Power Model'!C121</f>
        <v>149.54999999999998</v>
      </c>
      <c r="AF11" s="175">
        <f>+'Purchased Power Model'!C133</f>
        <v>154.89999999999998</v>
      </c>
      <c r="AG11" s="175">
        <f t="shared" si="0"/>
        <v>139.50500000000002</v>
      </c>
      <c r="AH11" s="175">
        <f t="shared" si="1"/>
        <v>135.11052631578951</v>
      </c>
    </row>
    <row r="12" spans="1:34" x14ac:dyDescent="0.2">
      <c r="A12" s="13" t="s">
        <v>109</v>
      </c>
      <c r="B12" s="175">
        <v>340.2</v>
      </c>
      <c r="C12" s="175">
        <v>380.6</v>
      </c>
      <c r="D12" s="175">
        <v>362.3</v>
      </c>
      <c r="E12" s="175">
        <v>427.7</v>
      </c>
      <c r="F12" s="175">
        <v>490.16</v>
      </c>
      <c r="G12" s="175">
        <v>310.39999999999998</v>
      </c>
      <c r="H12" s="175">
        <v>316.5</v>
      </c>
      <c r="I12" s="175">
        <v>373.2</v>
      </c>
      <c r="J12" s="175">
        <v>359.8</v>
      </c>
      <c r="K12" s="175">
        <v>347.6</v>
      </c>
      <c r="L12" s="175">
        <v>396.7</v>
      </c>
      <c r="M12" s="175">
        <v>336.8</v>
      </c>
      <c r="N12" s="175">
        <v>341.5</v>
      </c>
      <c r="O12" s="175">
        <v>438.3</v>
      </c>
      <c r="P12" s="175">
        <v>376.6</v>
      </c>
      <c r="Q12" s="175">
        <v>326.3</v>
      </c>
      <c r="R12" s="175">
        <v>300</v>
      </c>
      <c r="S12" s="175">
        <v>401.4</v>
      </c>
      <c r="T12" s="175">
        <v>262</v>
      </c>
      <c r="U12" s="175">
        <v>381.4</v>
      </c>
      <c r="V12" s="175">
        <v>409.4</v>
      </c>
      <c r="W12" s="175">
        <v>369.8</v>
      </c>
      <c r="X12" s="175">
        <v>295.3</v>
      </c>
      <c r="Y12" s="175">
        <v>331</v>
      </c>
      <c r="Z12" s="175">
        <v>321.95</v>
      </c>
      <c r="AA12" s="175">
        <f>'Purchased Power Model'!C72</f>
        <v>341.59999999999997</v>
      </c>
      <c r="AB12" s="175">
        <f>+'Purchased Power Model'!C86</f>
        <v>380.39999999999992</v>
      </c>
      <c r="AC12" s="175">
        <f>+'Purchased Power Model'!C98</f>
        <v>311.00000000000006</v>
      </c>
      <c r="AD12" s="175">
        <f>+'Purchased Power Model'!C110</f>
        <v>252.39999999999998</v>
      </c>
      <c r="AE12" s="175">
        <f>+'Purchased Power Model'!C122</f>
        <v>432</v>
      </c>
      <c r="AF12" s="175">
        <f>+'Purchased Power Model'!C134</f>
        <v>348.25000000000006</v>
      </c>
      <c r="AG12" s="175">
        <f t="shared" si="0"/>
        <v>338.37</v>
      </c>
      <c r="AH12" s="175">
        <f t="shared" si="1"/>
        <v>341.97796992481199</v>
      </c>
    </row>
    <row r="13" spans="1:34" x14ac:dyDescent="0.2">
      <c r="A13" s="13" t="s">
        <v>110</v>
      </c>
      <c r="B13" s="175">
        <v>683</v>
      </c>
      <c r="C13" s="175">
        <v>541.9</v>
      </c>
      <c r="D13" s="175">
        <v>577</v>
      </c>
      <c r="E13" s="175">
        <v>590.70000000000005</v>
      </c>
      <c r="F13" s="175">
        <v>648.29</v>
      </c>
      <c r="G13" s="175">
        <v>509</v>
      </c>
      <c r="H13" s="175">
        <v>700.4</v>
      </c>
      <c r="I13" s="175">
        <v>645.9</v>
      </c>
      <c r="J13" s="175">
        <v>598</v>
      </c>
      <c r="K13" s="175">
        <v>527</v>
      </c>
      <c r="L13" s="175">
        <v>504.5</v>
      </c>
      <c r="M13" s="175">
        <v>552.70000000000005</v>
      </c>
      <c r="N13" s="175">
        <v>457.5</v>
      </c>
      <c r="O13" s="175">
        <v>627.70000000000005</v>
      </c>
      <c r="P13" s="175">
        <v>523.70000000000005</v>
      </c>
      <c r="Q13" s="175">
        <v>537.20000000000005</v>
      </c>
      <c r="R13" s="175">
        <v>558.20000000000005</v>
      </c>
      <c r="S13" s="175">
        <v>496.8</v>
      </c>
      <c r="T13" s="175">
        <v>588.70000000000005</v>
      </c>
      <c r="U13" s="175">
        <v>559.4</v>
      </c>
      <c r="V13" s="175">
        <v>453.8</v>
      </c>
      <c r="W13" s="175">
        <v>526.1</v>
      </c>
      <c r="X13" s="175">
        <v>464.8</v>
      </c>
      <c r="Y13" s="175">
        <v>549.70000000000005</v>
      </c>
      <c r="Z13" s="175">
        <v>625.75</v>
      </c>
      <c r="AA13" s="175">
        <f>'Purchased Power Model'!C73</f>
        <v>642.99999999999989</v>
      </c>
      <c r="AB13" s="175">
        <f>+'Purchased Power Model'!C87</f>
        <v>435.75</v>
      </c>
      <c r="AC13" s="175">
        <f>+'Purchased Power Model'!C99</f>
        <v>471.59999999999997</v>
      </c>
      <c r="AD13" s="175">
        <f>+'Purchased Power Model'!C111</f>
        <v>620.75000000000011</v>
      </c>
      <c r="AE13" s="175">
        <f>+'Purchased Power Model'!C123</f>
        <v>671.6</v>
      </c>
      <c r="AF13" s="175">
        <f>+'Purchased Power Model'!C135</f>
        <v>677.9000000000002</v>
      </c>
      <c r="AG13" s="175">
        <f t="shared" si="0"/>
        <v>568.69500000000016</v>
      </c>
      <c r="AH13" s="175">
        <f t="shared" si="1"/>
        <v>574.3820676691721</v>
      </c>
    </row>
    <row r="14" spans="1:34" x14ac:dyDescent="0.2">
      <c r="A14" s="13" t="s">
        <v>111</v>
      </c>
      <c r="B14" s="175">
        <v>1110.5</v>
      </c>
      <c r="C14" s="175">
        <v>797.7</v>
      </c>
      <c r="D14" s="175">
        <v>847.6</v>
      </c>
      <c r="E14" s="175">
        <v>563.1</v>
      </c>
      <c r="F14" s="175">
        <v>823.9</v>
      </c>
      <c r="G14" s="175">
        <v>710.3</v>
      </c>
      <c r="H14" s="175">
        <v>934.6</v>
      </c>
      <c r="I14" s="175">
        <v>724.2</v>
      </c>
      <c r="J14" s="175">
        <v>790.4</v>
      </c>
      <c r="K14" s="175">
        <v>723.6</v>
      </c>
      <c r="L14" s="175">
        <v>759</v>
      </c>
      <c r="M14" s="175">
        <v>977.2</v>
      </c>
      <c r="N14" s="175">
        <v>656.1</v>
      </c>
      <c r="O14" s="175">
        <v>771.5</v>
      </c>
      <c r="P14" s="175">
        <v>762.2</v>
      </c>
      <c r="Q14" s="175">
        <v>896.5</v>
      </c>
      <c r="R14" s="175">
        <v>831.8</v>
      </c>
      <c r="S14" s="175">
        <v>674.9</v>
      </c>
      <c r="T14" s="175">
        <v>833.8</v>
      </c>
      <c r="U14" s="175">
        <v>869.7</v>
      </c>
      <c r="V14" s="175">
        <v>824.4</v>
      </c>
      <c r="W14" s="175">
        <v>812.9</v>
      </c>
      <c r="X14" s="175">
        <v>751.1</v>
      </c>
      <c r="Y14" s="175">
        <v>770.6</v>
      </c>
      <c r="Z14" s="175">
        <v>964.3</v>
      </c>
      <c r="AA14" s="175">
        <f>'Purchased Power Model'!C74</f>
        <v>710.49999999999989</v>
      </c>
      <c r="AB14" s="175">
        <f>+'Purchased Power Model'!C88</f>
        <v>564.95000000000005</v>
      </c>
      <c r="AC14" s="175">
        <f>+'Purchased Power Model'!C100</f>
        <v>783.30000000000018</v>
      </c>
      <c r="AD14" s="175">
        <f>+'Purchased Power Model'!C112</f>
        <v>970.90000000000009</v>
      </c>
      <c r="AE14" s="175">
        <f>+'Purchased Power Model'!C124</f>
        <v>796.5500000000003</v>
      </c>
      <c r="AF14" s="175">
        <f>+'Purchased Power Model'!C136</f>
        <v>775.29999999999984</v>
      </c>
      <c r="AG14" s="175">
        <f t="shared" si="0"/>
        <v>790.04</v>
      </c>
      <c r="AH14" s="175">
        <f t="shared" si="1"/>
        <v>793.39364661654099</v>
      </c>
    </row>
    <row r="15" spans="1:34" x14ac:dyDescent="0.2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99">
        <f t="shared" ref="L15:Z15" si="2">SUM(L3:L14)</f>
        <v>4726.3999999999996</v>
      </c>
      <c r="M15" s="199">
        <f t="shared" si="2"/>
        <v>5205</v>
      </c>
      <c r="N15" s="199">
        <f t="shared" si="2"/>
        <v>4696.0999999999995</v>
      </c>
      <c r="O15" s="199">
        <f t="shared" si="2"/>
        <v>5124.5999999999995</v>
      </c>
      <c r="P15" s="199">
        <f t="shared" si="2"/>
        <v>5291.5</v>
      </c>
      <c r="Q15" s="199">
        <f t="shared" si="2"/>
        <v>5329.5999999999995</v>
      </c>
      <c r="R15" s="199">
        <f t="shared" si="2"/>
        <v>4911.4000000000005</v>
      </c>
      <c r="S15" s="199">
        <f t="shared" si="2"/>
        <v>4661.8</v>
      </c>
      <c r="T15" s="199">
        <f t="shared" si="2"/>
        <v>5035.7</v>
      </c>
      <c r="U15" s="199">
        <f t="shared" si="2"/>
        <v>5074.8999999999996</v>
      </c>
      <c r="V15" s="199">
        <f t="shared" si="2"/>
        <v>5174.9999999999991</v>
      </c>
      <c r="W15" s="199">
        <f t="shared" si="2"/>
        <v>4601.6000000000004</v>
      </c>
      <c r="X15" s="199">
        <f t="shared" si="2"/>
        <v>4856</v>
      </c>
      <c r="Y15" s="199">
        <f t="shared" si="2"/>
        <v>4541.3</v>
      </c>
      <c r="Z15" s="199">
        <f t="shared" si="2"/>
        <v>5359.05</v>
      </c>
      <c r="AA15" s="199">
        <f t="shared" ref="AA15:AH15" si="3">SUM(AA3:AA14)</f>
        <v>5494</v>
      </c>
      <c r="AB15" s="199">
        <f t="shared" si="3"/>
        <v>5158.0499999999993</v>
      </c>
      <c r="AC15" s="199">
        <f t="shared" si="3"/>
        <v>4971.3999999999996</v>
      </c>
      <c r="AD15" s="199">
        <f t="shared" si="3"/>
        <v>5126.0499999999993</v>
      </c>
      <c r="AE15" s="199">
        <f t="shared" si="3"/>
        <v>5325.6000000000013</v>
      </c>
      <c r="AF15" s="199">
        <f t="shared" si="3"/>
        <v>5494.05</v>
      </c>
      <c r="AG15" s="197">
        <f t="shared" si="3"/>
        <v>5092.71</v>
      </c>
      <c r="AH15" s="197">
        <f t="shared" si="3"/>
        <v>5140.2357142857127</v>
      </c>
    </row>
    <row r="16" spans="1:34" x14ac:dyDescent="0.2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</row>
    <row r="17" spans="1:34" x14ac:dyDescent="0.2">
      <c r="A17" s="13" t="s">
        <v>112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</row>
    <row r="18" spans="1:34" x14ac:dyDescent="0.2">
      <c r="A18" s="13" t="s">
        <v>100</v>
      </c>
      <c r="B18" s="175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f>'Purchased Power Model'!D63</f>
        <v>0</v>
      </c>
      <c r="AB18" s="175">
        <f>+'Purchased Power Model'!D77</f>
        <v>0</v>
      </c>
      <c r="AC18" s="175">
        <f>+'Purchased Power Model'!D89</f>
        <v>0</v>
      </c>
      <c r="AD18" s="175">
        <f>+'Purchased Power Model'!D101</f>
        <v>0</v>
      </c>
      <c r="AE18" s="175">
        <f>+'Purchased Power Model'!D113</f>
        <v>0</v>
      </c>
      <c r="AF18" s="175">
        <f>+'Purchased Power Model'!D125</f>
        <v>0</v>
      </c>
      <c r="AG18" s="175">
        <f>SUM(W18:AF18)/10</f>
        <v>0</v>
      </c>
      <c r="AH18" s="175">
        <f>TREND(M18:AF18,$M$2:$AF$2,2015)</f>
        <v>0</v>
      </c>
    </row>
    <row r="19" spans="1:34" x14ac:dyDescent="0.2">
      <c r="A19" s="13" t="s">
        <v>101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f>'Purchased Power Model'!D64</f>
        <v>0</v>
      </c>
      <c r="AB19" s="175">
        <f>+'Purchased Power Model'!D78</f>
        <v>0</v>
      </c>
      <c r="AC19" s="175">
        <f>+'Purchased Power Model'!D90</f>
        <v>0</v>
      </c>
      <c r="AD19" s="175">
        <f>+'Purchased Power Model'!D102</f>
        <v>0</v>
      </c>
      <c r="AE19" s="175">
        <f>+'Purchased Power Model'!D114</f>
        <v>0</v>
      </c>
      <c r="AF19" s="175">
        <f>+'Purchased Power Model'!D126</f>
        <v>0</v>
      </c>
      <c r="AG19" s="175">
        <f t="shared" ref="AG19:AG29" si="4">SUM(W19:AF19)/10</f>
        <v>0</v>
      </c>
      <c r="AH19" s="175">
        <f t="shared" ref="AH19:AH29" si="5">TREND(M19:AF19,$M$2:$AF$2,2015)</f>
        <v>0</v>
      </c>
    </row>
    <row r="20" spans="1:34" x14ac:dyDescent="0.2">
      <c r="A20" s="13" t="s">
        <v>102</v>
      </c>
      <c r="B20" s="175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0.7</v>
      </c>
      <c r="Z20" s="175">
        <v>0</v>
      </c>
      <c r="AA20" s="175">
        <f>'Purchased Power Model'!D65</f>
        <v>0</v>
      </c>
      <c r="AB20" s="175">
        <f>+'Purchased Power Model'!D79</f>
        <v>0</v>
      </c>
      <c r="AC20" s="175">
        <f>+'Purchased Power Model'!D91</f>
        <v>0</v>
      </c>
      <c r="AD20" s="175">
        <f>+'Purchased Power Model'!D103</f>
        <v>0</v>
      </c>
      <c r="AE20" s="175">
        <f>+'Purchased Power Model'!D115</f>
        <v>0</v>
      </c>
      <c r="AF20" s="175">
        <f>+'Purchased Power Model'!D127</f>
        <v>0</v>
      </c>
      <c r="AG20" s="175">
        <f t="shared" si="4"/>
        <v>6.9999999999999993E-2</v>
      </c>
      <c r="AH20" s="175">
        <f t="shared" si="5"/>
        <v>4.9473684210526336E-2</v>
      </c>
    </row>
    <row r="21" spans="1:34" x14ac:dyDescent="0.2">
      <c r="A21" s="13" t="s">
        <v>103</v>
      </c>
      <c r="B21" s="175">
        <v>0</v>
      </c>
      <c r="C21" s="175">
        <v>12.3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0.5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0.4</v>
      </c>
      <c r="V21" s="175">
        <v>0.09</v>
      </c>
      <c r="W21" s="175">
        <v>0.1</v>
      </c>
      <c r="X21" s="175">
        <v>0</v>
      </c>
      <c r="Y21" s="175">
        <v>0</v>
      </c>
      <c r="Z21" s="175">
        <v>0</v>
      </c>
      <c r="AA21" s="175">
        <f>'Purchased Power Model'!D66</f>
        <v>0</v>
      </c>
      <c r="AB21" s="175">
        <f>+'Purchased Power Model'!D80</f>
        <v>0</v>
      </c>
      <c r="AC21" s="175">
        <f>+'Purchased Power Model'!D92</f>
        <v>0</v>
      </c>
      <c r="AD21" s="175">
        <f>+'Purchased Power Model'!D104</f>
        <v>0</v>
      </c>
      <c r="AE21" s="175">
        <f>+'Purchased Power Model'!D116</f>
        <v>0</v>
      </c>
      <c r="AF21" s="175">
        <f>+'Purchased Power Model'!D128</f>
        <v>0</v>
      </c>
      <c r="AG21" s="175">
        <f t="shared" si="4"/>
        <v>0.01</v>
      </c>
      <c r="AH21" s="175">
        <f t="shared" si="5"/>
        <v>1.8563909774437448E-2</v>
      </c>
    </row>
    <row r="22" spans="1:34" x14ac:dyDescent="0.2">
      <c r="A22" s="13" t="s">
        <v>104</v>
      </c>
      <c r="B22" s="175">
        <v>6</v>
      </c>
      <c r="C22" s="175">
        <v>15</v>
      </c>
      <c r="D22" s="175">
        <v>14.8</v>
      </c>
      <c r="E22" s="175">
        <v>2.5</v>
      </c>
      <c r="F22" s="175">
        <v>4</v>
      </c>
      <c r="G22" s="175">
        <v>2.2000000000000002</v>
      </c>
      <c r="H22" s="175">
        <v>0.5</v>
      </c>
      <c r="I22" s="175">
        <v>0</v>
      </c>
      <c r="J22" s="175">
        <v>0</v>
      </c>
      <c r="K22" s="175">
        <v>9.9</v>
      </c>
      <c r="L22" s="175">
        <v>16.100000000000001</v>
      </c>
      <c r="M22" s="175">
        <v>2.8</v>
      </c>
      <c r="N22" s="175">
        <v>3.7</v>
      </c>
      <c r="O22" s="175">
        <v>0.8</v>
      </c>
      <c r="P22" s="175">
        <v>0.7</v>
      </c>
      <c r="Q22" s="175">
        <v>4.0999999999999996</v>
      </c>
      <c r="R22" s="175">
        <v>0.9</v>
      </c>
      <c r="S22" s="175">
        <v>14.5</v>
      </c>
      <c r="T22" s="175">
        <v>15.1</v>
      </c>
      <c r="U22" s="175">
        <v>0</v>
      </c>
      <c r="V22" s="175">
        <v>0</v>
      </c>
      <c r="W22" s="175">
        <v>29.2</v>
      </c>
      <c r="X22" s="175">
        <v>6.9</v>
      </c>
      <c r="Y22" s="175">
        <v>13.8</v>
      </c>
      <c r="Z22" s="175">
        <v>9.6999999999999993</v>
      </c>
      <c r="AA22" s="175">
        <f>'Purchased Power Model'!D67</f>
        <v>1.3</v>
      </c>
      <c r="AB22" s="175">
        <f>+'Purchased Power Model'!D81</f>
        <v>8.1</v>
      </c>
      <c r="AC22" s="175">
        <f>+'Purchased Power Model'!D93</f>
        <v>11.7</v>
      </c>
      <c r="AD22" s="175">
        <f>+'Purchased Power Model'!D105</f>
        <v>0.7</v>
      </c>
      <c r="AE22" s="175">
        <f>+'Purchased Power Model'!D117</f>
        <v>15.399999999999999</v>
      </c>
      <c r="AF22" s="175">
        <f>+'Purchased Power Model'!D129</f>
        <v>0</v>
      </c>
      <c r="AG22" s="175">
        <f t="shared" si="4"/>
        <v>9.6800000000000015</v>
      </c>
      <c r="AH22" s="175">
        <f t="shared" si="5"/>
        <v>8.3950375939849664</v>
      </c>
    </row>
    <row r="23" spans="1:34" x14ac:dyDescent="0.2">
      <c r="A23" s="13" t="s">
        <v>105</v>
      </c>
      <c r="B23" s="175">
        <v>25.6</v>
      </c>
      <c r="C23" s="175">
        <v>46.7</v>
      </c>
      <c r="D23" s="175">
        <v>39.1</v>
      </c>
      <c r="E23" s="175">
        <v>7.5</v>
      </c>
      <c r="F23" s="175">
        <v>4.4000000000000004</v>
      </c>
      <c r="G23" s="175">
        <v>36.1</v>
      </c>
      <c r="H23" s="175">
        <v>65.7</v>
      </c>
      <c r="I23" s="175">
        <v>20.100000000000001</v>
      </c>
      <c r="J23" s="175">
        <v>47.1</v>
      </c>
      <c r="K23" s="175">
        <v>52.6</v>
      </c>
      <c r="L23" s="175">
        <v>58.2</v>
      </c>
      <c r="M23" s="175">
        <v>11.3</v>
      </c>
      <c r="N23" s="175">
        <v>38.1</v>
      </c>
      <c r="O23" s="175">
        <v>34.1</v>
      </c>
      <c r="P23" s="175">
        <v>27.4</v>
      </c>
      <c r="Q23" s="175">
        <v>7.7</v>
      </c>
      <c r="R23" s="175">
        <v>75.7</v>
      </c>
      <c r="S23" s="175">
        <v>31.7</v>
      </c>
      <c r="T23" s="175">
        <v>55.8</v>
      </c>
      <c r="U23" s="175">
        <v>26.2</v>
      </c>
      <c r="V23" s="175">
        <v>34.1</v>
      </c>
      <c r="W23" s="175">
        <v>7.1</v>
      </c>
      <c r="X23" s="175">
        <v>22.2</v>
      </c>
      <c r="Y23" s="175">
        <v>49.1</v>
      </c>
      <c r="Z23" s="175">
        <v>15.000000000000004</v>
      </c>
      <c r="AA23" s="175">
        <f>'Purchased Power Model'!D68</f>
        <v>24.1</v>
      </c>
      <c r="AB23" s="175">
        <f>+'Purchased Power Model'!D82</f>
        <v>1.9</v>
      </c>
      <c r="AC23" s="175">
        <f>+'Purchased Power Model'!D94</f>
        <v>21.599999999999998</v>
      </c>
      <c r="AD23" s="175">
        <f>+'Purchased Power Model'!D106</f>
        <v>13.699999999999996</v>
      </c>
      <c r="AE23" s="175">
        <f>+'Purchased Power Model'!D118</f>
        <v>16.900000000000002</v>
      </c>
      <c r="AF23" s="175">
        <f>+'Purchased Power Model'!D130</f>
        <v>7.0000000000000009</v>
      </c>
      <c r="AG23" s="175">
        <f t="shared" si="4"/>
        <v>17.86</v>
      </c>
      <c r="AH23" s="175">
        <f t="shared" si="5"/>
        <v>19.662030075187886</v>
      </c>
    </row>
    <row r="24" spans="1:34" x14ac:dyDescent="0.2">
      <c r="A24" s="13" t="s">
        <v>106</v>
      </c>
      <c r="B24" s="175">
        <v>75.599999999999994</v>
      </c>
      <c r="C24" s="175">
        <v>45.5</v>
      </c>
      <c r="D24" s="175">
        <v>66.900000000000006</v>
      </c>
      <c r="E24" s="175">
        <v>4.3</v>
      </c>
      <c r="F24" s="175">
        <v>56.18</v>
      </c>
      <c r="G24" s="175">
        <v>45.7</v>
      </c>
      <c r="H24" s="175">
        <v>56.5</v>
      </c>
      <c r="I24" s="175">
        <v>20.2</v>
      </c>
      <c r="J24" s="175">
        <v>51</v>
      </c>
      <c r="K24" s="175">
        <v>44.3</v>
      </c>
      <c r="L24" s="175">
        <v>80.400000000000006</v>
      </c>
      <c r="M24" s="175">
        <v>30.6</v>
      </c>
      <c r="N24" s="175">
        <v>62.5</v>
      </c>
      <c r="O24" s="175">
        <v>74.099999999999994</v>
      </c>
      <c r="P24" s="175">
        <v>37.4</v>
      </c>
      <c r="Q24" s="175">
        <v>41</v>
      </c>
      <c r="R24" s="175">
        <v>103</v>
      </c>
      <c r="S24" s="175">
        <v>81.400000000000006</v>
      </c>
      <c r="T24" s="175">
        <v>44.6</v>
      </c>
      <c r="U24" s="175">
        <v>38.299999999999997</v>
      </c>
      <c r="V24" s="175">
        <v>13.6</v>
      </c>
      <c r="W24" s="175">
        <v>90.4</v>
      </c>
      <c r="X24" s="175">
        <v>85.4</v>
      </c>
      <c r="Y24" s="175">
        <v>78.3</v>
      </c>
      <c r="Z24" s="175">
        <v>52.79999999999999</v>
      </c>
      <c r="AA24" s="175">
        <f>'Purchased Power Model'!D69</f>
        <v>17.900000000000002</v>
      </c>
      <c r="AB24" s="175">
        <f>+'Purchased Power Model'!D83</f>
        <v>54.7</v>
      </c>
      <c r="AC24" s="175">
        <f>+'Purchased Power Model'!D95</f>
        <v>57.499999999999993</v>
      </c>
      <c r="AD24" s="175">
        <f>+'Purchased Power Model'!D107</f>
        <v>30.5</v>
      </c>
      <c r="AE24" s="175">
        <f>+'Purchased Power Model'!D119</f>
        <v>94.799999999999983</v>
      </c>
      <c r="AF24" s="175">
        <f>+'Purchased Power Model'!D131</f>
        <v>73.600000000000009</v>
      </c>
      <c r="AG24" s="175">
        <f t="shared" si="4"/>
        <v>63.589999999999996</v>
      </c>
      <c r="AH24" s="175">
        <f t="shared" si="5"/>
        <v>60.372105263157891</v>
      </c>
    </row>
    <row r="25" spans="1:34" x14ac:dyDescent="0.2">
      <c r="A25" s="13" t="s">
        <v>107</v>
      </c>
      <c r="B25" s="175">
        <v>35.299999999999997</v>
      </c>
      <c r="C25" s="175">
        <v>4.3</v>
      </c>
      <c r="D25" s="175">
        <v>49.8</v>
      </c>
      <c r="E25" s="175">
        <v>14.3</v>
      </c>
      <c r="F25" s="175">
        <v>58.91</v>
      </c>
      <c r="G25" s="175">
        <v>6.1</v>
      </c>
      <c r="H25" s="175">
        <v>59.6</v>
      </c>
      <c r="I25" s="175">
        <v>35.799999999999997</v>
      </c>
      <c r="J25" s="175">
        <v>10.6</v>
      </c>
      <c r="K25" s="175">
        <v>57.9</v>
      </c>
      <c r="L25" s="175">
        <v>23.2</v>
      </c>
      <c r="M25" s="175">
        <v>24.2</v>
      </c>
      <c r="N25" s="175">
        <v>79</v>
      </c>
      <c r="O25" s="175">
        <v>62.6</v>
      </c>
      <c r="P25" s="175">
        <v>60.7</v>
      </c>
      <c r="Q25" s="175">
        <v>20.5</v>
      </c>
      <c r="R25" s="175">
        <v>66.5</v>
      </c>
      <c r="S25" s="175">
        <v>25.4</v>
      </c>
      <c r="T25" s="175">
        <v>48.9</v>
      </c>
      <c r="U25" s="175">
        <v>21.7</v>
      </c>
      <c r="V25" s="175">
        <v>35.6</v>
      </c>
      <c r="W25" s="175">
        <v>69.7</v>
      </c>
      <c r="X25" s="175">
        <v>45.9</v>
      </c>
      <c r="Y25" s="175">
        <v>44.9</v>
      </c>
      <c r="Z25" s="175">
        <v>23.449999999999992</v>
      </c>
      <c r="AA25" s="175">
        <f>'Purchased Power Model'!D70</f>
        <v>16.399999999999999</v>
      </c>
      <c r="AB25" s="175">
        <f>+'Purchased Power Model'!D84</f>
        <v>44.900000000000006</v>
      </c>
      <c r="AC25" s="175">
        <f>+'Purchased Power Model'!D96</f>
        <v>69.100000000000009</v>
      </c>
      <c r="AD25" s="175">
        <f>+'Purchased Power Model'!D108</f>
        <v>12.799999999999999</v>
      </c>
      <c r="AE25" s="175">
        <f>+'Purchased Power Model'!D120</f>
        <v>55.300000000000026</v>
      </c>
      <c r="AF25" s="175">
        <f>+'Purchased Power Model'!D132</f>
        <v>18.299999999999997</v>
      </c>
      <c r="AG25" s="175">
        <f t="shared" si="4"/>
        <v>40.075000000000003</v>
      </c>
      <c r="AH25" s="175">
        <f t="shared" si="5"/>
        <v>37.072669172932365</v>
      </c>
    </row>
    <row r="26" spans="1:34" x14ac:dyDescent="0.2">
      <c r="A26" s="13" t="s">
        <v>108</v>
      </c>
      <c r="B26" s="175">
        <v>6</v>
      </c>
      <c r="C26" s="175">
        <v>0</v>
      </c>
      <c r="D26" s="175">
        <v>4.9000000000000004</v>
      </c>
      <c r="E26" s="175">
        <v>1.7</v>
      </c>
      <c r="F26" s="175">
        <v>0</v>
      </c>
      <c r="G26" s="175">
        <v>2.4</v>
      </c>
      <c r="H26" s="175">
        <v>0</v>
      </c>
      <c r="I26" s="175">
        <v>21.6</v>
      </c>
      <c r="J26" s="175">
        <v>0</v>
      </c>
      <c r="K26" s="175">
        <v>1.7</v>
      </c>
      <c r="L26" s="175">
        <v>28.3</v>
      </c>
      <c r="M26" s="175">
        <v>5.7</v>
      </c>
      <c r="N26" s="175">
        <v>11.8</v>
      </c>
      <c r="O26" s="175">
        <v>30.2</v>
      </c>
      <c r="P26" s="175">
        <v>9.1</v>
      </c>
      <c r="Q26" s="175">
        <v>19.8</v>
      </c>
      <c r="R26" s="175">
        <v>17.3</v>
      </c>
      <c r="S26" s="175">
        <v>0.1</v>
      </c>
      <c r="T26" s="175">
        <v>13.7</v>
      </c>
      <c r="U26" s="175">
        <v>6.9</v>
      </c>
      <c r="V26" s="175">
        <v>4.9000000000000004</v>
      </c>
      <c r="W26" s="175">
        <v>11.8</v>
      </c>
      <c r="X26" s="175">
        <v>17.899999999999999</v>
      </c>
      <c r="Y26" s="175">
        <v>12.4</v>
      </c>
      <c r="Z26" s="175">
        <v>1.6499999999999986</v>
      </c>
      <c r="AA26" s="175">
        <f>'Purchased Power Model'!D71</f>
        <v>4.5999999999999996</v>
      </c>
      <c r="AB26" s="175">
        <f>+'Purchased Power Model'!D85</f>
        <v>43.1</v>
      </c>
      <c r="AC26" s="175">
        <f>+'Purchased Power Model'!D97</f>
        <v>11.7</v>
      </c>
      <c r="AD26" s="175">
        <f>+'Purchased Power Model'!D109</f>
        <v>30.400000000000002</v>
      </c>
      <c r="AE26" s="175">
        <f>+'Purchased Power Model'!D121</f>
        <v>24.4</v>
      </c>
      <c r="AF26" s="175">
        <f>+'Purchased Power Model'!D133</f>
        <v>1.9</v>
      </c>
      <c r="AG26" s="175">
        <f t="shared" si="4"/>
        <v>15.985000000000003</v>
      </c>
      <c r="AH26" s="175">
        <f t="shared" si="5"/>
        <v>15.477105263157796</v>
      </c>
    </row>
    <row r="27" spans="1:34" x14ac:dyDescent="0.2">
      <c r="A27" s="13" t="s">
        <v>109</v>
      </c>
      <c r="B27" s="175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0.7</v>
      </c>
      <c r="I27" s="175">
        <v>0</v>
      </c>
      <c r="J27" s="175">
        <v>0.2</v>
      </c>
      <c r="K27" s="175">
        <v>0</v>
      </c>
      <c r="L27" s="175">
        <v>0</v>
      </c>
      <c r="M27" s="175">
        <v>0</v>
      </c>
      <c r="N27" s="175">
        <v>0</v>
      </c>
      <c r="O27" s="175">
        <v>2.2000000000000002</v>
      </c>
      <c r="P27" s="175">
        <v>0.4</v>
      </c>
      <c r="Q27" s="175">
        <v>0</v>
      </c>
      <c r="R27" s="175">
        <v>7.3</v>
      </c>
      <c r="S27" s="175">
        <v>0</v>
      </c>
      <c r="T27" s="175">
        <v>0</v>
      </c>
      <c r="U27" s="175">
        <v>0.7</v>
      </c>
      <c r="V27" s="175">
        <v>0</v>
      </c>
      <c r="W27" s="175">
        <v>0</v>
      </c>
      <c r="X27" s="175">
        <v>1.5</v>
      </c>
      <c r="Y27" s="175">
        <v>0</v>
      </c>
      <c r="Z27" s="175">
        <v>0</v>
      </c>
      <c r="AA27" s="175">
        <f>'Purchased Power Model'!D72</f>
        <v>0</v>
      </c>
      <c r="AB27" s="175">
        <f>+'Purchased Power Model'!D86</f>
        <v>0</v>
      </c>
      <c r="AC27" s="175">
        <f>+'Purchased Power Model'!D98</f>
        <v>1.7000000000000002</v>
      </c>
      <c r="AD27" s="175">
        <f>+'Purchased Power Model'!D110</f>
        <v>0</v>
      </c>
      <c r="AE27" s="175">
        <f>+'Purchased Power Model'!D122</f>
        <v>0</v>
      </c>
      <c r="AF27" s="175">
        <f>+'Purchased Power Model'!D134</f>
        <v>0</v>
      </c>
      <c r="AG27" s="175">
        <f t="shared" si="4"/>
        <v>0.32</v>
      </c>
      <c r="AH27" s="175">
        <f t="shared" si="5"/>
        <v>0.36165413533834112</v>
      </c>
    </row>
    <row r="28" spans="1:34" x14ac:dyDescent="0.2">
      <c r="A28" s="13" t="s">
        <v>110</v>
      </c>
      <c r="B28" s="175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f>'Purchased Power Model'!D73</f>
        <v>0</v>
      </c>
      <c r="AB28" s="175">
        <f>+'Purchased Power Model'!D87</f>
        <v>0</v>
      </c>
      <c r="AC28" s="175">
        <f>+'Purchased Power Model'!D99</f>
        <v>0</v>
      </c>
      <c r="AD28" s="175">
        <f>+'Purchased Power Model'!D111</f>
        <v>0</v>
      </c>
      <c r="AE28" s="175">
        <f>+'Purchased Power Model'!D123</f>
        <v>0</v>
      </c>
      <c r="AF28" s="175">
        <f>+'Purchased Power Model'!D135</f>
        <v>0</v>
      </c>
      <c r="AG28" s="175">
        <f t="shared" si="4"/>
        <v>0</v>
      </c>
      <c r="AH28" s="175">
        <f t="shared" si="5"/>
        <v>0</v>
      </c>
    </row>
    <row r="29" spans="1:34" x14ac:dyDescent="0.2">
      <c r="A29" s="13" t="s">
        <v>111</v>
      </c>
      <c r="B29" s="175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f>'Purchased Power Model'!D74</f>
        <v>0</v>
      </c>
      <c r="AB29" s="175">
        <f>+'Purchased Power Model'!D88</f>
        <v>0</v>
      </c>
      <c r="AC29" s="175">
        <f>+'Purchased Power Model'!D100</f>
        <v>0</v>
      </c>
      <c r="AD29" s="175">
        <f>+'Purchased Power Model'!D112</f>
        <v>0</v>
      </c>
      <c r="AE29" s="175">
        <f>+'Purchased Power Model'!D124</f>
        <v>0</v>
      </c>
      <c r="AF29" s="175">
        <f>+'Purchased Power Model'!D136</f>
        <v>0</v>
      </c>
      <c r="AG29" s="175">
        <f t="shared" si="4"/>
        <v>0</v>
      </c>
      <c r="AH29" s="175">
        <f t="shared" si="5"/>
        <v>0</v>
      </c>
    </row>
    <row r="30" spans="1:34" x14ac:dyDescent="0.2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99">
        <f t="shared" ref="L30:AF30" si="6">SUM(L18:L29)</f>
        <v>206.20000000000002</v>
      </c>
      <c r="M30" s="199">
        <f t="shared" si="6"/>
        <v>74.600000000000009</v>
      </c>
      <c r="N30" s="199">
        <f t="shared" si="6"/>
        <v>195.10000000000002</v>
      </c>
      <c r="O30" s="199">
        <f t="shared" si="6"/>
        <v>204.49999999999997</v>
      </c>
      <c r="P30" s="199">
        <f t="shared" si="6"/>
        <v>135.70000000000002</v>
      </c>
      <c r="Q30" s="199">
        <f t="shared" si="6"/>
        <v>93.1</v>
      </c>
      <c r="R30" s="199">
        <f t="shared" si="6"/>
        <v>270.70000000000005</v>
      </c>
      <c r="S30" s="199">
        <f t="shared" si="6"/>
        <v>153.1</v>
      </c>
      <c r="T30" s="199">
        <f t="shared" si="6"/>
        <v>178.1</v>
      </c>
      <c r="U30" s="199">
        <f t="shared" si="6"/>
        <v>94.2</v>
      </c>
      <c r="V30" s="199">
        <f t="shared" si="6"/>
        <v>88.29000000000002</v>
      </c>
      <c r="W30" s="199">
        <f t="shared" si="6"/>
        <v>208.3</v>
      </c>
      <c r="X30" s="199">
        <f t="shared" si="6"/>
        <v>179.8</v>
      </c>
      <c r="Y30" s="199">
        <f t="shared" si="6"/>
        <v>199.20000000000002</v>
      </c>
      <c r="Z30" s="199">
        <f t="shared" si="6"/>
        <v>102.6</v>
      </c>
      <c r="AA30" s="199">
        <f t="shared" si="6"/>
        <v>64.3</v>
      </c>
      <c r="AB30" s="199">
        <f t="shared" si="6"/>
        <v>152.70000000000002</v>
      </c>
      <c r="AC30" s="199">
        <f t="shared" si="6"/>
        <v>173.29999999999995</v>
      </c>
      <c r="AD30" s="199">
        <f t="shared" si="6"/>
        <v>88.1</v>
      </c>
      <c r="AE30" s="199">
        <f t="shared" si="6"/>
        <v>206.8</v>
      </c>
      <c r="AF30" s="199">
        <f t="shared" si="6"/>
        <v>100.80000000000001</v>
      </c>
      <c r="AG30" s="197">
        <f>SUM(AG18:AG29)</f>
        <v>147.59</v>
      </c>
      <c r="AH30" s="197">
        <f>SUM(AH18:AH29)</f>
        <v>141.40863909774421</v>
      </c>
    </row>
  </sheetData>
  <phoneticPr fontId="3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 D O C U M E N T S ! 1 1 8 6 9 3 4 6 6 . 1 < / d o c u m e n t i d >  
     < s e n d e r i d > F H O < / s e n d e r i d >  
     < s e n d e r e m a i l > F H O @ B L G . C O M < / s e n d e r e m a i l >  
     < l a s t m o d i f i e d > 2 0 2 0 - 1 2 - 2 9 T 2 1 : 5 8 : 2 9 . 0 0 0 0 0 0 0 - 0 5 : 0 0 < / l a s t m o d i f i e d >  
     < d a t a b a s e > D O C U M E N T S < / d a t a b a s e >  
 < / p r o p e r t i e s > 
</file>

<file path=customXml/itemProps1.xml><?xml version="1.0" encoding="utf-8"?>
<ds:datastoreItem xmlns:ds="http://schemas.openxmlformats.org/officeDocument/2006/customXml" ds:itemID="{F480E784-F3C7-4E2C-B6B0-7EDF519DB8CF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Exhibit 3 Tables</vt:lpstr>
      <vt:lpstr>Summary</vt:lpstr>
      <vt:lpstr>Purchased Power Model</vt:lpstr>
      <vt:lpstr>Weather Normalized Historical</vt:lpstr>
      <vt:lpstr>Rate Class Energy Model</vt:lpstr>
      <vt:lpstr>Rate Class Customer Model</vt:lpstr>
      <vt:lpstr>Rate Class Load Model</vt:lpstr>
      <vt:lpstr>Weather Normal Values</vt:lpstr>
      <vt:lpstr>'Exhibit 3 Tables'!Print_Area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Micheal Roth</cp:lastModifiedBy>
  <cp:lastPrinted>2014-12-08T18:53:42Z</cp:lastPrinted>
  <dcterms:created xsi:type="dcterms:W3CDTF">2008-02-06T18:24:44Z</dcterms:created>
  <dcterms:modified xsi:type="dcterms:W3CDTF">2021-05-04T20:19:59Z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