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L:\Rates\Rate Applications\2021 COS - EB-2020-0043\Settlement\COS MODELS - Settlement Proposal\"/>
    </mc:Choice>
  </mc:AlternateContent>
  <xr:revisionPtr revIDLastSave="0" documentId="13_ncr:1_{90448F71-99F2-4F06-B0B9-B94A85AACC53}" xr6:coauthVersionLast="46" xr6:coauthVersionMax="46" xr10:uidLastSave="{00000000-0000-0000-0000-000000000000}"/>
  <workbookProtection workbookAlgorithmName="SHA-512" workbookHashValue="aBdc1IE7RwbWce38STJwY+FIgEQt5QKH0GVOcLcpy9otbAUnUsPHuRzhTwghrSXus/TQN+fZnQx9ZRv4o5vlMw==" workbookSaltValue="+bVCr8YblAHeqmY+K+P20Q==" workbookSpinCount="100000" lockStructure="1"/>
  <bookViews>
    <workbookView xWindow="28680" yWindow="-120" windowWidth="29040" windowHeight="15840" tabRatio="889" firstSheet="13" activeTab="20" xr2:uid="{00000000-000D-0000-FFFF-FFFF00000000}"/>
  </bookViews>
  <sheets>
    <sheet name="1. Info and Instructions" sheetId="21" r:id="rId1"/>
    <sheet name="Table of Contents" sheetId="1" r:id="rId2"/>
    <sheet name="S. Summary " sheetId="26" r:id="rId3"/>
    <sheet name="S1. Integrity Checks" sheetId="28" r:id="rId4"/>
    <sheet name="A. Data Input Sheet" sheetId="2" r:id="rId5"/>
    <sheet name="B. Tax Rates &amp; Exemptions" sheetId="3" r:id="rId6"/>
    <sheet name="H0 PILs,Tax Provision Hist" sheetId="25" r:id="rId7"/>
    <sheet name="H1 Sch 1 Taxable Income Hist" sheetId="4" r:id="rId8"/>
    <sheet name="H4 Sch 4 Loss Cfwd Hist" sheetId="19" r:id="rId9"/>
    <sheet name="H8 Sch 8 CCA Hist" sheetId="5" r:id="rId10"/>
    <sheet name="H13 Sch 13 Reserves Hist" sheetId="17" r:id="rId11"/>
    <sheet name="B0 PILs,Tax Provision Bridge" sheetId="24" r:id="rId12"/>
    <sheet name="B1 Sch 1 Taxable Income Bridge" sheetId="18" r:id="rId13"/>
    <sheet name="B4 Sch 4 Loss Cfwd Bridge" sheetId="20" r:id="rId14"/>
    <sheet name="B8 Sch 8 CCA Bridge" sheetId="15" r:id="rId15"/>
    <sheet name="B13 Sch 13 Reserves Bridge" sheetId="8" r:id="rId16"/>
    <sheet name="T0 PILs,Tax Provision Test" sheetId="13" r:id="rId17"/>
    <sheet name="T1 Sch 1 Taxable Income Test" sheetId="27" r:id="rId18"/>
    <sheet name="T4 Sch 4 Loss Cfwd Test" sheetId="9" r:id="rId19"/>
    <sheet name="T8 Sch 8 CCA Test" sheetId="6" r:id="rId20"/>
    <sheet name="T13 Sch 13 Reserves Test" sheetId="22" r:id="rId21"/>
  </sheets>
  <externalReferences>
    <externalReference r:id="rId22"/>
    <externalReference r:id="rId23"/>
  </externalReferences>
  <definedNames>
    <definedName name="___INDEX_SHEET___ASAP_Utilities" localSheetId="2">#REF!</definedName>
    <definedName name="___INDEX_SHEET___ASAP_Utilities">#REF!</definedName>
    <definedName name="Fed_SB_Bridge">'B. Tax Rates &amp; Exemptions'!$I$29</definedName>
    <definedName name="Fed_SB_Test">'B. Tax Rates &amp; Exemptions'!$J$29</definedName>
    <definedName name="FedTax">'B. Tax Rates &amp; Exemptions'!$J$19</definedName>
    <definedName name="Index">'Table of Contents'!#REF!</definedName>
    <definedName name="LDC_LIST">[1]lists!$AM$1:$AM$80</definedName>
    <definedName name="ontario_SB">'B. Tax Rates &amp; Exemptions'!$K$31</definedName>
    <definedName name="ontariotax">'B. Tax Rates &amp; Exemptions'!$I$21</definedName>
    <definedName name="_xlnm.Print_Area" localSheetId="4">'A. Data Input Sheet'!$A$1:$I$43</definedName>
    <definedName name="_xlnm.Print_Area" localSheetId="5">'B. Tax Rates &amp; Exemptions'!$A$1:$J$39</definedName>
    <definedName name="_xlnm.Print_Area" localSheetId="11">'B0 PILs,Tax Provision Bridge'!$A$1:$L$36</definedName>
    <definedName name="_xlnm.Print_Area" localSheetId="12">'B1 Sch 1 Taxable Income Bridge'!$A$1:$H$111</definedName>
    <definedName name="_xlnm.Print_Area" localSheetId="13">'B4 Sch 4 Loss Cfwd Bridge'!$A$1:$K$26</definedName>
    <definedName name="_xlnm.Print_Area" localSheetId="14">'B8 Sch 8 CCA Bridge'!$B$1:$X$43</definedName>
    <definedName name="_xlnm.Print_Area" localSheetId="6">'H0 PILs,Tax Provision Hist'!$A$1:$K$45</definedName>
    <definedName name="_xlnm.Print_Area" localSheetId="7">'H1 Sch 1 Taxable Income Hist'!$A$1:$G$115</definedName>
    <definedName name="_xlnm.Print_Area" localSheetId="10">'H13 Sch 13 Reserves Hist'!$A$1:$F$51</definedName>
    <definedName name="_xlnm.Print_Area" localSheetId="8">'H4 Sch 4 Loss Cfwd Hist'!$A$1:$J$18</definedName>
    <definedName name="_xlnm.Print_Area" localSheetId="9">'H8 Sch 8 CCA Hist'!$A$1:$G$45</definedName>
    <definedName name="_xlnm.Print_Area" localSheetId="2">'S. Summary '!$A$1:$K$7</definedName>
    <definedName name="_xlnm.Print_Area" localSheetId="16">'T0 PILs,Tax Provision Test'!$A$1:$L$36</definedName>
    <definedName name="_xlnm.Print_Area" localSheetId="18">'T4 Sch 4 Loss Cfwd Test'!$A$1:$L$29</definedName>
    <definedName name="_xlnm.Print_Area" localSheetId="19">'T8 Sch 8 CCA Test'!$B$1:$AE$43</definedName>
    <definedName name="_xlnm.Print_Area" localSheetId="1">'Table of Contents'!$A$1:$H$50</definedName>
    <definedName name="_xlnm.Print_Titles" localSheetId="12">'B1 Sch 1 Taxable Income Bridge'!$1:$6</definedName>
    <definedName name="ratebase" localSheetId="2">'S. Summary '!#REF!</definedName>
    <definedName name="ratebase">'A. Data Input Sheet'!$G$9</definedName>
    <definedName name="ratedescription">[2]hidden1!$D$1:$D$122</definedName>
    <definedName name="Start_1">'1. Info and Instructions'!$A$1</definedName>
    <definedName name="Start_10">'H1 Sch 1 Taxable Income Hist'!$A$1</definedName>
    <definedName name="Start_11">'H0 PILs,Tax Provision Hist'!$A$1</definedName>
    <definedName name="Start_12">'B8 Sch 8 CCA Bridge'!$A$1</definedName>
    <definedName name="Start_13">#REF!</definedName>
    <definedName name="Start_14">'B13 Sch 13 Reserves Bridge'!$A$1</definedName>
    <definedName name="Start_15">'B4 Sch 4 Loss Cfwd Bridge'!$A$1</definedName>
    <definedName name="Start_16">'B1 Sch 1 Taxable Income Bridge'!$A$1</definedName>
    <definedName name="Start_17">'B0 PILs,Tax Provision Bridge'!$A$1</definedName>
    <definedName name="Start_18">'T8 Sch 8 CCA Test'!$A$1</definedName>
    <definedName name="Start_19">#REF!</definedName>
    <definedName name="Start_20">'T13 Sch 13 Reserves Test'!$A$1</definedName>
    <definedName name="Start_21">'T4 Sch 4 Loss Cfwd Test'!$A$1</definedName>
    <definedName name="Start_22">#REF!</definedName>
    <definedName name="Start_23">'T0 PILs,Tax Provision Test'!$A$1</definedName>
    <definedName name="Start_3">'Table of Contents'!$A$1</definedName>
    <definedName name="Start_4" localSheetId="2">'S. Summary '!$A$1</definedName>
    <definedName name="Start_4">'A. Data Input Sheet'!$A$1</definedName>
    <definedName name="Start_5">'B. Tax Rates &amp; Exemptions'!$A$1</definedName>
    <definedName name="Start_6">'H8 Sch 8 CCA Hist'!$A$1</definedName>
    <definedName name="Start_7">#REF!</definedName>
    <definedName name="Start_8">'H13 Sch 13 Reserves Hist'!$A$1</definedName>
    <definedName name="Start_9">'H4 Sch 4 Loss Cfwd Hist'!$A$1</definedName>
    <definedName name="units">[2]hidden1!$J$3:$J$8</definedName>
  </definedNames>
  <calcPr calcId="181029" iterate="1"/>
</workbook>
</file>

<file path=xl/calcChain.xml><?xml version="1.0" encoding="utf-8"?>
<calcChain xmlns="http://schemas.openxmlformats.org/spreadsheetml/2006/main">
  <c r="F105" i="18" l="1"/>
  <c r="F19" i="18"/>
  <c r="E12" i="5"/>
  <c r="E12" i="4" l="1"/>
  <c r="U42" i="15" l="1"/>
  <c r="E89" i="4" l="1"/>
  <c r="E88" i="4" l="1"/>
  <c r="E13" i="13" l="1"/>
  <c r="E13" i="24"/>
  <c r="K16" i="3" l="1"/>
  <c r="K19" i="3" s="1"/>
  <c r="K23" i="3" s="1"/>
  <c r="N22" i="22" l="1"/>
  <c r="E14" i="24" l="1"/>
  <c r="J43" i="6" l="1"/>
  <c r="I43" i="6"/>
  <c r="K43" i="15"/>
  <c r="J43" i="15"/>
  <c r="I43" i="15"/>
  <c r="H43" i="15"/>
  <c r="G43" i="15"/>
  <c r="G43" i="6"/>
  <c r="K43" i="6"/>
  <c r="Q42" i="6"/>
  <c r="P42" i="6"/>
  <c r="Q41" i="6"/>
  <c r="Q40" i="6"/>
  <c r="Q39" i="6"/>
  <c r="Q38" i="6"/>
  <c r="Q37" i="6"/>
  <c r="Q36" i="6"/>
  <c r="Q35" i="6"/>
  <c r="Q34" i="6"/>
  <c r="Q33" i="6"/>
  <c r="Q32" i="6"/>
  <c r="Q31" i="6"/>
  <c r="Q30" i="6"/>
  <c r="Q29" i="6"/>
  <c r="Q28" i="6"/>
  <c r="Q27" i="6"/>
  <c r="Q26" i="6"/>
  <c r="Q25" i="6"/>
  <c r="Q24" i="6"/>
  <c r="Q23" i="6"/>
  <c r="Q22" i="6"/>
  <c r="P22" i="6"/>
  <c r="Q21" i="6"/>
  <c r="Q20" i="6"/>
  <c r="Q19" i="6"/>
  <c r="Q18" i="6"/>
  <c r="Q17" i="6"/>
  <c r="Q16" i="6"/>
  <c r="Q15" i="6"/>
  <c r="Q14" i="6"/>
  <c r="P14" i="6"/>
  <c r="Q13" i="6"/>
  <c r="Q12" i="6"/>
  <c r="Q11" i="6"/>
  <c r="Q10" i="6"/>
  <c r="P10" i="6"/>
  <c r="M42" i="6"/>
  <c r="N42" i="6" s="1"/>
  <c r="M41" i="6"/>
  <c r="N41" i="6" s="1"/>
  <c r="P41" i="6" s="1"/>
  <c r="M40" i="6"/>
  <c r="N40" i="6" s="1"/>
  <c r="P40" i="6" s="1"/>
  <c r="M39" i="6"/>
  <c r="N39" i="6" s="1"/>
  <c r="P39" i="6" s="1"/>
  <c r="M38" i="6"/>
  <c r="N38" i="6" s="1"/>
  <c r="P38" i="6" s="1"/>
  <c r="M37" i="6"/>
  <c r="N37" i="6" s="1"/>
  <c r="P37" i="6" s="1"/>
  <c r="M36" i="6"/>
  <c r="N36" i="6" s="1"/>
  <c r="P36" i="6" s="1"/>
  <c r="M35" i="6"/>
  <c r="N35" i="6" s="1"/>
  <c r="P35" i="6" s="1"/>
  <c r="M34" i="6"/>
  <c r="N34" i="6" s="1"/>
  <c r="P34" i="6" s="1"/>
  <c r="M33" i="6"/>
  <c r="N33" i="6" s="1"/>
  <c r="P33" i="6" s="1"/>
  <c r="M32" i="6"/>
  <c r="N32" i="6" s="1"/>
  <c r="P32" i="6" s="1"/>
  <c r="M31" i="6"/>
  <c r="N31" i="6" s="1"/>
  <c r="P31" i="6" s="1"/>
  <c r="M30" i="6"/>
  <c r="N30" i="6" s="1"/>
  <c r="P30" i="6" s="1"/>
  <c r="M29" i="6"/>
  <c r="N29" i="6" s="1"/>
  <c r="P29" i="6" s="1"/>
  <c r="O28" i="6"/>
  <c r="M28" i="6"/>
  <c r="N28" i="6" s="1"/>
  <c r="P28" i="6" s="1"/>
  <c r="M27" i="6"/>
  <c r="N27" i="6" s="1"/>
  <c r="P27" i="6" s="1"/>
  <c r="M26" i="6"/>
  <c r="N26" i="6" s="1"/>
  <c r="P26" i="6" s="1"/>
  <c r="N25" i="6"/>
  <c r="P25" i="6" s="1"/>
  <c r="M25" i="6"/>
  <c r="M24" i="6"/>
  <c r="N24" i="6" s="1"/>
  <c r="P24" i="6" s="1"/>
  <c r="M23" i="6"/>
  <c r="N23" i="6" s="1"/>
  <c r="P23" i="6" s="1"/>
  <c r="M22" i="6"/>
  <c r="N22" i="6" s="1"/>
  <c r="M21" i="6"/>
  <c r="N21" i="6" s="1"/>
  <c r="P21" i="6" s="1"/>
  <c r="N20" i="6"/>
  <c r="P20" i="6" s="1"/>
  <c r="M20" i="6"/>
  <c r="M19" i="6"/>
  <c r="N19" i="6" s="1"/>
  <c r="P19" i="6" s="1"/>
  <c r="M18" i="6"/>
  <c r="N18" i="6" s="1"/>
  <c r="P18" i="6" s="1"/>
  <c r="M17" i="6"/>
  <c r="N17" i="6" s="1"/>
  <c r="P17" i="6" s="1"/>
  <c r="M16" i="6"/>
  <c r="N16" i="6" s="1"/>
  <c r="P16" i="6" s="1"/>
  <c r="M15" i="6"/>
  <c r="N15" i="6" s="1"/>
  <c r="P15" i="6" s="1"/>
  <c r="M14" i="6"/>
  <c r="N14" i="6" s="1"/>
  <c r="M13" i="6"/>
  <c r="N13" i="6" s="1"/>
  <c r="P13" i="6" s="1"/>
  <c r="M12" i="6"/>
  <c r="N12" i="6" s="1"/>
  <c r="P12" i="6" s="1"/>
  <c r="M11" i="6"/>
  <c r="N11" i="6" s="1"/>
  <c r="P11" i="6" s="1"/>
  <c r="M10" i="6"/>
  <c r="N10" i="6" s="1"/>
  <c r="T43" i="6"/>
  <c r="F79" i="27" s="1"/>
  <c r="H43" i="6"/>
  <c r="F43" i="6"/>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10" i="15"/>
  <c r="P35" i="15"/>
  <c r="P12" i="15"/>
  <c r="P20" i="15"/>
  <c r="P28" i="15"/>
  <c r="E12" i="15"/>
  <c r="L12" i="15" s="1"/>
  <c r="E13" i="15"/>
  <c r="L13" i="15" s="1"/>
  <c r="E18" i="15"/>
  <c r="L18" i="15" s="1"/>
  <c r="E19" i="15"/>
  <c r="L19" i="15" s="1"/>
  <c r="E20" i="15"/>
  <c r="E21" i="15"/>
  <c r="L21" i="15" s="1"/>
  <c r="E22" i="15"/>
  <c r="L22" i="15" s="1"/>
  <c r="W22" i="15" s="1"/>
  <c r="E23" i="15"/>
  <c r="L23" i="15" s="1"/>
  <c r="E24" i="15"/>
  <c r="E25" i="15"/>
  <c r="L25" i="15" s="1"/>
  <c r="E27" i="15"/>
  <c r="L27" i="15" s="1"/>
  <c r="E28" i="15"/>
  <c r="L28" i="15" s="1"/>
  <c r="E29" i="15"/>
  <c r="L29" i="15" s="1"/>
  <c r="E31" i="15"/>
  <c r="L31" i="15" s="1"/>
  <c r="L20" i="15"/>
  <c r="W20" i="15" s="1"/>
  <c r="L24" i="15"/>
  <c r="O28" i="15"/>
  <c r="N30" i="15"/>
  <c r="P30" i="15" s="1"/>
  <c r="N26" i="15"/>
  <c r="P26" i="15" s="1"/>
  <c r="M35" i="15"/>
  <c r="N35" i="15" s="1"/>
  <c r="M36" i="15"/>
  <c r="N36" i="15" s="1"/>
  <c r="P36" i="15" s="1"/>
  <c r="M37" i="15"/>
  <c r="N37" i="15" s="1"/>
  <c r="P37" i="15" s="1"/>
  <c r="M38" i="15"/>
  <c r="N38" i="15" s="1"/>
  <c r="P38" i="15" s="1"/>
  <c r="M39" i="15"/>
  <c r="N39" i="15" s="1"/>
  <c r="P39" i="15" s="1"/>
  <c r="M40" i="15"/>
  <c r="N40" i="15" s="1"/>
  <c r="P40" i="15" s="1"/>
  <c r="M41" i="15"/>
  <c r="N41" i="15" s="1"/>
  <c r="P41" i="15" s="1"/>
  <c r="M42" i="15"/>
  <c r="N42" i="15" s="1"/>
  <c r="P42" i="15" s="1"/>
  <c r="M11" i="15"/>
  <c r="N11" i="15" s="1"/>
  <c r="P11" i="15" s="1"/>
  <c r="M12" i="15"/>
  <c r="N12" i="15" s="1"/>
  <c r="M13" i="15"/>
  <c r="N13" i="15" s="1"/>
  <c r="P13" i="15" s="1"/>
  <c r="M14" i="15"/>
  <c r="N14" i="15" s="1"/>
  <c r="P14" i="15" s="1"/>
  <c r="M15" i="15"/>
  <c r="N15" i="15" s="1"/>
  <c r="P15" i="15" s="1"/>
  <c r="M16" i="15"/>
  <c r="N16" i="15" s="1"/>
  <c r="P16" i="15" s="1"/>
  <c r="M17" i="15"/>
  <c r="N17" i="15" s="1"/>
  <c r="P17" i="15" s="1"/>
  <c r="M18" i="15"/>
  <c r="N18" i="15" s="1"/>
  <c r="P18" i="15" s="1"/>
  <c r="M19" i="15"/>
  <c r="N19" i="15" s="1"/>
  <c r="P19" i="15" s="1"/>
  <c r="M20" i="15"/>
  <c r="N20" i="15" s="1"/>
  <c r="M21" i="15"/>
  <c r="N21" i="15" s="1"/>
  <c r="P21" i="15" s="1"/>
  <c r="M22" i="15"/>
  <c r="N22" i="15" s="1"/>
  <c r="P22" i="15" s="1"/>
  <c r="M23" i="15"/>
  <c r="N23" i="15" s="1"/>
  <c r="P23" i="15" s="1"/>
  <c r="M24" i="15"/>
  <c r="N24" i="15" s="1"/>
  <c r="P24" i="15" s="1"/>
  <c r="M25" i="15"/>
  <c r="N25" i="15" s="1"/>
  <c r="P25" i="15" s="1"/>
  <c r="M26" i="15"/>
  <c r="M27" i="15"/>
  <c r="N27" i="15" s="1"/>
  <c r="P27" i="15" s="1"/>
  <c r="M28" i="15"/>
  <c r="N28" i="15" s="1"/>
  <c r="M29" i="15"/>
  <c r="N29" i="15" s="1"/>
  <c r="P29" i="15" s="1"/>
  <c r="M30" i="15"/>
  <c r="M31" i="15"/>
  <c r="N31" i="15" s="1"/>
  <c r="P31" i="15" s="1"/>
  <c r="M32" i="15"/>
  <c r="N32" i="15" s="1"/>
  <c r="P32" i="15" s="1"/>
  <c r="M33" i="15"/>
  <c r="N33" i="15" s="1"/>
  <c r="P33" i="15" s="1"/>
  <c r="M34" i="15"/>
  <c r="N34" i="15" s="1"/>
  <c r="P34" i="15" s="1"/>
  <c r="M10" i="15"/>
  <c r="N10" i="15" s="1"/>
  <c r="P10" i="15" s="1"/>
  <c r="T43" i="15"/>
  <c r="F72" i="18" s="1"/>
  <c r="Q43" i="6" l="1"/>
  <c r="P43" i="6"/>
  <c r="N43" i="6"/>
  <c r="M43" i="6"/>
  <c r="Q43" i="15"/>
  <c r="P43" i="15"/>
  <c r="M43" i="15"/>
  <c r="N43" i="15"/>
  <c r="U25" i="15"/>
  <c r="W25" i="15" s="1"/>
  <c r="W31" i="15"/>
  <c r="U31" i="15"/>
  <c r="U27" i="15"/>
  <c r="W27" i="15" s="1"/>
  <c r="W23" i="15"/>
  <c r="U18" i="15"/>
  <c r="W18" i="15" s="1"/>
  <c r="W19" i="15"/>
  <c r="U24" i="15"/>
  <c r="W24" i="15" s="1"/>
  <c r="U28" i="15"/>
  <c r="W28" i="15" s="1"/>
  <c r="U29" i="15"/>
  <c r="W29" i="15" s="1"/>
  <c r="W21" i="15"/>
  <c r="U13" i="15"/>
  <c r="W13" i="15" s="1"/>
  <c r="U12" i="15"/>
  <c r="W12" i="15" s="1"/>
  <c r="B25" i="6"/>
  <c r="B24" i="6"/>
  <c r="C14" i="15" l="1"/>
  <c r="C14" i="6" s="1"/>
  <c r="B14" i="15"/>
  <c r="B14" i="6" s="1"/>
  <c r="G16" i="5"/>
  <c r="E14" i="15" s="1"/>
  <c r="L14" i="15" s="1"/>
  <c r="C13" i="15"/>
  <c r="C13" i="6" s="1"/>
  <c r="B13" i="15"/>
  <c r="B13" i="6" s="1"/>
  <c r="G15" i="5"/>
  <c r="U14" i="15" l="1"/>
  <c r="W14" i="15" s="1"/>
  <c r="J16" i="3"/>
  <c r="J19" i="3" s="1"/>
  <c r="J23" i="3" s="1"/>
  <c r="E14" i="6" l="1"/>
  <c r="L14" i="6" s="1"/>
  <c r="E13" i="6"/>
  <c r="L13" i="6" s="1"/>
  <c r="U13" i="6" l="1"/>
  <c r="W13" i="6" s="1"/>
  <c r="U14" i="6"/>
  <c r="W14" i="6" s="1"/>
  <c r="F105" i="4"/>
  <c r="G104" i="4"/>
  <c r="F108" i="18" l="1"/>
  <c r="G25" i="9" l="1"/>
  <c r="I27" i="9" l="1"/>
  <c r="I17" i="9"/>
  <c r="I26" i="9" l="1"/>
  <c r="I25" i="9"/>
  <c r="F119" i="27" s="1"/>
  <c r="I23" i="9" l="1"/>
  <c r="H16" i="3" l="1"/>
  <c r="H19" i="3" s="1"/>
  <c r="H23" i="3" s="1"/>
  <c r="E14" i="13" l="1"/>
  <c r="I25" i="25" l="1"/>
  <c r="I20" i="25"/>
  <c r="J23" i="24"/>
  <c r="G16" i="3" l="1"/>
  <c r="G19" i="3" s="1"/>
  <c r="G23" i="3" s="1"/>
  <c r="F16" i="3"/>
  <c r="F19" i="3" s="1"/>
  <c r="F23" i="3" s="1"/>
  <c r="E16" i="3"/>
  <c r="E19" i="3" s="1"/>
  <c r="E23" i="3" s="1"/>
  <c r="U16" i="13" l="1"/>
  <c r="U17" i="13" s="1"/>
  <c r="U18" i="13" s="1"/>
  <c r="U19" i="13" s="1"/>
  <c r="U20" i="13" s="1"/>
  <c r="U21" i="13" s="1"/>
  <c r="U22" i="13" s="1"/>
  <c r="U23" i="13" s="1"/>
  <c r="U24" i="13" s="1"/>
  <c r="U25" i="13" s="1"/>
  <c r="U26" i="13" s="1"/>
  <c r="U27" i="13" s="1"/>
  <c r="U28" i="13" s="1"/>
  <c r="U29" i="13" s="1"/>
  <c r="U30" i="13" s="1"/>
  <c r="U31" i="13" s="1"/>
  <c r="U32" i="13" s="1"/>
  <c r="U33" i="13" s="1"/>
  <c r="U34" i="13" s="1"/>
  <c r="U35" i="13" s="1"/>
  <c r="U36" i="13" s="1"/>
  <c r="U37" i="13" s="1"/>
  <c r="U38" i="13" s="1"/>
  <c r="U39" i="13" s="1"/>
  <c r="U40" i="13" s="1"/>
  <c r="U41" i="13" s="1"/>
  <c r="U42" i="13" s="1"/>
  <c r="U43" i="13" s="1"/>
  <c r="T4" i="13"/>
  <c r="T5" i="13" s="1"/>
  <c r="T6" i="13" s="1"/>
  <c r="T7" i="13" s="1"/>
  <c r="T8" i="13" s="1"/>
  <c r="T9" i="13" s="1"/>
  <c r="T10" i="13" s="1"/>
  <c r="T11" i="13" s="1"/>
  <c r="T16" i="13" s="1"/>
  <c r="T17" i="13" s="1"/>
  <c r="T18" i="13" s="1"/>
  <c r="T19" i="13" s="1"/>
  <c r="T20" i="13" s="1"/>
  <c r="T21" i="13" s="1"/>
  <c r="T22" i="13" s="1"/>
  <c r="T23" i="13" s="1"/>
  <c r="T24" i="13" l="1"/>
  <c r="T25" i="13" s="1"/>
  <c r="T26" i="13" s="1"/>
  <c r="T27" i="13" s="1"/>
  <c r="T28" i="13" s="1"/>
  <c r="T29" i="13" s="1"/>
  <c r="T30" i="13" s="1"/>
  <c r="T31" i="13" s="1"/>
  <c r="T32" i="13" s="1"/>
  <c r="T33" i="13" s="1"/>
  <c r="T34" i="13" s="1"/>
  <c r="T35" i="13" s="1"/>
  <c r="T36" i="13" s="1"/>
  <c r="T37" i="13" s="1"/>
  <c r="T38" i="13" s="1"/>
  <c r="T39" i="13" s="1"/>
  <c r="T40" i="13" s="1"/>
  <c r="T41" i="13" s="1"/>
  <c r="T42" i="13" s="1"/>
  <c r="T43" i="13" s="1"/>
  <c r="T44" i="13" s="1"/>
  <c r="F32" i="17"/>
  <c r="E27" i="8" s="1"/>
  <c r="G27" i="8" s="1"/>
  <c r="K27" i="8" s="1"/>
  <c r="G14" i="2"/>
  <c r="G18" i="2" s="1"/>
  <c r="F12" i="27" s="1"/>
  <c r="H23" i="26" s="1"/>
  <c r="H14" i="19"/>
  <c r="G12" i="20" s="1"/>
  <c r="H17" i="19"/>
  <c r="G19" i="20" s="1"/>
  <c r="G23" i="20" s="1"/>
  <c r="G22" i="9" s="1"/>
  <c r="G28" i="9" s="1"/>
  <c r="I16" i="3"/>
  <c r="I19" i="3" s="1"/>
  <c r="I23" i="3" s="1"/>
  <c r="F37" i="17"/>
  <c r="E32" i="8" s="1"/>
  <c r="G32" i="8" s="1"/>
  <c r="K32" i="8" s="1"/>
  <c r="F21" i="17"/>
  <c r="E19" i="8" s="1"/>
  <c r="G19" i="8" s="1"/>
  <c r="K19" i="8" s="1"/>
  <c r="F17" i="17"/>
  <c r="E15" i="8" s="1"/>
  <c r="G15" i="8" s="1"/>
  <c r="F31" i="17"/>
  <c r="E26" i="8" s="1"/>
  <c r="G26" i="8" s="1"/>
  <c r="K26" i="8" s="1"/>
  <c r="G12" i="5"/>
  <c r="E10" i="15" s="1"/>
  <c r="L10" i="15" s="1"/>
  <c r="G28" i="5"/>
  <c r="E26" i="15" s="1"/>
  <c r="L26" i="15" s="1"/>
  <c r="U26" i="15" s="1"/>
  <c r="W26" i="15" s="1"/>
  <c r="G34" i="5"/>
  <c r="E32" i="15" s="1"/>
  <c r="L32" i="15" s="1"/>
  <c r="U32" i="15" s="1"/>
  <c r="W32" i="15" s="1"/>
  <c r="D51" i="17"/>
  <c r="G33" i="4"/>
  <c r="G15" i="4"/>
  <c r="D27" i="17"/>
  <c r="G79" i="4"/>
  <c r="G74" i="4"/>
  <c r="G80" i="4"/>
  <c r="G12" i="4"/>
  <c r="I32" i="25"/>
  <c r="F33" i="17"/>
  <c r="E28" i="8"/>
  <c r="G28" i="8" s="1"/>
  <c r="K28" i="8" s="1"/>
  <c r="F34" i="17"/>
  <c r="E29" i="8" s="1"/>
  <c r="G29" i="8" s="1"/>
  <c r="K29" i="8" s="1"/>
  <c r="E29" i="22" s="1"/>
  <c r="G29" i="22" s="1"/>
  <c r="K29" i="22" s="1"/>
  <c r="M29" i="22" s="1"/>
  <c r="F35" i="17"/>
  <c r="E30" i="8" s="1"/>
  <c r="G30" i="8" s="1"/>
  <c r="K30" i="8" s="1"/>
  <c r="F36" i="17"/>
  <c r="E31" i="8" s="1"/>
  <c r="G31" i="8" s="1"/>
  <c r="K31" i="8" s="1"/>
  <c r="E31" i="22" s="1"/>
  <c r="G31" i="22" s="1"/>
  <c r="K31" i="22" s="1"/>
  <c r="M31" i="22" s="1"/>
  <c r="F38" i="17"/>
  <c r="E33" i="8" s="1"/>
  <c r="G33" i="8" s="1"/>
  <c r="K33" i="8" s="1"/>
  <c r="F39" i="17"/>
  <c r="E34" i="8"/>
  <c r="G34" i="8" s="1"/>
  <c r="K34" i="8" s="1"/>
  <c r="E34" i="22" s="1"/>
  <c r="G34" i="22" s="1"/>
  <c r="K34" i="22" s="1"/>
  <c r="M34" i="22" s="1"/>
  <c r="F40" i="17"/>
  <c r="E35" i="8"/>
  <c r="G35" i="8" s="1"/>
  <c r="K35" i="8" s="1"/>
  <c r="F41" i="17"/>
  <c r="E36" i="8"/>
  <c r="G36" i="8" s="1"/>
  <c r="K36" i="8" s="1"/>
  <c r="E36" i="22" s="1"/>
  <c r="G36" i="22" s="1"/>
  <c r="K36" i="22" s="1"/>
  <c r="M36" i="22" s="1"/>
  <c r="F42" i="17"/>
  <c r="E37" i="8" s="1"/>
  <c r="G37" i="8" s="1"/>
  <c r="K37" i="8" s="1"/>
  <c r="F43" i="17"/>
  <c r="E38" i="8"/>
  <c r="G38" i="8" s="1"/>
  <c r="K38" i="8" s="1"/>
  <c r="E38" i="22" s="1"/>
  <c r="G38" i="22" s="1"/>
  <c r="K38" i="22" s="1"/>
  <c r="M38" i="22" s="1"/>
  <c r="F44" i="17"/>
  <c r="E39" i="8"/>
  <c r="G39" i="8" s="1"/>
  <c r="K39" i="8" s="1"/>
  <c r="F45" i="17"/>
  <c r="E40" i="8"/>
  <c r="G40" i="8" s="1"/>
  <c r="K40" i="8" s="1"/>
  <c r="E40" i="22" s="1"/>
  <c r="G40" i="22" s="1"/>
  <c r="K40" i="22" s="1"/>
  <c r="M40" i="22" s="1"/>
  <c r="F49" i="17"/>
  <c r="E41" i="8" s="1"/>
  <c r="G41" i="8" s="1"/>
  <c r="K41" i="8" s="1"/>
  <c r="E41" i="22" s="1"/>
  <c r="G41" i="22" s="1"/>
  <c r="K41" i="22" s="1"/>
  <c r="M41" i="22" s="1"/>
  <c r="F50" i="17"/>
  <c r="E42" i="8" s="1"/>
  <c r="G42" i="8" s="1"/>
  <c r="K42" i="8" s="1"/>
  <c r="G13" i="5"/>
  <c r="E11" i="15" s="1"/>
  <c r="L11" i="15" s="1"/>
  <c r="G33" i="5"/>
  <c r="G31" i="5"/>
  <c r="G30" i="5"/>
  <c r="G29" i="5"/>
  <c r="G25" i="5"/>
  <c r="G24" i="5"/>
  <c r="G23" i="5"/>
  <c r="G22" i="5"/>
  <c r="G19" i="5"/>
  <c r="E17" i="15" s="1"/>
  <c r="L17" i="15" s="1"/>
  <c r="U17" i="15" s="1"/>
  <c r="W17" i="15" s="1"/>
  <c r="G14" i="5"/>
  <c r="G37" i="5"/>
  <c r="E35" i="15" s="1"/>
  <c r="L35" i="15" s="1"/>
  <c r="U35" i="15" s="1"/>
  <c r="F19" i="17"/>
  <c r="E17" i="8"/>
  <c r="G17" i="8" s="1"/>
  <c r="K17" i="8" s="1"/>
  <c r="G72" i="4"/>
  <c r="F69" i="4"/>
  <c r="F107" i="4" s="1"/>
  <c r="F115" i="4" s="1"/>
  <c r="G21" i="4"/>
  <c r="G28" i="4"/>
  <c r="G52" i="4"/>
  <c r="G103" i="4"/>
  <c r="G102" i="4"/>
  <c r="G101" i="4"/>
  <c r="G100" i="4"/>
  <c r="G99" i="4"/>
  <c r="G98" i="4"/>
  <c r="G97" i="4"/>
  <c r="G96" i="4"/>
  <c r="G95" i="4"/>
  <c r="G94" i="4"/>
  <c r="G93" i="4"/>
  <c r="G92" i="4"/>
  <c r="G91" i="4"/>
  <c r="G90" i="4"/>
  <c r="G54" i="4"/>
  <c r="G55" i="4"/>
  <c r="G56" i="4"/>
  <c r="G57" i="4"/>
  <c r="G58" i="4"/>
  <c r="G59" i="4"/>
  <c r="G60" i="4"/>
  <c r="G61" i="4"/>
  <c r="G62" i="4"/>
  <c r="G63" i="4"/>
  <c r="G64" i="4"/>
  <c r="G65" i="4"/>
  <c r="G66" i="4"/>
  <c r="G67" i="4"/>
  <c r="G68" i="4"/>
  <c r="G53" i="4"/>
  <c r="B34" i="15"/>
  <c r="B34" i="6" s="1"/>
  <c r="C34" i="15"/>
  <c r="C34" i="6" s="1"/>
  <c r="B11" i="15"/>
  <c r="B11" i="6" s="1"/>
  <c r="C11" i="15"/>
  <c r="C11" i="6" s="1"/>
  <c r="B12" i="15"/>
  <c r="B12" i="6" s="1"/>
  <c r="C12" i="15"/>
  <c r="C12" i="6" s="1"/>
  <c r="B15" i="15"/>
  <c r="B15" i="6" s="1"/>
  <c r="C15" i="15"/>
  <c r="C15" i="6" s="1"/>
  <c r="B16" i="15"/>
  <c r="B16" i="6" s="1"/>
  <c r="C16" i="15"/>
  <c r="C16" i="6" s="1"/>
  <c r="B17" i="15"/>
  <c r="B17" i="6" s="1"/>
  <c r="C17" i="15"/>
  <c r="C17" i="6" s="1"/>
  <c r="B18" i="15"/>
  <c r="B18" i="6" s="1"/>
  <c r="C18" i="15"/>
  <c r="C18" i="6" s="1"/>
  <c r="C19" i="15"/>
  <c r="C19" i="6" s="1"/>
  <c r="C20" i="15"/>
  <c r="C20" i="6" s="1"/>
  <c r="C21" i="15"/>
  <c r="C21" i="6" s="1"/>
  <c r="C22" i="15"/>
  <c r="C22" i="6" s="1"/>
  <c r="B23" i="15"/>
  <c r="B23" i="6" s="1"/>
  <c r="C23" i="15"/>
  <c r="C23" i="6" s="1"/>
  <c r="B26" i="15"/>
  <c r="B26" i="6" s="1"/>
  <c r="C26" i="15"/>
  <c r="C26" i="6" s="1"/>
  <c r="B27" i="15"/>
  <c r="B27" i="6" s="1"/>
  <c r="C27" i="15"/>
  <c r="C27" i="6" s="1"/>
  <c r="B28" i="15"/>
  <c r="B28" i="6" s="1"/>
  <c r="C28" i="15"/>
  <c r="C28" i="6" s="1"/>
  <c r="B29" i="15"/>
  <c r="B29" i="6" s="1"/>
  <c r="C29" i="15"/>
  <c r="C29" i="6" s="1"/>
  <c r="B30" i="15"/>
  <c r="B30" i="6" s="1"/>
  <c r="C30" i="15"/>
  <c r="C30" i="6" s="1"/>
  <c r="B31" i="15"/>
  <c r="B31" i="6" s="1"/>
  <c r="C31" i="15"/>
  <c r="C31" i="6" s="1"/>
  <c r="B32" i="15"/>
  <c r="B32" i="6" s="1"/>
  <c r="C32" i="15"/>
  <c r="C32" i="6" s="1"/>
  <c r="B33" i="15"/>
  <c r="B33" i="6" s="1"/>
  <c r="C33" i="15"/>
  <c r="C33" i="6" s="1"/>
  <c r="C10" i="15"/>
  <c r="C10" i="6" s="1"/>
  <c r="B10" i="15"/>
  <c r="B10" i="6" s="1"/>
  <c r="F22" i="17"/>
  <c r="F23" i="17"/>
  <c r="F24" i="17"/>
  <c r="G27" i="5"/>
  <c r="G38" i="5"/>
  <c r="E36" i="15" s="1"/>
  <c r="L36" i="15" s="1"/>
  <c r="U36" i="15" s="1"/>
  <c r="G39" i="5"/>
  <c r="E37" i="15" s="1"/>
  <c r="L37" i="15" s="1"/>
  <c r="U37" i="15" s="1"/>
  <c r="G40" i="5"/>
  <c r="E38" i="15" s="1"/>
  <c r="L38" i="15" s="1"/>
  <c r="U38" i="15" s="1"/>
  <c r="G26" i="5"/>
  <c r="G41" i="5"/>
  <c r="E39" i="15" s="1"/>
  <c r="L39" i="15" s="1"/>
  <c r="U39" i="15" s="1"/>
  <c r="F26" i="17"/>
  <c r="E21" i="8" s="1"/>
  <c r="G21" i="8" s="1"/>
  <c r="K21" i="8" s="1"/>
  <c r="F25" i="17"/>
  <c r="E20" i="8" s="1"/>
  <c r="G20" i="8" s="1"/>
  <c r="K20" i="8" s="1"/>
  <c r="F20" i="17"/>
  <c r="E18" i="8"/>
  <c r="G18" i="8" s="1"/>
  <c r="K18" i="8" s="1"/>
  <c r="M18" i="8" s="1"/>
  <c r="F18" i="17"/>
  <c r="E16" i="8" s="1"/>
  <c r="G16" i="8" s="1"/>
  <c r="K16" i="8" s="1"/>
  <c r="M16" i="8" s="1"/>
  <c r="F15" i="17"/>
  <c r="E13" i="8" s="1"/>
  <c r="G13" i="8" s="1"/>
  <c r="K13" i="8" s="1"/>
  <c r="E13" i="22" s="1"/>
  <c r="G13" i="22" s="1"/>
  <c r="K13" i="22" s="1"/>
  <c r="M13" i="22" s="1"/>
  <c r="G17" i="5"/>
  <c r="E15" i="15" s="1"/>
  <c r="L15" i="15" s="1"/>
  <c r="G18" i="5"/>
  <c r="E16" i="15" s="1"/>
  <c r="L16" i="15" s="1"/>
  <c r="G20" i="5"/>
  <c r="G32" i="5"/>
  <c r="E30" i="15" s="1"/>
  <c r="L30" i="15" s="1"/>
  <c r="G35" i="5"/>
  <c r="E33" i="15" s="1"/>
  <c r="L33" i="15" s="1"/>
  <c r="G36" i="5"/>
  <c r="E34" i="15" s="1"/>
  <c r="L34" i="15" s="1"/>
  <c r="G42" i="5"/>
  <c r="E40" i="15" s="1"/>
  <c r="L40" i="15" s="1"/>
  <c r="U40" i="15" s="1"/>
  <c r="G43" i="5"/>
  <c r="E41" i="15" s="1"/>
  <c r="L41" i="15" s="1"/>
  <c r="U41" i="15" s="1"/>
  <c r="G44" i="5"/>
  <c r="E42" i="15" s="1"/>
  <c r="L42" i="15" s="1"/>
  <c r="G21" i="5"/>
  <c r="E27" i="17"/>
  <c r="F22" i="22"/>
  <c r="I22" i="22"/>
  <c r="J22" i="22"/>
  <c r="F43" i="22"/>
  <c r="I43" i="22"/>
  <c r="J43" i="22"/>
  <c r="N43" i="22"/>
  <c r="J23" i="13"/>
  <c r="F43" i="15"/>
  <c r="F30" i="17"/>
  <c r="E25" i="8" s="1"/>
  <c r="G25" i="8" s="1"/>
  <c r="E51" i="17"/>
  <c r="F22" i="8"/>
  <c r="I22" i="8"/>
  <c r="J22" i="8"/>
  <c r="N22" i="8"/>
  <c r="F43" i="8"/>
  <c r="I43" i="8"/>
  <c r="J43" i="8"/>
  <c r="N43" i="8"/>
  <c r="E45" i="5"/>
  <c r="F45" i="5"/>
  <c r="G14" i="4"/>
  <c r="G16" i="4"/>
  <c r="G17" i="4"/>
  <c r="G18" i="4"/>
  <c r="G19" i="4"/>
  <c r="G20" i="4"/>
  <c r="G22" i="4"/>
  <c r="G23" i="4"/>
  <c r="G24" i="4"/>
  <c r="G25" i="4"/>
  <c r="G26" i="4"/>
  <c r="G27" i="4"/>
  <c r="G29" i="4"/>
  <c r="G30" i="4"/>
  <c r="G31" i="4"/>
  <c r="G32" i="4"/>
  <c r="G34" i="4"/>
  <c r="G35" i="4"/>
  <c r="G36" i="4"/>
  <c r="G37" i="4"/>
  <c r="G38" i="4"/>
  <c r="G39" i="4"/>
  <c r="G40" i="4"/>
  <c r="G41" i="4"/>
  <c r="G42" i="4"/>
  <c r="G43" i="4"/>
  <c r="G44" i="4"/>
  <c r="G45" i="4"/>
  <c r="G46" i="4"/>
  <c r="G48" i="4"/>
  <c r="G49" i="4"/>
  <c r="G50" i="4"/>
  <c r="G51" i="4"/>
  <c r="G73" i="4"/>
  <c r="G75" i="4"/>
  <c r="G76" i="4"/>
  <c r="G77" i="4"/>
  <c r="G78" i="4"/>
  <c r="G81" i="4"/>
  <c r="G82" i="4"/>
  <c r="G83" i="4"/>
  <c r="G85" i="4"/>
  <c r="G86" i="4"/>
  <c r="G87" i="4"/>
  <c r="G88" i="4"/>
  <c r="G89" i="4"/>
  <c r="G109" i="4"/>
  <c r="G110" i="4"/>
  <c r="G111" i="4"/>
  <c r="G112" i="4"/>
  <c r="G113" i="4"/>
  <c r="G12" i="2"/>
  <c r="G16" i="2" s="1"/>
  <c r="G13" i="2"/>
  <c r="G17" i="2" s="1"/>
  <c r="E69" i="4"/>
  <c r="E105" i="4"/>
  <c r="W42" i="15" l="1"/>
  <c r="E42" i="6" s="1"/>
  <c r="L42" i="6" s="1"/>
  <c r="W41" i="15"/>
  <c r="E41" i="6" s="1"/>
  <c r="L41" i="6" s="1"/>
  <c r="U41" i="6" s="1"/>
  <c r="W40" i="15"/>
  <c r="E40" i="6" s="1"/>
  <c r="L40" i="6" s="1"/>
  <c r="U40" i="6" s="1"/>
  <c r="W39" i="15"/>
  <c r="E39" i="6" s="1"/>
  <c r="L39" i="6" s="1"/>
  <c r="U39" i="6" s="1"/>
  <c r="W38" i="15"/>
  <c r="E38" i="6" s="1"/>
  <c r="L38" i="6" s="1"/>
  <c r="U38" i="6" s="1"/>
  <c r="W37" i="15"/>
  <c r="E37" i="6" s="1"/>
  <c r="L37" i="6" s="1"/>
  <c r="U37" i="6" s="1"/>
  <c r="W36" i="15"/>
  <c r="W35" i="15"/>
  <c r="E35" i="6" s="1"/>
  <c r="L35" i="6" s="1"/>
  <c r="U35" i="6" s="1"/>
  <c r="U33" i="15"/>
  <c r="W33" i="15" s="1"/>
  <c r="U34" i="15"/>
  <c r="W34" i="15" s="1"/>
  <c r="U30" i="15"/>
  <c r="W30" i="15" s="1"/>
  <c r="U16" i="15"/>
  <c r="W16" i="15" s="1"/>
  <c r="U15" i="15"/>
  <c r="W15" i="15" s="1"/>
  <c r="F27" i="17"/>
  <c r="L43" i="15"/>
  <c r="U11" i="15"/>
  <c r="W11" i="15" s="1"/>
  <c r="U10" i="15"/>
  <c r="W10" i="15" s="1"/>
  <c r="E10" i="6" s="1"/>
  <c r="L10" i="6" s="1"/>
  <c r="E32" i="6"/>
  <c r="L32" i="6" s="1"/>
  <c r="E22" i="6"/>
  <c r="L22" i="6" s="1"/>
  <c r="E20" i="6"/>
  <c r="L20" i="6" s="1"/>
  <c r="E23" i="6"/>
  <c r="L23" i="6" s="1"/>
  <c r="G69" i="4"/>
  <c r="G105" i="4"/>
  <c r="E107" i="4"/>
  <c r="E115" i="4" s="1"/>
  <c r="F51" i="17"/>
  <c r="E19" i="6"/>
  <c r="L19" i="6" s="1"/>
  <c r="E29" i="6"/>
  <c r="L29" i="6" s="1"/>
  <c r="I28" i="9"/>
  <c r="I22" i="9"/>
  <c r="G45" i="5"/>
  <c r="E32" i="22"/>
  <c r="G32" i="22" s="1"/>
  <c r="K32" i="22" s="1"/>
  <c r="M32" i="22" s="1"/>
  <c r="M32" i="8"/>
  <c r="E42" i="22"/>
  <c r="G42" i="22" s="1"/>
  <c r="K42" i="22" s="1"/>
  <c r="M42" i="22" s="1"/>
  <c r="M42" i="8"/>
  <c r="M27" i="8"/>
  <c r="E27" i="22"/>
  <c r="G27" i="22" s="1"/>
  <c r="K27" i="22" s="1"/>
  <c r="M27" i="22" s="1"/>
  <c r="E43" i="8"/>
  <c r="M34" i="8"/>
  <c r="G43" i="8"/>
  <c r="F77" i="18" s="1"/>
  <c r="E22" i="8"/>
  <c r="M37" i="8"/>
  <c r="E37" i="22"/>
  <c r="G37" i="22" s="1"/>
  <c r="K37" i="22" s="1"/>
  <c r="M37" i="22" s="1"/>
  <c r="M33" i="8"/>
  <c r="E33" i="22"/>
  <c r="G33" i="22" s="1"/>
  <c r="K33" i="22" s="1"/>
  <c r="M33" i="22" s="1"/>
  <c r="E35" i="22"/>
  <c r="G35" i="22" s="1"/>
  <c r="K35" i="22" s="1"/>
  <c r="M35" i="22" s="1"/>
  <c r="M35" i="8"/>
  <c r="E21" i="22"/>
  <c r="G21" i="22" s="1"/>
  <c r="K21" i="22" s="1"/>
  <c r="M21" i="22" s="1"/>
  <c r="M21" i="8"/>
  <c r="E19" i="22"/>
  <c r="G19" i="22" s="1"/>
  <c r="K19" i="22" s="1"/>
  <c r="M19" i="22" s="1"/>
  <c r="M19" i="8"/>
  <c r="M20" i="8"/>
  <c r="E20" i="22"/>
  <c r="G20" i="22" s="1"/>
  <c r="K20" i="22" s="1"/>
  <c r="M20" i="22" s="1"/>
  <c r="E39" i="22"/>
  <c r="G39" i="22" s="1"/>
  <c r="K39" i="22" s="1"/>
  <c r="M39" i="22" s="1"/>
  <c r="M39" i="8"/>
  <c r="G22" i="8"/>
  <c r="F30" i="18" s="1"/>
  <c r="K15" i="8"/>
  <c r="M28" i="8"/>
  <c r="E28" i="22"/>
  <c r="G28" i="22" s="1"/>
  <c r="K28" i="22" s="1"/>
  <c r="M28" i="22" s="1"/>
  <c r="E17" i="22"/>
  <c r="G17" i="22" s="1"/>
  <c r="K17" i="22" s="1"/>
  <c r="M17" i="22" s="1"/>
  <c r="M17" i="8"/>
  <c r="E30" i="22"/>
  <c r="G30" i="22" s="1"/>
  <c r="K30" i="22" s="1"/>
  <c r="M30" i="22" s="1"/>
  <c r="M30" i="8"/>
  <c r="E26" i="22"/>
  <c r="G26" i="22" s="1"/>
  <c r="K26" i="22" s="1"/>
  <c r="M26" i="22" s="1"/>
  <c r="M26" i="8"/>
  <c r="M40" i="8"/>
  <c r="M13" i="8"/>
  <c r="M41" i="8"/>
  <c r="K25" i="8"/>
  <c r="E16" i="22"/>
  <c r="G16" i="22" s="1"/>
  <c r="K16" i="22" s="1"/>
  <c r="M16" i="22" s="1"/>
  <c r="E18" i="22"/>
  <c r="G18" i="22" s="1"/>
  <c r="K18" i="22" s="1"/>
  <c r="M18" i="22" s="1"/>
  <c r="M31" i="8"/>
  <c r="M38" i="8"/>
  <c r="M29" i="8"/>
  <c r="M36" i="8"/>
  <c r="E21" i="6"/>
  <c r="L21" i="6" s="1"/>
  <c r="E43" i="15"/>
  <c r="G19" i="2"/>
  <c r="W40" i="6" l="1"/>
  <c r="U29" i="6"/>
  <c r="W29" i="6" s="1"/>
  <c r="W23" i="6"/>
  <c r="W22" i="6"/>
  <c r="W20" i="6"/>
  <c r="W35" i="6"/>
  <c r="W37" i="6"/>
  <c r="W42" i="6"/>
  <c r="U32" i="6"/>
  <c r="W32" i="6" s="1"/>
  <c r="W38" i="6"/>
  <c r="W21" i="6"/>
  <c r="W41" i="6"/>
  <c r="W19" i="6"/>
  <c r="W39" i="6"/>
  <c r="U10" i="6"/>
  <c r="W10" i="6" s="1"/>
  <c r="S43" i="15"/>
  <c r="F14" i="18" s="1"/>
  <c r="E12" i="6"/>
  <c r="L12" i="6" s="1"/>
  <c r="E26" i="6"/>
  <c r="L26" i="6" s="1"/>
  <c r="E25" i="6"/>
  <c r="L25" i="6" s="1"/>
  <c r="E27" i="6"/>
  <c r="L27" i="6" s="1"/>
  <c r="E28" i="6"/>
  <c r="L28" i="6" s="1"/>
  <c r="E17" i="6"/>
  <c r="L17" i="6" s="1"/>
  <c r="E15" i="6"/>
  <c r="L15" i="6" s="1"/>
  <c r="E33" i="6"/>
  <c r="L33" i="6" s="1"/>
  <c r="E11" i="6"/>
  <c r="E18" i="6"/>
  <c r="L18" i="6" s="1"/>
  <c r="E16" i="6"/>
  <c r="L16" i="6" s="1"/>
  <c r="E30" i="6"/>
  <c r="L30" i="6" s="1"/>
  <c r="G107" i="4"/>
  <c r="G115" i="4" s="1"/>
  <c r="I10" i="25" s="1"/>
  <c r="E15" i="25" s="1"/>
  <c r="E36" i="6"/>
  <c r="L36" i="6" s="1"/>
  <c r="U36" i="6" s="1"/>
  <c r="E31" i="6"/>
  <c r="L31" i="6" s="1"/>
  <c r="E34" i="6"/>
  <c r="L34" i="6" s="1"/>
  <c r="K43" i="8"/>
  <c r="F31" i="18" s="1"/>
  <c r="E25" i="22"/>
  <c r="M25" i="8"/>
  <c r="M43" i="8" s="1"/>
  <c r="E15" i="22"/>
  <c r="M15" i="8"/>
  <c r="M22" i="8" s="1"/>
  <c r="K22" i="8"/>
  <c r="F76" i="18" s="1"/>
  <c r="U34" i="6" l="1"/>
  <c r="W34" i="6" s="1"/>
  <c r="U30" i="6"/>
  <c r="W30" i="6" s="1"/>
  <c r="U33" i="6"/>
  <c r="W33" i="6" s="1"/>
  <c r="U27" i="6"/>
  <c r="W27" i="6" s="1"/>
  <c r="U12" i="6"/>
  <c r="W12" i="6" s="1"/>
  <c r="U31" i="6"/>
  <c r="W31" i="6" s="1"/>
  <c r="U15" i="6"/>
  <c r="W15" i="6" s="1"/>
  <c r="U25" i="6"/>
  <c r="W25" i="6" s="1"/>
  <c r="U28" i="6"/>
  <c r="W28" i="6" s="1"/>
  <c r="U16" i="6"/>
  <c r="W16" i="6" s="1"/>
  <c r="W36" i="6"/>
  <c r="U18" i="6"/>
  <c r="W18" i="6" s="1"/>
  <c r="U17" i="6"/>
  <c r="W17" i="6" s="1"/>
  <c r="U26" i="6"/>
  <c r="W26" i="6" s="1"/>
  <c r="L11" i="6"/>
  <c r="F67" i="18"/>
  <c r="E24" i="6"/>
  <c r="L24" i="6" s="1"/>
  <c r="I28" i="25"/>
  <c r="I34" i="25" s="1"/>
  <c r="G15" i="22"/>
  <c r="E22" i="22"/>
  <c r="E43" i="22"/>
  <c r="G25" i="22"/>
  <c r="U43" i="15"/>
  <c r="F71" i="18" s="1"/>
  <c r="F102" i="18" s="1"/>
  <c r="U24" i="6" l="1"/>
  <c r="W24" i="6" s="1"/>
  <c r="E43" i="6"/>
  <c r="U11" i="6"/>
  <c r="W11" i="6" s="1"/>
  <c r="S43" i="6"/>
  <c r="F19" i="27" s="1"/>
  <c r="L43" i="6"/>
  <c r="F104" i="18"/>
  <c r="G13" i="20" s="1"/>
  <c r="K25" i="22"/>
  <c r="G43" i="22"/>
  <c r="F84" i="27" s="1"/>
  <c r="K15" i="22"/>
  <c r="G22" i="22"/>
  <c r="F34" i="27" s="1"/>
  <c r="W43" i="15"/>
  <c r="G14" i="20" l="1"/>
  <c r="G16" i="20" s="1"/>
  <c r="F107" i="18"/>
  <c r="F111" i="18" s="1"/>
  <c r="J10" i="24" s="1"/>
  <c r="K22" i="22"/>
  <c r="F83" i="27" s="1"/>
  <c r="M15" i="22"/>
  <c r="M22" i="22" s="1"/>
  <c r="K43" i="22"/>
  <c r="F35" i="27" s="1"/>
  <c r="F74" i="27" s="1"/>
  <c r="M25" i="22"/>
  <c r="M43" i="22" s="1"/>
  <c r="F14" i="24" l="1"/>
  <c r="G14" i="24" s="1"/>
  <c r="F13" i="24"/>
  <c r="G13" i="24" s="1"/>
  <c r="G12" i="9"/>
  <c r="I12" i="9" l="1"/>
  <c r="J16" i="24"/>
  <c r="J19" i="24" s="1"/>
  <c r="J25" i="24" s="1"/>
  <c r="U43" i="6"/>
  <c r="F78" i="27" l="1"/>
  <c r="F112" i="27" s="1"/>
  <c r="F114" i="27" s="1"/>
  <c r="W43" i="6"/>
  <c r="G16" i="9" l="1"/>
  <c r="I16" i="9" s="1"/>
  <c r="G13" i="9"/>
  <c r="G15" i="9" l="1"/>
  <c r="I15" i="9" s="1"/>
  <c r="F118" i="27" s="1"/>
  <c r="F122" i="27" s="1"/>
  <c r="H24" i="26" s="1"/>
  <c r="H25" i="26" s="1"/>
  <c r="H14" i="26" s="1"/>
  <c r="I13" i="9"/>
  <c r="G18" i="9"/>
  <c r="I18" i="9" s="1"/>
  <c r="J10" i="13" l="1"/>
  <c r="F13" i="13" s="1"/>
  <c r="G13" i="13" s="1"/>
  <c r="H18" i="26" s="1"/>
  <c r="F14" i="13" l="1"/>
  <c r="G14" i="13" s="1"/>
  <c r="H17" i="26" s="1"/>
  <c r="J16" i="13" l="1"/>
  <c r="H27" i="13" s="1"/>
  <c r="J19" i="13" l="1"/>
  <c r="J25" i="13" s="1"/>
  <c r="J27" i="13" s="1"/>
  <c r="J30" i="13" s="1"/>
  <c r="H16" i="26" s="1"/>
  <c r="H15"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4" authorId="0" shapeId="0" xr:uid="{00000000-0006-0000-0900-00000100000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C11" authorId="0" shapeId="0" xr:uid="{00000000-0006-0000-1300-00000100000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<sst xmlns="http://schemas.openxmlformats.org/spreadsheetml/2006/main" count="1169" uniqueCount="527">
  <si>
    <t>A</t>
  </si>
  <si>
    <t>Rate Base</t>
  </si>
  <si>
    <t>Net Income Before Taxes</t>
  </si>
  <si>
    <t>Total</t>
  </si>
  <si>
    <t>T2S1 line #</t>
  </si>
  <si>
    <t>Total for Legal Entity</t>
  </si>
  <si>
    <t xml:space="preserve">Non-Distribution Eliminations   </t>
  </si>
  <si>
    <t>Income before PILs/Taxes</t>
  </si>
  <si>
    <t>Additions:</t>
  </si>
  <si>
    <t>Interest and penalties on taxes</t>
  </si>
  <si>
    <t>Amortization of tangible assets</t>
  </si>
  <si>
    <t>Amortization of intangible assets</t>
  </si>
  <si>
    <t>Recapture of capital cost allowance from Schedule 8</t>
  </si>
  <si>
    <t>Income or loss for tax purposes- joint ventures or partnerships</t>
  </si>
  <si>
    <t>Loss in equity of subsidiaries and affiliates</t>
  </si>
  <si>
    <t xml:space="preserve">Loss on disposal of assets </t>
  </si>
  <si>
    <t>Charitable donations</t>
  </si>
  <si>
    <t>Taxable Capital Gains</t>
  </si>
  <si>
    <t>Political Donations</t>
  </si>
  <si>
    <t>Deferred and prepaid expenses</t>
  </si>
  <si>
    <t>Scientific research expenditures deducted on financial statements</t>
  </si>
  <si>
    <t>Capitalized interest</t>
  </si>
  <si>
    <t>Non-deductible club dues and fees</t>
  </si>
  <si>
    <t>Non-deductible meals and entertainment expense</t>
  </si>
  <si>
    <t>Non-deductible automobile expenses</t>
  </si>
  <si>
    <t>Non-deductible life insurance premiums</t>
  </si>
  <si>
    <t>Non-deductible company pension plans</t>
  </si>
  <si>
    <t>Tax reserves deducted in prior year</t>
  </si>
  <si>
    <t>Reserves from financial statements- balance at end of year</t>
  </si>
  <si>
    <t>Soft costs on construction and renovation of buildings</t>
  </si>
  <si>
    <t>Book loss on joint ventures or partnerships</t>
  </si>
  <si>
    <t>Capital items expensed</t>
  </si>
  <si>
    <t>Debt issue expense</t>
  </si>
  <si>
    <t>Development expenses claimed in current year</t>
  </si>
  <si>
    <t>Financing fees deducted in books</t>
  </si>
  <si>
    <t>Gain on settlement of debt</t>
  </si>
  <si>
    <t>Non-deductible advertising</t>
  </si>
  <si>
    <t>Non-deductible interest</t>
  </si>
  <si>
    <t>Non-deductible legal and accounting fees</t>
  </si>
  <si>
    <t>Recapture of SR&amp;ED expenditures</t>
  </si>
  <si>
    <t>Share issue expense</t>
  </si>
  <si>
    <t>Write down of capital property</t>
  </si>
  <si>
    <t>Amounts received in respect of qualifying environment trust per paragraphs 12(1)(z.1) and 12(1)(z.2)</t>
  </si>
  <si>
    <t>Other Additions</t>
  </si>
  <si>
    <t>Interest Expensed on Capital Leases</t>
  </si>
  <si>
    <t>Realized Income from Deferred Credit Accounts</t>
  </si>
  <si>
    <t>Pensions</t>
  </si>
  <si>
    <t>Non-deductible penalties</t>
  </si>
  <si>
    <t>Total Additions</t>
  </si>
  <si>
    <t>Deductions:</t>
  </si>
  <si>
    <t>Gain on disposal of assets per financial statements</t>
  </si>
  <si>
    <t>Dividends not taxable under section 83</t>
  </si>
  <si>
    <t>Capital cost allowance from Schedule 8</t>
  </si>
  <si>
    <t>Terminal loss from Schedule 8</t>
  </si>
  <si>
    <t>Allowable business investment loss</t>
  </si>
  <si>
    <t>Scientific research expenses claimed in year</t>
  </si>
  <si>
    <t>Tax reserves claimed in current year</t>
  </si>
  <si>
    <t>Reserves from financial statements - balance at beginning of year</t>
  </si>
  <si>
    <t>Contributions to deferred income plans</t>
  </si>
  <si>
    <t>Book income of joint venture or partnership</t>
  </si>
  <si>
    <t>Equity in income from subsidiary or affiliates</t>
  </si>
  <si>
    <t>Interest capitalized for accounting deducted for tax</t>
  </si>
  <si>
    <t>Capital Lease Payments</t>
  </si>
  <si>
    <t xml:space="preserve">Non-taxable imputed interest income on deferral and variance accounts </t>
  </si>
  <si>
    <t>Total Deductions</t>
  </si>
  <si>
    <t>Net Income for Tax Purposes</t>
  </si>
  <si>
    <t>Charitable donations from Schedule 2</t>
  </si>
  <si>
    <t>TAXABLE INCOME</t>
  </si>
  <si>
    <t>Class</t>
  </si>
  <si>
    <t>Class Description</t>
  </si>
  <si>
    <t>Less: Non-Distribution Portion</t>
  </si>
  <si>
    <t>Certain Automobiles</t>
  </si>
  <si>
    <t>Lease # 1</t>
  </si>
  <si>
    <t>Lease # 3</t>
  </si>
  <si>
    <t>Lease # 4</t>
  </si>
  <si>
    <t>Data Network Infrastructure Equipment (acq'd post Mar 22/04)</t>
  </si>
  <si>
    <t>SUB-TOTAL - UCC</t>
  </si>
  <si>
    <t>Additions</t>
  </si>
  <si>
    <t>Other Adjustments</t>
  </si>
  <si>
    <t>Description</t>
  </si>
  <si>
    <t>Non-Distribution Eliminations</t>
  </si>
  <si>
    <t>Disposals</t>
  </si>
  <si>
    <t>Change During the Year</t>
  </si>
  <si>
    <t>Disallowed Expenses</t>
  </si>
  <si>
    <t>Capital Gains Reserves ss.40(1)</t>
  </si>
  <si>
    <t>Tax Reserves Not Deducted for accounting purposes</t>
  </si>
  <si>
    <t>Reserve for doubtful accounts ss. 20(1)(l)</t>
  </si>
  <si>
    <t>Reserve for goods and services not delivered ss. 20(1)(m)</t>
  </si>
  <si>
    <t>Reserve for unpaid amounts ss. 20(1)(n)</t>
  </si>
  <si>
    <t>Debt &amp; Share Issue Expenses ss. 20(1)(e)</t>
  </si>
  <si>
    <t>Other tax reserves</t>
  </si>
  <si>
    <t>Financial Statement Reserves (not deductible for Tax Purposes)</t>
  </si>
  <si>
    <t>General Reserve for Inventory Obsolescence (non-specific)</t>
  </si>
  <si>
    <t>General reserve for bad debts</t>
  </si>
  <si>
    <t>Accrued Employee Future Benefits:</t>
  </si>
  <si>
    <t>- Medical and Life Insurance</t>
  </si>
  <si>
    <t>-Short &amp; Long-term Disability</t>
  </si>
  <si>
    <t xml:space="preserve"> -Accmulated Sick Leave</t>
  </si>
  <si>
    <t>- Termination Cost</t>
  </si>
  <si>
    <t>- Other Post-Employment Benefits</t>
  </si>
  <si>
    <t>Provision for Environmental Costs</t>
  </si>
  <si>
    <t>Restructuring Costs</t>
  </si>
  <si>
    <t>Accrued Contingent Litigation Costs</t>
  </si>
  <si>
    <t>Accrued Self-Insurance Costs</t>
  </si>
  <si>
    <t>Other Contingent Liabilities</t>
  </si>
  <si>
    <t>Bonuses Accrued and Not Paid Within 180 Days of Year-End ss. 78(4)</t>
  </si>
  <si>
    <t>Unpaid Amounts to Related Person and Not Paid Within 3 Taxation Years ss. 78(1)</t>
  </si>
  <si>
    <t>Other</t>
  </si>
  <si>
    <t xml:space="preserve">Total </t>
  </si>
  <si>
    <t>Non-Capital Loss Carry Forward Deduction</t>
  </si>
  <si>
    <t>Utility Balance</t>
  </si>
  <si>
    <t xml:space="preserve">Amount to be used in Test Year </t>
  </si>
  <si>
    <t>Net Capital Loss Carry Forward Deduction</t>
  </si>
  <si>
    <t>T2 S1 line #</t>
  </si>
  <si>
    <r>
      <t xml:space="preserve">Amortization of tangible assets
</t>
    </r>
    <r>
      <rPr>
        <i/>
        <sz val="8"/>
        <rFont val="Arial"/>
        <family val="2"/>
      </rPr>
      <t>2-4 ADJUSTED ACCOUNTING DATA P489</t>
    </r>
  </si>
  <si>
    <r>
      <t xml:space="preserve">Amortization of intangible assets
</t>
    </r>
    <r>
      <rPr>
        <i/>
        <sz val="8"/>
        <rFont val="Arial"/>
        <family val="2"/>
      </rPr>
      <t>2-4 ADJUSTED ACCOUNTING DATA P490</t>
    </r>
  </si>
  <si>
    <t>Tax reserves beginning of year</t>
  </si>
  <si>
    <t>Tax reserves end of year</t>
  </si>
  <si>
    <t>NET INCOME FOR TAX PURPOSES</t>
  </si>
  <si>
    <t>Taxable dividends received under section 112 or 113</t>
  </si>
  <si>
    <t>Total Income Taxes</t>
  </si>
  <si>
    <t>Investment Tax Credits</t>
  </si>
  <si>
    <t>Miscellaneous Tax Credits</t>
  </si>
  <si>
    <t>Corporate PILs/Income Tax Provision for Test Year</t>
  </si>
  <si>
    <r>
      <t>Income Tax</t>
    </r>
    <r>
      <rPr>
        <sz val="10"/>
        <rFont val="Arial"/>
        <family val="2"/>
      </rPr>
      <t xml:space="preserve"> (grossed-up)</t>
    </r>
  </si>
  <si>
    <t xml:space="preserve">   </t>
  </si>
  <si>
    <t>1.   Does the applicant have any Investment Tax Credits (ITC)?</t>
  </si>
  <si>
    <t>3.   Does the applicant have any Capital Gains or Losses for tax purposes?</t>
  </si>
  <si>
    <t>4.   Does the applicant have any Capital Leases?</t>
  </si>
  <si>
    <t>5.   Does the applicant have any Loss Carry-Forwards (non-capital or net capital)?</t>
  </si>
  <si>
    <t xml:space="preserve">6.   Since 1999, has the applicant acquired another regulated applicant's assets?  </t>
  </si>
  <si>
    <t>7.   Did the applicant pay dividends?</t>
  </si>
  <si>
    <t>8.   Did the applicant elect to capitalize interest incurred on CWIP for tax purposes?</t>
  </si>
  <si>
    <t>Test Year</t>
  </si>
  <si>
    <t>B</t>
  </si>
  <si>
    <t>D</t>
  </si>
  <si>
    <t>E</t>
  </si>
  <si>
    <t>Return on Rate Base</t>
  </si>
  <si>
    <t>Deemed ShortTerm Debt %</t>
  </si>
  <si>
    <t>T</t>
  </si>
  <si>
    <t>W = S * T</t>
  </si>
  <si>
    <t>Deemed Long Term Debt %</t>
  </si>
  <si>
    <t>U</t>
  </si>
  <si>
    <t>X = S * U</t>
  </si>
  <si>
    <t>Deemed Equity %</t>
  </si>
  <si>
    <t>V</t>
  </si>
  <si>
    <t>Y = S * V</t>
  </si>
  <si>
    <t>Z</t>
  </si>
  <si>
    <t>AC = W * Z</t>
  </si>
  <si>
    <t>Long Term Interest</t>
  </si>
  <si>
    <t>AA</t>
  </si>
  <si>
    <t>AD = X * AA</t>
  </si>
  <si>
    <t>AB</t>
  </si>
  <si>
    <t>AE = Y * AB</t>
  </si>
  <si>
    <t>AF = AC + AD + AE</t>
  </si>
  <si>
    <t>Historic 
Wires Only</t>
  </si>
  <si>
    <t>Regulatory Taxable Income</t>
  </si>
  <si>
    <t>Tax Rates</t>
  </si>
  <si>
    <t>Federal &amp; Provincial</t>
  </si>
  <si>
    <t>Effective</t>
  </si>
  <si>
    <t>Federal income tax</t>
  </si>
  <si>
    <t>Federal &amp; Ontario Small Business</t>
  </si>
  <si>
    <t>Ontario Small Business Threshold</t>
  </si>
  <si>
    <t>Historical Balance as per tax returns</t>
  </si>
  <si>
    <t>Utility Only</t>
  </si>
  <si>
    <t>Eliminate Amounts Not Relevant for Bridge Year</t>
  </si>
  <si>
    <t>Adjusted Utility Balance</t>
  </si>
  <si>
    <t>Bridge Year Adjustments</t>
  </si>
  <si>
    <t xml:space="preserve"> Balance for Bridge Year</t>
  </si>
  <si>
    <t>Non-Distribution Portion</t>
  </si>
  <si>
    <t xml:space="preserve">Amount to be used in Bridge Year </t>
  </si>
  <si>
    <t>Balance available for use post Bridge Year</t>
  </si>
  <si>
    <r>
      <t>Return on Equity (</t>
    </r>
    <r>
      <rPr>
        <b/>
        <sz val="10"/>
        <color indexed="10"/>
        <rFont val="Arial"/>
        <family val="2"/>
      </rPr>
      <t>Regulatory Income</t>
    </r>
    <r>
      <rPr>
        <b/>
        <sz val="10"/>
        <rFont val="Arial"/>
        <family val="2"/>
      </rPr>
      <t>)</t>
    </r>
  </si>
  <si>
    <t>A. Data Input Sheet</t>
  </si>
  <si>
    <t>B. Tax Rates &amp; Exemptions</t>
  </si>
  <si>
    <t>Income tax payable</t>
  </si>
  <si>
    <t>Small business credit</t>
  </si>
  <si>
    <t>Ontario Income tax</t>
  </si>
  <si>
    <t>Effective Ontario Tax Rate</t>
  </si>
  <si>
    <t>Ontario Income Taxes</t>
  </si>
  <si>
    <t>C = A * B</t>
  </si>
  <si>
    <t>F = D * E</t>
  </si>
  <si>
    <t>Combined Tax Rate and PILs</t>
  </si>
  <si>
    <t xml:space="preserve"> Total Tax Credits</t>
  </si>
  <si>
    <t>REGULATORY TAXABLE INCOME</t>
  </si>
  <si>
    <t xml:space="preserve"> J = C + F</t>
  </si>
  <si>
    <t>Short Term Interest Rate</t>
  </si>
  <si>
    <t>Total for Regulated Utility</t>
  </si>
  <si>
    <t>Note:</t>
  </si>
  <si>
    <r>
      <t xml:space="preserve">Corporate PILs/Income Tax Provision Gross Up </t>
    </r>
    <r>
      <rPr>
        <vertAlign val="superscript"/>
        <sz val="10"/>
        <rFont val="Arial"/>
        <family val="2"/>
      </rPr>
      <t>1</t>
    </r>
  </si>
  <si>
    <t>Algoma Power Inc.</t>
  </si>
  <si>
    <t>Brantford Power Inc.</t>
  </si>
  <si>
    <t>Burlington Hydro Inc.</t>
  </si>
  <si>
    <t>Centre Wellington Hydro Ltd.</t>
  </si>
  <si>
    <t>Cooperative Hydro Embrun Inc.</t>
  </si>
  <si>
    <t>E.L.K. Energy Inc.</t>
  </si>
  <si>
    <t>Essex Powerlines Corporation</t>
  </si>
  <si>
    <t>Festival Hydro Inc.</t>
  </si>
  <si>
    <t>Fort Frances Power Corporation</t>
  </si>
  <si>
    <t>Greater Sudbury Hydro Inc.</t>
  </si>
  <si>
    <t>Hydro Hawkesbury Inc.</t>
  </si>
  <si>
    <t>Kingston Hydro Corporation</t>
  </si>
  <si>
    <t>Kitchener-Wilmot Hydro Inc.</t>
  </si>
  <si>
    <t>Lakeland Power Distribution Ltd.</t>
  </si>
  <si>
    <t>London Hydro Inc.</t>
  </si>
  <si>
    <t>Niagara-on-the-Lake Hydro Inc.</t>
  </si>
  <si>
    <t>Northern Ontario Wires Inc.</t>
  </si>
  <si>
    <t>Orangeville Hydro Limited</t>
  </si>
  <si>
    <t>Ottawa River Power Corporation</t>
  </si>
  <si>
    <t>PUC Distribution Inc.</t>
  </si>
  <si>
    <t>Renfrew Hydro Inc.</t>
  </si>
  <si>
    <t>Sioux Lookout Hydro Inc.</t>
  </si>
  <si>
    <t>Tillsonburg Hydro Inc.</t>
  </si>
  <si>
    <t>Wasaga Distribution Inc.</t>
  </si>
  <si>
    <t>Waterloo North Hydro Inc.</t>
  </si>
  <si>
    <t>Westario Power Inc.</t>
  </si>
  <si>
    <t>Atikokan Hydro Inc.</t>
  </si>
  <si>
    <t>Halton Hills Hydro Inc.</t>
  </si>
  <si>
    <t>Hydro 2000 Inc.</t>
  </si>
  <si>
    <t>Hydro Ottawa Limited</t>
  </si>
  <si>
    <t>Lakefront Utilities Inc.</t>
  </si>
  <si>
    <t>Oshawa PUC Networks Inc.</t>
  </si>
  <si>
    <t>Rideau St. Lawrence Distribution Inc.</t>
  </si>
  <si>
    <t>Toronto Hydro-Electric System Limited</t>
  </si>
  <si>
    <t>Wellington North Power Inc.</t>
  </si>
  <si>
    <t>Test Year                         Taxable Income</t>
  </si>
  <si>
    <t>Ontario Income Tax</t>
  </si>
  <si>
    <t>Fibre Optic Cable</t>
  </si>
  <si>
    <t>Bridge Year</t>
  </si>
  <si>
    <t>Test Year Adjustments</t>
  </si>
  <si>
    <t xml:space="preserve"> Balance for Test Year</t>
  </si>
  <si>
    <t>CWIP</t>
  </si>
  <si>
    <t>ARO Accretion expense</t>
  </si>
  <si>
    <t>Capital Contributions Received (ITA 12(1)(x))</t>
  </si>
  <si>
    <t>Lease Inducements Received (ITA 12(1)(x))</t>
  </si>
  <si>
    <t>Deferred Revenue (ITA 12(1)(a))</t>
  </si>
  <si>
    <t>Prior Year Investment Tax Credits received</t>
  </si>
  <si>
    <t>ARO Payments - Deductible for Tax when Paid</t>
  </si>
  <si>
    <t>ITA 13(7.4) Election - Capital Contributions Received</t>
  </si>
  <si>
    <t>ITA 13(7.4) Election - Apply Lease Inducement to cost of Leaseholds</t>
  </si>
  <si>
    <t>Deferred Revenue - ITA 20(1)(m) reserve</t>
  </si>
  <si>
    <t>Principal portion of lease payments</t>
  </si>
  <si>
    <t>Lease Inducement Book Amortization credit to income</t>
  </si>
  <si>
    <t>Financing fees for tax ITA 20(1)(e) and (e.1)</t>
  </si>
  <si>
    <t>2.   Does the applicant have any SRED Expenditures?</t>
  </si>
  <si>
    <t>1. This is for the derivation of revenue requirement and should not be used for sufficiency/deficiency calculations.</t>
  </si>
  <si>
    <t>Corporate PILs/Income Tax Provision for Bridge Year</t>
  </si>
  <si>
    <t>Rate reduction (negative)</t>
  </si>
  <si>
    <t>1. Info</t>
  </si>
  <si>
    <t>1. This is for the derivation of Bridge year PILs income tax expense and should not be used for Test year revenue requirement calculations.</t>
  </si>
  <si>
    <t xml:space="preserve">Utility Name   </t>
  </si>
  <si>
    <t>Assigned EB Number</t>
  </si>
  <si>
    <t>Name and Title</t>
  </si>
  <si>
    <t>Phone Number</t>
  </si>
  <si>
    <t>Email Address</t>
  </si>
  <si>
    <t>Date</t>
  </si>
  <si>
    <t>Last COS Re-based Year</t>
  </si>
  <si>
    <t>Note:  Drop-down lists are shaded blue; Input cells are shaded green.</t>
  </si>
  <si>
    <t>Return on Ratebase</t>
  </si>
  <si>
    <t>Questions that must be answered</t>
  </si>
  <si>
    <t>Schedule 8 - Historical Year</t>
  </si>
  <si>
    <t>Schedule 13 Tax Reserves - Historical</t>
  </si>
  <si>
    <t>Continuity of Reserves</t>
  </si>
  <si>
    <t>Corporation Loss Continuity and Application</t>
  </si>
  <si>
    <t>Wires Only</t>
  </si>
  <si>
    <t>Schedule 8 CCA - Bridge Year</t>
  </si>
  <si>
    <t>Schedule 13 Tax Reserves - Bridge Year</t>
  </si>
  <si>
    <t>Adjusted Taxable Income - Bridge Year</t>
  </si>
  <si>
    <t>PILS Tax Provision - Bridge Year</t>
  </si>
  <si>
    <t>Schedule 8 CCA - Test Year</t>
  </si>
  <si>
    <t>Schedule 13 Tax Reserves - Test Year</t>
  </si>
  <si>
    <t>Taxable Income - Test Year</t>
  </si>
  <si>
    <t>PILs Tax Provision - Test Year</t>
  </si>
  <si>
    <t>Version</t>
  </si>
  <si>
    <t>Bluewater Power Distribution Corporation</t>
  </si>
  <si>
    <t>Oakville Hydro Electricity Distribution Inc.</t>
  </si>
  <si>
    <t>Orillia Power Distribution Corporation</t>
  </si>
  <si>
    <t>Peterborough Distribution Incorporated</t>
  </si>
  <si>
    <t>Welland Hydro-Electric System Corp.</t>
  </si>
  <si>
    <t>UCC End of Year Historical per tax returns</t>
  </si>
  <si>
    <t>UCC Regulated Historical Year</t>
  </si>
  <si>
    <t>Actual Historical</t>
  </si>
  <si>
    <t>Adjusted Taxable Income - Historical Year</t>
  </si>
  <si>
    <t>PILs Tax Provision - Historical Year</t>
  </si>
  <si>
    <t>Corporate PILs/Income Tax Provision for Historical Year</t>
  </si>
  <si>
    <t xml:space="preserve">Note: Input the actual information from the tax returns for the historical year. </t>
  </si>
  <si>
    <t>Historical Utility Only</t>
  </si>
  <si>
    <t>Chapleau Public Utilities Corporation</t>
  </si>
  <si>
    <t>Niagara Peninsula Energy Inc.</t>
  </si>
  <si>
    <t>Federal tax rate (Maximum 15%)</t>
  </si>
  <si>
    <t>Federal Tax Rate</t>
  </si>
  <si>
    <t>Hydro One Networks Inc.</t>
  </si>
  <si>
    <t>Notes</t>
  </si>
  <si>
    <t>1.  The Ontario Energy Board's proxy for taxable capital is rate base.</t>
  </si>
  <si>
    <t>Ontario Tax Rate (Maximum 11.5%)</t>
  </si>
  <si>
    <t>Combined tax rate (Maximum 26.5%)</t>
  </si>
  <si>
    <t>C</t>
  </si>
  <si>
    <t>D = B + C</t>
  </si>
  <si>
    <t>E = A * D</t>
  </si>
  <si>
    <t>F</t>
  </si>
  <si>
    <t>G</t>
  </si>
  <si>
    <t>H = F + G</t>
  </si>
  <si>
    <t>L = K + I</t>
  </si>
  <si>
    <t>T1</t>
  </si>
  <si>
    <t>T0</t>
  </si>
  <si>
    <t>A.</t>
  </si>
  <si>
    <t>H8</t>
  </si>
  <si>
    <t>Reference</t>
  </si>
  <si>
    <t>H13</t>
  </si>
  <si>
    <t>B1</t>
  </si>
  <si>
    <t>B8</t>
  </si>
  <si>
    <t>Working Paper Reference</t>
  </si>
  <si>
    <t>B13</t>
  </si>
  <si>
    <t>T8</t>
  </si>
  <si>
    <t>B4</t>
  </si>
  <si>
    <t>calculated</t>
  </si>
  <si>
    <t>H4</t>
  </si>
  <si>
    <t>Schedule 4 Loss Carry Forward - Bridge Year</t>
  </si>
  <si>
    <t>T13</t>
  </si>
  <si>
    <t>T4</t>
  </si>
  <si>
    <t>H1</t>
  </si>
  <si>
    <t>S</t>
  </si>
  <si>
    <t>T1 Taxable Income Test Year</t>
  </si>
  <si>
    <t>T8 Schedule 8 CCA Test Year</t>
  </si>
  <si>
    <t>T0 PILs, Tax Provision Test Year</t>
  </si>
  <si>
    <t>T13 Schedule 13 Reserve Test Year</t>
  </si>
  <si>
    <t>Test Year - Grossed-up PILs</t>
  </si>
  <si>
    <t>Historical Year</t>
  </si>
  <si>
    <t>T4 Schedule 4 Loss Carry Forward Test Year</t>
  </si>
  <si>
    <t>H0 - PILs, Tax Provision Historical Year</t>
  </si>
  <si>
    <t>H1 - Adj. Taxable Income Historical Year</t>
  </si>
  <si>
    <t>H4 - Schedule 4 Loss Carry Forward Historical Year</t>
  </si>
  <si>
    <t>H13 - Schedule 13 Tax Reserves Historical</t>
  </si>
  <si>
    <t>B0 - PILs,Tax Provision Bridge Year</t>
  </si>
  <si>
    <t>B1 - Adj. Taxable Income Bridge Year</t>
  </si>
  <si>
    <t>B4 - Schedule 4 Loss Carry Forward Bridge Year</t>
  </si>
  <si>
    <t>B8 - Schedule 8 CCA Bridge Year</t>
  </si>
  <si>
    <t>B13 - Schedule 13 Tax Reserves Bridge Year</t>
  </si>
  <si>
    <t>S. Summary</t>
  </si>
  <si>
    <t>Test Year - Payments in Lieu of Taxes (PILs)</t>
  </si>
  <si>
    <t>Item</t>
  </si>
  <si>
    <t>Adjustments required to arrive at taxable income</t>
  </si>
  <si>
    <t>Taxable Income</t>
  </si>
  <si>
    <t>Regulatory Income (before income taxes)</t>
  </si>
  <si>
    <t xml:space="preserve">Difference </t>
  </si>
  <si>
    <t>as below</t>
  </si>
  <si>
    <t>as above</t>
  </si>
  <si>
    <t>Calculation of Adjustments required to arrive at Taxable Income</t>
  </si>
  <si>
    <t>Inputs on Service Revenue Requirement Worksheet</t>
  </si>
  <si>
    <t>The Service Revenue Requirement is in the 'Revenue Requirement Workform' - Tab 3.</t>
  </si>
  <si>
    <t>Federal Income Tax</t>
  </si>
  <si>
    <t>H0</t>
  </si>
  <si>
    <t>No inputs required on this worksheet.</t>
  </si>
  <si>
    <t xml:space="preserve">     a.  If taxable capital exceeds $15 million, the small business rate will not be applicable.</t>
  </si>
  <si>
    <t>Tax Rate</t>
  </si>
  <si>
    <t>Taxes Payable</t>
  </si>
  <si>
    <t>Effective Tax Rate</t>
  </si>
  <si>
    <t>Effective Federal Tax Rate</t>
  </si>
  <si>
    <t>Small Business Rate (If Applicable)</t>
  </si>
  <si>
    <t>Ontario (Max 11.5%)</t>
  </si>
  <si>
    <t>Federal (Max 15%)</t>
  </si>
  <si>
    <t>Combined effective tax rate (Max 26.5%)</t>
  </si>
  <si>
    <t>I = E - H</t>
  </si>
  <si>
    <t>J = 1-D</t>
  </si>
  <si>
    <t>K = I/J-I</t>
  </si>
  <si>
    <t>D = B+C</t>
  </si>
  <si>
    <t>H8 - Schedule 8 Historical</t>
  </si>
  <si>
    <t>Balance available for use in Future Years</t>
  </si>
  <si>
    <t>Number of years loss until next cost of service (i.e. years the loss is to be spread over)</t>
  </si>
  <si>
    <t>Amount to be used in Test Year and Price Cap Years</t>
  </si>
  <si>
    <t>Integrity Checks</t>
  </si>
  <si>
    <t>The depreciation and amortization added back in the application’s PILs model agree with the numbers disclosed in the rate base section of the application</t>
  </si>
  <si>
    <t>CCA is maximized even if there are tax loss carry-forwards</t>
  </si>
  <si>
    <t>The applicant must ensure the following integrity checks have been completed and confirm this is the case in the table below, or provide an explanation if this is not the case:</t>
  </si>
  <si>
    <t>ENWIN Utilities Ltd.</t>
  </si>
  <si>
    <t>Loss Carry Forward Generated in Bridge Year (if any)</t>
  </si>
  <si>
    <t>Loss Carry Forward Generated in Test Year (if any)</t>
  </si>
  <si>
    <t>Actual/Estimated Bridge Year Carried Forward</t>
  </si>
  <si>
    <t>Utility Confirmation (Y/N)</t>
  </si>
  <si>
    <t>(A + 101 + 102)</t>
  </si>
  <si>
    <t xml:space="preserve">2.  Regarding the small business deduction, if applicable, </t>
  </si>
  <si>
    <t xml:space="preserve">     b.  If taxable capital is below $10 million, the small business rate would be applicable.</t>
  </si>
  <si>
    <t xml:space="preserve">     c.  If taxable capital is between $10 million and $15 million, the appropriate small business rate will be calculated.</t>
  </si>
  <si>
    <t>Federal Small Business Limit</t>
  </si>
  <si>
    <t>Ontario Small Business Limit</t>
  </si>
  <si>
    <t>General Corporate Rate</t>
  </si>
  <si>
    <t>Federal Tax Abatement</t>
  </si>
  <si>
    <t xml:space="preserve">  Adjusted Federal Rate</t>
  </si>
  <si>
    <t>Rate Reduction</t>
  </si>
  <si>
    <t xml:space="preserve">Ontario Income Tax </t>
  </si>
  <si>
    <t xml:space="preserve">Combined Federal and Ontario </t>
  </si>
  <si>
    <t>Federal Small Business Rate</t>
  </si>
  <si>
    <t>Ontario Small Business Rate</t>
  </si>
  <si>
    <t>As of MMM XX, 2019</t>
  </si>
  <si>
    <t>Lease # 2</t>
  </si>
  <si>
    <t>1b</t>
  </si>
  <si>
    <t>Certain Buildings; Fences</t>
  </si>
  <si>
    <t>Non-Residential Buildings [Reg. 1100(1)(a.1) election]</t>
  </si>
  <si>
    <t>Limited Period Patents, Franchises, Concessions or Licences</t>
  </si>
  <si>
    <t>Distribution System (acq'd pre 1988)</t>
  </si>
  <si>
    <r>
      <t xml:space="preserve">13 </t>
    </r>
    <r>
      <rPr>
        <b/>
        <vertAlign val="subscript"/>
        <sz val="9"/>
        <rFont val="Arial"/>
        <family val="2"/>
      </rPr>
      <t>1</t>
    </r>
  </si>
  <si>
    <r>
      <t xml:space="preserve">13 </t>
    </r>
    <r>
      <rPr>
        <b/>
        <vertAlign val="subscript"/>
        <sz val="9"/>
        <rFont val="Arial"/>
        <family val="2"/>
      </rPr>
      <t>2</t>
    </r>
  </si>
  <si>
    <r>
      <t xml:space="preserve">13 </t>
    </r>
    <r>
      <rPr>
        <b/>
        <vertAlign val="subscript"/>
        <sz val="9"/>
        <rFont val="Arial"/>
        <family val="2"/>
      </rPr>
      <t>3</t>
    </r>
  </si>
  <si>
    <r>
      <t xml:space="preserve">13 </t>
    </r>
    <r>
      <rPr>
        <b/>
        <vertAlign val="subscript"/>
        <sz val="9"/>
        <rFont val="Arial"/>
        <family val="2"/>
      </rPr>
      <t>4</t>
    </r>
  </si>
  <si>
    <t>Distribution System (acq'd post Feb 22/05)</t>
  </si>
  <si>
    <t>Buildings (acq'd pre 1988)</t>
  </si>
  <si>
    <t>Buildings, Distribution System (acq'd post 1987)</t>
  </si>
  <si>
    <t>Certain Clean Energy/Energy-Efficient Generation Equipment</t>
  </si>
  <si>
    <t>Computer Application Software (Non-Systems)</t>
  </si>
  <si>
    <t>General Purpose Computer Hardware &amp; Software (acq'd post Mar 18/07)</t>
  </si>
  <si>
    <t>Computers &amp; System Software (acq'd post Mar 22/04 and pre Mar 19/07)</t>
  </si>
  <si>
    <t>Motor Vehicles, Fleet</t>
  </si>
  <si>
    <t>General Office Equipment, Furniture, Fixtures</t>
  </si>
  <si>
    <t>Elec. Generation Equip. (Non-Bldng, acq'd post Feb 27/00); Roads, Lots, Storage</t>
  </si>
  <si>
    <t>NA</t>
  </si>
  <si>
    <t>Eligible Capital Property (acq'd pre Jan 1, 2017)</t>
  </si>
  <si>
    <t>Eligible Capital Property (acq'd post Jan 1, 2017)</t>
  </si>
  <si>
    <t>Eligible Capital Property (acq'd post 2016)</t>
  </si>
  <si>
    <t>Eligible Capital Property (acq'd pre 2017)</t>
  </si>
  <si>
    <t>Schedule 8 of the most recent federal T2 tax return filed with the application has a closing December 31 historical year UCC that agrees with the opening (January 1) bridge year UCC. If the amounts do not agree, then the applicant must provide a reconciliation with explanations. Distributors must segregate non-distribution tax amounts on Schedule 8.</t>
  </si>
  <si>
    <t>TOTALS</t>
  </si>
  <si>
    <t>Relevant factor</t>
  </si>
  <si>
    <t>(3)
Cost of acquisitions during
the year (new property must
be available for use, except CWIP)</t>
  </si>
  <si>
    <t>(4)
Cost of acquisitions from column 3 that are accelerated investment incentive property (AIIP)</t>
  </si>
  <si>
    <t>(5)
Adjustments and transfers (enter amounts that will reduce the UCC as negatives)</t>
  </si>
  <si>
    <t>(6)
Amount from column 5 that is assistance received or receivable during the year for a property, subsequent to its disposition</t>
  </si>
  <si>
    <t>(7)
Amount from column 5 that is repaid during the year for a property, subsequent to its disposition</t>
  </si>
  <si>
    <t>(2)
Undepreciated capital
cost (UCC) at the
beginning of the bridge year</t>
  </si>
  <si>
    <t>(8)
Proceeds of dispositions</t>
  </si>
  <si>
    <t>(9)
UCC (column 2 plus column 3 plus or minus column 5 minus column 8)</t>
  </si>
  <si>
    <t>(10)
Proceeds of disposition available to reduce the UCC of AIIP (column 8 plus column 6 minus column 3 plus column 4 minus column 7) (if negative, enter "0")</t>
  </si>
  <si>
    <t>(11)
Net capital cost additions of AIIP acquired during the year (column 4 minus column 10) (if negative, enter "0")</t>
  </si>
  <si>
    <t>(12)
UCC adjustment for AIIP acquired during the year (column 11 multiplied by the relevant factor)</t>
  </si>
  <si>
    <t>(13)
UCC adjustment for non-AIIP acquired during the year (0.5 multiplied by the result of column 3 minus column 4 minus column 6 plus column 7 minus column 8) (if negative, enter "0")</t>
  </si>
  <si>
    <t>(14)
CCA Rate %</t>
  </si>
  <si>
    <t>(15)
Recapture of CCA</t>
  </si>
  <si>
    <t>(16)
Terminal Loss</t>
  </si>
  <si>
    <t>(17)
CCA (for declining balance method, the result of column 9 plus column 12 minus column 13, multiplied by column 14)</t>
  </si>
  <si>
    <t>(18)
UCC at the end of the bridge year (column 9 minus column 17)</t>
  </si>
  <si>
    <t>https://www.canada.ca/content/dam/cra-arc/formspubs/pbg/t2sch8/t2sch8-19e.pdf</t>
  </si>
  <si>
    <t>(1)
Class</t>
  </si>
  <si>
    <t>Income inclusion under subparagraph 13(38)(d)(iii)</t>
  </si>
  <si>
    <t>(2)
Undepreciated capital
cost (UCC) at the
beginning of the test year</t>
  </si>
  <si>
    <t>(18)
UCC at the end of the test year (column 9 minus column 17)</t>
  </si>
  <si>
    <t xml:space="preserve">      If Yes, please describe the tax treatment in the manager's summary.  </t>
  </si>
  <si>
    <t>The CCA deductions in the application’s PILs tax model for historical, bridge and test years (as applicable) agree with the numbers in the CCA Schedule 8 for the same years filed in the application</t>
  </si>
  <si>
    <t>The capital additions and deductions in the CCA Schedule 8 agree with the rate base section for historical, bridge and test years</t>
  </si>
  <si>
    <t>A discussion is included in the application as to when the loss carry-forwards, if any, will be fully utilized</t>
  </si>
  <si>
    <t>The income tax rate used to calculate the tax expense is consistent with the utility’s actual tax facts and evidence filed in the application</t>
  </si>
  <si>
    <t>Loss carry-forwards, if any, from prior year tax returns' Schedule 4 agree with those disclosed in the application</t>
  </si>
  <si>
    <t>Other post-employment benefits and pension expenses that are added back on Schedule 1 to reconcile accounting income to net income for tax purposes agree with the OM&amp;A analysis for compensation. The amounts deducted are reasonable when compared with the notes to the audited financial statements, Financial Services Commission of Ontario reports, and actuarial valuations.</t>
  </si>
  <si>
    <t>General Reserve for Bad Debts</t>
  </si>
  <si>
    <t>Tax Reserves Not Deducted for Accounting Purposes</t>
  </si>
  <si>
    <t>- Accumulated Sick Leave</t>
  </si>
  <si>
    <t>- Short &amp; Long-term Disability</t>
  </si>
  <si>
    <t>Income inclusion under subparagraph 13(38)(d)(iii) from Schedule 10</t>
  </si>
  <si>
    <t>Charitable donations and gifts from Schedule 2</t>
  </si>
  <si>
    <t>Taxable capital gains from Schedule 6</t>
  </si>
  <si>
    <t>Taxable capital gains</t>
  </si>
  <si>
    <t>Political contributions</t>
  </si>
  <si>
    <t>General reserve for inventory obsolescence (non-specific)</t>
  </si>
  <si>
    <t>Debt &amp; share issue expenses ss. 20(1)(e)</t>
  </si>
  <si>
    <t>Tax reserves not deducted for accounting purposes</t>
  </si>
  <si>
    <t>Capital gains reserves ss.40(1)</t>
  </si>
  <si>
    <t>Financial statement reserves (not deductible for tax purposes)</t>
  </si>
  <si>
    <t>Reserves from financial statements – balance at the end of the year</t>
  </si>
  <si>
    <t>Reserve for undelivered goods and services not rendered ss. 20(1)(m)</t>
  </si>
  <si>
    <t>Other deductions</t>
  </si>
  <si>
    <t>Other additions</t>
  </si>
  <si>
    <t>Non-taxable dividends under section 83</t>
  </si>
  <si>
    <t>Non-capital losses of previous tax years from Schedule 4</t>
  </si>
  <si>
    <t>Net capital losses of previous tax years from Schedule 4</t>
  </si>
  <si>
    <t>Limited partnership losses of previous tax years from Schedule 4</t>
  </si>
  <si>
    <t>For additional details and guidance on calculating amounts in Schedule 8, refer to the notes to the Canada Revenue Agency published Schedule 8 - Capital Cost Allowance (CCA) (2018 and later tax years):</t>
  </si>
  <si>
    <t>Eliminate Amounts Not Relevant for Test Year</t>
  </si>
  <si>
    <t>Schedule 4 Loss Carry Forward - Historical</t>
  </si>
  <si>
    <t>Schedule 4 Loss Carry Forward - Test Year</t>
  </si>
  <si>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</si>
  <si>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</si>
  <si>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</si>
  <si>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</si>
  <si>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</si>
  <si>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Canadian Niagara Power Inc.</t>
  </si>
  <si>
    <t>Elexicon Energy Inc.-Whitby Rate Zone</t>
  </si>
  <si>
    <t>Elexicon Energy Inc.-Veridian Rate Zone</t>
  </si>
  <si>
    <t>Entegrus Powerlines Inc.-For Entegrus-Main Rate Zone</t>
  </si>
  <si>
    <t>Entegrus Powerlines Inc.-For Former St. Thomas Energy Rate Zone</t>
  </si>
  <si>
    <t>EPCOR Electricity Distribution Ontario Inc.</t>
  </si>
  <si>
    <t>ERTH Power Corporation - ERTH Power Main Rate Zone</t>
  </si>
  <si>
    <t>ERTH POWER CORPORATION – GODERICH RATE ZONE</t>
  </si>
  <si>
    <t>Grimsby Power Incorporated</t>
  </si>
  <si>
    <t>Hearst Power Distribution Co. Ltd.</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</si>
  <si>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</si>
  <si>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</si>
  <si>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</si>
  <si>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</si>
  <si>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InnPower Corporation</t>
  </si>
  <si>
    <t>Lakeland Power Distribution Ltd.-Parry Sound Service Area</t>
  </si>
  <si>
    <t>Milton Hydro Distribution Inc.</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</si>
  <si>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</si>
  <si>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</si>
  <si>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</si>
  <si>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</si>
  <si>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Energy+ Inc.</t>
  </si>
  <si>
    <t>North Bay Hydro Distribution Limited - Espanola service territory</t>
  </si>
  <si>
    <t>North Bay Hydro Distribution Limited - North Bay service territory</t>
  </si>
  <si>
    <t>EB-2020-0043</t>
  </si>
  <si>
    <t>Yes</t>
  </si>
  <si>
    <t>No</t>
  </si>
  <si>
    <t>Deferred Rev Amoritization + Post Empl Ben Paid</t>
  </si>
  <si>
    <t xml:space="preserve">Employee Future Benefits </t>
  </si>
  <si>
    <t xml:space="preserve">Sick Leave </t>
  </si>
  <si>
    <t>Post Employment Benefits</t>
  </si>
  <si>
    <t>Other Deductions (Post Employment Benefits Paid)</t>
  </si>
  <si>
    <t>Other Deductions - CAIC Amortization</t>
  </si>
  <si>
    <t>Other Additions (Post Employment Benefits)</t>
  </si>
  <si>
    <t>Other Deductions (Deferred Revenue Amortization)</t>
  </si>
  <si>
    <t>Y</t>
  </si>
  <si>
    <t>N/A - no loss carry-forwards from 2019 tax return</t>
  </si>
  <si>
    <t>Micheal Roth - Regulatory Manager</t>
  </si>
  <si>
    <t>705-474-8100 xt: 263</t>
  </si>
  <si>
    <t>mroth@northbayhydro.com</t>
  </si>
  <si>
    <t>Unrealized losses</t>
  </si>
  <si>
    <t>Post employment benefits</t>
  </si>
  <si>
    <t>Reg Assets + Net Movement</t>
  </si>
  <si>
    <t>Other Additions (Unrealized losses - SWAP Mkt to Mkt)</t>
  </si>
  <si>
    <t>Other Additions - Change in Regulatory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</si>
</sst>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164" formatCode="_-&quot;$&quot;* #,##0.00_-;\-&quot;$&quot;* #,##0.00_-;_-&quot;$&quot;* &quot;-&quot;??_-;_-@_-"/>
    <numFmt numFmtId="165" formatCode="_-* #,##0.00_-;\-* #,##0.00_-;_-* &quot;-&quot;??_-;_-@_-"/>
    <numFmt numFmtId="166" formatCode="_-&quot;$&quot;* #,##0_-;\-&quot;$&quot;* #,##0_-;_-&quot;$&quot;* &quot;-&quot;??_-;_-@_-"/>
    <numFmt numFmtId="167" formatCode="0.0"/>
    <numFmt numFmtId="168" formatCode="[$-1009]mmmm\ d\,\ yyyy;@"/>
    <numFmt numFmtId="169" formatCode="_-* #,##0_-;\-* #,##0_-;_-* &quot;-&quot;??_-;_-@_-"/>
    <numFmt numFmtId="170" formatCode="0.0%"/>
    <numFmt numFmtId="171" formatCode="mmmm\ d\,\ yyyy"/>
    <numFmt numFmtId="172" formatCode="_-&quot;$&quot;* #,##0_-;\-&quot;$&quot;* #,##0_-;_-&quot;$&quot;* &quot;-&quot;?_-;_-@_-"/>
  </numFmts>
  <fonts count="82" x14ac:knownFonts="1">
    <font>
      <sz val="10"/>
      <name val="Arial"/>
    </font>
    <font>
      <sz val="10"/>
      <name val="Arial"/>
      <family val="2"/>
    </font>
    <font>
      <u/>
      <sz val="10"/>
      <color indexed="12"/>
      <name val="Arial"/>
      <family val="2"/>
    </font>
    <font>
      <sz val="8"/>
      <name val="Arial"/>
      <family val="2"/>
    </font>
    <font>
      <sz val="16"/>
      <color indexed="12"/>
      <name val="Algerian"/>
      <family val="5"/>
    </font>
    <font>
      <sz val="14"/>
      <name val="Arial"/>
      <family val="2"/>
    </font>
    <font>
      <b/>
      <sz val="10"/>
      <name val="Arial"/>
      <family val="2"/>
    </font>
    <font>
      <b/>
      <sz val="14"/>
      <name val="Arial"/>
      <family val="2"/>
    </font>
    <font>
      <b/>
      <sz val="8"/>
      <color indexed="10"/>
      <name val="Arial"/>
      <family val="2"/>
    </font>
    <font>
      <b/>
      <i/>
      <sz val="9"/>
      <name val="Arial"/>
      <family val="2"/>
    </font>
    <font>
      <b/>
      <sz val="12"/>
      <name val="Arial"/>
      <family val="2"/>
    </font>
    <font>
      <b/>
      <u/>
      <sz val="10"/>
      <name val="Arial"/>
      <family val="2"/>
    </font>
    <font>
      <b/>
      <sz val="10"/>
      <color indexed="12"/>
      <name val="Arial"/>
      <family val="2"/>
    </font>
    <font>
      <sz val="10"/>
      <name val="Arial"/>
      <family val="2"/>
    </font>
    <font>
      <i/>
      <sz val="10"/>
      <name val="Arial"/>
      <family val="2"/>
    </font>
    <font>
      <b/>
      <i/>
      <sz val="10"/>
      <name val="Arial"/>
      <family val="2"/>
    </font>
    <font>
      <b/>
      <sz val="10"/>
      <color indexed="9"/>
      <name val="Arial"/>
      <family val="2"/>
    </font>
    <font>
      <b/>
      <sz val="9"/>
      <color indexed="12"/>
      <name val="Arial"/>
      <family val="2"/>
    </font>
    <font>
      <b/>
      <sz val="9"/>
      <name val="Arial"/>
      <family val="2"/>
    </font>
    <font>
      <sz val="9"/>
      <name val="Arial"/>
      <family val="2"/>
    </font>
    <font>
      <sz val="9"/>
      <color indexed="12"/>
      <name val="Arial"/>
      <family val="2"/>
    </font>
    <font>
      <sz val="10"/>
      <color indexed="12"/>
      <name val="Arial"/>
      <family val="2"/>
    </font>
    <font>
      <b/>
      <u/>
      <sz val="9"/>
      <name val="Arial"/>
      <family val="2"/>
    </font>
    <font>
      <sz val="8"/>
      <color indexed="81"/>
      <name val="Tahoma"/>
      <family val="2"/>
    </font>
    <font>
      <sz val="12"/>
      <name val="Times New Roman"/>
      <family val="1"/>
    </font>
    <font>
      <b/>
      <sz val="10"/>
      <color indexed="63"/>
      <name val="Arial"/>
      <family val="2"/>
    </font>
    <font>
      <sz val="10"/>
      <color indexed="63"/>
      <name val="Arial"/>
      <family val="2"/>
    </font>
    <font>
      <b/>
      <sz val="9"/>
      <color indexed="63"/>
      <name val="Arial"/>
      <family val="2"/>
    </font>
    <font>
      <b/>
      <sz val="7"/>
      <color indexed="63"/>
      <name val="Arial"/>
      <family val="2"/>
    </font>
    <font>
      <sz val="9"/>
      <color indexed="63"/>
      <name val="Arial"/>
      <family val="2"/>
    </font>
    <font>
      <sz val="12"/>
      <color indexed="63"/>
      <name val="Times New Roman"/>
      <family val="1"/>
    </font>
    <font>
      <b/>
      <sz val="14"/>
      <color indexed="63"/>
      <name val="Times New Roman"/>
      <family val="1"/>
    </font>
    <font>
      <sz val="9"/>
      <color indexed="9"/>
      <name val="Arial"/>
      <family val="2"/>
    </font>
    <font>
      <b/>
      <sz val="11"/>
      <color indexed="10"/>
      <name val="Times New Roman"/>
      <family val="1"/>
    </font>
    <font>
      <i/>
      <sz val="8"/>
      <name val="Arial"/>
      <family val="2"/>
    </font>
    <font>
      <sz val="10"/>
      <color indexed="9"/>
      <name val="Arial"/>
      <family val="2"/>
    </font>
    <font>
      <sz val="12"/>
      <name val="Arial"/>
      <family val="2"/>
    </font>
    <font>
      <b/>
      <sz val="18"/>
      <name val="Arial"/>
      <family val="2"/>
    </font>
    <font>
      <b/>
      <sz val="10"/>
      <color indexed="10"/>
      <name val="Arial"/>
      <family val="2"/>
    </font>
    <font>
      <b/>
      <sz val="12"/>
      <color indexed="12"/>
      <name val="Arial"/>
      <family val="2"/>
    </font>
    <font>
      <sz val="11"/>
      <name val="Arial"/>
      <family val="2"/>
    </font>
    <font>
      <vertAlign val="superscrip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8"/>
      <color indexed="56"/>
      <name val="Cambria"/>
      <family val="2"/>
    </font>
    <font>
      <b/>
      <sz val="10"/>
      <color indexed="8"/>
      <name val="Arial"/>
      <family val="2"/>
    </font>
    <font>
      <sz val="10"/>
      <color indexed="10"/>
      <name val="Arial"/>
      <family val="2"/>
    </font>
    <font>
      <b/>
      <sz val="11"/>
      <color indexed="48"/>
      <name val="Arial"/>
      <family val="2"/>
    </font>
    <font>
      <b/>
      <sz val="11"/>
      <name val="Arial"/>
      <family val="2"/>
    </font>
    <font>
      <i/>
      <sz val="11"/>
      <name val="Arial"/>
      <family val="2"/>
    </font>
    <font>
      <b/>
      <sz val="20"/>
      <name val="Arial"/>
      <family val="2"/>
    </font>
    <font>
      <b/>
      <sz val="12"/>
      <color indexed="10"/>
      <name val="Arial"/>
      <family val="2"/>
    </font>
    <font>
      <b/>
      <sz val="14"/>
      <color indexed="63"/>
      <name val="Arial"/>
      <family val="2"/>
    </font>
    <font>
      <b/>
      <sz val="16"/>
      <name val="Arial"/>
      <family val="2"/>
    </font>
    <font>
      <b/>
      <i/>
      <sz val="14"/>
      <name val="Times New Roman"/>
      <family val="1"/>
    </font>
    <font>
      <b/>
      <sz val="14"/>
      <name val="Times New Roman"/>
      <family val="1"/>
    </font>
    <font>
      <sz val="9"/>
      <color rgb="FFFF0000"/>
      <name val="Arial"/>
      <family val="2"/>
    </font>
    <font>
      <sz val="10"/>
      <color rgb="FFFF0000"/>
      <name val="Arial"/>
      <family val="2"/>
    </font>
    <font>
      <u/>
      <sz val="10"/>
      <name val="Arial"/>
      <family val="2"/>
    </font>
    <font>
      <sz val="16"/>
      <color indexed="12"/>
      <name val="Arial"/>
      <family val="2"/>
    </font>
    <font>
      <u/>
      <sz val="14"/>
      <color indexed="12"/>
      <name val="Arial"/>
      <family val="2"/>
    </font>
    <font>
      <b/>
      <u/>
      <sz val="12"/>
      <color indexed="10"/>
      <name val="Arial"/>
      <family val="2"/>
    </font>
    <font>
      <b/>
      <sz val="16"/>
      <color theme="1"/>
      <name val="Arial"/>
      <family val="2"/>
    </font>
    <font>
      <b/>
      <sz val="16"/>
      <color theme="3"/>
      <name val="Arial"/>
      <family val="2"/>
    </font>
    <font>
      <b/>
      <sz val="11"/>
      <color theme="1"/>
      <name val="Arial"/>
      <family val="2"/>
    </font>
    <font>
      <sz val="10"/>
      <color rgb="FF00B050"/>
      <name val="Arial"/>
      <family val="2"/>
    </font>
    <font>
      <b/>
      <sz val="10"/>
      <color rgb="FF00B050"/>
      <name val="Arial"/>
      <family val="2"/>
    </font>
    <font>
      <b/>
      <sz val="9"/>
      <color rgb="FF00B050"/>
      <name val="Arial"/>
      <family val="2"/>
    </font>
    <font>
      <sz val="9"/>
      <color rgb="FF00B050"/>
      <name val="Arial"/>
      <family val="2"/>
    </font>
    <font>
      <u/>
      <sz val="10"/>
      <color rgb="FF00B050"/>
      <name val="Arial"/>
      <family val="2"/>
    </font>
    <font>
      <b/>
      <vertAlign val="subscript"/>
      <sz val="9"/>
      <name val="Arial"/>
      <family val="2"/>
    </font>
    <font>
      <b/>
      <sz val="8"/>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2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indexed="24"/>
      </patternFill>
    </fill>
    <fill>
      <patternFill patternType="solid">
        <fgColor theme="0"/>
        <bgColor indexed="64"/>
      </patternFill>
    </fill>
    <fill>
      <patternFill patternType="solid">
        <fgColor theme="0" tint="-4.9989318521683403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ck">
        <color indexed="10"/>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ck">
        <color indexed="10"/>
      </left>
      <right style="thick">
        <color indexed="10"/>
      </right>
      <top style="thick">
        <color indexed="10"/>
      </top>
      <bottom style="thick">
        <color indexed="10"/>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s>
  <cellStyleXfs count="48">
    <xf numFmtId="0" fontId="0"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16"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3"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1" fillId="0" borderId="0">
      <alignment vertical="top"/>
      <protection locked="0"/>
    </xf>
    <xf numFmtId="0" fontId="1" fillId="0" borderId="0"/>
    <xf numFmtId="0" fontId="13" fillId="23" borderId="7" applyNumberFormat="0" applyFont="0" applyAlignment="0" applyProtection="0"/>
    <xf numFmtId="0" fontId="25" fillId="20" borderId="8" applyNumberFormat="0" applyAlignment="0" applyProtection="0"/>
    <xf numFmtId="9" fontId="1" fillId="0" borderId="0" applyFont="0" applyFill="0" applyBorder="0" applyAlignment="0" applyProtection="0"/>
    <xf numFmtId="0" fontId="54" fillId="0" borderId="0" applyNumberFormat="0" applyFill="0" applyBorder="0" applyAlignment="0" applyProtection="0"/>
    <xf numFmtId="0" fontId="55" fillId="0" borderId="9" applyNumberFormat="0" applyFill="0" applyAlignment="0" applyProtection="0"/>
    <xf numFmtId="0" fontId="56" fillId="0" borderId="0" applyNumberFormat="0" applyFill="0" applyBorder="0" applyAlignment="0" applyProtection="0"/>
  </cellStyleXfs>
  <cellXfs count="618">
    <xf numFmtId="0" fontId="0" fillId="0" borderId="0" xfId="0"/>
    <xf numFmtId="0" fontId="4" fillId="24" borderId="0" xfId="0" applyFont="1" applyFill="1" applyAlignment="1" applyProtection="1">
      <alignment vertical="top" wrapText="1"/>
    </xf>
    <xf numFmtId="0" fontId="0" fillId="24" borderId="0" xfId="0" applyFill="1" applyBorder="1" applyProtection="1"/>
    <xf numFmtId="0" fontId="6" fillId="24" borderId="0" xfId="0" quotePrefix="1" applyFont="1" applyFill="1" applyBorder="1" applyAlignment="1" applyProtection="1">
      <alignment vertical="top"/>
    </xf>
    <xf numFmtId="0" fontId="5" fillId="24" borderId="0" xfId="0" applyFont="1" applyFill="1" applyBorder="1" applyAlignment="1" applyProtection="1">
      <alignment horizontal="left" indent="1"/>
    </xf>
    <xf numFmtId="0" fontId="7" fillId="24" borderId="0" xfId="0" quotePrefix="1" applyFont="1" applyFill="1" applyBorder="1" applyProtection="1"/>
    <xf numFmtId="0" fontId="5" fillId="24" borderId="0" xfId="0" applyFont="1" applyFill="1" applyBorder="1" applyProtection="1"/>
    <xf numFmtId="0" fontId="8" fillId="24" borderId="0" xfId="0" applyFont="1" applyFill="1" applyBorder="1" applyAlignment="1" applyProtection="1">
      <alignment horizontal="center"/>
    </xf>
    <xf numFmtId="0" fontId="0" fillId="0" borderId="0" xfId="0" applyProtection="1"/>
    <xf numFmtId="0" fontId="0" fillId="24" borderId="0" xfId="0" applyFill="1" applyProtection="1"/>
    <xf numFmtId="0" fontId="17" fillId="25" borderId="10" xfId="40" applyFont="1" applyFill="1" applyBorder="1" applyAlignment="1" applyProtection="1">
      <alignment horizontal="center" vertical="center" wrapText="1"/>
    </xf>
    <xf numFmtId="0" fontId="18" fillId="25" borderId="10" xfId="40" applyFont="1" applyFill="1" applyBorder="1" applyAlignment="1" applyProtection="1">
      <alignment horizontal="center" vertical="center" wrapText="1"/>
    </xf>
    <xf numFmtId="0" fontId="18" fillId="24" borderId="10" xfId="40" applyFont="1" applyFill="1" applyBorder="1" applyAlignment="1" applyProtection="1">
      <alignment vertical="center"/>
    </xf>
    <xf numFmtId="0" fontId="17" fillId="25" borderId="10" xfId="40" applyFont="1" applyFill="1" applyBorder="1" applyAlignment="1" applyProtection="1">
      <alignment horizontal="center" vertical="center"/>
    </xf>
    <xf numFmtId="0" fontId="19" fillId="25" borderId="10" xfId="40" applyFont="1" applyFill="1" applyBorder="1" applyAlignment="1" applyProtection="1">
      <alignment horizontal="left" vertical="center" wrapText="1" indent="1"/>
    </xf>
    <xf numFmtId="0" fontId="20" fillId="25" borderId="10" xfId="40" applyFont="1" applyFill="1" applyBorder="1" applyAlignment="1" applyProtection="1">
      <alignment vertical="center" wrapText="1"/>
    </xf>
    <xf numFmtId="0" fontId="19" fillId="24" borderId="10" xfId="40" applyFont="1" applyFill="1" applyBorder="1" applyAlignment="1" applyProtection="1">
      <alignment horizontal="left" vertical="center" wrapText="1" indent="1"/>
    </xf>
    <xf numFmtId="0" fontId="20" fillId="25" borderId="11" xfId="40" applyFont="1" applyFill="1" applyBorder="1" applyAlignment="1" applyProtection="1">
      <alignment vertical="center" wrapText="1"/>
    </xf>
    <xf numFmtId="0" fontId="20" fillId="25" borderId="13" xfId="40" applyFont="1" applyFill="1" applyBorder="1" applyAlignment="1" applyProtection="1">
      <alignment vertical="center" wrapText="1"/>
    </xf>
    <xf numFmtId="0" fontId="18" fillId="25" borderId="14" xfId="40" applyFont="1" applyFill="1" applyBorder="1" applyAlignment="1" applyProtection="1">
      <alignment horizontal="left" vertical="center" wrapText="1"/>
    </xf>
    <xf numFmtId="0" fontId="20" fillId="25" borderId="15" xfId="40" applyFont="1" applyFill="1" applyBorder="1" applyAlignment="1" applyProtection="1">
      <alignment vertical="center" wrapText="1"/>
    </xf>
    <xf numFmtId="3" fontId="6" fillId="24" borderId="15" xfId="40" applyNumberFormat="1" applyFont="1" applyFill="1" applyBorder="1" applyAlignment="1" applyProtection="1">
      <alignment vertical="center" wrapText="1"/>
    </xf>
    <xf numFmtId="0" fontId="18" fillId="25" borderId="0" xfId="40" applyFont="1" applyFill="1" applyBorder="1" applyAlignment="1" applyProtection="1">
      <alignment horizontal="center" vertical="center" wrapText="1"/>
    </xf>
    <xf numFmtId="0" fontId="6" fillId="25" borderId="0" xfId="40" applyFont="1" applyFill="1" applyBorder="1" applyAlignment="1" applyProtection="1">
      <alignment horizontal="center" vertical="center" wrapText="1"/>
    </xf>
    <xf numFmtId="3" fontId="6" fillId="24" borderId="10" xfId="40" applyNumberFormat="1" applyFont="1" applyFill="1" applyBorder="1" applyAlignment="1" applyProtection="1">
      <alignment vertical="center" wrapText="1"/>
    </xf>
    <xf numFmtId="0" fontId="19" fillId="25" borderId="10" xfId="40" applyFont="1" applyFill="1" applyBorder="1" applyAlignment="1" applyProtection="1">
      <alignment vertical="center" wrapText="1"/>
    </xf>
    <xf numFmtId="3" fontId="13" fillId="24" borderId="10" xfId="0" applyNumberFormat="1" applyFont="1" applyFill="1" applyBorder="1" applyProtection="1"/>
    <xf numFmtId="0" fontId="6" fillId="25" borderId="10" xfId="40" applyFont="1" applyFill="1" applyBorder="1" applyAlignment="1" applyProtection="1">
      <alignment vertical="center" wrapText="1"/>
    </xf>
    <xf numFmtId="3" fontId="13" fillId="24" borderId="10" xfId="40" applyNumberFormat="1" applyFont="1" applyFill="1" applyBorder="1" applyAlignment="1" applyProtection="1">
      <alignment vertical="center" wrapText="1"/>
    </xf>
    <xf numFmtId="0" fontId="6" fillId="24" borderId="10" xfId="40" applyFont="1" applyFill="1" applyBorder="1" applyAlignment="1" applyProtection="1">
      <alignment vertical="center" wrapText="1"/>
    </xf>
    <xf numFmtId="0" fontId="18" fillId="24" borderId="10" xfId="0" applyFont="1" applyFill="1" applyBorder="1" applyAlignment="1" applyProtection="1">
      <alignment horizontal="center" vertical="center" wrapText="1"/>
    </xf>
    <xf numFmtId="0" fontId="18" fillId="24" borderId="10" xfId="0" applyFont="1" applyFill="1" applyBorder="1" applyAlignment="1" applyProtection="1">
      <alignment wrapText="1"/>
    </xf>
    <xf numFmtId="0" fontId="6" fillId="24" borderId="14" xfId="0" applyFont="1" applyFill="1" applyBorder="1" applyAlignment="1" applyProtection="1">
      <alignment horizontal="center"/>
    </xf>
    <xf numFmtId="0" fontId="18" fillId="24" borderId="15" xfId="0" applyFont="1" applyFill="1" applyBorder="1" applyAlignment="1" applyProtection="1">
      <alignment wrapText="1"/>
    </xf>
    <xf numFmtId="3" fontId="18" fillId="24" borderId="15" xfId="0" applyNumberFormat="1" applyFont="1" applyFill="1" applyBorder="1" applyProtection="1"/>
    <xf numFmtId="3" fontId="18" fillId="24" borderId="17" xfId="0" applyNumberFormat="1" applyFont="1" applyFill="1" applyBorder="1" applyProtection="1"/>
    <xf numFmtId="0" fontId="24" fillId="24" borderId="0" xfId="0" applyFont="1" applyFill="1" applyProtection="1"/>
    <xf numFmtId="3" fontId="6" fillId="24" borderId="0" xfId="0" applyNumberFormat="1" applyFont="1" applyFill="1" applyProtection="1"/>
    <xf numFmtId="0" fontId="0" fillId="24" borderId="0" xfId="0" applyFill="1" applyAlignment="1" applyProtection="1">
      <alignment horizontal="center"/>
    </xf>
    <xf numFmtId="0" fontId="6" fillId="24" borderId="0" xfId="0" applyFont="1" applyFill="1" applyProtection="1"/>
    <xf numFmtId="0" fontId="25" fillId="25" borderId="0" xfId="40" applyFont="1" applyFill="1" applyAlignment="1" applyProtection="1">
      <alignment horizontal="center" vertical="top"/>
    </xf>
    <xf numFmtId="0" fontId="26" fillId="25" borderId="0" xfId="40" applyFont="1" applyFill="1" applyProtection="1">
      <alignment vertical="top"/>
    </xf>
    <xf numFmtId="0" fontId="25" fillId="25" borderId="0" xfId="40" applyFont="1" applyFill="1" applyProtection="1">
      <alignment vertical="top"/>
    </xf>
    <xf numFmtId="0" fontId="27" fillId="25" borderId="14" xfId="40" applyFont="1" applyFill="1" applyBorder="1" applyAlignment="1" applyProtection="1">
      <alignment horizontal="center" vertical="center" wrapText="1"/>
    </xf>
    <xf numFmtId="0" fontId="27" fillId="25" borderId="15" xfId="40" applyFont="1" applyFill="1" applyBorder="1" applyAlignment="1" applyProtection="1">
      <alignment horizontal="center" vertical="center" wrapText="1"/>
    </xf>
    <xf numFmtId="0" fontId="28" fillId="25" borderId="15" xfId="40" applyFont="1" applyFill="1" applyBorder="1" applyAlignment="1" applyProtection="1">
      <alignment horizontal="center" vertical="center" wrapText="1"/>
    </xf>
    <xf numFmtId="0" fontId="27" fillId="25" borderId="17" xfId="40" applyFont="1" applyFill="1" applyBorder="1" applyAlignment="1" applyProtection="1">
      <alignment horizontal="center" vertical="center" wrapText="1"/>
    </xf>
    <xf numFmtId="0" fontId="29" fillId="25" borderId="0" xfId="40" applyFont="1" applyFill="1" applyBorder="1" applyAlignment="1" applyProtection="1">
      <alignment horizontal="right" vertical="center"/>
    </xf>
    <xf numFmtId="0" fontId="29" fillId="25" borderId="0" xfId="40" applyFont="1" applyFill="1" applyBorder="1" applyAlignment="1" applyProtection="1">
      <alignment horizontal="center" vertical="center"/>
    </xf>
    <xf numFmtId="3" fontId="29" fillId="25" borderId="10" xfId="40" applyNumberFormat="1" applyFont="1" applyFill="1" applyBorder="1" applyAlignment="1" applyProtection="1">
      <alignment vertical="center"/>
    </xf>
    <xf numFmtId="3" fontId="29" fillId="25" borderId="10" xfId="40" applyNumberFormat="1" applyFont="1" applyFill="1" applyBorder="1" applyAlignment="1" applyProtection="1">
      <alignment horizontal="right" vertical="center"/>
    </xf>
    <xf numFmtId="3" fontId="29" fillId="24" borderId="10" xfId="40" applyNumberFormat="1" applyFont="1" applyFill="1" applyBorder="1" applyAlignment="1" applyProtection="1">
      <alignment horizontal="right" vertical="center"/>
    </xf>
    <xf numFmtId="3" fontId="29" fillId="24" borderId="10" xfId="40" applyNumberFormat="1" applyFont="1" applyFill="1" applyBorder="1" applyAlignment="1" applyProtection="1">
      <alignment horizontal="center" vertical="center"/>
    </xf>
    <xf numFmtId="3" fontId="29" fillId="24" borderId="10" xfId="40" applyNumberFormat="1" applyFont="1" applyFill="1" applyBorder="1" applyAlignment="1" applyProtection="1">
      <alignment vertical="center"/>
    </xf>
    <xf numFmtId="0" fontId="31" fillId="25" borderId="14" xfId="40" applyFont="1" applyFill="1" applyBorder="1" applyAlignment="1" applyProtection="1">
      <alignment vertical="center"/>
    </xf>
    <xf numFmtId="3" fontId="27" fillId="25" borderId="15" xfId="40" applyNumberFormat="1" applyFont="1" applyFill="1" applyBorder="1" applyAlignment="1" applyProtection="1">
      <alignment horizontal="right" vertical="center"/>
    </xf>
    <xf numFmtId="3" fontId="27" fillId="25" borderId="17" xfId="40" applyNumberFormat="1" applyFont="1" applyFill="1" applyBorder="1" applyAlignment="1" applyProtection="1">
      <alignment horizontal="right" vertical="center"/>
    </xf>
    <xf numFmtId="3" fontId="32" fillId="25" borderId="18" xfId="40" applyNumberFormat="1" applyFont="1" applyFill="1" applyBorder="1" applyAlignment="1" applyProtection="1">
      <alignment horizontal="right" vertical="center"/>
    </xf>
    <xf numFmtId="3" fontId="29" fillId="25" borderId="18" xfId="40" applyNumberFormat="1" applyFont="1" applyFill="1" applyBorder="1" applyAlignment="1" applyProtection="1">
      <alignment horizontal="right" vertical="center"/>
    </xf>
    <xf numFmtId="3" fontId="29" fillId="25" borderId="18" xfId="40" applyNumberFormat="1" applyFont="1" applyFill="1" applyBorder="1" applyAlignment="1" applyProtection="1">
      <alignment horizontal="center" vertical="center"/>
    </xf>
    <xf numFmtId="3" fontId="29" fillId="25" borderId="18" xfId="40" applyNumberFormat="1" applyFont="1" applyFill="1" applyBorder="1" applyAlignment="1" applyProtection="1">
      <alignment vertical="center"/>
    </xf>
    <xf numFmtId="3" fontId="27" fillId="25" borderId="15" xfId="40" applyNumberFormat="1" applyFont="1" applyFill="1" applyBorder="1" applyAlignment="1" applyProtection="1">
      <alignment vertical="center"/>
    </xf>
    <xf numFmtId="3" fontId="27" fillId="25" borderId="17" xfId="40" applyNumberFormat="1" applyFont="1" applyFill="1" applyBorder="1" applyAlignment="1" applyProtection="1">
      <alignment vertical="center"/>
    </xf>
    <xf numFmtId="0" fontId="30" fillId="25" borderId="0" xfId="40" applyFont="1" applyFill="1" applyProtection="1">
      <alignment vertical="top"/>
    </xf>
    <xf numFmtId="3" fontId="32" fillId="25" borderId="0" xfId="40" applyNumberFormat="1" applyFont="1" applyFill="1" applyBorder="1" applyAlignment="1" applyProtection="1">
      <alignment horizontal="right" vertical="top"/>
    </xf>
    <xf numFmtId="3" fontId="29" fillId="25" borderId="0" xfId="40" applyNumberFormat="1" applyFont="1" applyFill="1" applyBorder="1" applyAlignment="1" applyProtection="1">
      <alignment horizontal="right" vertical="top"/>
    </xf>
    <xf numFmtId="3" fontId="29" fillId="25" borderId="0" xfId="40" applyNumberFormat="1" applyFont="1" applyFill="1" applyBorder="1" applyAlignment="1" applyProtection="1">
      <alignment horizontal="center" vertical="top"/>
    </xf>
    <xf numFmtId="3" fontId="29" fillId="25" borderId="0" xfId="40" applyNumberFormat="1" applyFont="1" applyFill="1" applyProtection="1">
      <alignment vertical="top"/>
    </xf>
    <xf numFmtId="0" fontId="6" fillId="25" borderId="0" xfId="40" applyFont="1" applyFill="1" applyBorder="1" applyAlignment="1" applyProtection="1">
      <alignment vertical="top"/>
    </xf>
    <xf numFmtId="0" fontId="13" fillId="25" borderId="0" xfId="40" applyFont="1" applyFill="1" applyProtection="1">
      <alignment vertical="top"/>
    </xf>
    <xf numFmtId="0" fontId="19" fillId="24" borderId="0" xfId="0" applyFont="1" applyFill="1" applyProtection="1"/>
    <xf numFmtId="3" fontId="19" fillId="24" borderId="10" xfId="28" applyNumberFormat="1" applyFont="1" applyFill="1" applyBorder="1" applyProtection="1"/>
    <xf numFmtId="41" fontId="19" fillId="24" borderId="0" xfId="28" applyNumberFormat="1" applyFont="1" applyFill="1" applyProtection="1"/>
    <xf numFmtId="0" fontId="19" fillId="24" borderId="10" xfId="0" applyFont="1" applyFill="1" applyBorder="1" applyProtection="1"/>
    <xf numFmtId="0" fontId="19" fillId="24" borderId="11" xfId="0" applyFont="1" applyFill="1" applyBorder="1" applyProtection="1"/>
    <xf numFmtId="0" fontId="19" fillId="24" borderId="19" xfId="0" applyFont="1" applyFill="1" applyBorder="1" applyProtection="1"/>
    <xf numFmtId="0" fontId="18" fillId="24" borderId="10" xfId="0" applyFont="1" applyFill="1" applyBorder="1" applyProtection="1"/>
    <xf numFmtId="0" fontId="22" fillId="24" borderId="0" xfId="0" applyFont="1" applyFill="1" applyProtection="1"/>
    <xf numFmtId="0" fontId="9" fillId="25" borderId="0" xfId="40" applyFont="1" applyFill="1" applyProtection="1">
      <alignment vertical="top"/>
    </xf>
    <xf numFmtId="0" fontId="18" fillId="25" borderId="13" xfId="40" applyFont="1" applyFill="1" applyBorder="1" applyAlignment="1" applyProtection="1">
      <alignment horizontal="center" vertical="center" wrapText="1"/>
    </xf>
    <xf numFmtId="3" fontId="6" fillId="24" borderId="15" xfId="40" applyNumberFormat="1" applyFont="1" applyFill="1" applyBorder="1" applyAlignment="1" applyProtection="1">
      <alignment horizontal="right" vertical="center" wrapText="1"/>
    </xf>
    <xf numFmtId="0" fontId="11" fillId="25" borderId="0" xfId="40" applyFont="1" applyFill="1" applyBorder="1" applyProtection="1">
      <alignment vertical="top"/>
    </xf>
    <xf numFmtId="0" fontId="13" fillId="25" borderId="0" xfId="40" applyFont="1" applyFill="1" applyBorder="1" applyProtection="1">
      <alignment vertical="top"/>
    </xf>
    <xf numFmtId="3" fontId="13" fillId="24" borderId="0" xfId="40" applyNumberFormat="1" applyFont="1" applyFill="1" applyBorder="1" applyProtection="1">
      <alignment vertical="top"/>
    </xf>
    <xf numFmtId="0" fontId="6" fillId="25" borderId="0" xfId="40" applyFont="1" applyFill="1" applyBorder="1" applyProtection="1">
      <alignment vertical="top"/>
    </xf>
    <xf numFmtId="3" fontId="13" fillId="25" borderId="0" xfId="40" applyNumberFormat="1" applyFont="1" applyFill="1" applyBorder="1" applyProtection="1">
      <alignment vertical="top"/>
    </xf>
    <xf numFmtId="0" fontId="11" fillId="24" borderId="0" xfId="0" applyFont="1" applyFill="1" applyProtection="1"/>
    <xf numFmtId="0" fontId="11" fillId="25" borderId="0" xfId="40" applyFont="1" applyFill="1" applyBorder="1" applyAlignment="1" applyProtection="1">
      <alignment vertical="center" wrapText="1"/>
    </xf>
    <xf numFmtId="0" fontId="6" fillId="24" borderId="0" xfId="0" applyFont="1" applyFill="1" applyBorder="1" applyAlignment="1" applyProtection="1">
      <alignment horizontal="center" wrapText="1"/>
    </xf>
    <xf numFmtId="0" fontId="6" fillId="24" borderId="0" xfId="40" applyFont="1" applyFill="1" applyBorder="1" applyAlignment="1" applyProtection="1">
      <alignment vertical="center"/>
    </xf>
    <xf numFmtId="0" fontId="13" fillId="25" borderId="0" xfId="40" applyFont="1" applyFill="1" applyBorder="1" applyAlignment="1" applyProtection="1">
      <alignment horizontal="left" vertical="top" indent="2"/>
    </xf>
    <xf numFmtId="3" fontId="13" fillId="24" borderId="21" xfId="40" applyNumberFormat="1" applyFont="1" applyFill="1" applyBorder="1" applyProtection="1">
      <alignment vertical="top"/>
    </xf>
    <xf numFmtId="3" fontId="6" fillId="24" borderId="0" xfId="40" applyNumberFormat="1" applyFont="1" applyFill="1" applyBorder="1" applyProtection="1">
      <alignment vertical="top"/>
    </xf>
    <xf numFmtId="0" fontId="0" fillId="0" borderId="0" xfId="0" applyAlignment="1" applyProtection="1">
      <alignment horizontal="center"/>
    </xf>
    <xf numFmtId="0" fontId="34" fillId="24" borderId="0" xfId="0" applyFont="1" applyFill="1" applyProtection="1"/>
    <xf numFmtId="166" fontId="36" fillId="24" borderId="0" xfId="29" applyNumberFormat="1" applyFont="1" applyFill="1" applyProtection="1"/>
    <xf numFmtId="0" fontId="10" fillId="24" borderId="0" xfId="0" applyFont="1" applyFill="1" applyProtection="1"/>
    <xf numFmtId="166" fontId="10" fillId="24" borderId="0" xfId="0" applyNumberFormat="1" applyFont="1" applyFill="1" applyBorder="1" applyProtection="1"/>
    <xf numFmtId="0" fontId="33" fillId="24" borderId="0" xfId="0" applyFont="1" applyFill="1" applyAlignment="1" applyProtection="1">
      <alignment horizontal="center" wrapText="1"/>
    </xf>
    <xf numFmtId="0" fontId="6" fillId="24" borderId="18" xfId="0" applyFont="1" applyFill="1" applyBorder="1" applyAlignment="1" applyProtection="1">
      <alignment horizontal="center" vertical="center"/>
    </xf>
    <xf numFmtId="0" fontId="18" fillId="24" borderId="18" xfId="0" applyFont="1" applyFill="1" applyBorder="1" applyAlignment="1" applyProtection="1">
      <alignment horizontal="center" vertical="center"/>
    </xf>
    <xf numFmtId="0" fontId="18" fillId="24" borderId="18" xfId="0" applyFont="1" applyFill="1" applyBorder="1" applyAlignment="1" applyProtection="1">
      <alignment horizontal="center" vertical="center" wrapText="1"/>
    </xf>
    <xf numFmtId="0" fontId="39" fillId="24" borderId="0" xfId="0" applyFont="1" applyFill="1" applyBorder="1" applyAlignment="1" applyProtection="1">
      <alignment horizontal="center"/>
    </xf>
    <xf numFmtId="0" fontId="6" fillId="25" borderId="0" xfId="40" applyFont="1" applyFill="1" applyBorder="1" applyAlignment="1" applyProtection="1">
      <alignment horizontal="left" vertical="top"/>
    </xf>
    <xf numFmtId="0" fontId="6" fillId="24" borderId="0" xfId="0" applyFont="1" applyFill="1" applyBorder="1" applyAlignment="1" applyProtection="1">
      <alignment horizontal="center"/>
    </xf>
    <xf numFmtId="0" fontId="9" fillId="25" borderId="10" xfId="40" applyFont="1" applyFill="1" applyBorder="1" applyProtection="1">
      <alignment vertical="top"/>
    </xf>
    <xf numFmtId="0" fontId="40" fillId="24" borderId="0" xfId="0" applyFont="1" applyFill="1" applyProtection="1"/>
    <xf numFmtId="0" fontId="5" fillId="0" borderId="0" xfId="0" applyFont="1" applyFill="1" applyBorder="1" applyAlignment="1" applyProtection="1">
      <alignment horizontal="left" indent="5"/>
    </xf>
    <xf numFmtId="0" fontId="5" fillId="0" borderId="0" xfId="0" applyFont="1" applyFill="1" applyBorder="1" applyAlignment="1" applyProtection="1">
      <alignment horizontal="left" indent="6"/>
    </xf>
    <xf numFmtId="0" fontId="9" fillId="0" borderId="0" xfId="0" applyFont="1" applyFill="1" applyBorder="1" applyAlignment="1" applyProtection="1">
      <alignment horizontal="right"/>
    </xf>
    <xf numFmtId="167" fontId="9" fillId="0" borderId="0" xfId="0" applyNumberFormat="1" applyFont="1" applyFill="1" applyBorder="1" applyAlignment="1" applyProtection="1">
      <alignment horizontal="left"/>
    </xf>
    <xf numFmtId="0" fontId="10" fillId="0" borderId="0" xfId="0" applyFont="1" applyFill="1" applyBorder="1" applyAlignment="1" applyProtection="1"/>
    <xf numFmtId="166" fontId="10" fillId="24" borderId="16" xfId="29" applyNumberFormat="1" applyFont="1" applyFill="1" applyBorder="1" applyProtection="1"/>
    <xf numFmtId="166" fontId="10" fillId="24" borderId="22" xfId="29" applyNumberFormat="1" applyFont="1" applyFill="1" applyBorder="1" applyProtection="1"/>
    <xf numFmtId="0" fontId="29" fillId="25" borderId="16" xfId="40" applyFont="1" applyFill="1" applyBorder="1" applyAlignment="1" applyProtection="1">
      <alignment horizontal="right" vertical="center"/>
    </xf>
    <xf numFmtId="0" fontId="29" fillId="25" borderId="16" xfId="40" applyFont="1" applyFill="1" applyBorder="1" applyAlignment="1" applyProtection="1">
      <alignment vertical="center"/>
    </xf>
    <xf numFmtId="0" fontId="29" fillId="25" borderId="23" xfId="40" applyFont="1" applyFill="1" applyBorder="1" applyAlignment="1" applyProtection="1">
      <alignment vertical="center" wrapText="1"/>
    </xf>
    <xf numFmtId="0" fontId="29" fillId="25" borderId="24" xfId="40" applyFont="1" applyFill="1" applyBorder="1" applyAlignment="1" applyProtection="1">
      <alignment vertical="center"/>
    </xf>
    <xf numFmtId="0" fontId="29" fillId="25" borderId="25" xfId="40" applyFont="1" applyFill="1" applyBorder="1" applyAlignment="1" applyProtection="1">
      <alignment vertical="center" wrapText="1"/>
    </xf>
    <xf numFmtId="3" fontId="29" fillId="25" borderId="26" xfId="40" applyNumberFormat="1" applyFont="1" applyFill="1" applyBorder="1" applyAlignment="1" applyProtection="1">
      <alignment vertical="center"/>
    </xf>
    <xf numFmtId="0" fontId="29" fillId="25" borderId="25" xfId="40" applyFont="1" applyFill="1" applyBorder="1" applyAlignment="1" applyProtection="1">
      <alignment horizontal="left" vertical="center" wrapText="1"/>
    </xf>
    <xf numFmtId="0" fontId="29" fillId="25" borderId="27" xfId="40" applyFont="1" applyFill="1" applyBorder="1" applyAlignment="1" applyProtection="1">
      <alignment vertical="center" wrapText="1"/>
    </xf>
    <xf numFmtId="3" fontId="32" fillId="25" borderId="28" xfId="40" applyNumberFormat="1" applyFont="1" applyFill="1" applyBorder="1" applyAlignment="1" applyProtection="1">
      <alignment horizontal="right" vertical="center"/>
    </xf>
    <xf numFmtId="0" fontId="29" fillId="25" borderId="25" xfId="40" quotePrefix="1" applyFont="1" applyFill="1" applyBorder="1" applyAlignment="1" applyProtection="1">
      <alignment horizontal="left" vertical="center" wrapText="1" indent="1"/>
    </xf>
    <xf numFmtId="166" fontId="34" fillId="24" borderId="0" xfId="29" applyNumberFormat="1" applyFont="1" applyFill="1" applyAlignment="1" applyProtection="1">
      <alignment horizontal="center"/>
    </xf>
    <xf numFmtId="0" fontId="34" fillId="24" borderId="0" xfId="0" applyFont="1" applyFill="1" applyAlignment="1" applyProtection="1">
      <alignment horizontal="center"/>
    </xf>
    <xf numFmtId="0" fontId="34" fillId="24" borderId="0" xfId="0" applyFont="1" applyFill="1" applyAlignment="1" applyProtection="1">
      <alignment horizontal="right"/>
    </xf>
    <xf numFmtId="166" fontId="3" fillId="24" borderId="0" xfId="29" applyNumberFormat="1" applyFont="1" applyFill="1" applyAlignment="1" applyProtection="1">
      <alignment horizontal="center"/>
    </xf>
    <xf numFmtId="166" fontId="3" fillId="24" borderId="0" xfId="0" applyNumberFormat="1" applyFont="1" applyFill="1" applyBorder="1" applyAlignment="1" applyProtection="1">
      <alignment horizontal="center"/>
    </xf>
    <xf numFmtId="0" fontId="3" fillId="24" borderId="0" xfId="0" applyFont="1" applyFill="1" applyAlignment="1" applyProtection="1">
      <alignment horizontal="center"/>
    </xf>
    <xf numFmtId="166" fontId="3" fillId="24" borderId="0" xfId="29" applyNumberFormat="1" applyFont="1" applyFill="1" applyBorder="1" applyAlignment="1" applyProtection="1">
      <alignment horizontal="center"/>
    </xf>
    <xf numFmtId="0" fontId="9" fillId="25" borderId="30" xfId="40" applyFont="1" applyFill="1" applyBorder="1" applyProtection="1">
      <alignment vertical="top"/>
    </xf>
    <xf numFmtId="0" fontId="17" fillId="25" borderId="31" xfId="40" applyFont="1" applyFill="1" applyBorder="1" applyAlignment="1" applyProtection="1">
      <alignment horizontal="center" vertical="center" wrapText="1"/>
    </xf>
    <xf numFmtId="0" fontId="18" fillId="25" borderId="31" xfId="40" applyFont="1" applyFill="1" applyBorder="1" applyAlignment="1" applyProtection="1">
      <alignment horizontal="center" vertical="center" wrapText="1"/>
    </xf>
    <xf numFmtId="0" fontId="18" fillId="25" borderId="32" xfId="40" applyFont="1" applyFill="1" applyBorder="1" applyAlignment="1" applyProtection="1">
      <alignment horizontal="center" vertical="center" wrapText="1"/>
    </xf>
    <xf numFmtId="0" fontId="18" fillId="24" borderId="25" xfId="40" applyFont="1" applyFill="1" applyBorder="1" applyAlignment="1" applyProtection="1">
      <alignment vertical="center"/>
    </xf>
    <xf numFmtId="3" fontId="19" fillId="0" borderId="26" xfId="40" applyNumberFormat="1" applyFont="1" applyFill="1" applyBorder="1" applyAlignment="1" applyProtection="1">
      <alignment horizontal="right" vertical="top"/>
    </xf>
    <xf numFmtId="0" fontId="19" fillId="25" borderId="25" xfId="40" applyFont="1" applyFill="1" applyBorder="1" applyAlignment="1" applyProtection="1">
      <alignment horizontal="left" vertical="center" wrapText="1" indent="1"/>
    </xf>
    <xf numFmtId="0" fontId="19" fillId="24" borderId="25" xfId="40" applyFont="1" applyFill="1" applyBorder="1" applyAlignment="1" applyProtection="1">
      <alignment horizontal="left" vertical="center" wrapText="1" indent="1"/>
    </xf>
    <xf numFmtId="3" fontId="19" fillId="0" borderId="26" xfId="40" applyNumberFormat="1" applyFont="1" applyFill="1" applyBorder="1" applyAlignment="1" applyProtection="1">
      <alignment vertical="center" wrapText="1"/>
    </xf>
    <xf numFmtId="3" fontId="19" fillId="24" borderId="26" xfId="40" applyNumberFormat="1" applyFont="1" applyFill="1" applyBorder="1" applyAlignment="1" applyProtection="1">
      <alignment horizontal="right" vertical="top"/>
    </xf>
    <xf numFmtId="0" fontId="18" fillId="25" borderId="34" xfId="40" applyFont="1" applyFill="1" applyBorder="1" applyAlignment="1" applyProtection="1">
      <alignment horizontal="center" vertical="center" wrapText="1"/>
    </xf>
    <xf numFmtId="0" fontId="18" fillId="25" borderId="35" xfId="40" applyFont="1" applyFill="1" applyBorder="1" applyAlignment="1" applyProtection="1">
      <alignment horizontal="center" vertical="center" wrapText="1"/>
    </xf>
    <xf numFmtId="3" fontId="19" fillId="24" borderId="26" xfId="40" applyNumberFormat="1" applyFont="1" applyFill="1" applyBorder="1" applyAlignment="1" applyProtection="1">
      <alignment horizontal="right" vertical="center"/>
    </xf>
    <xf numFmtId="0" fontId="18" fillId="25" borderId="25" xfId="40" applyFont="1" applyFill="1" applyBorder="1" applyAlignment="1" applyProtection="1">
      <alignment horizontal="left" vertical="center" wrapText="1"/>
    </xf>
    <xf numFmtId="0" fontId="19" fillId="25" borderId="25" xfId="40" applyFont="1" applyFill="1" applyBorder="1" applyAlignment="1" applyProtection="1">
      <alignment vertical="center" wrapText="1"/>
    </xf>
    <xf numFmtId="3" fontId="0" fillId="24" borderId="26" xfId="0" applyNumberFormat="1" applyFill="1" applyBorder="1" applyProtection="1"/>
    <xf numFmtId="0" fontId="6" fillId="25" borderId="25" xfId="40" applyFont="1" applyFill="1" applyBorder="1" applyAlignment="1" applyProtection="1">
      <alignment vertical="center" wrapText="1"/>
    </xf>
    <xf numFmtId="3" fontId="6" fillId="24" borderId="26" xfId="40" applyNumberFormat="1" applyFont="1" applyFill="1" applyBorder="1" applyAlignment="1" applyProtection="1">
      <alignment vertical="center" wrapText="1"/>
    </xf>
    <xf numFmtId="0" fontId="6" fillId="24" borderId="36" xfId="40" applyFont="1" applyFill="1" applyBorder="1" applyAlignment="1" applyProtection="1">
      <alignment vertical="center" wrapText="1"/>
    </xf>
    <xf numFmtId="0" fontId="20" fillId="25" borderId="37" xfId="40" applyFont="1" applyFill="1" applyBorder="1" applyAlignment="1" applyProtection="1">
      <alignment vertical="center" wrapText="1"/>
    </xf>
    <xf numFmtId="3" fontId="6" fillId="24" borderId="37" xfId="40" applyNumberFormat="1" applyFont="1" applyFill="1" applyBorder="1" applyAlignment="1" applyProtection="1">
      <alignment vertical="center" wrapText="1"/>
    </xf>
    <xf numFmtId="3" fontId="6" fillId="24" borderId="38" xfId="40" applyNumberFormat="1" applyFont="1" applyFill="1" applyBorder="1" applyAlignment="1" applyProtection="1">
      <alignment vertical="center" wrapText="1"/>
    </xf>
    <xf numFmtId="0" fontId="6" fillId="24" borderId="0" xfId="0" applyFont="1" applyFill="1" applyAlignment="1" applyProtection="1">
      <alignment horizontal="left"/>
    </xf>
    <xf numFmtId="0" fontId="6" fillId="24" borderId="0" xfId="0" applyFont="1" applyFill="1" applyAlignment="1" applyProtection="1">
      <alignment horizontal="center"/>
    </xf>
    <xf numFmtId="0" fontId="29" fillId="25" borderId="39" xfId="40" applyFont="1" applyFill="1" applyBorder="1" applyAlignment="1" applyProtection="1">
      <alignment vertical="center" wrapText="1"/>
    </xf>
    <xf numFmtId="0" fontId="29" fillId="25" borderId="0" xfId="40" applyFont="1" applyFill="1" applyBorder="1" applyAlignment="1" applyProtection="1">
      <alignment vertical="center"/>
    </xf>
    <xf numFmtId="0" fontId="29" fillId="25" borderId="40" xfId="40" applyFont="1" applyFill="1" applyBorder="1" applyAlignment="1" applyProtection="1">
      <alignment vertical="center"/>
    </xf>
    <xf numFmtId="0" fontId="27" fillId="25" borderId="25" xfId="40" applyFont="1" applyFill="1" applyBorder="1" applyAlignment="1" applyProtection="1">
      <alignment horizontal="left" vertical="center" wrapText="1"/>
    </xf>
    <xf numFmtId="3" fontId="29" fillId="25" borderId="28" xfId="40" applyNumberFormat="1" applyFont="1" applyFill="1" applyBorder="1" applyAlignment="1" applyProtection="1">
      <alignment vertical="center"/>
    </xf>
    <xf numFmtId="0" fontId="29" fillId="25" borderId="25" xfId="40" quotePrefix="1" applyFont="1" applyFill="1" applyBorder="1" applyAlignment="1" applyProtection="1">
      <alignment horizontal="left" vertical="center" wrapText="1"/>
    </xf>
    <xf numFmtId="0" fontId="20" fillId="25" borderId="10" xfId="40" applyFont="1" applyFill="1" applyBorder="1" applyAlignment="1" applyProtection="1">
      <alignment horizontal="center" vertical="center" wrapText="1"/>
    </xf>
    <xf numFmtId="0" fontId="20" fillId="25" borderId="11" xfId="40" applyFont="1" applyFill="1" applyBorder="1" applyAlignment="1" applyProtection="1">
      <alignment horizontal="center" vertical="center" wrapText="1"/>
    </xf>
    <xf numFmtId="0" fontId="21" fillId="25" borderId="10" xfId="40" applyFont="1" applyFill="1" applyBorder="1" applyAlignment="1" applyProtection="1">
      <alignment horizontal="center" vertical="center" wrapText="1"/>
    </xf>
    <xf numFmtId="0" fontId="21" fillId="25" borderId="15" xfId="40" applyFont="1" applyFill="1" applyBorder="1" applyAlignment="1" applyProtection="1">
      <alignment horizontal="center" vertical="center" wrapText="1"/>
    </xf>
    <xf numFmtId="0" fontId="21" fillId="25" borderId="18" xfId="40" applyFont="1" applyFill="1" applyBorder="1" applyAlignment="1" applyProtection="1">
      <alignment horizontal="center" vertical="center" wrapText="1"/>
    </xf>
    <xf numFmtId="0" fontId="21" fillId="25" borderId="42" xfId="40" applyFont="1" applyFill="1" applyBorder="1" applyAlignment="1" applyProtection="1">
      <alignment horizontal="center" vertical="center" wrapText="1"/>
    </xf>
    <xf numFmtId="0" fontId="15" fillId="24" borderId="10" xfId="0" applyFont="1" applyFill="1" applyBorder="1" applyAlignment="1" applyProtection="1">
      <alignment horizontal="left" vertical="center" wrapText="1"/>
    </xf>
    <xf numFmtId="0" fontId="19" fillId="25" borderId="20" xfId="40" applyFont="1" applyFill="1" applyBorder="1" applyAlignment="1" applyProtection="1">
      <alignment horizontal="left" vertical="center" wrapText="1"/>
    </xf>
    <xf numFmtId="0" fontId="6" fillId="25" borderId="14" xfId="40" applyFont="1" applyFill="1" applyBorder="1" applyAlignment="1" applyProtection="1">
      <alignment horizontal="left" vertical="center" wrapText="1"/>
    </xf>
    <xf numFmtId="0" fontId="6" fillId="24" borderId="14" xfId="0" applyFont="1" applyFill="1" applyBorder="1" applyAlignment="1" applyProtection="1">
      <alignment horizontal="left" vertical="center" wrapText="1"/>
    </xf>
    <xf numFmtId="0" fontId="12" fillId="25" borderId="18" xfId="40" applyFont="1" applyFill="1" applyBorder="1" applyAlignment="1" applyProtection="1">
      <alignment horizontal="center" vertical="center" wrapText="1"/>
    </xf>
    <xf numFmtId="0" fontId="15" fillId="24" borderId="16" xfId="0" applyFont="1" applyFill="1" applyBorder="1" applyAlignment="1" applyProtection="1">
      <alignment horizontal="left" vertical="center" wrapText="1"/>
    </xf>
    <xf numFmtId="0" fontId="18" fillId="25" borderId="0" xfId="40" applyFont="1" applyFill="1" applyBorder="1" applyAlignment="1" applyProtection="1">
      <alignment horizontal="left" vertical="center" wrapText="1"/>
    </xf>
    <xf numFmtId="3" fontId="6" fillId="25" borderId="0" xfId="40" applyNumberFormat="1" applyFont="1" applyFill="1" applyBorder="1" applyAlignment="1" applyProtection="1">
      <alignment horizontal="right" vertical="center" wrapText="1"/>
    </xf>
    <xf numFmtId="3" fontId="6" fillId="24" borderId="17" xfId="40" applyNumberFormat="1" applyFont="1" applyFill="1" applyBorder="1" applyAlignment="1" applyProtection="1">
      <alignment horizontal="right" vertical="center" wrapText="1"/>
    </xf>
    <xf numFmtId="0" fontId="15" fillId="24" borderId="21" xfId="0" applyFont="1" applyFill="1" applyBorder="1" applyAlignment="1" applyProtection="1">
      <alignment horizontal="left" vertical="center" wrapText="1"/>
    </xf>
    <xf numFmtId="0" fontId="6" fillId="24" borderId="0" xfId="0" applyFont="1" applyFill="1" applyBorder="1" applyAlignment="1" applyProtection="1">
      <alignment horizontal="left"/>
    </xf>
    <xf numFmtId="0" fontId="13" fillId="25" borderId="0" xfId="40" applyFont="1" applyFill="1" applyBorder="1" applyAlignment="1" applyProtection="1">
      <alignment horizontal="left" vertical="top"/>
    </xf>
    <xf numFmtId="0" fontId="6" fillId="24" borderId="45" xfId="0" applyFont="1" applyFill="1" applyBorder="1" applyAlignment="1" applyProtection="1">
      <alignment horizontal="left"/>
    </xf>
    <xf numFmtId="10" fontId="0" fillId="24" borderId="0" xfId="0" applyNumberFormat="1" applyFill="1" applyBorder="1" applyAlignment="1" applyProtection="1">
      <alignment horizontal="left"/>
    </xf>
    <xf numFmtId="0" fontId="6" fillId="0" borderId="0" xfId="0" applyFont="1" applyAlignment="1" applyProtection="1">
      <alignment horizontal="left"/>
    </xf>
    <xf numFmtId="0" fontId="6" fillId="0" borderId="0" xfId="0" applyFont="1" applyAlignment="1" applyProtection="1">
      <alignment horizontal="center"/>
    </xf>
    <xf numFmtId="166" fontId="19" fillId="0" borderId="10" xfId="29" applyNumberFormat="1" applyFont="1" applyFill="1" applyBorder="1" applyProtection="1"/>
    <xf numFmtId="3" fontId="6" fillId="24" borderId="17" xfId="0" applyNumberFormat="1" applyFont="1" applyFill="1" applyBorder="1" applyAlignment="1" applyProtection="1">
      <alignment horizontal="right" vertical="center"/>
    </xf>
    <xf numFmtId="166" fontId="13" fillId="25" borderId="10" xfId="29" applyNumberFormat="1" applyFont="1" applyFill="1" applyBorder="1" applyAlignment="1" applyProtection="1">
      <alignment horizontal="right" vertical="top"/>
    </xf>
    <xf numFmtId="10" fontId="13" fillId="25" borderId="0" xfId="40" applyNumberFormat="1" applyFont="1" applyFill="1" applyBorder="1" applyAlignment="1" applyProtection="1">
      <alignment horizontal="center" vertical="top"/>
    </xf>
    <xf numFmtId="10" fontId="13" fillId="25" borderId="10" xfId="44" applyNumberFormat="1" applyFont="1" applyFill="1" applyBorder="1" applyAlignment="1" applyProtection="1">
      <alignment horizontal="right" vertical="top"/>
    </xf>
    <xf numFmtId="166" fontId="6" fillId="24" borderId="10" xfId="29" applyNumberFormat="1" applyFont="1" applyFill="1" applyBorder="1" applyAlignment="1" applyProtection="1">
      <alignment vertical="top"/>
    </xf>
    <xf numFmtId="3" fontId="6" fillId="24" borderId="17" xfId="40" applyNumberFormat="1" applyFont="1" applyFill="1" applyBorder="1" applyAlignment="1" applyProtection="1">
      <alignment vertical="center" wrapText="1"/>
    </xf>
    <xf numFmtId="3" fontId="19" fillId="24" borderId="0" xfId="40" applyNumberFormat="1" applyFont="1" applyFill="1" applyBorder="1" applyAlignment="1" applyProtection="1">
      <alignment horizontal="right" vertical="top"/>
    </xf>
    <xf numFmtId="3" fontId="19" fillId="24" borderId="0" xfId="40" applyNumberFormat="1" applyFont="1" applyFill="1" applyBorder="1" applyAlignment="1" applyProtection="1">
      <alignment horizontal="right" vertical="center"/>
    </xf>
    <xf numFmtId="0" fontId="34" fillId="24" borderId="0" xfId="0" applyFont="1" applyFill="1" applyAlignment="1" applyProtection="1">
      <alignment horizontal="left" vertical="top"/>
    </xf>
    <xf numFmtId="0" fontId="10" fillId="0" borderId="0" xfId="0" applyFont="1" applyFill="1" applyBorder="1" applyAlignment="1" applyProtection="1">
      <alignment horizontal="center"/>
    </xf>
    <xf numFmtId="0" fontId="6" fillId="24" borderId="0" xfId="0" applyFont="1" applyFill="1" applyBorder="1" applyProtection="1"/>
    <xf numFmtId="0" fontId="35" fillId="24" borderId="0" xfId="0" applyFont="1" applyFill="1" applyAlignment="1" applyProtection="1">
      <alignment horizontal="center"/>
    </xf>
    <xf numFmtId="0" fontId="0" fillId="0" borderId="0" xfId="0" applyAlignment="1" applyProtection="1"/>
    <xf numFmtId="0" fontId="35" fillId="24" borderId="0" xfId="0" applyFont="1" applyFill="1" applyProtection="1"/>
    <xf numFmtId="0" fontId="37" fillId="24" borderId="0" xfId="0" applyFont="1" applyFill="1" applyProtection="1"/>
    <xf numFmtId="3" fontId="19" fillId="24" borderId="25" xfId="40" applyNumberFormat="1" applyFont="1" applyFill="1" applyBorder="1" applyAlignment="1" applyProtection="1">
      <alignment vertical="center" wrapText="1"/>
    </xf>
    <xf numFmtId="0" fontId="37" fillId="24" borderId="0" xfId="0" applyFont="1" applyFill="1" applyBorder="1" applyAlignment="1" applyProtection="1">
      <alignment horizontal="center"/>
    </xf>
    <xf numFmtId="3" fontId="13" fillId="24" borderId="0" xfId="40" applyNumberFormat="1" applyFont="1" applyFill="1" applyBorder="1" applyAlignment="1" applyProtection="1">
      <alignment vertical="center" wrapText="1"/>
    </xf>
    <xf numFmtId="3" fontId="19" fillId="24" borderId="10" xfId="40" applyNumberFormat="1" applyFont="1" applyFill="1" applyBorder="1" applyAlignment="1" applyProtection="1">
      <alignment vertical="center" wrapText="1"/>
    </xf>
    <xf numFmtId="0" fontId="18" fillId="25" borderId="31" xfId="40" applyFont="1" applyFill="1" applyBorder="1" applyAlignment="1" applyProtection="1">
      <alignment horizontal="left" vertical="center" wrapText="1"/>
    </xf>
    <xf numFmtId="0" fontId="20" fillId="25" borderId="31" xfId="40" applyFont="1" applyFill="1" applyBorder="1" applyAlignment="1" applyProtection="1">
      <alignment horizontal="center" vertical="center" wrapText="1"/>
    </xf>
    <xf numFmtId="3" fontId="6" fillId="24" borderId="31" xfId="40" applyNumberFormat="1" applyFont="1" applyFill="1" applyBorder="1" applyAlignment="1" applyProtection="1">
      <alignment vertical="center" wrapText="1"/>
    </xf>
    <xf numFmtId="0" fontId="22" fillId="25" borderId="31" xfId="40" applyFont="1" applyFill="1" applyBorder="1" applyAlignment="1" applyProtection="1">
      <alignment horizontal="left" vertical="center" wrapText="1"/>
    </xf>
    <xf numFmtId="0" fontId="19" fillId="25" borderId="10" xfId="40" applyFont="1" applyFill="1" applyBorder="1" applyAlignment="1" applyProtection="1">
      <alignment horizontal="left" vertical="center" wrapText="1"/>
    </xf>
    <xf numFmtId="0" fontId="59" fillId="24" borderId="0" xfId="0" applyFont="1" applyFill="1" applyAlignment="1" applyProtection="1">
      <alignment horizontal="left" indent="1"/>
    </xf>
    <xf numFmtId="0" fontId="6" fillId="24" borderId="0" xfId="41" applyFont="1" applyFill="1" applyProtection="1"/>
    <xf numFmtId="0" fontId="14" fillId="24" borderId="0" xfId="0" applyFont="1" applyFill="1" applyProtection="1"/>
    <xf numFmtId="0" fontId="0" fillId="0" borderId="0" xfId="0" applyBorder="1" applyProtection="1"/>
    <xf numFmtId="10" fontId="0" fillId="24" borderId="0" xfId="44" applyNumberFormat="1" applyFont="1" applyFill="1" applyProtection="1"/>
    <xf numFmtId="10" fontId="0" fillId="24" borderId="0" xfId="0" applyNumberFormat="1" applyFill="1" applyProtection="1"/>
    <xf numFmtId="10" fontId="1" fillId="24" borderId="0" xfId="44" applyNumberFormat="1" applyFont="1" applyFill="1" applyProtection="1"/>
    <xf numFmtId="3" fontId="0" fillId="24" borderId="0" xfId="0" applyNumberFormat="1" applyFill="1" applyProtection="1"/>
    <xf numFmtId="166" fontId="6" fillId="24" borderId="0" xfId="29" applyNumberFormat="1" applyFont="1" applyFill="1" applyBorder="1" applyAlignment="1" applyProtection="1">
      <alignment vertical="top"/>
    </xf>
    <xf numFmtId="0" fontId="2" fillId="24" borderId="0" xfId="36" applyFill="1" applyBorder="1" applyAlignment="1" applyProtection="1"/>
    <xf numFmtId="0" fontId="2" fillId="24" borderId="0" xfId="36" applyFill="1" applyAlignment="1" applyProtection="1"/>
    <xf numFmtId="3" fontId="27" fillId="0" borderId="15" xfId="40" applyNumberFormat="1" applyFont="1" applyFill="1" applyBorder="1" applyAlignment="1" applyProtection="1">
      <alignment horizontal="right" vertical="center"/>
    </xf>
    <xf numFmtId="166" fontId="13" fillId="0" borderId="10" xfId="29" applyNumberFormat="1" applyFont="1" applyFill="1" applyBorder="1" applyAlignment="1" applyProtection="1">
      <alignment horizontal="right" vertical="top"/>
    </xf>
    <xf numFmtId="10" fontId="13" fillId="0" borderId="10" xfId="44" applyNumberFormat="1" applyFont="1" applyFill="1" applyBorder="1" applyAlignment="1" applyProtection="1">
      <alignment horizontal="right" vertical="top"/>
    </xf>
    <xf numFmtId="166" fontId="6" fillId="0" borderId="10" xfId="29" applyNumberFormat="1" applyFont="1" applyFill="1" applyBorder="1" applyAlignment="1" applyProtection="1">
      <alignment vertical="top"/>
    </xf>
    <xf numFmtId="0" fontId="1" fillId="24" borderId="0" xfId="41" applyFill="1" applyProtection="1"/>
    <xf numFmtId="0" fontId="6" fillId="24" borderId="0" xfId="41" applyFont="1" applyFill="1" applyAlignment="1" applyProtection="1">
      <alignment horizontal="center"/>
    </xf>
    <xf numFmtId="0" fontId="1" fillId="24" borderId="0" xfId="41" applyFill="1" applyAlignment="1" applyProtection="1">
      <alignment horizontal="center"/>
    </xf>
    <xf numFmtId="10" fontId="1" fillId="24" borderId="0" xfId="41" applyNumberFormat="1" applyFill="1" applyAlignment="1" applyProtection="1">
      <alignment horizontal="center"/>
    </xf>
    <xf numFmtId="10" fontId="1" fillId="24" borderId="16" xfId="41" applyNumberFormat="1" applyFill="1" applyBorder="1" applyAlignment="1" applyProtection="1">
      <alignment horizontal="center"/>
    </xf>
    <xf numFmtId="10" fontId="1" fillId="24" borderId="0" xfId="41" applyNumberFormat="1" applyFill="1" applyBorder="1" applyAlignment="1" applyProtection="1">
      <alignment horizontal="center"/>
    </xf>
    <xf numFmtId="10" fontId="1" fillId="24" borderId="12" xfId="41" applyNumberFormat="1" applyFill="1" applyBorder="1" applyAlignment="1" applyProtection="1">
      <alignment horizontal="center"/>
    </xf>
    <xf numFmtId="10" fontId="6" fillId="24" borderId="0" xfId="41" applyNumberFormat="1" applyFont="1" applyFill="1" applyAlignment="1" applyProtection="1">
      <alignment horizontal="center"/>
    </xf>
    <xf numFmtId="10" fontId="13" fillId="24" borderId="16" xfId="41" applyNumberFormat="1" applyFont="1" applyFill="1" applyBorder="1" applyAlignment="1" applyProtection="1">
      <alignment horizontal="center"/>
    </xf>
    <xf numFmtId="10" fontId="13" fillId="24" borderId="49" xfId="41" applyNumberFormat="1" applyFont="1" applyFill="1" applyBorder="1" applyAlignment="1" applyProtection="1">
      <alignment horizontal="center"/>
    </xf>
    <xf numFmtId="3" fontId="1" fillId="24" borderId="0" xfId="41" applyNumberFormat="1" applyFill="1" applyBorder="1" applyAlignment="1" applyProtection="1">
      <alignment horizontal="center"/>
    </xf>
    <xf numFmtId="10" fontId="1" fillId="24" borderId="0" xfId="41" applyNumberFormat="1" applyFill="1" applyProtection="1"/>
    <xf numFmtId="0" fontId="11" fillId="24" borderId="0" xfId="41" applyFont="1" applyFill="1" applyProtection="1"/>
    <xf numFmtId="3" fontId="19" fillId="0" borderId="10" xfId="28" applyNumberFormat="1" applyFont="1" applyFill="1" applyBorder="1" applyAlignment="1" applyProtection="1">
      <alignment vertical="center"/>
    </xf>
    <xf numFmtId="0" fontId="20" fillId="25" borderId="20" xfId="40" applyFont="1" applyFill="1" applyBorder="1" applyAlignment="1" applyProtection="1">
      <alignment vertical="center" wrapText="1"/>
    </xf>
    <xf numFmtId="0" fontId="21" fillId="25" borderId="19" xfId="40" applyFont="1" applyFill="1" applyBorder="1" applyAlignment="1" applyProtection="1">
      <alignment horizontal="center" vertical="center" wrapText="1"/>
    </xf>
    <xf numFmtId="3" fontId="27" fillId="0" borderId="17" xfId="40" applyNumberFormat="1" applyFont="1" applyFill="1" applyBorder="1" applyAlignment="1" applyProtection="1">
      <alignment horizontal="right" vertical="center"/>
    </xf>
    <xf numFmtId="3" fontId="27" fillId="0" borderId="15" xfId="40" applyNumberFormat="1" applyFont="1" applyFill="1" applyBorder="1" applyAlignment="1" applyProtection="1">
      <alignment vertical="center"/>
    </xf>
    <xf numFmtId="3" fontId="27" fillId="0" borderId="17" xfId="40" applyNumberFormat="1" applyFont="1" applyFill="1" applyBorder="1" applyAlignment="1" applyProtection="1">
      <alignment vertical="center"/>
    </xf>
    <xf numFmtId="0" fontId="10" fillId="0" borderId="0" xfId="0" applyFont="1" applyAlignment="1" applyProtection="1">
      <alignment horizontal="center"/>
    </xf>
    <xf numFmtId="0" fontId="60" fillId="0" borderId="0" xfId="0" applyFont="1" applyProtection="1"/>
    <xf numFmtId="0" fontId="61" fillId="0" borderId="0" xfId="0" applyFont="1" applyAlignment="1" applyProtection="1">
      <alignment horizontal="left" vertical="center" wrapText="1"/>
    </xf>
    <xf numFmtId="168" fontId="57" fillId="0" borderId="0" xfId="0" applyNumberFormat="1" applyFont="1" applyFill="1" applyBorder="1" applyAlignment="1" applyProtection="1">
      <alignment horizontal="left"/>
    </xf>
    <xf numFmtId="168" fontId="10" fillId="0" borderId="0" xfId="0" applyNumberFormat="1" applyFont="1" applyFill="1" applyAlignment="1" applyProtection="1">
      <alignment horizontal="center"/>
    </xf>
    <xf numFmtId="0" fontId="10" fillId="28" borderId="57" xfId="0" applyFont="1" applyFill="1" applyBorder="1" applyAlignment="1" applyProtection="1">
      <alignment horizontal="center" vertical="center" wrapText="1"/>
      <protection locked="0"/>
    </xf>
    <xf numFmtId="0" fontId="10" fillId="0" borderId="0" xfId="0" applyFont="1" applyProtection="1"/>
    <xf numFmtId="0" fontId="0" fillId="0" borderId="0" xfId="0" applyFill="1" applyProtection="1"/>
    <xf numFmtId="0" fontId="57" fillId="0" borderId="0" xfId="0" applyFont="1" applyFill="1" applyBorder="1" applyAlignment="1" applyProtection="1"/>
    <xf numFmtId="0" fontId="58" fillId="0" borderId="0" xfId="0" applyFont="1" applyFill="1" applyBorder="1" applyAlignment="1" applyProtection="1">
      <alignment horizontal="left"/>
    </xf>
    <xf numFmtId="0" fontId="40" fillId="0" borderId="0" xfId="0" applyFont="1" applyFill="1" applyBorder="1" applyAlignment="1" applyProtection="1">
      <alignment horizontal="left"/>
    </xf>
    <xf numFmtId="168" fontId="57" fillId="0" borderId="0" xfId="0" applyNumberFormat="1" applyFont="1" applyFill="1" applyBorder="1" applyAlignment="1" applyProtection="1"/>
    <xf numFmtId="168" fontId="57" fillId="0" borderId="0" xfId="0" applyNumberFormat="1" applyFont="1" applyFill="1" applyBorder="1" applyAlignment="1" applyProtection="1">
      <alignment vertical="center"/>
    </xf>
    <xf numFmtId="0" fontId="5" fillId="24" borderId="0" xfId="0" applyFont="1" applyFill="1" applyBorder="1" applyAlignment="1" applyProtection="1">
      <alignment horizontal="left"/>
    </xf>
    <xf numFmtId="10" fontId="36" fillId="29" borderId="0" xfId="44" applyNumberFormat="1" applyFont="1" applyFill="1" applyAlignment="1" applyProtection="1">
      <alignment horizontal="center"/>
      <protection locked="0"/>
    </xf>
    <xf numFmtId="166" fontId="10" fillId="29" borderId="12" xfId="0" applyNumberFormat="1" applyFont="1" applyFill="1" applyBorder="1" applyProtection="1">
      <protection locked="0"/>
    </xf>
    <xf numFmtId="0" fontId="7" fillId="24" borderId="0" xfId="0" applyFont="1" applyFill="1" applyProtection="1"/>
    <xf numFmtId="0" fontId="6" fillId="29" borderId="10" xfId="0" applyFont="1" applyFill="1" applyBorder="1" applyAlignment="1" applyProtection="1">
      <alignment horizontal="center"/>
      <protection locked="0"/>
    </xf>
    <xf numFmtId="0" fontId="6" fillId="29" borderId="10" xfId="0" applyFont="1" applyFill="1" applyBorder="1" applyAlignment="1" applyProtection="1">
      <alignment horizontal="left"/>
      <protection locked="0"/>
    </xf>
    <xf numFmtId="0" fontId="62" fillId="25" borderId="0" xfId="40" applyFont="1" applyFill="1" applyAlignment="1" applyProtection="1">
      <alignment horizontal="left" vertical="top"/>
    </xf>
    <xf numFmtId="3" fontId="29" fillId="29" borderId="10" xfId="40" applyNumberFormat="1" applyFont="1" applyFill="1" applyBorder="1" applyAlignment="1" applyProtection="1">
      <alignment horizontal="right" vertical="center"/>
      <protection locked="0"/>
    </xf>
    <xf numFmtId="3" fontId="29" fillId="29" borderId="10" xfId="40" applyNumberFormat="1" applyFont="1" applyFill="1" applyBorder="1" applyAlignment="1" applyProtection="1">
      <alignment vertical="center"/>
      <protection locked="0"/>
    </xf>
    <xf numFmtId="0" fontId="29" fillId="29" borderId="25" xfId="40" applyFont="1" applyFill="1" applyBorder="1" applyAlignment="1" applyProtection="1">
      <alignment vertical="center" wrapText="1"/>
      <protection locked="0"/>
    </xf>
    <xf numFmtId="0" fontId="30" fillId="29" borderId="36" xfId="40" applyFont="1" applyFill="1" applyBorder="1" applyAlignment="1" applyProtection="1">
      <alignment vertical="center"/>
      <protection locked="0"/>
    </xf>
    <xf numFmtId="0" fontId="63" fillId="24" borderId="0" xfId="0" applyFont="1" applyFill="1" applyProtection="1"/>
    <xf numFmtId="0" fontId="10" fillId="25" borderId="0" xfId="40" applyFont="1" applyFill="1" applyBorder="1" applyAlignment="1" applyProtection="1">
      <alignment horizontal="center" vertical="center" wrapText="1"/>
    </xf>
    <xf numFmtId="10" fontId="13" fillId="30" borderId="0" xfId="40" applyNumberFormat="1" applyFont="1" applyFill="1" applyBorder="1" applyAlignment="1" applyProtection="1">
      <alignment horizontal="center" vertical="top"/>
      <protection locked="0"/>
    </xf>
    <xf numFmtId="166" fontId="1" fillId="29" borderId="0" xfId="29" applyNumberFormat="1" applyFont="1" applyFill="1" applyProtection="1">
      <protection locked="0"/>
    </xf>
    <xf numFmtId="166" fontId="13" fillId="30" borderId="0" xfId="29" applyNumberFormat="1" applyFont="1" applyFill="1" applyBorder="1" applyAlignment="1" applyProtection="1">
      <alignment vertical="top"/>
      <protection locked="0"/>
    </xf>
    <xf numFmtId="166" fontId="1" fillId="29" borderId="0" xfId="29" applyNumberFormat="1" applyFont="1" applyFill="1" applyBorder="1" applyProtection="1">
      <protection locked="0"/>
    </xf>
    <xf numFmtId="166" fontId="13" fillId="29" borderId="10" xfId="29" applyNumberFormat="1" applyFont="1" applyFill="1" applyBorder="1" applyAlignment="1" applyProtection="1">
      <alignment vertical="top"/>
      <protection locked="0"/>
    </xf>
    <xf numFmtId="166" fontId="18" fillId="0" borderId="15" xfId="29" applyNumberFormat="1" applyFont="1" applyFill="1" applyBorder="1" applyProtection="1"/>
    <xf numFmtId="3" fontId="18" fillId="0" borderId="15" xfId="0" applyNumberFormat="1" applyFont="1" applyFill="1" applyBorder="1" applyProtection="1"/>
    <xf numFmtId="166" fontId="18" fillId="0" borderId="17" xfId="29" applyNumberFormat="1" applyFont="1" applyFill="1" applyBorder="1" applyProtection="1"/>
    <xf numFmtId="0" fontId="7" fillId="24" borderId="0" xfId="0" applyFont="1" applyFill="1" applyAlignment="1" applyProtection="1">
      <alignment horizontal="left" vertical="center"/>
    </xf>
    <xf numFmtId="0" fontId="62" fillId="25" borderId="0" xfId="40" applyFont="1" applyFill="1" applyAlignment="1" applyProtection="1">
      <alignment horizontal="left" vertical="center"/>
    </xf>
    <xf numFmtId="0" fontId="29" fillId="30" borderId="25" xfId="40" applyFont="1" applyFill="1" applyBorder="1" applyAlignment="1" applyProtection="1">
      <alignment vertical="center" wrapText="1"/>
      <protection locked="0"/>
    </xf>
    <xf numFmtId="0" fontId="30" fillId="30" borderId="34" xfId="40" applyFont="1" applyFill="1" applyBorder="1" applyAlignment="1" applyProtection="1">
      <alignment vertical="center"/>
      <protection locked="0"/>
    </xf>
    <xf numFmtId="0" fontId="29" fillId="30" borderId="29" xfId="40" applyFont="1" applyFill="1" applyBorder="1" applyAlignment="1" applyProtection="1">
      <alignment vertical="center" wrapText="1"/>
      <protection locked="0"/>
    </xf>
    <xf numFmtId="3" fontId="29" fillId="30" borderId="10" xfId="40" applyNumberFormat="1" applyFont="1" applyFill="1" applyBorder="1" applyAlignment="1" applyProtection="1">
      <alignment horizontal="right" vertical="center"/>
      <protection locked="0"/>
    </xf>
    <xf numFmtId="3" fontId="29" fillId="30" borderId="10" xfId="40" applyNumberFormat="1" applyFont="1" applyFill="1" applyBorder="1" applyAlignment="1" applyProtection="1">
      <alignment horizontal="center" vertical="center"/>
      <protection locked="0"/>
    </xf>
    <xf numFmtId="3" fontId="29" fillId="29" borderId="10" xfId="40" applyNumberFormat="1" applyFont="1" applyFill="1" applyBorder="1" applyAlignment="1" applyProtection="1">
      <alignment horizontal="center" vertical="center"/>
      <protection locked="0"/>
    </xf>
    <xf numFmtId="3" fontId="29" fillId="30" borderId="26" xfId="40" applyNumberFormat="1" applyFont="1" applyFill="1" applyBorder="1" applyAlignment="1" applyProtection="1">
      <alignment vertical="center"/>
      <protection locked="0"/>
    </xf>
    <xf numFmtId="0" fontId="7" fillId="25" borderId="0" xfId="40" applyFont="1" applyFill="1" applyBorder="1" applyAlignment="1" applyProtection="1">
      <alignment vertical="top"/>
    </xf>
    <xf numFmtId="0" fontId="64" fillId="24" borderId="0" xfId="0" applyFont="1" applyFill="1" applyBorder="1" applyProtection="1"/>
    <xf numFmtId="0" fontId="65" fillId="24" borderId="0" xfId="0" applyFont="1" applyFill="1" applyProtection="1"/>
    <xf numFmtId="0" fontId="37" fillId="24" borderId="0" xfId="0" applyFont="1" applyFill="1" applyBorder="1" applyAlignment="1" applyProtection="1">
      <alignment horizontal="left"/>
    </xf>
    <xf numFmtId="3" fontId="19" fillId="29" borderId="10" xfId="40" applyNumberFormat="1" applyFont="1" applyFill="1" applyBorder="1" applyAlignment="1" applyProtection="1">
      <alignment vertical="center" wrapText="1"/>
      <protection locked="0"/>
    </xf>
    <xf numFmtId="0" fontId="7" fillId="25" borderId="0" xfId="40" applyFont="1" applyFill="1" applyBorder="1" applyAlignment="1" applyProtection="1">
      <alignment horizontal="center" vertical="center" wrapText="1"/>
    </xf>
    <xf numFmtId="0" fontId="18" fillId="0" borderId="15" xfId="0" applyFont="1" applyFill="1" applyBorder="1" applyAlignment="1" applyProtection="1">
      <alignment wrapText="1"/>
    </xf>
    <xf numFmtId="0" fontId="24" fillId="30" borderId="18" xfId="40" applyFont="1" applyFill="1" applyBorder="1" applyAlignment="1" applyProtection="1">
      <alignment horizontal="left" vertical="center" wrapText="1"/>
      <protection locked="0"/>
    </xf>
    <xf numFmtId="0" fontId="24" fillId="30" borderId="20" xfId="40" applyFont="1" applyFill="1" applyBorder="1" applyAlignment="1" applyProtection="1">
      <alignment horizontal="left" vertical="center" wrapText="1"/>
      <protection locked="0"/>
    </xf>
    <xf numFmtId="0" fontId="7" fillId="25" borderId="0" xfId="40" applyFont="1" applyFill="1" applyBorder="1" applyAlignment="1" applyProtection="1">
      <alignment horizontal="left" vertical="center"/>
    </xf>
    <xf numFmtId="3" fontId="19" fillId="29" borderId="10" xfId="28" applyNumberFormat="1" applyFont="1" applyFill="1" applyBorder="1" applyProtection="1">
      <protection locked="0"/>
    </xf>
    <xf numFmtId="0" fontId="6" fillId="0" borderId="0" xfId="0" applyFont="1" applyProtection="1"/>
    <xf numFmtId="0" fontId="6" fillId="0" borderId="0" xfId="0" applyFont="1" applyAlignment="1" applyProtection="1"/>
    <xf numFmtId="0" fontId="37" fillId="24" borderId="0" xfId="0" applyFont="1" applyFill="1" applyAlignment="1" applyProtection="1"/>
    <xf numFmtId="3" fontId="13" fillId="29" borderId="10" xfId="40" applyNumberFormat="1" applyFont="1" applyFill="1" applyBorder="1" applyAlignment="1" applyProtection="1">
      <alignment vertical="center" wrapText="1"/>
      <protection locked="0"/>
    </xf>
    <xf numFmtId="166" fontId="0" fillId="0" borderId="0" xfId="29" applyNumberFormat="1" applyFont="1" applyProtection="1"/>
    <xf numFmtId="9" fontId="0" fillId="0" borderId="0" xfId="44" applyFont="1" applyProtection="1"/>
    <xf numFmtId="166" fontId="0" fillId="0" borderId="0" xfId="0" applyNumberFormat="1" applyProtection="1"/>
    <xf numFmtId="10" fontId="0" fillId="0" borderId="0" xfId="0" applyNumberFormat="1" applyProtection="1"/>
    <xf numFmtId="0" fontId="1" fillId="24" borderId="0" xfId="0" applyFont="1" applyFill="1" applyProtection="1"/>
    <xf numFmtId="0" fontId="1" fillId="24" borderId="0" xfId="41" applyFont="1" applyFill="1" applyAlignment="1" applyProtection="1">
      <alignment horizontal="left"/>
    </xf>
    <xf numFmtId="0" fontId="2" fillId="25" borderId="0" xfId="36" quotePrefix="1" applyFill="1" applyBorder="1" applyAlignment="1" applyProtection="1">
      <alignment horizontal="center" vertical="top"/>
    </xf>
    <xf numFmtId="0" fontId="2" fillId="24" borderId="0" xfId="36" quotePrefix="1" applyFill="1" applyAlignment="1" applyProtection="1"/>
    <xf numFmtId="0" fontId="2" fillId="24" borderId="0" xfId="36" quotePrefix="1" applyFill="1" applyAlignment="1" applyProtection="1">
      <alignment horizontal="center"/>
    </xf>
    <xf numFmtId="0" fontId="2" fillId="25" borderId="43" xfId="36" quotePrefix="1" applyFill="1" applyBorder="1" applyAlignment="1" applyProtection="1">
      <alignment horizontal="center" vertical="top"/>
    </xf>
    <xf numFmtId="0" fontId="27" fillId="25" borderId="41" xfId="40" applyFont="1" applyFill="1" applyBorder="1" applyAlignment="1" applyProtection="1">
      <alignment horizontal="center" vertical="center" wrapText="1"/>
    </xf>
    <xf numFmtId="0" fontId="29" fillId="25" borderId="0" xfId="40" applyFont="1" applyFill="1" applyBorder="1" applyAlignment="1" applyProtection="1">
      <alignment vertical="center" wrapText="1"/>
    </xf>
    <xf numFmtId="0" fontId="27" fillId="25" borderId="19" xfId="40" applyFont="1" applyFill="1" applyBorder="1" applyAlignment="1" applyProtection="1">
      <alignment horizontal="left" vertical="center" wrapText="1"/>
    </xf>
    <xf numFmtId="0" fontId="29" fillId="30" borderId="19" xfId="40" applyFont="1" applyFill="1" applyBorder="1" applyAlignment="1" applyProtection="1">
      <alignment vertical="center" wrapText="1"/>
      <protection locked="0"/>
    </xf>
    <xf numFmtId="0" fontId="30" fillId="30" borderId="0" xfId="40" applyFont="1" applyFill="1" applyBorder="1" applyAlignment="1" applyProtection="1">
      <alignment vertical="center"/>
      <protection locked="0"/>
    </xf>
    <xf numFmtId="0" fontId="31" fillId="25" borderId="41" xfId="40" applyFont="1" applyFill="1" applyBorder="1" applyAlignment="1" applyProtection="1">
      <alignment vertical="center"/>
    </xf>
    <xf numFmtId="0" fontId="29" fillId="25" borderId="60" xfId="40" applyFont="1" applyFill="1" applyBorder="1" applyAlignment="1" applyProtection="1">
      <alignment vertical="center" wrapText="1"/>
    </xf>
    <xf numFmtId="0" fontId="29" fillId="30" borderId="61" xfId="40" applyFont="1" applyFill="1" applyBorder="1" applyAlignment="1" applyProtection="1">
      <alignment vertical="center" wrapText="1"/>
      <protection locked="0"/>
    </xf>
    <xf numFmtId="0" fontId="2" fillId="25" borderId="19" xfId="36" quotePrefix="1" applyFill="1" applyBorder="1" applyAlignment="1" applyProtection="1">
      <alignment horizontal="center" vertical="center" wrapText="1"/>
    </xf>
    <xf numFmtId="0" fontId="1" fillId="25" borderId="0" xfId="40" applyFont="1" applyFill="1" applyBorder="1" applyProtection="1">
      <alignment vertical="top"/>
    </xf>
    <xf numFmtId="0" fontId="18" fillId="24" borderId="0" xfId="0" applyFont="1" applyFill="1" applyBorder="1" applyAlignment="1" applyProtection="1">
      <alignment horizontal="center" vertical="center" wrapText="1"/>
    </xf>
    <xf numFmtId="0" fontId="18" fillId="24" borderId="31" xfId="0" applyFont="1" applyFill="1" applyBorder="1" applyAlignment="1" applyProtection="1">
      <alignment horizontal="center" vertical="center" wrapText="1"/>
    </xf>
    <xf numFmtId="0" fontId="18" fillId="0" borderId="45" xfId="0" applyFont="1" applyFill="1" applyBorder="1" applyAlignment="1" applyProtection="1">
      <alignment horizontal="center" vertical="center" wrapText="1"/>
    </xf>
    <xf numFmtId="0" fontId="2" fillId="25" borderId="10" xfId="36" quotePrefix="1" applyFill="1" applyBorder="1" applyAlignment="1" applyProtection="1">
      <alignment horizontal="center" vertical="center" wrapText="1"/>
    </xf>
    <xf numFmtId="0" fontId="2" fillId="25" borderId="11" xfId="36" quotePrefix="1" applyFill="1" applyBorder="1" applyAlignment="1" applyProtection="1">
      <alignment horizontal="center" vertical="center" wrapText="1"/>
    </xf>
    <xf numFmtId="0" fontId="66" fillId="25" borderId="10" xfId="40" applyFont="1" applyFill="1" applyBorder="1" applyAlignment="1" applyProtection="1">
      <alignment horizontal="center" vertical="center" wrapText="1"/>
    </xf>
    <xf numFmtId="0" fontId="2" fillId="24" borderId="19" xfId="36" quotePrefix="1" applyFill="1" applyBorder="1" applyAlignment="1" applyProtection="1">
      <alignment horizontal="center"/>
    </xf>
    <xf numFmtId="0" fontId="2" fillId="24" borderId="10" xfId="36" quotePrefix="1" applyFill="1" applyBorder="1" applyAlignment="1" applyProtection="1">
      <alignment horizontal="center"/>
    </xf>
    <xf numFmtId="0" fontId="66" fillId="24" borderId="19" xfId="0" applyFont="1" applyFill="1" applyBorder="1" applyAlignment="1" applyProtection="1">
      <alignment horizontal="center"/>
    </xf>
    <xf numFmtId="0" fontId="27" fillId="25" borderId="62" xfId="40" applyFont="1" applyFill="1" applyBorder="1" applyAlignment="1" applyProtection="1">
      <alignment horizontal="center" vertical="center" wrapText="1"/>
    </xf>
    <xf numFmtId="3" fontId="2" fillId="25" borderId="10" xfId="36" quotePrefix="1" applyNumberFormat="1" applyFill="1" applyBorder="1" applyAlignment="1" applyProtection="1">
      <alignment horizontal="center" vertical="center"/>
    </xf>
    <xf numFmtId="0" fontId="27" fillId="25" borderId="63" xfId="40" applyFont="1" applyFill="1" applyBorder="1" applyAlignment="1" applyProtection="1">
      <alignment horizontal="center" vertical="center" wrapText="1"/>
    </xf>
    <xf numFmtId="3" fontId="2" fillId="25" borderId="15" xfId="36" quotePrefix="1" applyNumberFormat="1" applyFill="1" applyBorder="1" applyAlignment="1" applyProtection="1">
      <alignment horizontal="center" vertical="center"/>
    </xf>
    <xf numFmtId="0" fontId="12" fillId="25" borderId="0" xfId="40" applyFont="1" applyFill="1" applyBorder="1" applyAlignment="1" applyProtection="1">
      <alignment horizontal="center" vertical="top"/>
    </xf>
    <xf numFmtId="0" fontId="17" fillId="25" borderId="16" xfId="40" applyFont="1" applyFill="1" applyBorder="1" applyAlignment="1" applyProtection="1">
      <alignment horizontal="center" vertical="center" wrapText="1"/>
    </xf>
    <xf numFmtId="0" fontId="21" fillId="25" borderId="13" xfId="40" applyFont="1" applyFill="1" applyBorder="1" applyAlignment="1" applyProtection="1">
      <alignment horizontal="center" vertical="center" wrapText="1"/>
    </xf>
    <xf numFmtId="0" fontId="1" fillId="24" borderId="0" xfId="0" applyFont="1" applyFill="1" applyAlignment="1" applyProtection="1">
      <alignment horizontal="center" wrapText="1"/>
    </xf>
    <xf numFmtId="0" fontId="2" fillId="25" borderId="64" xfId="36" quotePrefix="1" applyFill="1" applyBorder="1" applyAlignment="1" applyProtection="1">
      <alignment horizontal="center" vertical="center" wrapText="1"/>
    </xf>
    <xf numFmtId="0" fontId="67" fillId="25" borderId="62" xfId="40" applyFont="1" applyFill="1" applyBorder="1" applyAlignment="1" applyProtection="1">
      <alignment horizontal="center" vertical="center" wrapText="1"/>
    </xf>
    <xf numFmtId="0" fontId="18" fillId="24" borderId="19" xfId="0" applyFont="1" applyFill="1" applyBorder="1" applyAlignment="1" applyProtection="1">
      <alignment horizontal="center" wrapText="1"/>
    </xf>
    <xf numFmtId="41" fontId="2" fillId="24" borderId="0" xfId="36" quotePrefix="1" applyNumberFormat="1" applyFill="1" applyAlignment="1" applyProtection="1">
      <alignment horizontal="center"/>
    </xf>
    <xf numFmtId="0" fontId="67" fillId="25" borderId="0" xfId="40" applyFont="1" applyFill="1" applyBorder="1" applyAlignment="1" applyProtection="1">
      <alignment horizontal="center" vertical="top"/>
    </xf>
    <xf numFmtId="169" fontId="6" fillId="25" borderId="0" xfId="28" applyNumberFormat="1" applyFont="1" applyFill="1" applyBorder="1" applyAlignment="1" applyProtection="1">
      <alignment vertical="top"/>
    </xf>
    <xf numFmtId="0" fontId="63" fillId="25" borderId="0" xfId="40" applyFont="1" applyFill="1" applyBorder="1" applyProtection="1">
      <alignment vertical="top"/>
    </xf>
    <xf numFmtId="0" fontId="1" fillId="24" borderId="49" xfId="0" applyFont="1" applyFill="1" applyBorder="1" applyProtection="1"/>
    <xf numFmtId="0" fontId="6" fillId="24" borderId="49" xfId="0" applyFont="1" applyFill="1" applyBorder="1" applyAlignment="1" applyProtection="1">
      <alignment horizontal="center" wrapText="1"/>
    </xf>
    <xf numFmtId="0" fontId="0" fillId="24" borderId="49" xfId="0" applyFill="1" applyBorder="1" applyProtection="1"/>
    <xf numFmtId="0" fontId="67" fillId="24" borderId="0" xfId="0" applyFont="1" applyFill="1" applyProtection="1"/>
    <xf numFmtId="0" fontId="67" fillId="24" borderId="0" xfId="0" applyFont="1" applyFill="1" applyAlignment="1" applyProtection="1">
      <alignment horizontal="center"/>
    </xf>
    <xf numFmtId="0" fontId="68" fillId="25" borderId="0" xfId="40" applyFont="1" applyFill="1" applyBorder="1" applyProtection="1">
      <alignment vertical="top"/>
    </xf>
    <xf numFmtId="0" fontId="6" fillId="24" borderId="49" xfId="0" applyFont="1" applyFill="1" applyBorder="1" applyProtection="1"/>
    <xf numFmtId="0" fontId="67" fillId="24" borderId="0" xfId="36" quotePrefix="1" applyFont="1" applyFill="1" applyAlignment="1" applyProtection="1">
      <alignment horizontal="center"/>
    </xf>
    <xf numFmtId="170" fontId="6" fillId="25" borderId="0" xfId="44" applyNumberFormat="1" applyFont="1" applyFill="1" applyBorder="1" applyAlignment="1" applyProtection="1">
      <alignment vertical="top"/>
    </xf>
    <xf numFmtId="3" fontId="1" fillId="24" borderId="0" xfId="0" applyNumberFormat="1" applyFont="1" applyFill="1" applyBorder="1" applyProtection="1"/>
    <xf numFmtId="3" fontId="1" fillId="24" borderId="16" xfId="0" applyNumberFormat="1" applyFont="1" applyFill="1" applyBorder="1" applyProtection="1"/>
    <xf numFmtId="3" fontId="1" fillId="24" borderId="0" xfId="0" applyNumberFormat="1" applyFont="1" applyFill="1" applyProtection="1"/>
    <xf numFmtId="0" fontId="2" fillId="24" borderId="0" xfId="36" applyFont="1" applyFill="1" applyBorder="1" applyAlignment="1" applyProtection="1"/>
    <xf numFmtId="0" fontId="1" fillId="24" borderId="0" xfId="0" applyFont="1" applyFill="1" applyBorder="1" applyProtection="1"/>
    <xf numFmtId="0" fontId="69" fillId="24" borderId="0" xfId="0" applyFont="1" applyFill="1" applyAlignment="1" applyProtection="1">
      <alignment vertical="top" wrapText="1"/>
    </xf>
    <xf numFmtId="0" fontId="1" fillId="0" borderId="0" xfId="0" applyFont="1" applyFill="1" applyBorder="1" applyProtection="1"/>
    <xf numFmtId="0" fontId="7" fillId="24" borderId="0" xfId="0" applyFont="1" applyFill="1" applyBorder="1" applyProtection="1"/>
    <xf numFmtId="0" fontId="36" fillId="24" borderId="0" xfId="0" applyFont="1" applyFill="1" applyBorder="1" applyAlignment="1" applyProtection="1"/>
    <xf numFmtId="0" fontId="36" fillId="24" borderId="0" xfId="0" applyFont="1" applyFill="1" applyBorder="1" applyProtection="1"/>
    <xf numFmtId="0" fontId="36" fillId="24" borderId="0" xfId="0" applyFont="1" applyFill="1" applyBorder="1" applyAlignment="1" applyProtection="1">
      <alignment horizontal="left"/>
    </xf>
    <xf numFmtId="0" fontId="1" fillId="0" borderId="0" xfId="0" applyFont="1" applyProtection="1"/>
    <xf numFmtId="0" fontId="71" fillId="24" borderId="0" xfId="0" applyFont="1" applyFill="1" applyProtection="1"/>
    <xf numFmtId="0" fontId="1" fillId="24"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Alignment="1" applyProtection="1">
      <alignment horizontal="center"/>
    </xf>
    <xf numFmtId="0" fontId="72" fillId="0" borderId="0" xfId="0" applyFont="1" applyAlignment="1" applyProtection="1">
      <alignment horizontal="right"/>
    </xf>
    <xf numFmtId="0" fontId="74" fillId="0" borderId="0" xfId="0" applyFont="1" applyAlignment="1" applyProtection="1">
      <alignment horizontal="right" vertical="center"/>
    </xf>
    <xf numFmtId="0" fontId="74" fillId="0" borderId="0" xfId="0" applyFont="1" applyAlignment="1" applyProtection="1">
      <alignment horizontal="right" vertical="center" indent="1"/>
    </xf>
    <xf numFmtId="0" fontId="1" fillId="29" borderId="57" xfId="0" applyFont="1" applyFill="1" applyBorder="1" applyAlignment="1" applyProtection="1">
      <alignment horizontal="center" vertical="center"/>
      <protection locked="0"/>
    </xf>
    <xf numFmtId="0" fontId="1" fillId="29" borderId="57" xfId="0" applyFont="1" applyFill="1" applyBorder="1" applyAlignment="1" applyProtection="1">
      <alignment vertical="center"/>
      <protection locked="0"/>
    </xf>
    <xf numFmtId="0" fontId="1" fillId="0" borderId="0" xfId="28" applyNumberFormat="1" applyFont="1" applyAlignment="1" applyProtection="1">
      <alignment horizontal="center"/>
    </xf>
    <xf numFmtId="22" fontId="1" fillId="0" borderId="0" xfId="0" applyNumberFormat="1" applyFont="1" applyAlignment="1" applyProtection="1">
      <alignment horizontal="center"/>
    </xf>
    <xf numFmtId="49" fontId="1" fillId="0" borderId="0" xfId="0" applyNumberFormat="1" applyFont="1" applyProtection="1"/>
    <xf numFmtId="0" fontId="10" fillId="0" borderId="0" xfId="0" applyFont="1" applyFill="1" applyProtection="1"/>
    <xf numFmtId="0" fontId="1" fillId="0" borderId="0" xfId="0" applyFont="1" applyFill="1" applyProtection="1"/>
    <xf numFmtId="0" fontId="1" fillId="0" borderId="0" xfId="0" applyFont="1" applyFill="1" applyBorder="1" applyAlignment="1" applyProtection="1">
      <alignment horizontal="left"/>
    </xf>
    <xf numFmtId="0" fontId="10" fillId="0" borderId="0" xfId="0" applyFont="1" applyAlignment="1" applyProtection="1">
      <alignment horizontal="left" indent="4"/>
    </xf>
    <xf numFmtId="0" fontId="10" fillId="0" borderId="0" xfId="0" applyFont="1" applyBorder="1" applyAlignment="1" applyProtection="1">
      <alignment horizontal="left" indent="4"/>
    </xf>
    <xf numFmtId="0" fontId="10" fillId="0" borderId="0" xfId="0" applyFont="1" applyAlignment="1" applyProtection="1"/>
    <xf numFmtId="0" fontId="10" fillId="0" borderId="0" xfId="0" applyFont="1" applyBorder="1" applyAlignment="1" applyProtection="1"/>
    <xf numFmtId="0" fontId="10" fillId="0" borderId="0" xfId="0" applyFont="1" applyFill="1" applyBorder="1" applyAlignment="1" applyProtection="1">
      <alignment horizontal="left"/>
    </xf>
    <xf numFmtId="0" fontId="10" fillId="0" borderId="0" xfId="0" applyFont="1" applyAlignment="1" applyProtection="1">
      <alignment vertical="top" wrapText="1"/>
    </xf>
    <xf numFmtId="0" fontId="10" fillId="0" borderId="0" xfId="0" applyFont="1" applyFill="1" applyBorder="1" applyAlignment="1" applyProtection="1">
      <alignment horizontal="left" vertical="top" wrapText="1"/>
    </xf>
    <xf numFmtId="22" fontId="1" fillId="0" borderId="0" xfId="0" applyNumberFormat="1" applyFont="1" applyAlignment="1" applyProtection="1">
      <alignment horizontal="left"/>
    </xf>
    <xf numFmtId="0" fontId="0" fillId="28" borderId="10" xfId="0" applyFill="1" applyBorder="1" applyAlignment="1" applyProtection="1">
      <alignment horizontal="center"/>
      <protection locked="0"/>
    </xf>
    <xf numFmtId="0" fontId="2" fillId="25" borderId="0" xfId="36" quotePrefix="1" applyFill="1" applyBorder="1" applyAlignment="1" applyProtection="1">
      <alignment horizontal="left" vertical="center" wrapText="1"/>
    </xf>
    <xf numFmtId="0" fontId="75" fillId="24" borderId="0" xfId="0" applyFont="1" applyFill="1" applyAlignment="1" applyProtection="1">
      <alignment horizontal="center"/>
    </xf>
    <xf numFmtId="0" fontId="76" fillId="25" borderId="12" xfId="40" applyFont="1" applyFill="1" applyBorder="1" applyAlignment="1" applyProtection="1">
      <alignment horizontal="center" vertical="top"/>
    </xf>
    <xf numFmtId="0" fontId="77" fillId="25" borderId="10" xfId="40" applyFont="1" applyFill="1" applyBorder="1" applyAlignment="1" applyProtection="1">
      <alignment horizontal="center" vertical="center" wrapText="1"/>
    </xf>
    <xf numFmtId="0" fontId="76" fillId="25" borderId="18" xfId="40" applyFont="1" applyFill="1" applyBorder="1" applyAlignment="1" applyProtection="1">
      <alignment horizontal="center" vertical="center" wrapText="1"/>
    </xf>
    <xf numFmtId="0" fontId="75" fillId="25" borderId="10" xfId="40" applyFont="1" applyFill="1" applyBorder="1" applyAlignment="1" applyProtection="1">
      <alignment horizontal="center" vertical="center" wrapText="1"/>
    </xf>
    <xf numFmtId="0" fontId="75" fillId="25" borderId="11" xfId="40" applyFont="1" applyFill="1" applyBorder="1" applyAlignment="1" applyProtection="1">
      <alignment horizontal="center" vertical="center" wrapText="1"/>
    </xf>
    <xf numFmtId="0" fontId="78" fillId="25" borderId="13" xfId="40" applyFont="1" applyFill="1" applyBorder="1" applyAlignment="1" applyProtection="1">
      <alignment vertical="center" wrapText="1"/>
    </xf>
    <xf numFmtId="0" fontId="75" fillId="25" borderId="15" xfId="40" applyFont="1" applyFill="1" applyBorder="1" applyAlignment="1" applyProtection="1">
      <alignment horizontal="center" vertical="center" wrapText="1"/>
    </xf>
    <xf numFmtId="0" fontId="75" fillId="25" borderId="18" xfId="40" applyFont="1" applyFill="1" applyBorder="1" applyAlignment="1" applyProtection="1">
      <alignment horizontal="center" vertical="center" wrapText="1"/>
    </xf>
    <xf numFmtId="0" fontId="75" fillId="25" borderId="41" xfId="40" applyFont="1" applyFill="1" applyBorder="1" applyAlignment="1" applyProtection="1">
      <alignment horizontal="center" vertical="center" wrapText="1"/>
    </xf>
    <xf numFmtId="0" fontId="75" fillId="25" borderId="42" xfId="40" applyFont="1" applyFill="1" applyBorder="1" applyAlignment="1" applyProtection="1">
      <alignment horizontal="center" vertical="center" wrapText="1"/>
    </xf>
    <xf numFmtId="0" fontId="79" fillId="25" borderId="44" xfId="40" applyFont="1" applyFill="1" applyBorder="1" applyAlignment="1" applyProtection="1">
      <alignment horizontal="center" vertical="center" wrapText="1"/>
    </xf>
    <xf numFmtId="0" fontId="75" fillId="25" borderId="19" xfId="40" applyFont="1" applyFill="1" applyBorder="1" applyAlignment="1" applyProtection="1">
      <alignment horizontal="center" vertical="center" wrapText="1"/>
    </xf>
    <xf numFmtId="0" fontId="76" fillId="24" borderId="15" xfId="0" applyFont="1" applyFill="1" applyBorder="1" applyAlignment="1" applyProtection="1">
      <alignment horizontal="center"/>
    </xf>
    <xf numFmtId="0" fontId="75" fillId="24" borderId="0" xfId="0" applyFont="1" applyFill="1" applyProtection="1"/>
    <xf numFmtId="171" fontId="6" fillId="24" borderId="0" xfId="41" applyNumberFormat="1" applyFont="1" applyFill="1" applyAlignment="1" applyProtection="1">
      <alignment horizontal="center"/>
    </xf>
    <xf numFmtId="0" fontId="1" fillId="25" borderId="0" xfId="40" applyFont="1" applyFill="1" applyBorder="1" applyAlignment="1" applyProtection="1">
      <alignment horizontal="left" vertical="top" indent="2"/>
    </xf>
    <xf numFmtId="170" fontId="0" fillId="24" borderId="0" xfId="44" applyNumberFormat="1" applyFont="1" applyFill="1" applyProtection="1"/>
    <xf numFmtId="170" fontId="13" fillId="25" borderId="0" xfId="44" applyNumberFormat="1" applyFont="1" applyFill="1" applyBorder="1" applyAlignment="1" applyProtection="1">
      <alignment horizontal="center" vertical="top"/>
    </xf>
    <xf numFmtId="170" fontId="13" fillId="25" borderId="0" xfId="40" applyNumberFormat="1" applyFont="1" applyFill="1" applyBorder="1" applyProtection="1">
      <alignment vertical="top"/>
    </xf>
    <xf numFmtId="172" fontId="13" fillId="25" borderId="0" xfId="40" applyNumberFormat="1" applyFont="1" applyFill="1" applyBorder="1" applyProtection="1">
      <alignment vertical="top"/>
    </xf>
    <xf numFmtId="0" fontId="1" fillId="25" borderId="16" xfId="40" applyFont="1" applyFill="1" applyBorder="1" applyAlignment="1" applyProtection="1">
      <alignment horizontal="center" vertical="top" wrapText="1"/>
    </xf>
    <xf numFmtId="0" fontId="1" fillId="25" borderId="16" xfId="40" applyFont="1" applyFill="1" applyBorder="1" applyAlignment="1" applyProtection="1">
      <alignment horizontal="center" vertical="top"/>
    </xf>
    <xf numFmtId="166" fontId="13" fillId="25" borderId="0" xfId="29" applyNumberFormat="1" applyFont="1" applyFill="1" applyBorder="1" applyAlignment="1" applyProtection="1">
      <alignment horizontal="center" vertical="top"/>
    </xf>
    <xf numFmtId="170" fontId="13" fillId="25" borderId="0" xfId="40" applyNumberFormat="1" applyFont="1" applyFill="1" applyBorder="1" applyAlignment="1" applyProtection="1">
      <alignment horizontal="center" vertical="top"/>
    </xf>
    <xf numFmtId="164" fontId="0" fillId="24" borderId="0" xfId="0" applyNumberFormat="1" applyFill="1" applyProtection="1"/>
    <xf numFmtId="0" fontId="19" fillId="24" borderId="0" xfId="0" applyFont="1" applyFill="1" applyBorder="1" applyProtection="1"/>
    <xf numFmtId="0" fontId="18" fillId="24" borderId="0" xfId="0" applyFont="1" applyFill="1" applyBorder="1" applyProtection="1"/>
    <xf numFmtId="3" fontId="19" fillId="31" borderId="10" xfId="28" applyNumberFormat="1" applyFont="1" applyFill="1" applyBorder="1" applyProtection="1"/>
    <xf numFmtId="2" fontId="73" fillId="0" borderId="0" xfId="0" applyNumberFormat="1" applyFont="1" applyAlignment="1" applyProtection="1">
      <alignment horizontal="right"/>
    </xf>
    <xf numFmtId="3" fontId="1" fillId="25" borderId="46" xfId="40" applyNumberFormat="1" applyFont="1" applyFill="1" applyBorder="1" applyAlignment="1" applyProtection="1">
      <alignment horizontal="right" vertical="center"/>
    </xf>
    <xf numFmtId="3" fontId="1" fillId="25" borderId="0" xfId="40" applyNumberFormat="1" applyFont="1" applyFill="1" applyBorder="1" applyAlignment="1" applyProtection="1">
      <alignment horizontal="right" vertical="center"/>
    </xf>
    <xf numFmtId="3" fontId="1" fillId="24" borderId="16" xfId="40" applyNumberFormat="1" applyFont="1" applyFill="1" applyBorder="1" applyAlignment="1" applyProtection="1">
      <alignment horizontal="right" vertical="center"/>
    </xf>
    <xf numFmtId="3" fontId="1" fillId="25" borderId="18" xfId="40" applyNumberFormat="1" applyFont="1" applyFill="1" applyBorder="1" applyAlignment="1" applyProtection="1">
      <alignment horizontal="right" vertical="center" wrapText="1"/>
    </xf>
    <xf numFmtId="3" fontId="1" fillId="24" borderId="13" xfId="40" applyNumberFormat="1" applyFont="1" applyFill="1" applyBorder="1" applyAlignment="1" applyProtection="1">
      <alignment horizontal="right" vertical="center" wrapText="1"/>
    </xf>
    <xf numFmtId="3" fontId="1" fillId="29" borderId="10" xfId="40" applyNumberFormat="1" applyFont="1" applyFill="1" applyBorder="1" applyAlignment="1" applyProtection="1">
      <alignment horizontal="left" vertical="center" wrapText="1"/>
      <protection locked="0"/>
    </xf>
    <xf numFmtId="3" fontId="1" fillId="24" borderId="0" xfId="40" applyNumberFormat="1" applyFont="1" applyFill="1" applyBorder="1" applyAlignment="1" applyProtection="1">
      <alignment vertical="center" wrapText="1"/>
    </xf>
    <xf numFmtId="3" fontId="1" fillId="24" borderId="10" xfId="40" applyNumberFormat="1" applyFont="1" applyFill="1" applyBorder="1" applyAlignment="1" applyProtection="1">
      <alignment horizontal="right" vertical="center" wrapText="1"/>
    </xf>
    <xf numFmtId="3" fontId="1" fillId="24" borderId="20" xfId="0" applyNumberFormat="1" applyFont="1" applyFill="1" applyBorder="1" applyAlignment="1" applyProtection="1">
      <alignment horizontal="right" vertical="center"/>
    </xf>
    <xf numFmtId="0" fontId="2" fillId="25" borderId="65" xfId="40" applyFont="1" applyFill="1" applyBorder="1" applyAlignment="1" applyProtection="1">
      <alignment horizontal="center" vertical="center" wrapText="1"/>
    </xf>
    <xf numFmtId="3" fontId="1" fillId="24" borderId="32" xfId="40" applyNumberFormat="1" applyFont="1" applyFill="1" applyBorder="1" applyAlignment="1" applyProtection="1">
      <alignment horizontal="right" vertical="center" wrapText="1"/>
    </xf>
    <xf numFmtId="0" fontId="66" fillId="24" borderId="0" xfId="0" applyFont="1" applyFill="1" applyBorder="1" applyAlignment="1" applyProtection="1">
      <alignment horizontal="center"/>
    </xf>
    <xf numFmtId="3" fontId="19" fillId="24" borderId="0" xfId="28" applyNumberFormat="1" applyFont="1" applyFill="1" applyBorder="1" applyProtection="1"/>
    <xf numFmtId="0" fontId="66" fillId="24" borderId="10" xfId="0" applyFont="1" applyFill="1" applyBorder="1" applyAlignment="1" applyProtection="1">
      <alignment horizontal="center"/>
    </xf>
    <xf numFmtId="0" fontId="0" fillId="24" borderId="10" xfId="0" applyFill="1" applyBorder="1" applyProtection="1"/>
    <xf numFmtId="3" fontId="0" fillId="24" borderId="10" xfId="0" applyNumberFormat="1" applyFill="1" applyBorder="1" applyProtection="1"/>
    <xf numFmtId="0" fontId="2" fillId="25" borderId="11" xfId="36" applyFill="1" applyBorder="1" applyAlignment="1" applyProtection="1">
      <alignment horizontal="center" vertical="center" wrapText="1"/>
    </xf>
    <xf numFmtId="0" fontId="2" fillId="24" borderId="10" xfId="36" applyFill="1" applyBorder="1" applyAlignment="1" applyProtection="1">
      <alignment horizontal="center"/>
    </xf>
    <xf numFmtId="0" fontId="5" fillId="24" borderId="0" xfId="0" applyFont="1" applyFill="1" applyBorder="1" applyAlignment="1" applyProtection="1"/>
    <xf numFmtId="0" fontId="69" fillId="0" borderId="0" xfId="0" applyFont="1" applyFill="1" applyBorder="1" applyAlignment="1" applyProtection="1">
      <alignment horizontal="left" vertical="top" wrapText="1" indent="5"/>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0" fillId="24" borderId="0" xfId="0" applyFill="1" applyAlignment="1" applyProtection="1">
      <alignment horizontal="left"/>
    </xf>
    <xf numFmtId="0" fontId="18" fillId="24" borderId="19" xfId="0" applyFont="1" applyFill="1" applyBorder="1" applyAlignment="1" applyProtection="1">
      <alignment horizontal="left"/>
    </xf>
    <xf numFmtId="0" fontId="19" fillId="24" borderId="19" xfId="0" applyFont="1" applyFill="1" applyBorder="1" applyAlignment="1" applyProtection="1">
      <alignment horizontal="left"/>
    </xf>
    <xf numFmtId="0" fontId="27" fillId="25" borderId="12" xfId="40" applyFont="1" applyFill="1" applyBorder="1" applyAlignment="1" applyProtection="1">
      <alignment horizontal="left" vertical="center" wrapText="1"/>
    </xf>
    <xf numFmtId="0" fontId="18" fillId="25" borderId="18" xfId="40" applyFont="1" applyFill="1" applyBorder="1" applyAlignment="1" applyProtection="1">
      <alignment horizontal="left" vertical="center" wrapText="1"/>
    </xf>
    <xf numFmtId="0" fontId="18" fillId="25" borderId="10" xfId="40" applyFont="1" applyFill="1" applyBorder="1" applyAlignment="1" applyProtection="1">
      <alignment horizontal="left" vertical="center" wrapText="1"/>
    </xf>
    <xf numFmtId="0" fontId="19" fillId="24" borderId="0" xfId="0" applyFont="1" applyFill="1" applyBorder="1" applyAlignment="1" applyProtection="1">
      <alignment horizontal="left"/>
    </xf>
    <xf numFmtId="0" fontId="1" fillId="24" borderId="10" xfId="0" applyFont="1" applyFill="1" applyBorder="1" applyProtection="1"/>
    <xf numFmtId="0" fontId="70" fillId="0" borderId="0" xfId="36" applyFont="1" applyAlignment="1" applyProtection="1"/>
    <xf numFmtId="0" fontId="20" fillId="25" borderId="13" xfId="40" applyFont="1" applyFill="1" applyBorder="1" applyAlignment="1" applyProtection="1">
      <alignment horizontal="center" vertical="center" wrapText="1"/>
    </xf>
    <xf numFmtId="0" fontId="78" fillId="25" borderId="10" xfId="40" applyFont="1" applyFill="1" applyBorder="1" applyAlignment="1" applyProtection="1">
      <alignment vertical="center" wrapText="1"/>
    </xf>
    <xf numFmtId="0" fontId="78" fillId="25" borderId="20" xfId="40" applyFont="1" applyFill="1" applyBorder="1" applyAlignment="1" applyProtection="1">
      <alignment vertical="center" wrapText="1"/>
    </xf>
    <xf numFmtId="0" fontId="75" fillId="25" borderId="13" xfId="40" applyFont="1" applyFill="1" applyBorder="1" applyAlignment="1" applyProtection="1">
      <alignment horizontal="center" vertical="center" wrapText="1"/>
    </xf>
    <xf numFmtId="0" fontId="6" fillId="24" borderId="37" xfId="40" applyFont="1" applyFill="1" applyBorder="1" applyAlignment="1" applyProtection="1">
      <alignment horizontal="left" vertical="center" wrapText="1"/>
    </xf>
    <xf numFmtId="3" fontId="6" fillId="24" borderId="37" xfId="40" applyNumberFormat="1" applyFont="1" applyFill="1" applyBorder="1" applyAlignment="1" applyProtection="1">
      <alignment horizontal="right" vertical="center" wrapText="1"/>
    </xf>
    <xf numFmtId="3" fontId="19" fillId="24" borderId="10" xfId="28" applyNumberFormat="1" applyFont="1" applyFill="1" applyBorder="1" applyAlignment="1" applyProtection="1">
      <alignment vertical="center"/>
    </xf>
    <xf numFmtId="41" fontId="19" fillId="29" borderId="10" xfId="28" applyNumberFormat="1" applyFont="1" applyFill="1" applyBorder="1" applyProtection="1">
      <protection locked="0"/>
    </xf>
    <xf numFmtId="0" fontId="0" fillId="29" borderId="10" xfId="0" applyFill="1" applyBorder="1" applyProtection="1">
      <protection locked="0"/>
    </xf>
    <xf numFmtId="3" fontId="1" fillId="29" borderId="10" xfId="40" applyNumberFormat="1" applyFont="1" applyFill="1" applyBorder="1" applyAlignment="1" applyProtection="1">
      <alignment vertical="center" wrapText="1"/>
    </xf>
    <xf numFmtId="3" fontId="13" fillId="29" borderId="10" xfId="40" applyNumberFormat="1" applyFont="1" applyFill="1" applyBorder="1" applyAlignment="1" applyProtection="1">
      <alignment horizontal="right" vertical="top"/>
      <protection locked="0"/>
    </xf>
    <xf numFmtId="3" fontId="13" fillId="29" borderId="19" xfId="40" applyNumberFormat="1" applyFont="1" applyFill="1" applyBorder="1" applyAlignment="1" applyProtection="1">
      <alignment horizontal="right" vertical="top"/>
      <protection locked="0"/>
    </xf>
    <xf numFmtId="3" fontId="19" fillId="29" borderId="25" xfId="40" applyNumberFormat="1" applyFont="1" applyFill="1" applyBorder="1" applyAlignment="1" applyProtection="1">
      <alignment vertical="center" wrapText="1"/>
      <protection locked="0"/>
    </xf>
    <xf numFmtId="3" fontId="19" fillId="29" borderId="47" xfId="40" applyNumberFormat="1" applyFont="1" applyFill="1" applyBorder="1" applyAlignment="1" applyProtection="1">
      <alignment vertical="center" wrapText="1"/>
      <protection locked="0"/>
    </xf>
    <xf numFmtId="3" fontId="13" fillId="29" borderId="20" xfId="40" applyNumberFormat="1" applyFont="1" applyFill="1" applyBorder="1" applyAlignment="1" applyProtection="1">
      <alignment vertical="center" wrapText="1"/>
      <protection locked="0"/>
    </xf>
    <xf numFmtId="3" fontId="1" fillId="29" borderId="10" xfId="40" applyNumberFormat="1" applyFont="1" applyFill="1" applyBorder="1" applyAlignment="1" applyProtection="1">
      <alignment vertical="center" wrapText="1"/>
      <protection locked="0"/>
    </xf>
    <xf numFmtId="3" fontId="19" fillId="29" borderId="10" xfId="28" applyNumberFormat="1" applyFont="1" applyFill="1" applyBorder="1" applyAlignment="1" applyProtection="1">
      <alignment vertical="center"/>
      <protection locked="0"/>
    </xf>
    <xf numFmtId="3" fontId="19" fillId="29" borderId="20" xfId="40" applyNumberFormat="1" applyFont="1" applyFill="1" applyBorder="1" applyAlignment="1" applyProtection="1">
      <alignment vertical="center" wrapText="1"/>
      <protection locked="0"/>
    </xf>
    <xf numFmtId="3" fontId="13" fillId="29" borderId="48" xfId="40" applyNumberFormat="1" applyFont="1" applyFill="1" applyBorder="1" applyAlignment="1" applyProtection="1">
      <alignment vertical="center" wrapText="1"/>
      <protection locked="0"/>
    </xf>
    <xf numFmtId="166" fontId="19" fillId="29" borderId="10" xfId="29" applyNumberFormat="1" applyFont="1" applyFill="1" applyBorder="1" applyProtection="1">
      <protection locked="0"/>
    </xf>
    <xf numFmtId="3" fontId="1" fillId="29" borderId="10" xfId="40" applyNumberFormat="1" applyFont="1" applyFill="1" applyBorder="1" applyAlignment="1" applyProtection="1">
      <alignment horizontal="right" vertical="center" wrapText="1"/>
      <protection locked="0"/>
    </xf>
    <xf numFmtId="3" fontId="1" fillId="29" borderId="13" xfId="40" applyNumberFormat="1" applyFont="1" applyFill="1" applyBorder="1" applyAlignment="1" applyProtection="1">
      <alignment horizontal="right" vertical="center" wrapText="1"/>
      <protection locked="0"/>
    </xf>
    <xf numFmtId="0" fontId="1" fillId="29" borderId="10" xfId="40" applyFont="1" applyFill="1" applyBorder="1" applyAlignment="1" applyProtection="1">
      <alignment horizontal="center" vertical="top"/>
      <protection locked="0"/>
    </xf>
    <xf numFmtId="3" fontId="1" fillId="29" borderId="48" xfId="40" applyNumberFormat="1" applyFont="1" applyFill="1" applyBorder="1" applyAlignment="1" applyProtection="1">
      <alignment vertical="center" wrapText="1"/>
      <protection locked="0"/>
    </xf>
    <xf numFmtId="0" fontId="18" fillId="0" borderId="10" xfId="0" applyFont="1" applyFill="1" applyBorder="1" applyAlignment="1" applyProtection="1">
      <alignment horizontal="center"/>
      <protection locked="0"/>
    </xf>
    <xf numFmtId="0" fontId="18" fillId="0" borderId="10" xfId="0" applyFont="1" applyFill="1" applyBorder="1" applyAlignment="1" applyProtection="1">
      <alignment horizontal="left"/>
      <protection locked="0"/>
    </xf>
    <xf numFmtId="0" fontId="36" fillId="31" borderId="0" xfId="0" applyFont="1" applyFill="1" applyAlignment="1" applyProtection="1">
      <alignment wrapText="1"/>
    </xf>
    <xf numFmtId="0" fontId="36" fillId="31" borderId="0" xfId="0" applyFont="1" applyFill="1" applyProtection="1"/>
    <xf numFmtId="0" fontId="4" fillId="24" borderId="0" xfId="0" applyFont="1" applyFill="1" applyAlignment="1" applyProtection="1">
      <alignment horizontal="left" vertical="top" wrapText="1" indent="7"/>
    </xf>
    <xf numFmtId="0" fontId="4" fillId="24" borderId="0" xfId="0" applyFont="1" applyFill="1" applyAlignment="1" applyProtection="1">
      <alignment horizontal="left" vertical="top" wrapText="1" indent="7"/>
    </xf>
    <xf numFmtId="0" fontId="1" fillId="24" borderId="0" xfId="41" applyFont="1" applyFill="1" applyProtection="1"/>
    <xf numFmtId="0" fontId="18" fillId="0" borderId="10" xfId="0" applyFont="1" applyFill="1" applyBorder="1" applyAlignment="1" applyProtection="1">
      <alignment horizontal="left"/>
    </xf>
    <xf numFmtId="0" fontId="18" fillId="24" borderId="10" xfId="0" applyFont="1" applyFill="1" applyBorder="1" applyAlignment="1" applyProtection="1">
      <alignment horizontal="center"/>
    </xf>
    <xf numFmtId="0" fontId="18" fillId="24" borderId="10" xfId="0" applyFont="1" applyFill="1" applyBorder="1" applyAlignment="1" applyProtection="1">
      <alignment horizontal="center" wrapText="1"/>
    </xf>
    <xf numFmtId="0" fontId="18" fillId="0" borderId="10" xfId="0" applyFont="1" applyFill="1" applyBorder="1" applyAlignment="1" applyProtection="1">
      <alignment horizontal="center"/>
    </xf>
    <xf numFmtId="0" fontId="18" fillId="26" borderId="10" xfId="0" applyFont="1" applyFill="1" applyBorder="1" applyAlignment="1" applyProtection="1">
      <alignment horizontal="center"/>
    </xf>
    <xf numFmtId="0" fontId="18" fillId="26" borderId="10" xfId="0" applyFont="1" applyFill="1" applyBorder="1" applyAlignment="1" applyProtection="1">
      <alignment horizontal="left"/>
    </xf>
    <xf numFmtId="0" fontId="18" fillId="29" borderId="10" xfId="0" applyFont="1" applyFill="1" applyBorder="1" applyAlignment="1" applyProtection="1">
      <alignment horizontal="center"/>
      <protection locked="0"/>
    </xf>
    <xf numFmtId="0" fontId="18" fillId="29" borderId="10" xfId="0" applyFont="1" applyFill="1" applyBorder="1" applyAlignment="1" applyProtection="1">
      <alignment horizontal="left"/>
      <protection locked="0"/>
    </xf>
    <xf numFmtId="0" fontId="17" fillId="24" borderId="14" xfId="0" applyFont="1" applyFill="1" applyBorder="1" applyProtection="1"/>
    <xf numFmtId="164" fontId="18" fillId="0" borderId="10" xfId="29" applyFont="1" applyFill="1" applyBorder="1" applyAlignment="1" applyProtection="1">
      <alignment horizontal="left"/>
    </xf>
    <xf numFmtId="9" fontId="17" fillId="0" borderId="10" xfId="44" applyNumberFormat="1" applyFont="1" applyFill="1" applyBorder="1" applyAlignment="1" applyProtection="1">
      <alignment horizontal="center"/>
    </xf>
    <xf numFmtId="9" fontId="17" fillId="29" borderId="10" xfId="44" applyNumberFormat="1" applyFont="1" applyFill="1" applyBorder="1" applyAlignment="1" applyProtection="1">
      <alignment horizontal="center"/>
      <protection locked="0"/>
    </xf>
    <xf numFmtId="0" fontId="19" fillId="0" borderId="0" xfId="0" applyFont="1" applyFill="1" applyProtection="1"/>
    <xf numFmtId="3" fontId="19" fillId="29" borderId="10" xfId="0" applyNumberFormat="1" applyFont="1" applyFill="1" applyBorder="1" applyAlignment="1" applyProtection="1">
      <alignment horizontal="right"/>
      <protection locked="0"/>
    </xf>
    <xf numFmtId="9" fontId="17" fillId="0" borderId="10" xfId="44" applyFont="1" applyFill="1" applyBorder="1" applyAlignment="1" applyProtection="1">
      <alignment horizontal="center"/>
      <protection locked="0"/>
    </xf>
    <xf numFmtId="49" fontId="1" fillId="24" borderId="0" xfId="0" applyNumberFormat="1" applyFont="1" applyFill="1" applyAlignment="1" applyProtection="1">
      <alignment horizontal="center" vertical="center"/>
    </xf>
    <xf numFmtId="0" fontId="81" fillId="24" borderId="10" xfId="0" applyFont="1" applyFill="1" applyBorder="1" applyAlignment="1" applyProtection="1">
      <alignment horizontal="center" vertical="center"/>
    </xf>
    <xf numFmtId="0" fontId="81" fillId="0" borderId="10" xfId="0" applyFont="1" applyFill="1" applyBorder="1" applyAlignment="1" applyProtection="1">
      <alignment horizontal="center" vertical="center" wrapText="1"/>
    </xf>
    <xf numFmtId="0" fontId="81" fillId="24" borderId="10" xfId="0" applyFont="1" applyFill="1" applyBorder="1" applyAlignment="1" applyProtection="1">
      <alignment horizontal="center" vertical="center" wrapText="1"/>
    </xf>
    <xf numFmtId="0" fontId="81" fillId="24" borderId="45" xfId="0" applyFont="1" applyFill="1" applyBorder="1" applyAlignment="1" applyProtection="1">
      <alignment horizontal="center" vertical="center" wrapText="1"/>
    </xf>
    <xf numFmtId="166" fontId="19" fillId="0" borderId="10" xfId="29" applyNumberFormat="1" applyFont="1" applyFill="1" applyBorder="1" applyProtection="1">
      <protection locked="0"/>
    </xf>
    <xf numFmtId="166" fontId="18" fillId="32" borderId="17" xfId="29" applyNumberFormat="1" applyFont="1" applyFill="1" applyBorder="1" applyProtection="1"/>
    <xf numFmtId="2" fontId="19" fillId="0" borderId="10" xfId="29" applyNumberFormat="1" applyFont="1" applyFill="1" applyBorder="1" applyProtection="1"/>
    <xf numFmtId="49" fontId="19" fillId="24" borderId="0" xfId="0" applyNumberFormat="1" applyFont="1" applyFill="1" applyAlignment="1" applyProtection="1">
      <alignment horizontal="right" vertical="top"/>
    </xf>
    <xf numFmtId="0" fontId="0" fillId="24" borderId="0" xfId="0" applyFill="1" applyAlignment="1" applyProtection="1">
      <alignment vertical="top"/>
    </xf>
    <xf numFmtId="0" fontId="0" fillId="0" borderId="0" xfId="0" applyFill="1" applyAlignment="1" applyProtection="1">
      <alignment vertical="top"/>
    </xf>
    <xf numFmtId="3" fontId="13" fillId="0" borderId="10" xfId="40" applyNumberFormat="1" applyFont="1" applyFill="1" applyBorder="1" applyAlignment="1" applyProtection="1">
      <alignment vertical="center" wrapText="1"/>
      <protection locked="0"/>
    </xf>
    <xf numFmtId="166" fontId="13" fillId="24" borderId="10" xfId="29" applyNumberFormat="1" applyFont="1" applyFill="1" applyBorder="1" applyProtection="1"/>
    <xf numFmtId="166" fontId="19" fillId="0" borderId="10" xfId="29" applyNumberFormat="1" applyFont="1" applyFill="1" applyBorder="1" applyAlignment="1" applyProtection="1">
      <alignment horizontal="right"/>
    </xf>
    <xf numFmtId="3" fontId="1" fillId="29" borderId="25" xfId="40" applyNumberFormat="1" applyFont="1" applyFill="1" applyBorder="1" applyAlignment="1" applyProtection="1">
      <alignment vertical="center" wrapText="1"/>
      <protection locked="0"/>
    </xf>
    <xf numFmtId="3" fontId="13" fillId="29" borderId="25" xfId="40" applyNumberFormat="1" applyFont="1" applyFill="1" applyBorder="1" applyAlignment="1" applyProtection="1">
      <alignment vertical="center" wrapText="1"/>
      <protection locked="0"/>
    </xf>
    <xf numFmtId="0" fontId="9" fillId="25" borderId="10" xfId="40" applyFont="1" applyFill="1" applyBorder="1" applyAlignment="1" applyProtection="1">
      <alignment horizontal="left" vertical="center" wrapText="1"/>
    </xf>
    <xf numFmtId="0" fontId="6" fillId="31" borderId="0" xfId="0" applyFont="1" applyFill="1" applyAlignment="1" applyProtection="1">
      <alignment vertical="center"/>
    </xf>
    <xf numFmtId="0" fontId="1" fillId="31" borderId="0" xfId="0" applyFont="1" applyFill="1" applyAlignment="1" applyProtection="1">
      <alignment wrapText="1"/>
    </xf>
    <xf numFmtId="0" fontId="1" fillId="31" borderId="0" xfId="0" applyFont="1" applyFill="1" applyProtection="1"/>
    <xf numFmtId="0" fontId="1" fillId="31" borderId="0" xfId="0" applyFont="1" applyFill="1" applyAlignment="1" applyProtection="1">
      <alignment vertical="center" wrapText="1"/>
    </xf>
    <xf numFmtId="0" fontId="1" fillId="31" borderId="0" xfId="0" applyFont="1" applyFill="1" applyAlignment="1" applyProtection="1">
      <alignment horizontal="center" vertical="center" wrapText="1"/>
    </xf>
    <xf numFmtId="0" fontId="6" fillId="31" borderId="0" xfId="0" applyFont="1" applyFill="1" applyProtection="1"/>
    <xf numFmtId="0" fontId="1" fillId="31" borderId="27" xfId="0" applyFont="1" applyFill="1" applyBorder="1" applyProtection="1"/>
    <xf numFmtId="0" fontId="1" fillId="31" borderId="25" xfId="0" applyFont="1" applyFill="1" applyBorder="1" applyProtection="1"/>
    <xf numFmtId="0" fontId="1" fillId="31" borderId="36" xfId="0" applyFont="1" applyFill="1" applyBorder="1" applyProtection="1"/>
    <xf numFmtId="0" fontId="1" fillId="31" borderId="18" xfId="0" applyFont="1" applyFill="1" applyBorder="1" applyAlignment="1" applyProtection="1">
      <alignment horizontal="left" vertical="top" wrapText="1"/>
    </xf>
    <xf numFmtId="0" fontId="1" fillId="31" borderId="10" xfId="0" applyFont="1" applyFill="1" applyBorder="1" applyAlignment="1" applyProtection="1">
      <alignment horizontal="left" vertical="top" wrapText="1"/>
    </xf>
    <xf numFmtId="0" fontId="1" fillId="31" borderId="10" xfId="0" applyFont="1" applyFill="1" applyBorder="1" applyAlignment="1" applyProtection="1">
      <alignment horizontal="left" vertical="top"/>
    </xf>
    <xf numFmtId="0" fontId="1" fillId="31" borderId="37" xfId="0" applyFont="1" applyFill="1" applyBorder="1" applyAlignment="1" applyProtection="1">
      <alignment horizontal="left" vertical="top"/>
    </xf>
    <xf numFmtId="0" fontId="6" fillId="31" borderId="14" xfId="0" applyFont="1" applyFill="1" applyBorder="1" applyAlignment="1" applyProtection="1">
      <alignment horizontal="left" vertical="center"/>
    </xf>
    <xf numFmtId="0" fontId="6" fillId="31" borderId="15" xfId="0" applyFont="1" applyFill="1" applyBorder="1" applyAlignment="1" applyProtection="1">
      <alignment horizontal="left" vertical="center" wrapText="1"/>
    </xf>
    <xf numFmtId="0" fontId="6" fillId="31" borderId="17" xfId="0" applyFont="1" applyFill="1" applyBorder="1" applyAlignment="1" applyProtection="1">
      <alignment horizontal="left" vertical="center" wrapText="1"/>
    </xf>
    <xf numFmtId="0" fontId="6" fillId="31" borderId="15" xfId="0" applyFont="1" applyFill="1" applyBorder="1" applyAlignment="1" applyProtection="1">
      <alignment horizontal="center" vertical="center" wrapText="1"/>
    </xf>
    <xf numFmtId="0" fontId="2" fillId="0" borderId="10" xfId="36" quotePrefix="1" applyFill="1" applyBorder="1" applyAlignment="1" applyProtection="1">
      <alignment horizontal="center"/>
    </xf>
    <xf numFmtId="166" fontId="19" fillId="0" borderId="10" xfId="29" applyNumberFormat="1" applyFont="1" applyFill="1" applyBorder="1" applyAlignment="1" applyProtection="1">
      <alignment horizontal="left"/>
    </xf>
    <xf numFmtId="166" fontId="19" fillId="29" borderId="10" xfId="29" applyNumberFormat="1" applyFont="1" applyFill="1" applyBorder="1" applyAlignment="1" applyProtection="1">
      <alignment horizontal="center"/>
      <protection locked="0"/>
    </xf>
    <xf numFmtId="0" fontId="29" fillId="25" borderId="30" xfId="40" applyFont="1" applyFill="1" applyBorder="1" applyAlignment="1" applyProtection="1">
      <alignment vertical="center" wrapText="1"/>
    </xf>
    <xf numFmtId="0" fontId="29" fillId="25" borderId="44" xfId="40" applyFont="1" applyFill="1" applyBorder="1" applyAlignment="1" applyProtection="1">
      <alignment vertical="center" wrapText="1"/>
    </xf>
    <xf numFmtId="3" fontId="32" fillId="25" borderId="31" xfId="40" applyNumberFormat="1" applyFont="1" applyFill="1" applyBorder="1" applyAlignment="1" applyProtection="1">
      <alignment horizontal="right" vertical="center"/>
    </xf>
    <xf numFmtId="3" fontId="29" fillId="25" borderId="31" xfId="40" applyNumberFormat="1" applyFont="1" applyFill="1" applyBorder="1" applyAlignment="1" applyProtection="1">
      <alignment horizontal="right" vertical="center"/>
    </xf>
    <xf numFmtId="3" fontId="29" fillId="25" borderId="31" xfId="40" applyNumberFormat="1" applyFont="1" applyFill="1" applyBorder="1" applyAlignment="1" applyProtection="1">
      <alignment horizontal="center" vertical="center"/>
    </xf>
    <xf numFmtId="3" fontId="29" fillId="25" borderId="31" xfId="40" applyNumberFormat="1" applyFont="1" applyFill="1" applyBorder="1" applyAlignment="1" applyProtection="1">
      <alignment vertical="center"/>
    </xf>
    <xf numFmtId="3" fontId="29" fillId="25" borderId="32" xfId="40" applyNumberFormat="1" applyFont="1" applyFill="1" applyBorder="1" applyAlignment="1" applyProtection="1">
      <alignment vertical="center"/>
    </xf>
    <xf numFmtId="3" fontId="29" fillId="30" borderId="26" xfId="40" applyNumberFormat="1" applyFont="1" applyFill="1" applyBorder="1" applyAlignment="1" applyProtection="1">
      <alignment horizontal="right" vertical="center"/>
      <protection locked="0"/>
    </xf>
    <xf numFmtId="0" fontId="29" fillId="30" borderId="36" xfId="40" applyFont="1" applyFill="1" applyBorder="1" applyAlignment="1" applyProtection="1">
      <alignment vertical="center" wrapText="1"/>
      <protection locked="0"/>
    </xf>
    <xf numFmtId="0" fontId="29" fillId="30" borderId="66" xfId="40" applyFont="1" applyFill="1" applyBorder="1" applyAlignment="1" applyProtection="1">
      <alignment vertical="center" wrapText="1"/>
      <protection locked="0"/>
    </xf>
    <xf numFmtId="3" fontId="29" fillId="25" borderId="37" xfId="40" applyNumberFormat="1" applyFont="1" applyFill="1" applyBorder="1" applyAlignment="1" applyProtection="1">
      <alignment vertical="center"/>
    </xf>
    <xf numFmtId="3" fontId="29" fillId="25" borderId="37" xfId="40" applyNumberFormat="1" applyFont="1" applyFill="1" applyBorder="1" applyAlignment="1" applyProtection="1">
      <alignment horizontal="right" vertical="center"/>
    </xf>
    <xf numFmtId="3" fontId="29" fillId="30" borderId="37" xfId="40" applyNumberFormat="1" applyFont="1" applyFill="1" applyBorder="1" applyAlignment="1" applyProtection="1">
      <alignment horizontal="right" vertical="center"/>
      <protection locked="0"/>
    </xf>
    <xf numFmtId="3" fontId="29" fillId="30" borderId="38" xfId="40" applyNumberFormat="1" applyFont="1" applyFill="1" applyBorder="1" applyAlignment="1" applyProtection="1">
      <alignment horizontal="right" vertical="center"/>
      <protection locked="0"/>
    </xf>
    <xf numFmtId="166" fontId="2" fillId="0" borderId="17" xfId="36" quotePrefix="1" applyNumberFormat="1" applyFill="1" applyBorder="1" applyAlignment="1" applyProtection="1">
      <alignment horizontal="center"/>
    </xf>
    <xf numFmtId="0" fontId="1" fillId="29" borderId="18" xfId="0" applyFont="1" applyFill="1" applyBorder="1" applyAlignment="1" applyProtection="1">
      <alignment horizontal="center" vertical="center"/>
      <protection locked="0"/>
    </xf>
    <xf numFmtId="0" fontId="1" fillId="29" borderId="28" xfId="0" applyFont="1" applyFill="1" applyBorder="1" applyAlignment="1" applyProtection="1">
      <alignment horizontal="left" vertical="top" wrapText="1"/>
      <protection locked="0"/>
    </xf>
    <xf numFmtId="0" fontId="1" fillId="29" borderId="10" xfId="0" applyFont="1" applyFill="1" applyBorder="1" applyAlignment="1" applyProtection="1">
      <alignment horizontal="center" vertical="center"/>
      <protection locked="0"/>
    </xf>
    <xf numFmtId="0" fontId="1" fillId="29" borderId="26" xfId="0" applyFont="1" applyFill="1" applyBorder="1" applyAlignment="1" applyProtection="1">
      <alignment horizontal="left" vertical="top" wrapText="1"/>
      <protection locked="0"/>
    </xf>
    <xf numFmtId="0" fontId="1" fillId="29" borderId="37" xfId="0" applyFont="1" applyFill="1" applyBorder="1" applyAlignment="1" applyProtection="1">
      <alignment horizontal="center" vertical="center"/>
      <protection locked="0"/>
    </xf>
    <xf numFmtId="0" fontId="1" fillId="29" borderId="38" xfId="0" applyFont="1" applyFill="1" applyBorder="1" applyAlignment="1" applyProtection="1">
      <alignment horizontal="left" vertical="top" wrapText="1"/>
      <protection locked="0"/>
    </xf>
    <xf numFmtId="0" fontId="0" fillId="0" borderId="10" xfId="0" applyBorder="1"/>
    <xf numFmtId="15" fontId="1" fillId="29" borderId="57" xfId="0" applyNumberFormat="1" applyFont="1" applyFill="1" applyBorder="1" applyAlignment="1" applyProtection="1">
      <alignment vertical="center"/>
      <protection locked="0"/>
    </xf>
    <xf numFmtId="0" fontId="1" fillId="29" borderId="58" xfId="0" applyFont="1" applyFill="1" applyBorder="1" applyAlignment="1" applyProtection="1">
      <alignment horizontal="left" vertical="center"/>
      <protection locked="0"/>
    </xf>
    <xf numFmtId="0" fontId="1" fillId="29" borderId="59" xfId="0" applyFont="1" applyFill="1" applyBorder="1" applyAlignment="1" applyProtection="1">
      <alignment horizontal="left" vertical="center"/>
      <protection locked="0"/>
    </xf>
    <xf numFmtId="0" fontId="1" fillId="28" borderId="55" xfId="0" applyFont="1" applyFill="1" applyBorder="1" applyAlignment="1" applyProtection="1">
      <alignment horizontal="left" vertical="center" wrapText="1"/>
      <protection locked="0"/>
    </xf>
    <xf numFmtId="0" fontId="1" fillId="28" borderId="56" xfId="0" applyFont="1" applyFill="1" applyBorder="1" applyAlignment="1" applyProtection="1">
      <alignment horizontal="left" vertical="center" wrapText="1"/>
      <protection locked="0"/>
    </xf>
    <xf numFmtId="0" fontId="14" fillId="24" borderId="0" xfId="0" applyNumberFormat="1" applyFont="1" applyFill="1" applyAlignment="1" applyProtection="1">
      <alignment horizontal="left" vertical="top" wrapText="1"/>
    </xf>
    <xf numFmtId="0" fontId="69" fillId="0" borderId="0" xfId="0" applyFont="1" applyFill="1" applyBorder="1" applyAlignment="1" applyProtection="1">
      <alignment horizontal="left" vertical="top" wrapText="1" indent="5"/>
    </xf>
    <xf numFmtId="0" fontId="5" fillId="0" borderId="0" xfId="0" applyFont="1" applyFill="1" applyBorder="1" applyAlignment="1" applyProtection="1">
      <alignment horizontal="left"/>
    </xf>
    <xf numFmtId="0" fontId="7" fillId="24" borderId="0" xfId="0" applyFont="1" applyFill="1" applyBorder="1" applyAlignment="1" applyProtection="1">
      <alignment horizontal="center"/>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1" fillId="31" borderId="0" xfId="0" applyFont="1" applyFill="1" applyAlignment="1" applyProtection="1">
      <alignment horizontal="left" vertical="center" wrapText="1"/>
    </xf>
    <xf numFmtId="0" fontId="0" fillId="24" borderId="0" xfId="0" applyFill="1" applyAlignment="1" applyProtection="1">
      <alignment horizontal="left"/>
    </xf>
    <xf numFmtId="0" fontId="0" fillId="24" borderId="0" xfId="0" applyFill="1" applyAlignment="1" applyProtection="1">
      <alignment horizontal="left" vertical="top"/>
    </xf>
    <xf numFmtId="0" fontId="6" fillId="24" borderId="0" xfId="0" applyFont="1" applyFill="1" applyAlignment="1" applyProtection="1">
      <alignment horizontal="left" wrapText="1"/>
    </xf>
    <xf numFmtId="0" fontId="38" fillId="27" borderId="0" xfId="0" applyFont="1" applyFill="1" applyAlignment="1" applyProtection="1">
      <alignment horizontal="left" wrapText="1"/>
    </xf>
    <xf numFmtId="0" fontId="9" fillId="25" borderId="50" xfId="40" applyFont="1" applyFill="1" applyBorder="1" applyAlignment="1" applyProtection="1">
      <alignment horizontal="left" vertical="center" wrapText="1"/>
    </xf>
    <xf numFmtId="0" fontId="9" fillId="25" borderId="12" xfId="40" applyFont="1" applyFill="1" applyBorder="1" applyAlignment="1" applyProtection="1">
      <alignment horizontal="left" vertical="center" wrapText="1"/>
    </xf>
    <xf numFmtId="0" fontId="9" fillId="25" borderId="33" xfId="40" applyFont="1" applyFill="1" applyBorder="1" applyAlignment="1" applyProtection="1">
      <alignment horizontal="left" vertical="center" wrapText="1"/>
    </xf>
    <xf numFmtId="0" fontId="22" fillId="25" borderId="51" xfId="40" applyFont="1" applyFill="1" applyBorder="1" applyAlignment="1" applyProtection="1">
      <alignment horizontal="center" vertical="center" wrapText="1"/>
    </xf>
    <xf numFmtId="0" fontId="22" fillId="25" borderId="21" xfId="40" applyFont="1" applyFill="1" applyBorder="1" applyAlignment="1" applyProtection="1">
      <alignment horizontal="center" vertical="center" wrapText="1"/>
    </xf>
    <xf numFmtId="0" fontId="22" fillId="25" borderId="52" xfId="40" applyFont="1" applyFill="1" applyBorder="1" applyAlignment="1" applyProtection="1">
      <alignment horizontal="center" vertical="center" wrapText="1"/>
    </xf>
    <xf numFmtId="0" fontId="18" fillId="25" borderId="50" xfId="40" applyFont="1" applyFill="1" applyBorder="1" applyAlignment="1" applyProtection="1">
      <alignment horizontal="left" vertical="center" wrapText="1"/>
    </xf>
    <xf numFmtId="0" fontId="18" fillId="25" borderId="12" xfId="40" applyFont="1" applyFill="1" applyBorder="1" applyAlignment="1" applyProtection="1">
      <alignment horizontal="left" vertical="center" wrapText="1"/>
    </xf>
    <xf numFmtId="0" fontId="18" fillId="25" borderId="33" xfId="40" applyFont="1" applyFill="1" applyBorder="1" applyAlignment="1" applyProtection="1">
      <alignment horizontal="left" vertical="center" wrapText="1"/>
    </xf>
    <xf numFmtId="0" fontId="18" fillId="25" borderId="23" xfId="40" applyFont="1" applyFill="1" applyBorder="1" applyAlignment="1" applyProtection="1">
      <alignment horizontal="left" vertical="center" wrapText="1"/>
    </xf>
    <xf numFmtId="0" fontId="18" fillId="25" borderId="16" xfId="40" applyFont="1" applyFill="1" applyBorder="1" applyAlignment="1" applyProtection="1">
      <alignment horizontal="left" vertical="center" wrapText="1"/>
    </xf>
    <xf numFmtId="0" fontId="18" fillId="25" borderId="24" xfId="40" applyFont="1" applyFill="1" applyBorder="1" applyAlignment="1" applyProtection="1">
      <alignment horizontal="left" vertical="center" wrapText="1"/>
    </xf>
    <xf numFmtId="0" fontId="18" fillId="24" borderId="11" xfId="0" applyFont="1" applyFill="1" applyBorder="1" applyAlignment="1" applyProtection="1">
      <alignment horizontal="left"/>
    </xf>
    <xf numFmtId="0" fontId="18" fillId="24" borderId="12" xfId="0" applyFont="1" applyFill="1" applyBorder="1" applyAlignment="1" applyProtection="1">
      <alignment horizontal="left"/>
    </xf>
    <xf numFmtId="0" fontId="18" fillId="24" borderId="19" xfId="0" applyFont="1" applyFill="1" applyBorder="1" applyAlignment="1" applyProtection="1">
      <alignment horizontal="left"/>
    </xf>
    <xf numFmtId="0" fontId="19" fillId="24" borderId="11" xfId="0" applyFont="1" applyFill="1" applyBorder="1" applyAlignment="1" applyProtection="1">
      <alignment horizontal="left"/>
    </xf>
    <xf numFmtId="0" fontId="19" fillId="24" borderId="12" xfId="0" applyFont="1" applyFill="1" applyBorder="1" applyAlignment="1" applyProtection="1">
      <alignment horizontal="left"/>
    </xf>
    <xf numFmtId="0" fontId="19" fillId="24" borderId="19" xfId="0" applyFont="1" applyFill="1" applyBorder="1" applyAlignment="1" applyProtection="1">
      <alignment horizontal="left"/>
    </xf>
    <xf numFmtId="0" fontId="1" fillId="24" borderId="0" xfId="0" applyFont="1" applyFill="1" applyAlignment="1" applyProtection="1">
      <alignment horizontal="left" wrapText="1"/>
    </xf>
    <xf numFmtId="0" fontId="37" fillId="24" borderId="49" xfId="0" applyFont="1" applyFill="1" applyBorder="1" applyAlignment="1" applyProtection="1">
      <alignment horizontal="center"/>
    </xf>
    <xf numFmtId="0" fontId="27" fillId="25" borderId="50" xfId="40" applyFont="1" applyFill="1" applyBorder="1" applyAlignment="1" applyProtection="1">
      <alignment horizontal="left" vertical="center" wrapText="1"/>
    </xf>
    <xf numFmtId="0" fontId="27" fillId="25" borderId="12" xfId="40" applyFont="1" applyFill="1" applyBorder="1" applyAlignment="1" applyProtection="1">
      <alignment horizontal="left" vertical="center" wrapText="1"/>
    </xf>
    <xf numFmtId="0" fontId="27" fillId="25" borderId="33" xfId="40" applyFont="1" applyFill="1" applyBorder="1" applyAlignment="1" applyProtection="1">
      <alignment horizontal="left" vertical="center" wrapText="1"/>
    </xf>
    <xf numFmtId="0" fontId="18" fillId="25" borderId="18" xfId="40" applyFont="1" applyFill="1" applyBorder="1" applyAlignment="1" applyProtection="1">
      <alignment horizontal="left" vertical="center" wrapText="1"/>
    </xf>
    <xf numFmtId="0" fontId="9" fillId="25" borderId="11" xfId="40" applyFont="1" applyFill="1" applyBorder="1" applyAlignment="1" applyProtection="1">
      <alignment horizontal="left" vertical="center" wrapText="1"/>
    </xf>
    <xf numFmtId="0" fontId="9" fillId="25" borderId="19" xfId="40" applyFont="1" applyFill="1" applyBorder="1" applyAlignment="1" applyProtection="1">
      <alignment horizontal="left" vertical="center" wrapText="1"/>
    </xf>
    <xf numFmtId="0" fontId="19" fillId="25" borderId="11" xfId="40" applyFont="1" applyFill="1" applyBorder="1" applyAlignment="1" applyProtection="1">
      <alignment horizontal="center" vertical="center" wrapText="1"/>
    </xf>
    <xf numFmtId="0" fontId="19" fillId="25" borderId="12" xfId="40" applyFont="1" applyFill="1" applyBorder="1" applyAlignment="1" applyProtection="1">
      <alignment horizontal="center" vertical="center" wrapText="1"/>
    </xf>
    <xf numFmtId="0" fontId="19" fillId="25" borderId="19" xfId="40" applyFont="1" applyFill="1" applyBorder="1" applyAlignment="1" applyProtection="1">
      <alignment horizontal="center" vertical="center" wrapText="1"/>
    </xf>
    <xf numFmtId="0" fontId="18" fillId="0" borderId="0" xfId="40" applyFont="1" applyFill="1" applyBorder="1" applyAlignment="1" applyProtection="1">
      <alignment horizontal="center" vertical="center"/>
    </xf>
    <xf numFmtId="0" fontId="18" fillId="25" borderId="10" xfId="40" applyFont="1" applyFill="1" applyBorder="1" applyAlignment="1" applyProtection="1">
      <alignment horizontal="left" vertical="center" wrapText="1"/>
    </xf>
    <xf numFmtId="0" fontId="19" fillId="24" borderId="11" xfId="0" applyFont="1" applyFill="1" applyBorder="1" applyAlignment="1" applyProtection="1">
      <alignment horizontal="left" wrapText="1"/>
    </xf>
    <xf numFmtId="0" fontId="19" fillId="24" borderId="12" xfId="0" applyFont="1" applyFill="1" applyBorder="1" applyAlignment="1" applyProtection="1">
      <alignment horizontal="left" wrapText="1"/>
    </xf>
    <xf numFmtId="0" fontId="19" fillId="24" borderId="19" xfId="0" applyFont="1" applyFill="1" applyBorder="1" applyAlignment="1" applyProtection="1">
      <alignment horizontal="left" wrapText="1"/>
    </xf>
    <xf numFmtId="0" fontId="19" fillId="24" borderId="10" xfId="0" applyFont="1" applyFill="1" applyBorder="1" applyAlignment="1" applyProtection="1">
      <alignment horizontal="left"/>
    </xf>
    <xf numFmtId="0" fontId="19" fillId="24" borderId="0" xfId="0" applyFont="1" applyFill="1" applyBorder="1" applyAlignment="1" applyProtection="1">
      <alignment horizontal="left"/>
    </xf>
    <xf numFmtId="0" fontId="0" fillId="0" borderId="0" xfId="0" applyAlignment="1">
      <alignment vertical="top" wrapText="1"/>
    </xf>
    <xf numFmtId="0" fontId="0" fillId="24" borderId="0" xfId="0" applyFill="1" applyAlignment="1" applyProtection="1">
      <alignment vertical="top" wrapText="1"/>
    </xf>
    <xf numFmtId="49" fontId="19" fillId="24" borderId="0" xfId="0" applyNumberFormat="1" applyFont="1" applyFill="1" applyAlignment="1" applyProtection="1">
      <alignment horizontal="left" vertical="top"/>
    </xf>
    <xf numFmtId="0" fontId="2" fillId="0" borderId="0" xfId="36" applyAlignment="1" applyProtection="1"/>
    <xf numFmtId="0" fontId="0" fillId="0" borderId="0" xfId="0" applyAlignment="1">
      <alignment vertical="top"/>
    </xf>
    <xf numFmtId="0" fontId="25" fillId="25" borderId="53" xfId="40" applyFont="1" applyFill="1" applyBorder="1" applyAlignment="1" applyProtection="1">
      <alignment horizontal="center" vertical="top"/>
    </xf>
    <xf numFmtId="0" fontId="25" fillId="25" borderId="54" xfId="40" applyFont="1" applyFill="1" applyBorder="1" applyAlignment="1" applyProtection="1">
      <alignment horizontal="center" vertical="top"/>
    </xf>
    <xf numFmtId="3" fontId="29" fillId="0" borderId="11" xfId="40" applyNumberFormat="1" applyFont="1" applyFill="1" applyBorder="1" applyAlignment="1" applyProtection="1">
      <alignment horizontal="center" vertical="center"/>
    </xf>
    <xf numFmtId="3" fontId="29" fillId="0" borderId="12" xfId="40" applyNumberFormat="1" applyFont="1" applyFill="1" applyBorder="1" applyAlignment="1" applyProtection="1">
      <alignment horizontal="center" vertical="center"/>
    </xf>
    <xf numFmtId="3" fontId="29" fillId="0" borderId="33" xfId="40" applyNumberFormat="1" applyFont="1" applyFill="1" applyBorder="1" applyAlignment="1" applyProtection="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SIMPIL_MODEL_2004_ver2.6 (for rates application)" xfId="40" xr:uid="{00000000-0005-0000-0000-000028000000}"/>
    <cellStyle name="Normal_Tax Rates for 2006-2012_Sep42008" xfId="41" xr:uid="{00000000-0005-0000-0000-000029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69">
    <dxf>
      <fill>
        <patternFill>
          <bgColor indexed="9"/>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indexed="9"/>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indexed="45"/>
        </patternFill>
      </fill>
    </dxf>
    <dxf>
      <fill>
        <patternFill>
          <bgColor indexed="45"/>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29</xdr:row>
      <xdr:rowOff>200025</xdr:rowOff>
    </xdr:from>
    <xdr:to>
      <xdr:col>8</xdr:col>
      <xdr:colOff>76200</xdr:colOff>
      <xdr:row>37</xdr:row>
      <xdr:rowOff>104775</xdr:rowOff>
    </xdr:to>
    <xdr:sp macro="" textlink="">
      <xdr:nvSpPr>
        <xdr:cNvPr id="25" name="Text Box 50">
          <a:extLst>
            <a:ext uri="{FF2B5EF4-FFF2-40B4-BE49-F238E27FC236}">
              <a16:creationId xmlns:a16="http://schemas.microsoft.com/office/drawing/2014/main" id="{00000000-0008-0000-0000-000019000000}"/>
            </a:ext>
          </a:extLst>
        </xdr:cNvPr>
        <xdr:cNvSpPr txBox="1">
          <a:spLocks noChangeArrowheads="1"/>
        </xdr:cNvSpPr>
      </xdr:nvSpPr>
      <xdr:spPr bwMode="auto">
        <a:xfrm>
          <a:off x="38100" y="6391275"/>
          <a:ext cx="8362950" cy="15335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38100</xdr:colOff>
      <xdr:row>0</xdr:row>
      <xdr:rowOff>47625</xdr:rowOff>
    </xdr:from>
    <xdr:to>
      <xdr:col>7</xdr:col>
      <xdr:colOff>275395</xdr:colOff>
      <xdr:row>9</xdr:row>
      <xdr:rowOff>286991</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38100" y="47625"/>
          <a:ext cx="9089942" cy="1897837"/>
          <a:chOff x="-7962901" y="-2409824"/>
          <a:chExt cx="8857420" cy="1915766"/>
        </a:xfrm>
      </xdr:grpSpPr>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9" name="Rectangle 8">
            <a:extLst>
              <a:ext uri="{FF2B5EF4-FFF2-40B4-BE49-F238E27FC236}">
                <a16:creationId xmlns:a16="http://schemas.microsoft.com/office/drawing/2014/main" id="{00000000-0008-0000-0000-000009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a:extLst>
              <a:ext uri="{FF2B5EF4-FFF2-40B4-BE49-F238E27FC236}">
                <a16:creationId xmlns:a16="http://schemas.microsoft.com/office/drawing/2014/main" id="{00000000-0008-0000-0000-00000B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238125</xdr:colOff>
      <xdr:row>6</xdr:row>
      <xdr:rowOff>142876</xdr:rowOff>
    </xdr:from>
    <xdr:to>
      <xdr:col>20</xdr:col>
      <xdr:colOff>114300</xdr:colOff>
      <xdr:row>38</xdr:row>
      <xdr:rowOff>95250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467850" y="1219201"/>
          <a:ext cx="7191375" cy="665797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CA" sz="1100" b="1">
              <a:latin typeface="Arial" pitchFamily="34" charset="0"/>
              <a:cs typeface="Arial" pitchFamily="34" charset="0"/>
            </a:rPr>
            <a:t>Instructions</a:t>
          </a:r>
        </a:p>
        <a:p>
          <a:endParaRPr lang="en-CA" sz="1100" b="1">
            <a:latin typeface="Arial" pitchFamily="34" charset="0"/>
            <a:cs typeface="Arial" pitchFamily="34" charset="0"/>
          </a:endParaRPr>
        </a:p>
        <a:p>
          <a:r>
            <a:rPr lang="en-CA" sz="1100" b="1">
              <a:latin typeface="Arial" pitchFamily="34" charset="0"/>
              <a:cs typeface="Arial" pitchFamily="34" charset="0"/>
            </a:rPr>
            <a:t>Purpose</a:t>
          </a:r>
        </a:p>
        <a:p>
          <a:r>
            <a:rPr lang="en-CA" sz="1100">
              <a:solidFill>
                <a:schemeClr val="dk1"/>
              </a:solidFill>
              <a:effectLst/>
              <a:latin typeface="Arial" pitchFamily="34" charset="0"/>
              <a:ea typeface="+mn-ea"/>
              <a:cs typeface="Arial" pitchFamily="34" charset="0"/>
            </a:rPr>
            <a:t>The purpose of this workbook is to calculate</a:t>
          </a:r>
          <a:r>
            <a:rPr lang="en-CA" sz="1100" baseline="0">
              <a:solidFill>
                <a:schemeClr val="dk1"/>
              </a:solidFill>
              <a:effectLst/>
              <a:latin typeface="Arial" pitchFamily="34" charset="0"/>
              <a:ea typeface="+mn-ea"/>
              <a:cs typeface="Arial" pitchFamily="34" charset="0"/>
            </a:rPr>
            <a:t> the </a:t>
          </a:r>
          <a:r>
            <a:rPr lang="en-CA" sz="1100">
              <a:solidFill>
                <a:schemeClr val="dk1"/>
              </a:solidFill>
              <a:effectLst/>
              <a:latin typeface="Arial" pitchFamily="34" charset="0"/>
              <a:ea typeface="+mn-ea"/>
              <a:cs typeface="Arial" pitchFamily="34" charset="0"/>
            </a:rPr>
            <a:t>estimated Payment in Lieu of Taxes (PILs) for the Test Year.  The calculation of PILs</a:t>
          </a:r>
          <a:r>
            <a:rPr lang="en-CA" sz="1100" baseline="0">
              <a:solidFill>
                <a:schemeClr val="dk1"/>
              </a:solidFill>
              <a:effectLst/>
              <a:latin typeface="Arial" pitchFamily="34" charset="0"/>
              <a:ea typeface="+mn-ea"/>
              <a:cs typeface="Arial" pitchFamily="34" charset="0"/>
            </a:rPr>
            <a:t> for the Test Year is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and is based on the inputs on the other tabs.</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tx1"/>
              </a:solidFill>
              <a:effectLst/>
              <a:latin typeface="Arial" pitchFamily="34" charset="0"/>
              <a:ea typeface="+mn-ea"/>
              <a:cs typeface="Arial" pitchFamily="34" charset="0"/>
            </a:rPr>
            <a:t>Tab </a:t>
          </a:r>
          <a:r>
            <a:rPr lang="en-CA" sz="1100">
              <a:solidFill>
                <a:srgbClr val="FF0000"/>
              </a:solidFill>
              <a:effectLst/>
              <a:latin typeface="Arial" pitchFamily="34" charset="0"/>
              <a:ea typeface="+mn-ea"/>
              <a:cs typeface="Arial" pitchFamily="34" charset="0"/>
            </a:rPr>
            <a:t>S Summary </a:t>
          </a:r>
          <a:r>
            <a:rPr lang="en-CA" sz="1100">
              <a:solidFill>
                <a:schemeClr val="dk1"/>
              </a:solidFill>
              <a:effectLst/>
              <a:latin typeface="Arial" pitchFamily="34" charset="0"/>
              <a:ea typeface="+mn-ea"/>
              <a:cs typeface="Arial" pitchFamily="34" charset="0"/>
            </a:rPr>
            <a:t>is</a:t>
          </a:r>
          <a:r>
            <a:rPr lang="en-CA" sz="1100" baseline="0">
              <a:solidFill>
                <a:schemeClr val="dk1"/>
              </a:solidFill>
              <a:effectLst/>
              <a:latin typeface="Arial" pitchFamily="34" charset="0"/>
              <a:ea typeface="+mn-ea"/>
              <a:cs typeface="Arial" pitchFamily="34" charset="0"/>
            </a:rPr>
            <a:t> a summary of the amounts to be transferred to the Data Input Sheet of the Revenue Requirement Workform.  </a:t>
          </a:r>
        </a:p>
        <a:p>
          <a:endParaRPr lang="en-CA" sz="1100" baseline="0">
            <a:solidFill>
              <a:schemeClr val="dk1"/>
            </a:solidFill>
            <a:effectLst/>
            <a:latin typeface="Arial" pitchFamily="34" charset="0"/>
            <a:ea typeface="+mn-ea"/>
            <a:cs typeface="Arial" pitchFamily="34" charset="0"/>
          </a:endParaRPr>
        </a:p>
        <a:p>
          <a:r>
            <a:rPr lang="en-CA" sz="1100" baseline="0">
              <a:solidFill>
                <a:schemeClr val="dk1"/>
              </a:solidFill>
              <a:effectLst/>
              <a:latin typeface="Arial" pitchFamily="34" charset="0"/>
              <a:ea typeface="+mn-ea"/>
              <a:cs typeface="Arial" pitchFamily="34" charset="0"/>
            </a:rPr>
            <a:t>Tab </a:t>
          </a:r>
          <a:r>
            <a:rPr lang="en-CA" sz="1100" baseline="0">
              <a:solidFill>
                <a:srgbClr val="FF0000"/>
              </a:solidFill>
              <a:effectLst/>
              <a:latin typeface="Arial" pitchFamily="34" charset="0"/>
              <a:ea typeface="+mn-ea"/>
              <a:cs typeface="Arial" pitchFamily="34" charset="0"/>
            </a:rPr>
            <a:t>S1 Integrity Checks </a:t>
          </a:r>
          <a:r>
            <a:rPr lang="en-CA" sz="1100" baseline="0">
              <a:solidFill>
                <a:schemeClr val="dk1"/>
              </a:solidFill>
              <a:effectLst/>
              <a:latin typeface="Arial" pitchFamily="34" charset="0"/>
              <a:ea typeface="+mn-ea"/>
              <a:cs typeface="Arial" pitchFamily="34" charset="0"/>
            </a:rPr>
            <a:t>must be completed after the completion of the PILs calculation in this workbook.</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b="1">
              <a:solidFill>
                <a:schemeClr val="dk1"/>
              </a:solidFill>
              <a:effectLst/>
              <a:latin typeface="Arial" pitchFamily="34" charset="0"/>
              <a:ea typeface="+mn-ea"/>
              <a:cs typeface="Arial" pitchFamily="34" charset="0"/>
            </a:rPr>
            <a:t>Methodology</a:t>
          </a:r>
        </a:p>
        <a:p>
          <a:r>
            <a:rPr lang="en-CA" sz="1100">
              <a:solidFill>
                <a:schemeClr val="dk1"/>
              </a:solidFill>
              <a:effectLst/>
              <a:latin typeface="Arial" pitchFamily="34" charset="0"/>
              <a:ea typeface="+mn-ea"/>
              <a:cs typeface="Arial" pitchFamily="34" charset="0"/>
            </a:rPr>
            <a:t>T</a:t>
          </a:r>
          <a:r>
            <a:rPr lang="en-CA" sz="1100" baseline="0">
              <a:solidFill>
                <a:schemeClr val="dk1"/>
              </a:solidFill>
              <a:effectLst/>
              <a:latin typeface="Arial" pitchFamily="34" charset="0"/>
              <a:ea typeface="+mn-ea"/>
              <a:cs typeface="Arial" pitchFamily="34" charset="0"/>
            </a:rPr>
            <a:t>o </a:t>
          </a:r>
          <a:r>
            <a:rPr lang="en-CA" sz="1100">
              <a:solidFill>
                <a:schemeClr val="dk1"/>
              </a:solidFill>
              <a:effectLst/>
              <a:latin typeface="Arial" pitchFamily="34" charset="0"/>
              <a:ea typeface="+mn-ea"/>
              <a:cs typeface="Arial" pitchFamily="34" charset="0"/>
            </a:rPr>
            <a:t>calculate the PILs for the Test Year: </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1) input the balances from the income tax return of the Historical Year in tabs </a:t>
          </a:r>
          <a:r>
            <a:rPr lang="en-CA" sz="1100">
              <a:solidFill>
                <a:srgbClr val="FF0000"/>
              </a:solidFill>
              <a:effectLst/>
              <a:latin typeface="Arial" pitchFamily="34" charset="0"/>
              <a:ea typeface="+mn-ea"/>
              <a:cs typeface="Arial" pitchFamily="34" charset="0"/>
            </a:rPr>
            <a:t>H1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2) input the balances for the Bridge Year and the Test Year.</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Inputs</a:t>
          </a:r>
          <a:r>
            <a:rPr lang="en-CA" sz="1100" baseline="0">
              <a:solidFill>
                <a:schemeClr val="dk1"/>
              </a:solidFill>
              <a:effectLst/>
              <a:latin typeface="Arial" pitchFamily="34" charset="0"/>
              <a:ea typeface="+mn-ea"/>
              <a:cs typeface="Arial" pitchFamily="34" charset="0"/>
            </a:rPr>
            <a:t> should </a:t>
          </a:r>
          <a:r>
            <a:rPr lang="en-CA" sz="1100">
              <a:solidFill>
                <a:schemeClr val="dk1"/>
              </a:solidFill>
              <a:effectLst/>
              <a:latin typeface="Arial" pitchFamily="34" charset="0"/>
              <a:ea typeface="+mn-ea"/>
              <a:cs typeface="Arial" pitchFamily="34" charset="0"/>
            </a:rPr>
            <a:t>include:</a:t>
          </a:r>
          <a:r>
            <a:rPr lang="en-CA" sz="1100" baseline="0">
              <a:solidFill>
                <a:schemeClr val="dk1"/>
              </a:solidFill>
              <a:effectLst/>
              <a:latin typeface="Arial" pitchFamily="34" charset="0"/>
              <a:ea typeface="+mn-ea"/>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non-deductible expenses (Schedule 1 - </a:t>
          </a:r>
          <a:r>
            <a:rPr lang="en-CA" sz="1100" baseline="0">
              <a:solidFill>
                <a:srgbClr val="FF0000"/>
              </a:solidFill>
              <a:effectLst/>
              <a:latin typeface="Arial" pitchFamily="34" charset="0"/>
              <a:ea typeface="+mn-ea"/>
              <a:cs typeface="Arial" pitchFamily="34" charset="0"/>
            </a:rPr>
            <a:t>B1</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a:t>
          </a:r>
          <a:r>
            <a:rPr lang="en-CA" sz="1100" baseline="0">
              <a:solidFill>
                <a:schemeClr val="dk1"/>
              </a:solidFill>
              <a:effectLst/>
              <a:latin typeface="Arial" pitchFamily="34" charset="0"/>
              <a:ea typeface="+mn-ea"/>
              <a:cs typeface="Arial"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     - loss carryforward (Schedule 4 -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B4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and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T4</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t>
          </a:r>
          <a:endParaRPr lang="en-CA" sz="1100" baseline="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capital cost allowance (Schedule 8 - </a:t>
          </a:r>
          <a:r>
            <a:rPr lang="en-CA" sz="1100" baseline="0">
              <a:solidFill>
                <a:srgbClr val="FF0000"/>
              </a:solidFill>
              <a:effectLst/>
              <a:latin typeface="Arial" pitchFamily="34" charset="0"/>
              <a:ea typeface="+mn-ea"/>
              <a:cs typeface="Arial" pitchFamily="34" charset="0"/>
            </a:rPr>
            <a:t>B8</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T8</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 non-deductible</a:t>
          </a:r>
          <a:r>
            <a:rPr lang="en-CA" sz="1100" baseline="0">
              <a:solidFill>
                <a:schemeClr val="dk1"/>
              </a:solidFill>
              <a:effectLst/>
              <a:latin typeface="Arial" pitchFamily="34" charset="0"/>
              <a:ea typeface="+mn-ea"/>
              <a:cs typeface="Arial" pitchFamily="34" charset="0"/>
            </a:rPr>
            <a:t> reserves (Schedule 13 - </a:t>
          </a:r>
          <a:r>
            <a:rPr lang="en-CA" sz="1100" baseline="0">
              <a:solidFill>
                <a:srgbClr val="FF0000"/>
              </a:solidFill>
              <a:effectLst/>
              <a:latin typeface="Arial" pitchFamily="34" charset="0"/>
              <a:ea typeface="+mn-ea"/>
              <a:cs typeface="Arial" pitchFamily="34" charset="0"/>
            </a:rPr>
            <a:t>B13</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T13</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  3) make any other adjustments</a:t>
          </a:r>
          <a:r>
            <a:rPr lang="en-CA" sz="1100" baseline="0">
              <a:solidFill>
                <a:schemeClr val="dk1"/>
              </a:solidFill>
              <a:effectLst/>
              <a:latin typeface="Arial" pitchFamily="34" charset="0"/>
              <a:ea typeface="+mn-ea"/>
              <a:cs typeface="Arial" pitchFamily="34" charset="0"/>
            </a:rPr>
            <a:t> and inputs required so that the PILs amount calculated for the Test Year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is reasonable.</a:t>
          </a:r>
          <a:endParaRPr lang="en-CA" sz="1100" baseline="0">
            <a:solidFill>
              <a:srgbClr val="FF0000"/>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Arial" pitchFamily="34" charset="0"/>
              <a:ea typeface="+mn-ea"/>
              <a:cs typeface="Arial" pitchFamily="34" charset="0"/>
            </a:rPr>
            <a:t>Other Notes</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H0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 </a:t>
          </a:r>
          <a:r>
            <a:rPr lang="en-CA" sz="1100">
              <a:solidFill>
                <a:schemeClr val="dk1"/>
              </a:solidFill>
              <a:effectLst/>
              <a:latin typeface="Arial" pitchFamily="34" charset="0"/>
              <a:ea typeface="+mn-ea"/>
              <a:cs typeface="Arial" pitchFamily="34" charset="0"/>
            </a:rPr>
            <a:t>relate to the Historical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B0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B13 </a:t>
          </a:r>
          <a:r>
            <a:rPr lang="en-CA" sz="1100">
              <a:solidFill>
                <a:schemeClr val="dk1"/>
              </a:solidFill>
              <a:effectLst/>
              <a:latin typeface="Arial" pitchFamily="34" charset="0"/>
              <a:ea typeface="+mn-ea"/>
              <a:cs typeface="Arial" pitchFamily="34" charset="0"/>
            </a:rPr>
            <a:t>relate to the Bridge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T0</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T13</a:t>
          </a:r>
          <a:r>
            <a:rPr lang="en-CA" sz="1100">
              <a:solidFill>
                <a:schemeClr val="dk1"/>
              </a:solidFill>
              <a:effectLst/>
              <a:latin typeface="Arial" pitchFamily="34" charset="0"/>
              <a:ea typeface="+mn-ea"/>
              <a:cs typeface="Arial" pitchFamily="34" charset="0"/>
            </a:rPr>
            <a:t> relate to the Test Year.</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The amounts on tabs </a:t>
          </a:r>
          <a:r>
            <a:rPr lang="en-CA" sz="1100">
              <a:solidFill>
                <a:srgbClr val="FF0000"/>
              </a:solidFill>
              <a:effectLst/>
              <a:latin typeface="Arial" pitchFamily="34" charset="0"/>
              <a:ea typeface="+mn-ea"/>
              <a:cs typeface="Arial" pitchFamily="34" charset="0"/>
            </a:rPr>
            <a:t>H0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 should agree to the tax return filed with the Canada Revenue Agency.  Any CRA</a:t>
          </a:r>
          <a:r>
            <a:rPr lang="en-CA" sz="1100" baseline="0">
              <a:solidFill>
                <a:schemeClr val="dk1"/>
              </a:solidFill>
              <a:effectLst/>
              <a:latin typeface="Arial" pitchFamily="34" charset="0"/>
              <a:ea typeface="+mn-ea"/>
              <a:cs typeface="Arial" pitchFamily="34" charset="0"/>
            </a:rPr>
            <a:t> audit adjustments or corrections should also be reflected.</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It is assumed the net income before tax for the Test Year is equal to the Return on Equity. </a:t>
          </a:r>
          <a:r>
            <a:rPr lang="en-CA" sz="1100" baseline="0">
              <a:solidFill>
                <a:schemeClr val="dk1"/>
              </a:solidFill>
              <a:effectLst/>
              <a:latin typeface="Arial" pitchFamily="34" charset="0"/>
              <a:ea typeface="+mn-ea"/>
              <a:cs typeface="Arial" pitchFamily="34" charset="0"/>
            </a:rPr>
            <a:t> </a:t>
          </a:r>
          <a:r>
            <a:rPr lang="en-CA" sz="1100">
              <a:solidFill>
                <a:schemeClr val="dk1"/>
              </a:solidFill>
              <a:effectLst/>
              <a:latin typeface="Arial" pitchFamily="34" charset="0"/>
              <a:ea typeface="+mn-ea"/>
              <a:cs typeface="Arial" pitchFamily="34" charset="0"/>
            </a:rPr>
            <a:t>Return on Equity is calculated on tab </a:t>
          </a:r>
          <a:r>
            <a:rPr lang="en-CA" sz="1100">
              <a:solidFill>
                <a:srgbClr val="FF0000"/>
              </a:solidFill>
              <a:effectLst/>
              <a:latin typeface="Arial" pitchFamily="34" charset="0"/>
              <a:ea typeface="+mn-ea"/>
              <a:cs typeface="Arial" pitchFamily="34" charset="0"/>
            </a:rPr>
            <a:t>A</a:t>
          </a:r>
          <a:r>
            <a:rPr lang="en-CA" sz="1100">
              <a:solidFill>
                <a:schemeClr val="dk1"/>
              </a:solidFill>
              <a:effectLst/>
              <a:latin typeface="Arial" pitchFamily="34" charset="0"/>
              <a:ea typeface="+mn-ea"/>
              <a:cs typeface="Arial" pitchFamily="34" charset="0"/>
            </a:rPr>
            <a:t>.</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On tab "</a:t>
          </a:r>
          <a:r>
            <a:rPr lang="en-CA" sz="1100" baseline="0">
              <a:solidFill>
                <a:srgbClr val="FF0000"/>
              </a:solidFill>
              <a:effectLst/>
              <a:latin typeface="Arial" pitchFamily="34" charset="0"/>
              <a:ea typeface="+mn-ea"/>
              <a:cs typeface="Arial" pitchFamily="34" charset="0"/>
            </a:rPr>
            <a:t>A. Data Input Sheet</a:t>
          </a:r>
          <a:r>
            <a:rPr lang="en-CA" sz="1100" baseline="0">
              <a:solidFill>
                <a:schemeClr val="dk1"/>
              </a:solidFill>
              <a:effectLst/>
              <a:latin typeface="Arial" pitchFamily="34" charset="0"/>
              <a:ea typeface="+mn-ea"/>
              <a:cs typeface="Arial" pitchFamily="34" charset="0"/>
            </a:rPr>
            <a:t>", input the "Rate Base" amount and "Return on Rate Base" amounts. </a:t>
          </a: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Updated: June 13, 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47625</xdr:rowOff>
    </xdr:from>
    <xdr:to>
      <xdr:col>8</xdr:col>
      <xdr:colOff>446845</xdr:colOff>
      <xdr:row>8</xdr:row>
      <xdr:rowOff>182216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47625"/>
          <a:ext cx="8876470" cy="1896716"/>
          <a:chOff x="-7962901" y="-2409824"/>
          <a:chExt cx="8857420" cy="1915766"/>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100-00000A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1104900</xdr:colOff>
      <xdr:row>5</xdr:row>
      <xdr:rowOff>725141</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0" y="0"/>
          <a:ext cx="8324850" cy="1915766"/>
          <a:chOff x="-7962901" y="-2409824"/>
          <a:chExt cx="8857420" cy="1915766"/>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7724775</xdr:colOff>
      <xdr:row>10</xdr:row>
      <xdr:rowOff>10766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334375" cy="1915766"/>
        </a:xfrm>
        <a:prstGeom prst="rect">
          <a:avLst/>
        </a:prstGeom>
        <a:ln>
          <a:noFill/>
        </a:ln>
        <a:effectLst>
          <a:softEdge rad="112500"/>
        </a:effectLst>
      </xdr:spPr>
    </xdr:pic>
    <xdr:clientData/>
  </xdr:twoCellAnchor>
  <xdr:twoCellAnchor>
    <xdr:from>
      <xdr:col>0</xdr:col>
      <xdr:colOff>76200</xdr:colOff>
      <xdr:row>3</xdr:row>
      <xdr:rowOff>57150</xdr:rowOff>
    </xdr:from>
    <xdr:to>
      <xdr:col>1</xdr:col>
      <xdr:colOff>7527300</xdr:colOff>
      <xdr:row>6</xdr:row>
      <xdr:rowOff>32279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76200" y="628650"/>
          <a:ext cx="806070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913570</xdr:colOff>
      <xdr:row>5</xdr:row>
      <xdr:rowOff>725141</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8847895" cy="1915766"/>
          <a:chOff x="-7962901" y="-2409824"/>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4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1114424</xdr:colOff>
      <xdr:row>5</xdr:row>
      <xdr:rowOff>115541</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0" y="0"/>
          <a:ext cx="10906124" cy="1915766"/>
          <a:chOff x="-7962901" y="-2409824"/>
          <a:chExt cx="8857420" cy="1915766"/>
        </a:xfrm>
      </xdr:grpSpPr>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5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5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446845</xdr:colOff>
      <xdr:row>4</xdr:row>
      <xdr:rowOff>458441</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0" y="0"/>
          <a:ext cx="8838370" cy="1915766"/>
          <a:chOff x="-7962901" y="-2409824"/>
          <a:chExt cx="8857420" cy="1915766"/>
        </a:xfrm>
      </xdr:grpSpPr>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6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600-00000D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837370</xdr:colOff>
      <xdr:row>7</xdr:row>
      <xdr:rowOff>153641</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0" y="0"/>
          <a:ext cx="9318761" cy="1934402"/>
          <a:chOff x="-7962901" y="-2409824"/>
          <a:chExt cx="8857420" cy="1915766"/>
        </a:xfrm>
      </xdr:grpSpPr>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7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7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437320</xdr:colOff>
      <xdr:row>6</xdr:row>
      <xdr:rowOff>1241</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0" y="0"/>
          <a:ext cx="8876470" cy="1915766"/>
          <a:chOff x="-7962901" y="-2409824"/>
          <a:chExt cx="8857420" cy="1915766"/>
        </a:xfrm>
      </xdr:grpSpPr>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8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8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551620</xdr:colOff>
      <xdr:row>4</xdr:row>
      <xdr:rowOff>363191</xdr:rowOff>
    </xdr:to>
    <xdr:grpSp>
      <xdr:nvGrpSpPr>
        <xdr:cNvPr id="10" name="Group 9">
          <a:extLst>
            <a:ext uri="{FF2B5EF4-FFF2-40B4-BE49-F238E27FC236}">
              <a16:creationId xmlns:a16="http://schemas.microsoft.com/office/drawing/2014/main" id="{00000000-0008-0000-0900-00000A000000}"/>
            </a:ext>
          </a:extLst>
        </xdr:cNvPr>
        <xdr:cNvGrpSpPr/>
      </xdr:nvGrpSpPr>
      <xdr:grpSpPr>
        <a:xfrm>
          <a:off x="0" y="0"/>
          <a:ext cx="10886245" cy="1915766"/>
          <a:chOff x="-7962901" y="-2409824"/>
          <a:chExt cx="8857420" cy="1915766"/>
        </a:xfrm>
      </xdr:grpSpPr>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9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9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542095</xdr:colOff>
      <xdr:row>7</xdr:row>
      <xdr:rowOff>10766</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0" y="0"/>
          <a:ext cx="8819320" cy="1915766"/>
          <a:chOff x="-7962901" y="-2409824"/>
          <a:chExt cx="8857420" cy="1915766"/>
        </a:xfrm>
      </xdr:grpSpPr>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A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A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id="{00000000-0008-0000-0B00-00000A000000}"/>
            </a:ext>
          </a:extLst>
        </xdr:cNvPr>
        <xdr:cNvGrpSpPr/>
      </xdr:nvGrpSpPr>
      <xdr:grpSpPr>
        <a:xfrm>
          <a:off x="0" y="0"/>
          <a:ext cx="10181395" cy="1915766"/>
          <a:chOff x="-7962901" y="-2409824"/>
          <a:chExt cx="8857420" cy="1915766"/>
        </a:xfrm>
      </xdr:grpSpPr>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B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B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8</xdr:col>
      <xdr:colOff>637345</xdr:colOff>
      <xdr:row>3</xdr:row>
      <xdr:rowOff>201266</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38100" y="28575"/>
          <a:ext cx="9848020" cy="1915766"/>
          <a:chOff x="-7962901" y="-2409824"/>
          <a:chExt cx="8857420" cy="1915766"/>
        </a:xfrm>
      </xdr:grpSpPr>
      <xdr:pic>
        <xdr:nvPicPr>
          <xdr:cNvPr id="11" name="Picture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C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C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313495</xdr:colOff>
      <xdr:row>5</xdr:row>
      <xdr:rowOff>115541</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0" y="0"/>
          <a:ext cx="9771820" cy="1915766"/>
          <a:chOff x="-7962901" y="-2409824"/>
          <a:chExt cx="8857420" cy="1915766"/>
        </a:xfrm>
      </xdr:grpSpPr>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D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D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7</xdr:col>
      <xdr:colOff>837370</xdr:colOff>
      <xdr:row>6</xdr:row>
      <xdr:rowOff>115541</xdr:rowOff>
    </xdr:to>
    <xdr:grpSp>
      <xdr:nvGrpSpPr>
        <xdr:cNvPr id="10" name="Group 9">
          <a:extLst>
            <a:ext uri="{FF2B5EF4-FFF2-40B4-BE49-F238E27FC236}">
              <a16:creationId xmlns:a16="http://schemas.microsoft.com/office/drawing/2014/main" id="{00000000-0008-0000-0E00-00000A000000}"/>
            </a:ext>
          </a:extLst>
        </xdr:cNvPr>
        <xdr:cNvGrpSpPr/>
      </xdr:nvGrpSpPr>
      <xdr:grpSpPr>
        <a:xfrm>
          <a:off x="142875" y="76200"/>
          <a:ext cx="9848020" cy="1915766"/>
          <a:chOff x="-7962901" y="-2409824"/>
          <a:chExt cx="8857420" cy="1915766"/>
        </a:xfrm>
      </xdr:grpSpPr>
      <xdr:pic>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E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E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942145</xdr:colOff>
      <xdr:row>5</xdr:row>
      <xdr:rowOff>439391</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0" y="0"/>
          <a:ext cx="10124245" cy="1915766"/>
          <a:chOff x="-7962901" y="-2409824"/>
          <a:chExt cx="8857420" cy="1915766"/>
        </a:xfrm>
      </xdr:grpSpPr>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F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F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0" y="0"/>
          <a:ext cx="8619295" cy="1915766"/>
          <a:chOff x="-7962901" y="-2409824"/>
          <a:chExt cx="8857420" cy="1915766"/>
        </a:xfrm>
      </xdr:grpSpPr>
      <xdr:pic>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0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0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580195</xdr:colOff>
      <xdr:row>8</xdr:row>
      <xdr:rowOff>86966</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9505120" cy="1915766"/>
          <a:chOff x="-7962901" y="-2409824"/>
          <a:chExt cx="8857420" cy="1915766"/>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1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1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170620</xdr:colOff>
      <xdr:row>6</xdr:row>
      <xdr:rowOff>39341</xdr:rowOff>
    </xdr:to>
    <xdr:grpSp>
      <xdr:nvGrpSpPr>
        <xdr:cNvPr id="10" name="Group 9">
          <a:extLst>
            <a:ext uri="{FF2B5EF4-FFF2-40B4-BE49-F238E27FC236}">
              <a16:creationId xmlns:a16="http://schemas.microsoft.com/office/drawing/2014/main" id="{00000000-0008-0000-1200-00000A000000}"/>
            </a:ext>
          </a:extLst>
        </xdr:cNvPr>
        <xdr:cNvGrpSpPr/>
      </xdr:nvGrpSpPr>
      <xdr:grpSpPr>
        <a:xfrm>
          <a:off x="0" y="0"/>
          <a:ext cx="9724195" cy="1915766"/>
          <a:chOff x="-7962901" y="-2409824"/>
          <a:chExt cx="8857420" cy="1915766"/>
        </a:xfrm>
      </xdr:grpSpPr>
      <xdr:pic>
        <xdr:nvPicPr>
          <xdr:cNvPr id="11" name="Picture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2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2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7</xdr:col>
      <xdr:colOff>837370</xdr:colOff>
      <xdr:row>6</xdr:row>
      <xdr:rowOff>115541</xdr:rowOff>
    </xdr:to>
    <xdr:grpSp>
      <xdr:nvGrpSpPr>
        <xdr:cNvPr id="8" name="Group 7">
          <a:extLst>
            <a:ext uri="{FF2B5EF4-FFF2-40B4-BE49-F238E27FC236}">
              <a16:creationId xmlns:a16="http://schemas.microsoft.com/office/drawing/2014/main" id="{00000000-0008-0000-1300-000008000000}"/>
            </a:ext>
          </a:extLst>
        </xdr:cNvPr>
        <xdr:cNvGrpSpPr/>
      </xdr:nvGrpSpPr>
      <xdr:grpSpPr>
        <a:xfrm>
          <a:off x="142875" y="76200"/>
          <a:ext cx="10362370" cy="1915766"/>
          <a:chOff x="-7962901" y="-2409824"/>
          <a:chExt cx="8857420" cy="1915766"/>
        </a:xfrm>
      </xdr:grpSpPr>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5" name="Rectangle 14">
            <a:extLst>
              <a:ext uri="{FF2B5EF4-FFF2-40B4-BE49-F238E27FC236}">
                <a16:creationId xmlns:a16="http://schemas.microsoft.com/office/drawing/2014/main" id="{00000000-0008-0000-1300-00000F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id="{00000000-0008-0000-1300-000011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961195</xdr:colOff>
      <xdr:row>5</xdr:row>
      <xdr:rowOff>134591</xdr:rowOff>
    </xdr:to>
    <xdr:grpSp>
      <xdr:nvGrpSpPr>
        <xdr:cNvPr id="10" name="Group 9">
          <a:extLst>
            <a:ext uri="{FF2B5EF4-FFF2-40B4-BE49-F238E27FC236}">
              <a16:creationId xmlns:a16="http://schemas.microsoft.com/office/drawing/2014/main" id="{00000000-0008-0000-1400-00000A000000}"/>
            </a:ext>
          </a:extLst>
        </xdr:cNvPr>
        <xdr:cNvGrpSpPr/>
      </xdr:nvGrpSpPr>
      <xdr:grpSpPr>
        <a:xfrm>
          <a:off x="0" y="0"/>
          <a:ext cx="10367133" cy="1910607"/>
          <a:chOff x="-7962901" y="-2409824"/>
          <a:chExt cx="8857420" cy="1915766"/>
        </a:xfrm>
      </xdr:grpSpPr>
      <xdr:pic>
        <xdr:nvPicPr>
          <xdr:cNvPr id="11" name="Picture 10">
            <a:extLst>
              <a:ext uri="{FF2B5EF4-FFF2-40B4-BE49-F238E27FC236}">
                <a16:creationId xmlns:a16="http://schemas.microsoft.com/office/drawing/2014/main" id="{00000000-0008-0000-14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4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canada.ca/content/dam/cra-arc/formspubs/pbg/t2sch8/t2sch8-19e.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9.bin"/><Relationship Id="rId1" Type="http://schemas.openxmlformats.org/officeDocument/2006/relationships/hyperlink" Target="https://www.canada.ca/content/dam/cra-arc/formspubs/pbg/t2sch8/t2sch8-19e.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H240"/>
  <sheetViews>
    <sheetView showGridLines="0" topLeftCell="A4" zoomScale="85" zoomScaleNormal="85" workbookViewId="0">
      <selection activeCell="D24" sqref="D24"/>
    </sheetView>
  </sheetViews>
  <sheetFormatPr defaultColWidth="9.140625" defaultRowHeight="0" customHeight="1" zeroHeight="1" x14ac:dyDescent="0.25"/>
  <cols>
    <col min="1" max="1" width="14.85546875" style="364" customWidth="1"/>
    <col min="2" max="2" width="11.42578125" style="364" hidden="1" customWidth="1"/>
    <col min="3" max="3" width="29.85546875" style="364" customWidth="1"/>
    <col min="4" max="4" width="34.42578125" style="364" customWidth="1"/>
    <col min="5" max="5" width="30.85546875" style="242" customWidth="1"/>
    <col min="6" max="6" width="13.5703125" style="364" customWidth="1"/>
    <col min="7" max="25" width="9.140625" style="364"/>
    <col min="26" max="26" width="8.5703125" style="364" customWidth="1"/>
    <col min="27" max="27" width="3.85546875" style="367" customWidth="1"/>
    <col min="28" max="28" width="67.85546875" style="367" hidden="1" customWidth="1"/>
    <col min="29" max="29" width="17" style="367" hidden="1" customWidth="1"/>
    <col min="30" max="31" width="16.140625" style="367" customWidth="1"/>
    <col min="32" max="32" width="13.85546875" style="368" customWidth="1"/>
    <col min="33" max="33" width="24.42578125" style="368" customWidth="1"/>
    <col min="34" max="34" width="6.140625" style="364" customWidth="1"/>
    <col min="35" max="35" width="9.140625" style="364" customWidth="1"/>
    <col min="36" max="36" width="45.140625" style="364" customWidth="1"/>
    <col min="37" max="16384" width="9.140625" style="364"/>
  </cols>
  <sheetData>
    <row r="1" spans="1:34" ht="12.75" customHeight="1" x14ac:dyDescent="0.25">
      <c r="AB1" s="555" t="s">
        <v>477</v>
      </c>
      <c r="AC1" s="434"/>
    </row>
    <row r="2" spans="1:34" ht="12.75" customHeight="1" x14ac:dyDescent="0.25">
      <c r="C2" s="438"/>
      <c r="D2" s="438"/>
      <c r="E2" s="438"/>
      <c r="F2" s="438"/>
      <c r="G2" s="438"/>
      <c r="H2" s="438"/>
      <c r="I2" s="438"/>
      <c r="J2" s="438"/>
      <c r="AB2" s="555" t="s">
        <v>478</v>
      </c>
      <c r="AC2" s="434"/>
      <c r="AF2" s="367"/>
      <c r="AG2" s="367"/>
      <c r="AH2" s="367"/>
    </row>
    <row r="3" spans="1:34" ht="12.75" customHeight="1" x14ac:dyDescent="0.25">
      <c r="C3" s="438"/>
      <c r="D3" s="438"/>
      <c r="E3" s="438"/>
      <c r="F3" s="438"/>
      <c r="G3" s="438"/>
      <c r="H3" s="438"/>
      <c r="I3" s="438"/>
      <c r="J3" s="438"/>
      <c r="AB3" s="555" t="s">
        <v>479</v>
      </c>
      <c r="AC3" s="434"/>
    </row>
    <row r="4" spans="1:34" ht="12.75" customHeight="1" x14ac:dyDescent="0.25">
      <c r="C4" s="438"/>
      <c r="D4" s="438"/>
      <c r="E4" s="438"/>
      <c r="F4" s="438"/>
      <c r="G4" s="438"/>
      <c r="H4" s="438"/>
      <c r="I4" s="438"/>
      <c r="J4" s="438"/>
      <c r="AB4" s="555" t="s">
        <v>480</v>
      </c>
      <c r="AC4" s="434"/>
    </row>
    <row r="5" spans="1:34" ht="18" x14ac:dyDescent="0.25">
      <c r="C5" s="438"/>
      <c r="D5" s="438"/>
      <c r="E5" s="438"/>
      <c r="F5" s="438"/>
      <c r="G5" s="438"/>
      <c r="H5" s="438"/>
      <c r="I5" s="438"/>
      <c r="J5" s="438"/>
      <c r="AB5" s="555" t="s">
        <v>481</v>
      </c>
      <c r="AC5" s="434"/>
    </row>
    <row r="6" spans="1:34" ht="15.75" x14ac:dyDescent="0.25">
      <c r="AB6" s="555" t="s">
        <v>190</v>
      </c>
      <c r="AC6" s="434"/>
    </row>
    <row r="7" spans="1:34" ht="15.75" x14ac:dyDescent="0.25">
      <c r="AB7" s="555" t="s">
        <v>216</v>
      </c>
      <c r="AC7" s="434"/>
    </row>
    <row r="8" spans="1:34" ht="15.75" x14ac:dyDescent="0.25">
      <c r="AB8" s="555" t="s">
        <v>274</v>
      </c>
      <c r="AC8" s="434"/>
    </row>
    <row r="9" spans="1:34" ht="15.75" x14ac:dyDescent="0.25">
      <c r="AB9" s="555" t="s">
        <v>191</v>
      </c>
      <c r="AC9" s="434"/>
    </row>
    <row r="10" spans="1:34" ht="26.25" x14ac:dyDescent="0.4">
      <c r="C10" s="243"/>
      <c r="AB10" s="555" t="s">
        <v>192</v>
      </c>
      <c r="AC10" s="434"/>
    </row>
    <row r="11" spans="1:34" ht="15.75" x14ac:dyDescent="0.25">
      <c r="AB11" s="555" t="s">
        <v>482</v>
      </c>
      <c r="AC11" s="434"/>
    </row>
    <row r="12" spans="1:34" ht="20.25" x14ac:dyDescent="0.3">
      <c r="F12" s="369" t="s">
        <v>273</v>
      </c>
      <c r="G12" s="419">
        <v>1.2</v>
      </c>
      <c r="AB12" s="555" t="s">
        <v>193</v>
      </c>
      <c r="AC12" s="434"/>
    </row>
    <row r="13" spans="1:34" ht="16.5" thickBot="1" x14ac:dyDescent="0.3">
      <c r="F13" s="242"/>
      <c r="G13" s="242"/>
      <c r="H13" s="242"/>
      <c r="AB13" s="555" t="s">
        <v>287</v>
      </c>
      <c r="AC13" s="434"/>
    </row>
    <row r="14" spans="1:34" ht="17.25" thickTop="1" thickBot="1" x14ac:dyDescent="0.3">
      <c r="A14" s="296"/>
      <c r="B14" s="296"/>
      <c r="C14" s="370" t="s">
        <v>250</v>
      </c>
      <c r="D14" s="559" t="s">
        <v>505</v>
      </c>
      <c r="E14" s="560"/>
      <c r="F14" s="242"/>
      <c r="G14" s="242"/>
      <c r="H14" s="242"/>
      <c r="AB14" s="555" t="s">
        <v>194</v>
      </c>
      <c r="AC14" s="434"/>
    </row>
    <row r="15" spans="1:34" ht="16.5" thickBot="1" x14ac:dyDescent="0.3">
      <c r="A15" s="296"/>
      <c r="B15" s="296"/>
      <c r="C15" s="296"/>
      <c r="AB15" s="555" t="s">
        <v>195</v>
      </c>
      <c r="AC15" s="434"/>
    </row>
    <row r="16" spans="1:34" ht="16.5" thickTop="1" x14ac:dyDescent="0.25">
      <c r="A16" s="296"/>
      <c r="B16" s="296"/>
      <c r="C16" s="371" t="s">
        <v>251</v>
      </c>
      <c r="D16" s="372" t="s">
        <v>506</v>
      </c>
      <c r="AB16" s="555" t="s">
        <v>483</v>
      </c>
      <c r="AC16" s="434"/>
    </row>
    <row r="17" spans="1:33" ht="16.5" thickBot="1" x14ac:dyDescent="0.3">
      <c r="A17" s="296"/>
      <c r="B17" s="296"/>
      <c r="C17" s="296"/>
      <c r="AB17" s="555" t="s">
        <v>484</v>
      </c>
      <c r="AC17" s="449"/>
    </row>
    <row r="18" spans="1:33" ht="16.5" customHeight="1" thickTop="1" x14ac:dyDescent="0.2">
      <c r="A18" s="296"/>
      <c r="B18" s="296"/>
      <c r="C18" s="371" t="s">
        <v>252</v>
      </c>
      <c r="D18" s="557" t="s">
        <v>519</v>
      </c>
      <c r="E18" s="558"/>
      <c r="F18" s="244"/>
      <c r="G18" s="244"/>
      <c r="H18" s="244"/>
      <c r="AB18" s="555" t="s">
        <v>503</v>
      </c>
      <c r="AC18" s="449"/>
    </row>
    <row r="19" spans="1:33" ht="16.5" thickBot="1" x14ac:dyDescent="0.3">
      <c r="A19" s="296"/>
      <c r="B19" s="296"/>
      <c r="C19" s="296"/>
      <c r="AA19" s="181"/>
      <c r="AB19" s="555" t="s">
        <v>485</v>
      </c>
      <c r="AC19" s="434"/>
      <c r="AD19" s="181"/>
      <c r="AE19" s="181"/>
      <c r="AF19" s="182"/>
      <c r="AG19" s="182"/>
    </row>
    <row r="20" spans="1:33" ht="16.5" thickTop="1" x14ac:dyDescent="0.25">
      <c r="A20" s="296"/>
      <c r="B20" s="296"/>
      <c r="C20" s="371" t="s">
        <v>253</v>
      </c>
      <c r="D20" s="373" t="s">
        <v>520</v>
      </c>
      <c r="AB20" s="555" t="s">
        <v>486</v>
      </c>
      <c r="AC20" s="434"/>
      <c r="AE20" s="364"/>
      <c r="AF20" s="374"/>
      <c r="AG20" s="375"/>
    </row>
    <row r="21" spans="1:33" ht="15" customHeight="1" thickBot="1" x14ac:dyDescent="0.25">
      <c r="A21" s="296"/>
      <c r="B21" s="296"/>
      <c r="C21" s="296"/>
      <c r="E21" s="244"/>
      <c r="AB21" s="555" t="s">
        <v>374</v>
      </c>
      <c r="AC21" s="434"/>
      <c r="AE21" s="364"/>
      <c r="AF21" s="374"/>
      <c r="AG21" s="375"/>
    </row>
    <row r="22" spans="1:33" ht="15.75" customHeight="1" thickTop="1" x14ac:dyDescent="0.2">
      <c r="A22" s="296"/>
      <c r="B22" s="296"/>
      <c r="C22" s="371" t="s">
        <v>254</v>
      </c>
      <c r="D22" s="557" t="s">
        <v>521</v>
      </c>
      <c r="E22" s="558"/>
      <c r="AB22" s="555" t="s">
        <v>487</v>
      </c>
      <c r="AD22" s="364"/>
      <c r="AE22" s="374"/>
      <c r="AF22" s="375"/>
      <c r="AG22" s="364"/>
    </row>
    <row r="23" spans="1:33" ht="16.5" thickBot="1" x14ac:dyDescent="0.3">
      <c r="A23" s="296"/>
      <c r="B23" s="296"/>
      <c r="C23" s="296"/>
      <c r="AB23" s="555" t="s">
        <v>488</v>
      </c>
      <c r="AD23" s="364"/>
      <c r="AE23" s="374"/>
      <c r="AF23" s="375"/>
      <c r="AG23" s="364"/>
    </row>
    <row r="24" spans="1:33" ht="16.5" thickTop="1" x14ac:dyDescent="0.25">
      <c r="A24" s="296"/>
      <c r="B24" s="296"/>
      <c r="C24" s="371" t="s">
        <v>255</v>
      </c>
      <c r="D24" s="556">
        <v>44196</v>
      </c>
      <c r="F24" s="245"/>
      <c r="G24" s="245"/>
      <c r="H24" s="245"/>
      <c r="AB24" s="555" t="s">
        <v>489</v>
      </c>
      <c r="AC24" s="434"/>
      <c r="AE24" s="364"/>
      <c r="AF24" s="374"/>
      <c r="AG24" s="375"/>
    </row>
    <row r="25" spans="1:33" ht="16.5" thickBot="1" x14ac:dyDescent="0.3">
      <c r="A25" s="296"/>
      <c r="B25" s="296"/>
      <c r="C25" s="297"/>
      <c r="D25" s="246"/>
      <c r="F25" s="376"/>
      <c r="I25" s="376"/>
      <c r="AB25" s="555" t="s">
        <v>196</v>
      </c>
      <c r="AC25" s="434"/>
      <c r="AE25" s="364"/>
      <c r="AF25" s="374"/>
      <c r="AG25" s="375"/>
    </row>
    <row r="26" spans="1:33" ht="16.5" thickTop="1" x14ac:dyDescent="0.25">
      <c r="A26" s="296"/>
      <c r="B26" s="296"/>
      <c r="C26" s="377" t="s">
        <v>256</v>
      </c>
      <c r="D26" s="247">
        <v>2015</v>
      </c>
      <c r="AB26" s="555" t="s">
        <v>197</v>
      </c>
      <c r="AC26" s="434"/>
      <c r="AE26" s="364"/>
      <c r="AF26" s="374"/>
      <c r="AG26" s="375"/>
    </row>
    <row r="27" spans="1:33" ht="15.75" x14ac:dyDescent="0.25">
      <c r="AB27" s="555" t="s">
        <v>198</v>
      </c>
      <c r="AC27" s="434"/>
      <c r="AE27" s="364"/>
      <c r="AF27" s="374"/>
      <c r="AG27" s="375"/>
    </row>
    <row r="28" spans="1:33" ht="15.75" x14ac:dyDescent="0.25">
      <c r="C28" s="377"/>
      <c r="AB28" s="555" t="s">
        <v>199</v>
      </c>
      <c r="AC28" s="434"/>
      <c r="AE28" s="364"/>
      <c r="AF28" s="374"/>
      <c r="AG28" s="375"/>
    </row>
    <row r="29" spans="1:33" ht="15.75" x14ac:dyDescent="0.25">
      <c r="A29" s="248" t="s">
        <v>257</v>
      </c>
      <c r="C29" s="377"/>
      <c r="AB29" s="555" t="s">
        <v>490</v>
      </c>
      <c r="AC29" s="434"/>
      <c r="AE29" s="364"/>
      <c r="AF29" s="374"/>
      <c r="AG29" s="375"/>
    </row>
    <row r="30" spans="1:33" ht="15.75" x14ac:dyDescent="0.25">
      <c r="C30" s="377"/>
      <c r="AB30" s="555" t="s">
        <v>217</v>
      </c>
      <c r="AC30" s="434"/>
      <c r="AE30" s="364"/>
      <c r="AF30" s="374"/>
      <c r="AG30" s="375"/>
    </row>
    <row r="31" spans="1:33" ht="15.75" x14ac:dyDescent="0.25">
      <c r="AB31" s="555" t="s">
        <v>491</v>
      </c>
      <c r="AC31" s="434"/>
      <c r="AE31" s="364"/>
      <c r="AF31" s="374"/>
      <c r="AG31" s="375"/>
    </row>
    <row r="32" spans="1:33" ht="15.75" x14ac:dyDescent="0.25">
      <c r="C32" s="378"/>
      <c r="AB32" s="555" t="s">
        <v>218</v>
      </c>
      <c r="AC32" s="434"/>
      <c r="AE32" s="364"/>
      <c r="AF32" s="374"/>
      <c r="AG32" s="375"/>
    </row>
    <row r="33" spans="3:33" ht="15.75" x14ac:dyDescent="0.25">
      <c r="F33" s="379"/>
      <c r="G33" s="379"/>
      <c r="H33" s="379"/>
      <c r="I33" s="379"/>
      <c r="J33" s="379"/>
      <c r="K33" s="379"/>
      <c r="AB33" s="555" t="s">
        <v>200</v>
      </c>
      <c r="AC33" s="434"/>
      <c r="AE33" s="364"/>
      <c r="AF33" s="374"/>
      <c r="AG33" s="375"/>
    </row>
    <row r="34" spans="3:33" ht="15.75" x14ac:dyDescent="0.25">
      <c r="F34" s="379"/>
      <c r="G34" s="379"/>
      <c r="H34" s="379"/>
      <c r="I34" s="379"/>
      <c r="J34" s="379"/>
      <c r="K34" s="379"/>
      <c r="AB34" s="555" t="s">
        <v>291</v>
      </c>
      <c r="AC34" s="434"/>
      <c r="AE34" s="364"/>
      <c r="AF34" s="374"/>
      <c r="AG34" s="375"/>
    </row>
    <row r="35" spans="3:33" ht="15.75" x14ac:dyDescent="0.25">
      <c r="F35" s="379"/>
      <c r="G35" s="379"/>
      <c r="H35" s="379"/>
      <c r="I35" s="379"/>
      <c r="J35" s="379"/>
      <c r="K35" s="379"/>
      <c r="AB35" s="555" t="s">
        <v>492</v>
      </c>
      <c r="AC35" s="434"/>
      <c r="AE35" s="364"/>
      <c r="AF35" s="374"/>
      <c r="AG35" s="375"/>
    </row>
    <row r="36" spans="3:33" ht="15.75" x14ac:dyDescent="0.25">
      <c r="D36" s="380"/>
      <c r="E36" s="364"/>
      <c r="F36" s="250"/>
      <c r="G36" s="250"/>
      <c r="H36" s="250"/>
      <c r="I36" s="250"/>
      <c r="J36" s="250"/>
      <c r="K36" s="250"/>
      <c r="AB36" s="555" t="s">
        <v>493</v>
      </c>
      <c r="AC36" s="434"/>
      <c r="AE36" s="364"/>
      <c r="AF36" s="374"/>
      <c r="AG36" s="375"/>
    </row>
    <row r="37" spans="3:33" ht="15.75" x14ac:dyDescent="0.25">
      <c r="D37" s="248"/>
      <c r="E37" s="364"/>
      <c r="F37" s="251"/>
      <c r="G37" s="379"/>
      <c r="H37" s="379"/>
      <c r="I37" s="379"/>
      <c r="J37" s="379"/>
      <c r="K37" s="379"/>
      <c r="AB37" s="555" t="s">
        <v>494</v>
      </c>
      <c r="AC37" s="434"/>
      <c r="AE37" s="364"/>
      <c r="AF37" s="374"/>
      <c r="AG37" s="375"/>
    </row>
    <row r="38" spans="3:33" ht="15.75" x14ac:dyDescent="0.25">
      <c r="D38" s="380"/>
      <c r="E38" s="364"/>
      <c r="F38" s="250"/>
      <c r="G38" s="250"/>
      <c r="H38" s="250"/>
      <c r="I38" s="250"/>
      <c r="J38" s="250"/>
      <c r="K38" s="250"/>
      <c r="AB38" s="555" t="s">
        <v>495</v>
      </c>
      <c r="AC38" s="434"/>
      <c r="AE38" s="364"/>
      <c r="AF38" s="374"/>
      <c r="AG38" s="375"/>
    </row>
    <row r="39" spans="3:33" ht="15.75" x14ac:dyDescent="0.25">
      <c r="D39" s="248"/>
      <c r="E39" s="364"/>
      <c r="F39" s="251"/>
      <c r="G39" s="379"/>
      <c r="H39" s="379"/>
      <c r="I39" s="379"/>
      <c r="J39" s="379"/>
      <c r="K39" s="379"/>
      <c r="AB39" s="555" t="s">
        <v>219</v>
      </c>
      <c r="AC39" s="434"/>
      <c r="AE39" s="364"/>
      <c r="AF39" s="374"/>
      <c r="AG39" s="375"/>
    </row>
    <row r="40" spans="3:33" ht="15.75" x14ac:dyDescent="0.25">
      <c r="D40" s="380"/>
      <c r="E40" s="381"/>
      <c r="F40" s="250"/>
      <c r="G40" s="250"/>
      <c r="H40" s="250"/>
      <c r="I40" s="250"/>
      <c r="J40" s="250"/>
      <c r="K40" s="250"/>
      <c r="AB40" s="555" t="s">
        <v>496</v>
      </c>
      <c r="AC40" s="434"/>
      <c r="AE40" s="364"/>
      <c r="AF40" s="374"/>
      <c r="AG40" s="375"/>
    </row>
    <row r="41" spans="3:33" ht="12.75" customHeight="1" x14ac:dyDescent="0.25">
      <c r="D41" s="248"/>
      <c r="E41" s="364"/>
      <c r="F41" s="252"/>
      <c r="G41" s="379"/>
      <c r="H41" s="379"/>
      <c r="I41" s="379"/>
      <c r="J41" s="379"/>
      <c r="K41" s="379"/>
      <c r="AB41" s="555" t="s">
        <v>201</v>
      </c>
      <c r="AC41" s="434"/>
      <c r="AE41" s="364"/>
      <c r="AF41" s="374"/>
      <c r="AG41" s="375"/>
    </row>
    <row r="42" spans="3:33" ht="15.75" x14ac:dyDescent="0.25">
      <c r="D42" s="382"/>
      <c r="E42" s="383"/>
      <c r="F42" s="250"/>
      <c r="G42" s="250"/>
      <c r="H42" s="250"/>
      <c r="I42" s="250"/>
      <c r="J42" s="250"/>
      <c r="K42" s="250"/>
      <c r="AB42" s="555" t="s">
        <v>202</v>
      </c>
      <c r="AC42" s="434"/>
      <c r="AE42" s="364"/>
      <c r="AF42" s="374"/>
      <c r="AG42" s="375"/>
    </row>
    <row r="43" spans="3:33" ht="12.75" x14ac:dyDescent="0.2">
      <c r="E43" s="364"/>
      <c r="F43" s="379"/>
      <c r="G43" s="379"/>
      <c r="H43" s="379"/>
      <c r="I43" s="379"/>
      <c r="J43" s="379"/>
      <c r="K43" s="379"/>
      <c r="AB43" s="555" t="s">
        <v>220</v>
      </c>
      <c r="AC43" s="434"/>
      <c r="AE43" s="364"/>
      <c r="AF43" s="374"/>
      <c r="AG43" s="375"/>
    </row>
    <row r="44" spans="3:33" ht="15.75" x14ac:dyDescent="0.25">
      <c r="D44" s="382"/>
      <c r="E44" s="382"/>
      <c r="F44" s="384"/>
      <c r="G44" s="384"/>
      <c r="H44" s="253"/>
      <c r="I44" s="253"/>
      <c r="J44" s="253"/>
      <c r="K44" s="253"/>
      <c r="AB44" s="555" t="s">
        <v>203</v>
      </c>
      <c r="AC44" s="434"/>
      <c r="AE44" s="364"/>
      <c r="AF44" s="374"/>
      <c r="AG44" s="375"/>
    </row>
    <row r="45" spans="3:33" ht="12.75" x14ac:dyDescent="0.2">
      <c r="E45" s="364"/>
      <c r="F45" s="379"/>
      <c r="G45" s="379"/>
      <c r="H45" s="379"/>
      <c r="I45" s="379"/>
      <c r="J45" s="379"/>
      <c r="K45" s="379"/>
      <c r="AB45" s="555" t="s">
        <v>497</v>
      </c>
      <c r="AC45" s="434"/>
      <c r="AE45" s="364"/>
      <c r="AF45" s="374"/>
      <c r="AG45" s="375"/>
    </row>
    <row r="46" spans="3:33" ht="15.75" x14ac:dyDescent="0.2">
      <c r="D46" s="385"/>
      <c r="E46" s="385"/>
      <c r="F46" s="386"/>
      <c r="G46" s="386"/>
      <c r="H46" s="386"/>
      <c r="I46" s="254"/>
      <c r="J46" s="254"/>
      <c r="K46" s="254"/>
      <c r="AB46" s="555" t="s">
        <v>204</v>
      </c>
      <c r="AC46" s="434"/>
      <c r="AE46" s="364"/>
      <c r="AF46" s="374"/>
      <c r="AG46" s="375"/>
    </row>
    <row r="47" spans="3:33" ht="15.75" x14ac:dyDescent="0.2">
      <c r="C47" s="385"/>
      <c r="D47" s="385"/>
      <c r="E47" s="385"/>
      <c r="F47" s="386"/>
      <c r="G47" s="386"/>
      <c r="H47" s="386"/>
      <c r="I47" s="254"/>
      <c r="J47" s="254"/>
      <c r="K47" s="254"/>
      <c r="AB47" s="555" t="s">
        <v>498</v>
      </c>
      <c r="AC47" s="434"/>
      <c r="AE47" s="364"/>
      <c r="AF47" s="374"/>
      <c r="AG47" s="375"/>
    </row>
    <row r="48" spans="3:33" ht="12.75" x14ac:dyDescent="0.2">
      <c r="E48" s="364"/>
      <c r="F48" s="379"/>
      <c r="G48" s="379"/>
      <c r="H48" s="379"/>
      <c r="I48" s="379"/>
      <c r="J48" s="379"/>
      <c r="K48" s="379"/>
      <c r="AB48" s="555" t="s">
        <v>499</v>
      </c>
      <c r="AC48" s="434"/>
      <c r="AE48" s="364"/>
      <c r="AF48" s="374"/>
      <c r="AG48" s="375"/>
    </row>
    <row r="49" spans="5:33" ht="12.75" x14ac:dyDescent="0.2">
      <c r="E49" s="364"/>
      <c r="F49" s="379"/>
      <c r="G49" s="379"/>
      <c r="H49" s="379"/>
      <c r="I49" s="379"/>
      <c r="J49" s="379"/>
      <c r="K49" s="379"/>
      <c r="AB49" s="555" t="s">
        <v>500</v>
      </c>
      <c r="AC49" s="434"/>
      <c r="AE49" s="364"/>
      <c r="AF49" s="374"/>
      <c r="AG49" s="375"/>
    </row>
    <row r="50" spans="5:33" ht="12.75" x14ac:dyDescent="0.2">
      <c r="E50" s="364"/>
      <c r="AB50" s="555" t="s">
        <v>288</v>
      </c>
      <c r="AC50" s="434"/>
      <c r="AE50" s="364"/>
      <c r="AF50" s="374"/>
      <c r="AG50" s="375"/>
    </row>
    <row r="51" spans="5:33" ht="12.75" x14ac:dyDescent="0.2">
      <c r="E51" s="364"/>
      <c r="AB51" s="555" t="s">
        <v>205</v>
      </c>
      <c r="AC51" s="434"/>
      <c r="AE51" s="364"/>
      <c r="AF51" s="374"/>
      <c r="AG51" s="375"/>
    </row>
    <row r="52" spans="5:33" ht="12.75" x14ac:dyDescent="0.2">
      <c r="E52" s="364"/>
      <c r="AB52" s="555" t="s">
        <v>504</v>
      </c>
      <c r="AC52" s="434"/>
      <c r="AE52" s="364"/>
      <c r="AF52" s="374"/>
      <c r="AG52" s="375"/>
    </row>
    <row r="53" spans="5:33" ht="12.75" x14ac:dyDescent="0.2">
      <c r="E53" s="364"/>
      <c r="AB53" s="555" t="s">
        <v>505</v>
      </c>
      <c r="AC53" s="434"/>
      <c r="AE53" s="364"/>
      <c r="AF53" s="374"/>
      <c r="AG53" s="375"/>
    </row>
    <row r="54" spans="5:33" ht="12.75" x14ac:dyDescent="0.2">
      <c r="E54" s="364"/>
      <c r="AB54" s="555" t="s">
        <v>206</v>
      </c>
      <c r="AC54" s="434"/>
      <c r="AE54" s="364"/>
      <c r="AF54" s="374"/>
      <c r="AG54" s="375"/>
    </row>
    <row r="55" spans="5:33" ht="12.75" x14ac:dyDescent="0.2">
      <c r="E55" s="364"/>
      <c r="AB55" s="555" t="s">
        <v>275</v>
      </c>
      <c r="AC55" s="434"/>
      <c r="AE55" s="364"/>
      <c r="AF55" s="374"/>
      <c r="AG55" s="375"/>
    </row>
    <row r="56" spans="5:33" ht="12.75" x14ac:dyDescent="0.2">
      <c r="E56" s="364"/>
      <c r="AB56" s="555" t="s">
        <v>207</v>
      </c>
      <c r="AC56" s="434"/>
      <c r="AE56" s="364"/>
      <c r="AF56" s="374"/>
      <c r="AG56" s="375"/>
    </row>
    <row r="57" spans="5:33" ht="12.75" x14ac:dyDescent="0.2">
      <c r="E57" s="364"/>
      <c r="AB57" s="555" t="s">
        <v>276</v>
      </c>
      <c r="AC57" s="434"/>
      <c r="AE57" s="364"/>
      <c r="AF57" s="374"/>
      <c r="AG57" s="375"/>
    </row>
    <row r="58" spans="5:33" ht="12.75" x14ac:dyDescent="0.2">
      <c r="E58" s="364"/>
      <c r="AB58" s="555" t="s">
        <v>221</v>
      </c>
      <c r="AC58" s="434"/>
      <c r="AE58" s="364"/>
      <c r="AF58" s="374"/>
      <c r="AG58" s="375"/>
    </row>
    <row r="59" spans="5:33" ht="12.75" x14ac:dyDescent="0.2">
      <c r="E59" s="364"/>
      <c r="AB59" s="555" t="s">
        <v>208</v>
      </c>
      <c r="AC59" s="434"/>
      <c r="AE59" s="364"/>
      <c r="AF59" s="374"/>
      <c r="AG59" s="375"/>
    </row>
    <row r="60" spans="5:33" ht="12.75" x14ac:dyDescent="0.2">
      <c r="E60" s="364"/>
      <c r="AB60" s="555" t="s">
        <v>277</v>
      </c>
      <c r="AC60" s="434"/>
      <c r="AE60" s="364"/>
      <c r="AF60" s="374"/>
      <c r="AG60" s="375"/>
    </row>
    <row r="61" spans="5:33" ht="12.75" x14ac:dyDescent="0.2">
      <c r="E61" s="364"/>
      <c r="AB61" s="555" t="s">
        <v>209</v>
      </c>
      <c r="AC61" s="434"/>
      <c r="AE61" s="364"/>
      <c r="AF61" s="374"/>
      <c r="AG61" s="375"/>
    </row>
    <row r="62" spans="5:33" ht="12.75" x14ac:dyDescent="0.2">
      <c r="E62" s="364"/>
      <c r="AB62" s="555" t="s">
        <v>210</v>
      </c>
      <c r="AC62" s="434"/>
      <c r="AE62" s="364"/>
      <c r="AF62" s="374"/>
      <c r="AG62" s="375"/>
    </row>
    <row r="63" spans="5:33" ht="12.75" x14ac:dyDescent="0.2">
      <c r="E63" s="364"/>
      <c r="AB63" s="555" t="s">
        <v>222</v>
      </c>
      <c r="AC63" s="434"/>
      <c r="AE63" s="364"/>
      <c r="AF63" s="374"/>
      <c r="AG63" s="375"/>
    </row>
    <row r="64" spans="5:33" ht="12.75" x14ac:dyDescent="0.2">
      <c r="E64" s="364"/>
      <c r="AA64" s="364"/>
      <c r="AB64" s="555" t="s">
        <v>211</v>
      </c>
      <c r="AC64" s="434"/>
      <c r="AE64" s="364"/>
      <c r="AF64" s="374"/>
      <c r="AG64" s="375"/>
    </row>
    <row r="65" spans="5:33" ht="12.75" x14ac:dyDescent="0.2">
      <c r="E65" s="364"/>
      <c r="AA65" s="364"/>
      <c r="AB65" s="555" t="s">
        <v>501</v>
      </c>
      <c r="AC65" s="434"/>
      <c r="AE65" s="364"/>
      <c r="AF65" s="374"/>
      <c r="AG65" s="375"/>
    </row>
    <row r="66" spans="5:33" ht="12.75" x14ac:dyDescent="0.2">
      <c r="E66" s="364"/>
      <c r="AA66" s="364"/>
      <c r="AB66" s="555" t="s">
        <v>502</v>
      </c>
      <c r="AC66" s="434"/>
      <c r="AE66" s="364"/>
      <c r="AF66" s="374"/>
      <c r="AG66" s="375"/>
    </row>
    <row r="67" spans="5:33" ht="12.75" x14ac:dyDescent="0.2">
      <c r="E67" s="364"/>
      <c r="AA67" s="364"/>
      <c r="AB67" s="555" t="s">
        <v>212</v>
      </c>
      <c r="AC67" s="434"/>
      <c r="AE67" s="364"/>
      <c r="AF67" s="374"/>
      <c r="AG67" s="375"/>
    </row>
    <row r="68" spans="5:33" ht="12.75" x14ac:dyDescent="0.2">
      <c r="E68" s="364"/>
      <c r="AA68" s="364"/>
      <c r="AB68" s="555" t="s">
        <v>223</v>
      </c>
      <c r="AC68" s="434"/>
      <c r="AE68" s="364"/>
      <c r="AF68" s="374"/>
      <c r="AG68" s="375"/>
    </row>
    <row r="69" spans="5:33" ht="12.75" x14ac:dyDescent="0.2">
      <c r="E69" s="364"/>
      <c r="AA69" s="364"/>
      <c r="AB69" s="555" t="s">
        <v>213</v>
      </c>
      <c r="AC69" s="434"/>
      <c r="AE69" s="364"/>
      <c r="AF69" s="374"/>
      <c r="AG69" s="375"/>
    </row>
    <row r="70" spans="5:33" ht="12.75" x14ac:dyDescent="0.2">
      <c r="E70" s="364"/>
      <c r="AA70" s="364"/>
      <c r="AB70" s="555" t="s">
        <v>214</v>
      </c>
      <c r="AC70" s="434"/>
      <c r="AE70" s="364"/>
      <c r="AF70" s="374"/>
      <c r="AG70" s="375"/>
    </row>
    <row r="71" spans="5:33" ht="12.75" x14ac:dyDescent="0.2">
      <c r="E71" s="364"/>
      <c r="AA71" s="364"/>
      <c r="AB71" s="555" t="s">
        <v>278</v>
      </c>
      <c r="AC71" s="434"/>
      <c r="AE71" s="364"/>
      <c r="AF71" s="374"/>
      <c r="AG71" s="375"/>
    </row>
    <row r="72" spans="5:33" ht="12.75" x14ac:dyDescent="0.2">
      <c r="E72" s="364"/>
      <c r="AA72" s="364"/>
      <c r="AB72" s="555" t="s">
        <v>224</v>
      </c>
      <c r="AC72" s="434"/>
      <c r="AE72" s="364"/>
      <c r="AF72" s="374"/>
      <c r="AG72" s="375"/>
    </row>
    <row r="73" spans="5:33" ht="12.75" x14ac:dyDescent="0.2">
      <c r="E73" s="364"/>
      <c r="AA73" s="364"/>
      <c r="AB73" s="555" t="s">
        <v>215</v>
      </c>
      <c r="AC73" s="434"/>
      <c r="AE73" s="364"/>
      <c r="AF73" s="374"/>
      <c r="AG73" s="375"/>
    </row>
    <row r="74" spans="5:33" ht="12.75" x14ac:dyDescent="0.2">
      <c r="E74" s="364"/>
      <c r="AA74" s="364"/>
      <c r="AB74" s="555"/>
      <c r="AC74" s="434"/>
      <c r="AE74" s="364"/>
      <c r="AF74" s="374"/>
      <c r="AG74" s="375"/>
    </row>
    <row r="75" spans="5:33" ht="12.75" x14ac:dyDescent="0.2">
      <c r="E75" s="364"/>
      <c r="AA75" s="364"/>
      <c r="AB75" s="434"/>
      <c r="AC75" s="434"/>
      <c r="AE75" s="364"/>
      <c r="AF75" s="374"/>
      <c r="AG75" s="375"/>
    </row>
    <row r="76" spans="5:33" ht="12.75" x14ac:dyDescent="0.2">
      <c r="E76" s="364"/>
      <c r="AA76" s="364"/>
      <c r="AB76" s="434"/>
      <c r="AC76" s="434"/>
      <c r="AE76" s="364"/>
      <c r="AF76" s="374"/>
      <c r="AG76" s="375"/>
    </row>
    <row r="77" spans="5:33" ht="12.75" x14ac:dyDescent="0.2">
      <c r="E77" s="364"/>
      <c r="AA77" s="364"/>
      <c r="AB77" s="434"/>
      <c r="AC77" s="434"/>
      <c r="AE77" s="364"/>
      <c r="AF77" s="374"/>
      <c r="AG77" s="375"/>
    </row>
    <row r="78" spans="5:33" ht="12.75" x14ac:dyDescent="0.2">
      <c r="E78" s="364"/>
      <c r="AA78" s="364"/>
      <c r="AB78" s="434"/>
      <c r="AC78" s="434"/>
      <c r="AE78" s="364"/>
      <c r="AF78" s="374"/>
      <c r="AG78" s="375"/>
    </row>
    <row r="79" spans="5:33" ht="12.75" x14ac:dyDescent="0.2">
      <c r="E79" s="364"/>
      <c r="AA79" s="364"/>
      <c r="AB79" s="434"/>
      <c r="AC79" s="434"/>
      <c r="AE79" s="364"/>
      <c r="AF79" s="374"/>
      <c r="AG79" s="375"/>
    </row>
    <row r="80" spans="5:33" ht="12.75" x14ac:dyDescent="0.2">
      <c r="E80" s="364"/>
      <c r="AA80" s="364"/>
      <c r="AB80" s="434"/>
      <c r="AC80" s="434"/>
      <c r="AE80" s="364"/>
      <c r="AF80" s="374"/>
      <c r="AG80" s="375"/>
    </row>
    <row r="81" spans="5:33" ht="12.75" x14ac:dyDescent="0.2">
      <c r="E81" s="364"/>
      <c r="AA81" s="364"/>
      <c r="AB81" s="434"/>
      <c r="AC81" s="434"/>
      <c r="AE81" s="364"/>
      <c r="AF81" s="374"/>
      <c r="AG81" s="375"/>
    </row>
    <row r="82" spans="5:33" ht="12.75" x14ac:dyDescent="0.2">
      <c r="E82" s="364"/>
      <c r="AA82" s="364"/>
      <c r="AB82" s="434"/>
      <c r="AC82" s="434"/>
      <c r="AE82" s="364"/>
      <c r="AF82" s="374"/>
      <c r="AG82" s="375"/>
    </row>
    <row r="83" spans="5:33" ht="12.75" x14ac:dyDescent="0.2">
      <c r="E83" s="364"/>
      <c r="AA83" s="364"/>
      <c r="AB83" s="434"/>
      <c r="AC83" s="434"/>
      <c r="AE83" s="364"/>
      <c r="AF83" s="374"/>
      <c r="AG83" s="375"/>
    </row>
    <row r="84" spans="5:33" ht="12.75" x14ac:dyDescent="0.2">
      <c r="E84" s="364"/>
      <c r="AA84" s="364"/>
      <c r="AB84" s="434"/>
      <c r="AC84" s="434"/>
      <c r="AE84" s="364"/>
      <c r="AF84" s="374"/>
      <c r="AG84" s="375"/>
    </row>
    <row r="85" spans="5:33" ht="12.75" x14ac:dyDescent="0.2">
      <c r="E85" s="364"/>
      <c r="AA85" s="364"/>
      <c r="AB85" s="434"/>
      <c r="AC85" s="434"/>
      <c r="AE85" s="364"/>
      <c r="AF85" s="374"/>
      <c r="AG85" s="375"/>
    </row>
    <row r="86" spans="5:33" ht="12.75" x14ac:dyDescent="0.2">
      <c r="E86" s="364"/>
      <c r="AA86" s="364"/>
      <c r="AB86" s="364"/>
      <c r="AC86" s="434"/>
      <c r="AE86" s="364"/>
      <c r="AF86" s="374"/>
      <c r="AG86" s="375"/>
    </row>
    <row r="87" spans="5:33" ht="12.75" x14ac:dyDescent="0.2">
      <c r="E87" s="364"/>
      <c r="AA87" s="364"/>
      <c r="AB87" s="364"/>
      <c r="AC87" s="434"/>
      <c r="AE87" s="364"/>
      <c r="AF87" s="375"/>
      <c r="AG87" s="375"/>
    </row>
    <row r="88" spans="5:33" ht="12.75" x14ac:dyDescent="0.2">
      <c r="E88" s="364"/>
      <c r="AA88" s="364"/>
      <c r="AB88" s="364"/>
      <c r="AC88" s="434"/>
      <c r="AE88" s="364"/>
      <c r="AF88" s="375"/>
      <c r="AG88" s="375"/>
    </row>
    <row r="89" spans="5:33" ht="12.75" x14ac:dyDescent="0.2">
      <c r="E89" s="364"/>
      <c r="AA89" s="364"/>
      <c r="AB89" s="364"/>
      <c r="AC89" s="434"/>
      <c r="AE89" s="364"/>
      <c r="AF89" s="375"/>
      <c r="AG89" s="375"/>
    </row>
    <row r="90" spans="5:33" ht="12.75" x14ac:dyDescent="0.2">
      <c r="E90" s="364"/>
      <c r="AA90" s="364"/>
      <c r="AB90" s="364"/>
      <c r="AC90" s="387"/>
      <c r="AF90" s="375"/>
      <c r="AG90" s="375"/>
    </row>
    <row r="91" spans="5:33" ht="12.75" x14ac:dyDescent="0.2">
      <c r="E91" s="364"/>
      <c r="AA91" s="364"/>
      <c r="AB91" s="364"/>
      <c r="AC91" s="387"/>
      <c r="AF91" s="375"/>
      <c r="AG91" s="375"/>
    </row>
    <row r="92" spans="5:33" ht="12.75" x14ac:dyDescent="0.2">
      <c r="E92" s="364"/>
      <c r="AA92" s="364"/>
      <c r="AB92" s="364"/>
      <c r="AC92" s="387"/>
      <c r="AF92" s="375"/>
      <c r="AG92" s="375"/>
    </row>
    <row r="93" spans="5:33" ht="12.75" x14ac:dyDescent="0.2">
      <c r="E93" s="364"/>
      <c r="AA93" s="364"/>
      <c r="AB93" s="364"/>
      <c r="AC93" s="387"/>
      <c r="AF93" s="375"/>
      <c r="AG93" s="375"/>
    </row>
    <row r="94" spans="5:33" ht="12.75" x14ac:dyDescent="0.2">
      <c r="E94" s="364"/>
      <c r="AA94" s="364"/>
      <c r="AB94" s="364"/>
      <c r="AC94" s="387"/>
      <c r="AF94" s="375"/>
      <c r="AG94" s="375"/>
    </row>
    <row r="95" spans="5:33" ht="12.75" x14ac:dyDescent="0.2">
      <c r="E95" s="364"/>
      <c r="AA95" s="364"/>
      <c r="AB95" s="364"/>
      <c r="AC95" s="387"/>
      <c r="AF95" s="375"/>
      <c r="AG95" s="375"/>
    </row>
    <row r="96" spans="5:33" ht="12.75" x14ac:dyDescent="0.2">
      <c r="E96" s="364"/>
      <c r="AA96" s="364"/>
      <c r="AB96" s="364"/>
      <c r="AC96" s="387"/>
      <c r="AF96" s="375"/>
      <c r="AG96" s="375"/>
    </row>
    <row r="97" spans="5:33" ht="12.75" x14ac:dyDescent="0.2">
      <c r="E97" s="364"/>
      <c r="AA97" s="364"/>
      <c r="AB97" s="364"/>
      <c r="AC97" s="387"/>
      <c r="AF97" s="375"/>
      <c r="AG97" s="375"/>
    </row>
    <row r="98" spans="5:33" ht="12.75" x14ac:dyDescent="0.2">
      <c r="E98" s="364"/>
      <c r="AA98" s="364"/>
      <c r="AB98" s="364"/>
      <c r="AC98" s="387"/>
      <c r="AF98" s="375"/>
      <c r="AG98" s="375"/>
    </row>
    <row r="99" spans="5:33" ht="12.75" x14ac:dyDescent="0.2">
      <c r="E99" s="364"/>
      <c r="AA99" s="364"/>
      <c r="AB99" s="364"/>
      <c r="AC99" s="387"/>
      <c r="AF99" s="375"/>
      <c r="AG99" s="375"/>
    </row>
    <row r="100" spans="5:33" ht="12.75" x14ac:dyDescent="0.2">
      <c r="E100" s="364"/>
      <c r="AA100" s="364"/>
      <c r="AB100" s="364"/>
      <c r="AC100" s="387"/>
      <c r="AF100" s="375"/>
      <c r="AG100" s="375"/>
    </row>
    <row r="101" spans="5:33" ht="12.75" x14ac:dyDescent="0.2">
      <c r="E101" s="364"/>
      <c r="AA101" s="364"/>
      <c r="AB101" s="364"/>
      <c r="AC101" s="387"/>
      <c r="AF101" s="375"/>
      <c r="AG101" s="375"/>
    </row>
    <row r="102" spans="5:33" ht="12.75" x14ac:dyDescent="0.2">
      <c r="E102" s="364"/>
      <c r="AA102" s="364"/>
      <c r="AB102" s="364"/>
      <c r="AC102" s="387"/>
      <c r="AF102" s="375"/>
      <c r="AG102" s="375"/>
    </row>
    <row r="103" spans="5:33" ht="12.75" x14ac:dyDescent="0.2">
      <c r="E103" s="364"/>
      <c r="AA103" s="364"/>
      <c r="AB103" s="364"/>
      <c r="AC103" s="387"/>
      <c r="AF103" s="375"/>
      <c r="AG103" s="375"/>
    </row>
    <row r="104" spans="5:33" ht="12.75" x14ac:dyDescent="0.2">
      <c r="E104" s="364"/>
      <c r="AA104" s="364"/>
      <c r="AB104" s="364"/>
      <c r="AC104" s="387"/>
      <c r="AF104" s="375"/>
      <c r="AG104" s="375"/>
    </row>
    <row r="105" spans="5:33" ht="12.75" x14ac:dyDescent="0.2">
      <c r="E105" s="364"/>
      <c r="AA105" s="364"/>
      <c r="AC105" s="387"/>
      <c r="AF105" s="375"/>
      <c r="AG105" s="375"/>
    </row>
    <row r="106" spans="5:33" ht="12.75" x14ac:dyDescent="0.2">
      <c r="E106" s="364"/>
      <c r="AA106" s="364"/>
      <c r="AC106" s="387"/>
      <c r="AF106" s="375"/>
      <c r="AG106" s="375"/>
    </row>
    <row r="107" spans="5:33" ht="12.75" x14ac:dyDescent="0.2">
      <c r="E107" s="364"/>
      <c r="AA107" s="364"/>
      <c r="AC107" s="387"/>
      <c r="AF107" s="375"/>
      <c r="AG107" s="375"/>
    </row>
    <row r="108" spans="5:33" ht="12.75" x14ac:dyDescent="0.2">
      <c r="E108" s="364"/>
      <c r="AA108" s="364"/>
      <c r="AC108" s="387"/>
      <c r="AF108" s="375"/>
      <c r="AG108" s="375"/>
    </row>
    <row r="109" spans="5:33" ht="12.75" x14ac:dyDescent="0.2">
      <c r="E109" s="364"/>
      <c r="AA109" s="364"/>
    </row>
    <row r="110" spans="5:33" ht="15.75" hidden="1" customHeight="1" x14ac:dyDescent="0.25"/>
    <row r="111" spans="5:33" ht="15.75" hidden="1" customHeight="1" x14ac:dyDescent="0.25"/>
    <row r="112" spans="5:33"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customHeight="1" x14ac:dyDescent="0.25"/>
  </sheetData>
  <sheetProtection algorithmName="SHA-512" hashValue="jrhQiTBhPOM+0TNN9KL2GSxEIi2nk/B+TZzyDTHAeZtVIlR6FCKZA0auUJmB6zmFqejZZLtvBqsg4L/aZmiEQQ==" saltValue="91MVbbrcXDhuXy2Wy7taMw==" spinCount="100000" sheet="1" objects="1" scenarios="1"/>
  <mergeCells count="3">
    <mergeCell ref="D22:E22"/>
    <mergeCell ref="D18:E18"/>
    <mergeCell ref="D14:E14"/>
  </mergeCells>
  <phoneticPr fontId="3" type="noConversion"/>
  <dataValidations count="4">
    <dataValidation type="list" allowBlank="1" showInputMessage="1" showErrorMessage="1" sqref="D26" xr:uid="{00000000-0002-0000-0000-000000000000}">
      <formula1>"2008,2009,2010,2011,2012, 2013, 2014, 2015,2016,2017"</formula1>
    </dataValidation>
    <dataValidation allowBlank="1" showInputMessage="1" showErrorMessage="1" promptTitle="Inputting Date" prompt="Please Use the following format:_x000a__x000a_E.g:  May 1, 2012" sqref="H44:K44" xr:uid="{00000000-0002-0000-0000-000001000000}"/>
    <dataValidation type="list" allowBlank="1" showInputMessage="1" showErrorMessage="1" sqref="I46:K47" xr:uid="{00000000-0002-0000-0000-000002000000}">
      <formula1>"Excel 2000, Excel 2003, Excel 2007, Excel 2010"</formula1>
    </dataValidation>
    <dataValidation type="list" allowBlank="1" showInputMessage="1" showErrorMessage="1" sqref="D14:E14" xr:uid="{00000000-0002-0000-0000-000003000000}">
      <formula1>$AB$1:$AB$74</formula1>
    </dataValidation>
  </dataValidations>
  <hyperlinks>
    <hyperlink ref="A1" location="Index" display="Back to Index" xr:uid="{00000000-0004-0000-0000-000000000000}"/>
  </hyperlink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V89"/>
  <sheetViews>
    <sheetView showGridLines="0" topLeftCell="A7" zoomScaleNormal="100" workbookViewId="0">
      <selection activeCell="L21" sqref="L21"/>
    </sheetView>
  </sheetViews>
  <sheetFormatPr defaultColWidth="9.140625" defaultRowHeight="12.75" x14ac:dyDescent="0.2"/>
  <cols>
    <col min="1" max="2" width="3.5703125" style="364" customWidth="1"/>
    <col min="3" max="3" width="32.5703125" style="364" customWidth="1"/>
    <col min="4" max="4" width="16.5703125" style="364" customWidth="1"/>
    <col min="5" max="5" width="30.85546875" style="364" customWidth="1"/>
    <col min="6" max="6" width="17.85546875" style="364" customWidth="1"/>
    <col min="7" max="7" width="14.85546875" style="364" customWidth="1"/>
    <col min="8" max="8" width="7" style="364" customWidth="1"/>
    <col min="9" max="9" width="11.140625" style="364" customWidth="1"/>
    <col min="10" max="16384" width="9.140625" style="364"/>
  </cols>
  <sheetData>
    <row r="1" spans="1:27" s="357" customFormat="1" ht="20.25" x14ac:dyDescent="0.2">
      <c r="A1" s="356"/>
      <c r="C1" s="562"/>
      <c r="D1" s="562"/>
      <c r="E1" s="562"/>
      <c r="F1" s="439"/>
      <c r="G1" s="439"/>
      <c r="H1" s="358"/>
      <c r="I1" s="358"/>
      <c r="AA1" s="357">
        <v>1</v>
      </c>
    </row>
    <row r="2" spans="1:27" s="357" customFormat="1" ht="18" x14ac:dyDescent="0.25">
      <c r="C2" s="107"/>
      <c r="D2" s="563"/>
      <c r="E2" s="563"/>
      <c r="F2" s="563"/>
      <c r="G2" s="563"/>
      <c r="H2" s="3"/>
      <c r="AA2" s="357">
        <v>2012</v>
      </c>
    </row>
    <row r="3" spans="1:27" s="357" customFormat="1" ht="18" x14ac:dyDescent="0.25">
      <c r="C3" s="107"/>
      <c r="D3" s="108"/>
      <c r="E3" s="108"/>
      <c r="F3" s="108"/>
      <c r="G3" s="108"/>
      <c r="H3" s="5"/>
      <c r="AA3" s="357">
        <v>2013</v>
      </c>
    </row>
    <row r="4" spans="1:27" s="357" customFormat="1" ht="18" x14ac:dyDescent="0.25">
      <c r="C4" s="107"/>
      <c r="D4" s="563"/>
      <c r="E4" s="563"/>
      <c r="F4" s="107"/>
      <c r="G4" s="107"/>
      <c r="I4" s="7"/>
      <c r="AA4" s="357">
        <v>2014</v>
      </c>
    </row>
    <row r="5" spans="1:27" s="357" customFormat="1" ht="18" x14ac:dyDescent="0.25">
      <c r="C5" s="107"/>
      <c r="D5" s="108"/>
      <c r="E5" s="108"/>
      <c r="F5" s="107"/>
      <c r="G5" s="107"/>
      <c r="I5" s="7"/>
      <c r="AA5" s="357">
        <v>2015</v>
      </c>
    </row>
    <row r="6" spans="1:27" s="357" customFormat="1" ht="18" x14ac:dyDescent="0.25">
      <c r="C6" s="107"/>
      <c r="D6" s="193"/>
      <c r="E6" s="107"/>
      <c r="F6" s="109"/>
      <c r="G6" s="110"/>
      <c r="AA6" s="357">
        <v>2016</v>
      </c>
    </row>
    <row r="7" spans="1:27" s="357" customFormat="1" ht="15.75" x14ac:dyDescent="0.25">
      <c r="C7" s="359"/>
      <c r="D7" s="359"/>
      <c r="E7" s="359"/>
      <c r="F7" s="111"/>
      <c r="G7" s="111"/>
    </row>
    <row r="8" spans="1:27" s="357" customFormat="1" x14ac:dyDescent="0.2"/>
    <row r="9" spans="1:27" s="357" customFormat="1" ht="18" x14ac:dyDescent="0.25">
      <c r="C9" s="564"/>
      <c r="D9" s="564"/>
      <c r="E9" s="564"/>
    </row>
    <row r="10" spans="1:27" s="357" customFormat="1" ht="18" x14ac:dyDescent="0.25">
      <c r="C10" s="360"/>
      <c r="D10" s="450" t="s">
        <v>248</v>
      </c>
      <c r="I10" s="361"/>
      <c r="J10" s="362"/>
    </row>
    <row r="11" spans="1:27" s="357" customFormat="1" ht="18" x14ac:dyDescent="0.25">
      <c r="C11" s="360"/>
      <c r="D11" s="450" t="s">
        <v>338</v>
      </c>
      <c r="I11" s="361"/>
      <c r="J11" s="362"/>
    </row>
    <row r="12" spans="1:27" s="357" customFormat="1" ht="18" x14ac:dyDescent="0.25">
      <c r="C12" s="360"/>
      <c r="D12" s="450" t="s">
        <v>173</v>
      </c>
      <c r="I12" s="361"/>
      <c r="J12" s="362"/>
    </row>
    <row r="13" spans="1:27" s="357" customFormat="1" ht="18" x14ac:dyDescent="0.25">
      <c r="C13" s="360"/>
      <c r="D13" s="450" t="s">
        <v>174</v>
      </c>
      <c r="I13" s="361"/>
      <c r="J13" s="362"/>
    </row>
    <row r="14" spans="1:27" s="357" customFormat="1" ht="18" x14ac:dyDescent="0.25">
      <c r="C14" s="450"/>
      <c r="D14" s="450"/>
      <c r="E14" s="450"/>
      <c r="I14" s="361"/>
      <c r="J14" s="362"/>
    </row>
    <row r="15" spans="1:27" s="357" customFormat="1" ht="18" x14ac:dyDescent="0.25">
      <c r="C15" s="360"/>
      <c r="I15" s="361"/>
      <c r="J15" s="362"/>
    </row>
    <row r="16" spans="1:27" s="357" customFormat="1" ht="18" x14ac:dyDescent="0.25">
      <c r="C16" s="360" t="s">
        <v>327</v>
      </c>
      <c r="D16" s="450" t="s">
        <v>329</v>
      </c>
      <c r="I16" s="361"/>
      <c r="J16" s="362"/>
    </row>
    <row r="17" spans="3:10" s="357" customFormat="1" ht="18" x14ac:dyDescent="0.25">
      <c r="C17" s="360"/>
      <c r="D17" s="450" t="s">
        <v>330</v>
      </c>
      <c r="E17" s="6"/>
      <c r="F17" s="6"/>
      <c r="I17" s="361"/>
      <c r="J17" s="362"/>
    </row>
    <row r="18" spans="3:10" s="357" customFormat="1" ht="18" x14ac:dyDescent="0.25">
      <c r="C18" s="360"/>
      <c r="D18" s="450" t="s">
        <v>331</v>
      </c>
      <c r="E18" s="6"/>
      <c r="F18" s="6"/>
      <c r="I18" s="361"/>
      <c r="J18" s="362"/>
    </row>
    <row r="19" spans="3:10" s="357" customFormat="1" ht="18" x14ac:dyDescent="0.25">
      <c r="C19" s="360"/>
      <c r="D19" s="450" t="s">
        <v>366</v>
      </c>
      <c r="E19" s="6"/>
      <c r="F19" s="6"/>
      <c r="I19" s="361"/>
      <c r="J19" s="362"/>
    </row>
    <row r="20" spans="3:10" s="357" customFormat="1" ht="18" x14ac:dyDescent="0.25">
      <c r="C20" s="360"/>
      <c r="D20" s="450" t="s">
        <v>332</v>
      </c>
      <c r="E20" s="6"/>
      <c r="F20" s="6"/>
      <c r="I20" s="361"/>
      <c r="J20" s="362"/>
    </row>
    <row r="21" spans="3:10" s="357" customFormat="1" ht="18" x14ac:dyDescent="0.25">
      <c r="C21" s="450"/>
      <c r="D21" s="450"/>
      <c r="I21" s="361"/>
      <c r="J21" s="362"/>
    </row>
    <row r="22" spans="3:10" s="357" customFormat="1" ht="18" x14ac:dyDescent="0.25">
      <c r="C22" s="360" t="s">
        <v>228</v>
      </c>
      <c r="D22" s="450" t="s">
        <v>333</v>
      </c>
      <c r="I22" s="361"/>
      <c r="J22" s="362"/>
    </row>
    <row r="23" spans="3:10" s="357" customFormat="1" ht="18" x14ac:dyDescent="0.25">
      <c r="C23" s="360"/>
      <c r="D23" s="450" t="s">
        <v>334</v>
      </c>
      <c r="E23" s="6"/>
      <c r="F23" s="6"/>
      <c r="I23" s="361"/>
      <c r="J23" s="362"/>
    </row>
    <row r="24" spans="3:10" s="357" customFormat="1" ht="18" x14ac:dyDescent="0.25">
      <c r="C24" s="360"/>
      <c r="D24" s="450" t="s">
        <v>335</v>
      </c>
      <c r="E24" s="6"/>
      <c r="F24" s="6"/>
      <c r="I24" s="361"/>
      <c r="J24" s="362"/>
    </row>
    <row r="25" spans="3:10" s="357" customFormat="1" ht="18" x14ac:dyDescent="0.25">
      <c r="C25" s="360"/>
      <c r="D25" s="450" t="s">
        <v>336</v>
      </c>
      <c r="E25" s="6"/>
      <c r="F25" s="6"/>
      <c r="I25" s="361"/>
      <c r="J25" s="362"/>
    </row>
    <row r="26" spans="3:10" s="357" customFormat="1" ht="18" x14ac:dyDescent="0.25">
      <c r="C26" s="360"/>
      <c r="D26" s="450" t="s">
        <v>337</v>
      </c>
      <c r="E26" s="6"/>
      <c r="F26" s="6"/>
      <c r="I26" s="361"/>
      <c r="J26" s="362"/>
    </row>
    <row r="27" spans="3:10" s="357" customFormat="1" ht="18" x14ac:dyDescent="0.25">
      <c r="C27" s="360"/>
      <c r="D27" s="450"/>
      <c r="E27" s="6"/>
      <c r="F27" s="6"/>
      <c r="I27" s="361"/>
      <c r="J27" s="362"/>
    </row>
    <row r="28" spans="3:10" s="357" customFormat="1" ht="18" x14ac:dyDescent="0.25">
      <c r="C28" s="360" t="s">
        <v>133</v>
      </c>
      <c r="D28" s="450" t="s">
        <v>324</v>
      </c>
      <c r="E28" s="6"/>
      <c r="I28" s="363"/>
      <c r="J28" s="362"/>
    </row>
    <row r="29" spans="3:10" s="357" customFormat="1" ht="18" x14ac:dyDescent="0.25">
      <c r="D29" s="450" t="s">
        <v>322</v>
      </c>
      <c r="E29" s="6"/>
      <c r="I29" s="363"/>
      <c r="J29" s="362"/>
    </row>
    <row r="30" spans="3:10" s="357" customFormat="1" ht="18" x14ac:dyDescent="0.25">
      <c r="C30" s="360"/>
      <c r="D30" s="450" t="s">
        <v>328</v>
      </c>
      <c r="E30" s="6"/>
      <c r="I30" s="363"/>
      <c r="J30" s="362"/>
    </row>
    <row r="31" spans="3:10" s="357" customFormat="1" ht="18" x14ac:dyDescent="0.25">
      <c r="C31" s="360"/>
      <c r="D31" s="450" t="s">
        <v>323</v>
      </c>
      <c r="E31" s="6"/>
      <c r="I31" s="361"/>
      <c r="J31" s="362"/>
    </row>
    <row r="32" spans="3:10" s="357" customFormat="1" ht="18" x14ac:dyDescent="0.25">
      <c r="C32" s="360"/>
      <c r="D32" s="450" t="s">
        <v>325</v>
      </c>
      <c r="E32" s="6"/>
      <c r="I32" s="363"/>
      <c r="J32" s="362"/>
    </row>
    <row r="33" spans="3:256" s="357" customFormat="1" ht="18" x14ac:dyDescent="0.25">
      <c r="C33" s="360"/>
      <c r="D33" s="450"/>
      <c r="E33" s="6"/>
      <c r="I33" s="363"/>
      <c r="J33" s="362"/>
    </row>
    <row r="34" spans="3:256" s="357" customFormat="1" ht="18" x14ac:dyDescent="0.25">
      <c r="C34" s="360"/>
      <c r="D34" s="450"/>
      <c r="E34" s="6"/>
      <c r="I34" s="361"/>
      <c r="J34" s="362"/>
    </row>
    <row r="35" spans="3:256" s="357" customFormat="1" ht="18" x14ac:dyDescent="0.25">
      <c r="D35" s="450"/>
      <c r="I35" s="361"/>
      <c r="J35" s="362"/>
    </row>
    <row r="36" spans="3:256" s="357" customFormat="1" ht="15" x14ac:dyDescent="0.2">
      <c r="I36" s="363"/>
      <c r="J36" s="362"/>
    </row>
    <row r="37" spans="3:256" s="357" customFormat="1" ht="15" x14ac:dyDescent="0.2">
      <c r="I37" s="361"/>
      <c r="J37" s="362"/>
    </row>
    <row r="38" spans="3:256" ht="15.75" x14ac:dyDescent="0.25">
      <c r="C38" s="357"/>
      <c r="E38" s="102"/>
      <c r="F38" s="194"/>
      <c r="H38" s="194"/>
      <c r="I38" s="357"/>
    </row>
    <row r="39" spans="3:256" ht="15.75" x14ac:dyDescent="0.25">
      <c r="E39" s="102"/>
    </row>
    <row r="40" spans="3:256" ht="15.75" x14ac:dyDescent="0.25">
      <c r="AA40" s="365"/>
    </row>
    <row r="41" spans="3:256" ht="15.75" x14ac:dyDescent="0.25">
      <c r="J41" s="365"/>
      <c r="K41" s="365"/>
      <c r="L41" s="365"/>
      <c r="M41" s="365"/>
      <c r="N41" s="365"/>
      <c r="O41" s="365"/>
      <c r="P41" s="365"/>
      <c r="Q41" s="365"/>
      <c r="R41" s="365"/>
      <c r="S41" s="365"/>
      <c r="T41" s="365"/>
      <c r="U41" s="365"/>
      <c r="V41" s="365"/>
      <c r="W41" s="365"/>
      <c r="X41" s="365"/>
      <c r="Y41" s="365"/>
      <c r="Z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5"/>
      <c r="DE41" s="365"/>
      <c r="DF41" s="365"/>
      <c r="DG41" s="365"/>
      <c r="DH41" s="365"/>
      <c r="DI41" s="365"/>
      <c r="DJ41" s="365"/>
      <c r="DK41" s="365"/>
      <c r="DL41" s="365"/>
      <c r="DM41" s="365"/>
      <c r="DN41" s="365"/>
      <c r="DO41" s="365"/>
      <c r="DP41" s="365"/>
      <c r="DQ41" s="365"/>
      <c r="DR41" s="365"/>
      <c r="DS41" s="365"/>
      <c r="DT41" s="365"/>
      <c r="DU41" s="365"/>
      <c r="DV41" s="365"/>
      <c r="DW41" s="365"/>
      <c r="DX41" s="365"/>
      <c r="DY41" s="365"/>
      <c r="DZ41" s="365"/>
      <c r="EA41" s="365"/>
      <c r="EB41" s="365"/>
      <c r="EC41" s="365"/>
      <c r="ED41" s="365"/>
      <c r="EE41" s="365"/>
      <c r="EF41" s="365"/>
      <c r="EG41" s="365"/>
      <c r="EH41" s="365"/>
      <c r="EI41" s="365"/>
      <c r="EJ41" s="365"/>
      <c r="EK41" s="365"/>
      <c r="EL41" s="365"/>
      <c r="EM41" s="365"/>
      <c r="EN41" s="365"/>
      <c r="EO41" s="365"/>
      <c r="EP41" s="365"/>
      <c r="EQ41" s="365"/>
      <c r="ER41" s="365"/>
      <c r="ES41" s="365"/>
      <c r="ET41" s="365"/>
      <c r="EU41" s="365"/>
      <c r="EV41" s="365"/>
      <c r="EW41" s="365"/>
      <c r="EX41" s="365"/>
      <c r="EY41" s="365"/>
      <c r="EZ41" s="365"/>
      <c r="FA41" s="365"/>
      <c r="FB41" s="365"/>
      <c r="FC41" s="365"/>
      <c r="FD41" s="365"/>
      <c r="FE41" s="365"/>
      <c r="FF41" s="365"/>
      <c r="FG41" s="365"/>
      <c r="FH41" s="365"/>
      <c r="FI41" s="365"/>
      <c r="FJ41" s="365"/>
      <c r="FK41" s="365"/>
      <c r="FL41" s="365"/>
      <c r="FM41" s="365"/>
      <c r="FN41" s="365"/>
      <c r="FO41" s="365"/>
      <c r="FP41" s="365"/>
      <c r="FQ41" s="365"/>
      <c r="FR41" s="365"/>
      <c r="FS41" s="365"/>
      <c r="FT41" s="365"/>
      <c r="FU41" s="365"/>
      <c r="FV41" s="365"/>
      <c r="FW41" s="365"/>
      <c r="FX41" s="365"/>
      <c r="FY41" s="365"/>
      <c r="FZ41" s="365"/>
      <c r="GA41" s="365"/>
      <c r="GB41" s="365"/>
      <c r="GC41" s="365"/>
      <c r="GD41" s="365"/>
      <c r="GE41" s="365"/>
      <c r="GF41" s="365"/>
      <c r="GG41" s="365"/>
      <c r="GH41" s="365"/>
      <c r="GI41" s="365"/>
      <c r="GJ41" s="365"/>
      <c r="GK41" s="365"/>
      <c r="GL41" s="365"/>
      <c r="GM41" s="365"/>
      <c r="GN41" s="365"/>
      <c r="GO41" s="365"/>
      <c r="GP41" s="365"/>
      <c r="GQ41" s="365"/>
      <c r="GR41" s="365"/>
      <c r="GS41" s="365"/>
      <c r="GT41" s="365"/>
      <c r="GU41" s="365"/>
      <c r="GV41" s="365"/>
      <c r="GW41" s="365"/>
      <c r="GX41" s="365"/>
      <c r="GY41" s="365"/>
      <c r="GZ41" s="365"/>
      <c r="HA41" s="365"/>
      <c r="HB41" s="365"/>
      <c r="HC41" s="365"/>
      <c r="HD41" s="365"/>
      <c r="HE41" s="365"/>
      <c r="HF41" s="365"/>
      <c r="HG41" s="365"/>
      <c r="HH41" s="365"/>
      <c r="HI41" s="365"/>
      <c r="HJ41" s="365"/>
      <c r="HK41" s="365"/>
      <c r="HL41" s="365"/>
      <c r="HM41" s="365"/>
      <c r="HN41" s="365"/>
      <c r="HO41" s="365"/>
      <c r="HP41" s="365"/>
      <c r="HQ41" s="365"/>
      <c r="HR41" s="365"/>
      <c r="HS41" s="365"/>
      <c r="HT41" s="365"/>
      <c r="HU41" s="365"/>
      <c r="HV41" s="365"/>
      <c r="HW41" s="365"/>
      <c r="HX41" s="365"/>
      <c r="HY41" s="365"/>
      <c r="HZ41" s="365"/>
      <c r="IA41" s="365"/>
      <c r="IB41" s="365"/>
      <c r="IC41" s="365"/>
      <c r="ID41" s="365"/>
      <c r="IE41" s="365"/>
      <c r="IF41" s="365"/>
      <c r="IG41" s="365"/>
      <c r="IH41" s="365"/>
      <c r="II41" s="365"/>
      <c r="IJ41" s="365"/>
      <c r="IK41" s="365"/>
      <c r="IL41" s="365"/>
      <c r="IM41" s="365"/>
      <c r="IN41" s="365"/>
      <c r="IO41" s="365"/>
      <c r="IP41" s="365"/>
      <c r="IQ41" s="365"/>
      <c r="IR41" s="365"/>
      <c r="IS41" s="365"/>
      <c r="IT41" s="365"/>
      <c r="IU41" s="365"/>
      <c r="IV41" s="365"/>
    </row>
    <row r="42" spans="3:256" x14ac:dyDescent="0.2">
      <c r="F42" s="366"/>
      <c r="G42" s="366"/>
      <c r="H42" s="366"/>
      <c r="I42" s="366"/>
    </row>
    <row r="81" spans="1:7" ht="15.75" x14ac:dyDescent="0.25">
      <c r="A81" s="365"/>
      <c r="B81" s="365"/>
      <c r="C81" s="365"/>
      <c r="D81" s="365"/>
      <c r="E81" s="365"/>
      <c r="F81" s="365"/>
      <c r="G81" s="365"/>
    </row>
    <row r="82" spans="1:7" x14ac:dyDescent="0.2">
      <c r="A82" s="561"/>
      <c r="B82" s="561"/>
      <c r="C82" s="561"/>
      <c r="D82" s="561"/>
      <c r="E82" s="561"/>
      <c r="F82" s="561"/>
      <c r="G82" s="561"/>
    </row>
    <row r="83" spans="1:7" x14ac:dyDescent="0.2">
      <c r="A83" s="561"/>
      <c r="B83" s="561"/>
      <c r="C83" s="561"/>
      <c r="D83" s="561"/>
      <c r="E83" s="561"/>
      <c r="F83" s="561"/>
      <c r="G83" s="561"/>
    </row>
    <row r="84" spans="1:7" x14ac:dyDescent="0.2">
      <c r="A84" s="561"/>
      <c r="B84" s="561"/>
      <c r="C84" s="561"/>
      <c r="D84" s="561"/>
      <c r="E84" s="561"/>
      <c r="F84" s="561"/>
      <c r="G84" s="561"/>
    </row>
    <row r="85" spans="1:7" x14ac:dyDescent="0.2">
      <c r="A85" s="561"/>
      <c r="B85" s="561"/>
      <c r="C85" s="561"/>
      <c r="D85" s="561"/>
      <c r="E85" s="561"/>
      <c r="F85" s="561"/>
      <c r="G85" s="561"/>
    </row>
    <row r="86" spans="1:7" x14ac:dyDescent="0.2">
      <c r="A86" s="561"/>
      <c r="B86" s="561"/>
      <c r="C86" s="561"/>
      <c r="D86" s="561"/>
      <c r="E86" s="561"/>
      <c r="F86" s="561"/>
      <c r="G86" s="561"/>
    </row>
    <row r="87" spans="1:7" x14ac:dyDescent="0.2">
      <c r="A87" s="561"/>
      <c r="B87" s="561"/>
      <c r="C87" s="561"/>
      <c r="D87" s="561"/>
      <c r="E87" s="561"/>
      <c r="F87" s="561"/>
      <c r="G87" s="561"/>
    </row>
    <row r="88" spans="1:7" x14ac:dyDescent="0.2">
      <c r="A88" s="561"/>
      <c r="B88" s="561"/>
      <c r="C88" s="561"/>
      <c r="D88" s="561"/>
      <c r="E88" s="561"/>
      <c r="F88" s="561"/>
      <c r="G88" s="561"/>
    </row>
    <row r="89" spans="1:7" x14ac:dyDescent="0.2">
      <c r="A89" s="561"/>
      <c r="B89" s="561"/>
      <c r="C89" s="561"/>
      <c r="D89" s="561"/>
      <c r="E89" s="561"/>
      <c r="F89" s="561"/>
      <c r="G89" s="561"/>
    </row>
  </sheetData>
  <sheetProtection algorithmName="SHA-512" hashValue="Cyd6Hv+ktJTcdpaUS3ju36MnkKASiHhwqiTN6e1Vv5qgX6XquFsrHhQ8Aa/KSjeOw34aVFrXZ1Ggm7qTsbJ8fQ==" saltValue="6el8coL6Vv6iNPOqFXCiNw==" spinCount="100000" sheet="1" objects="1" scenarios="1"/>
  <mergeCells count="5">
    <mergeCell ref="A82:G89"/>
    <mergeCell ref="C1:E1"/>
    <mergeCell ref="D2:G2"/>
    <mergeCell ref="D4:E4"/>
    <mergeCell ref="C9:E9"/>
  </mergeCells>
  <phoneticPr fontId="3" type="noConversion"/>
  <hyperlinks>
    <hyperlink ref="D10" location="Start_1" display="1. Info" xr:uid="{00000000-0004-0000-0100-000000000000}"/>
    <hyperlink ref="D12" location="Start_4" display="A. Data Input Sheet" xr:uid="{00000000-0004-0000-0100-000001000000}"/>
    <hyperlink ref="D13" location="Start_5" display="B. Tax Rates &amp; Exemptions" xr:uid="{00000000-0004-0000-0100-000002000000}"/>
    <hyperlink ref="D29" location="'T1 Sch 1 Taxable Income Test'!A1" display="T1 Taxable Income Test Year" xr:uid="{00000000-0004-0000-0100-000003000000}"/>
    <hyperlink ref="D30" location="'T4 Sch 4 Loss Cfwd Test'!A1" display="T4 Schedule 4 Loss Carry Forward Test Year" xr:uid="{00000000-0004-0000-0100-000004000000}"/>
    <hyperlink ref="D31" location="'T8 Sch 8 CCA Test'!A1" display="T8 Schedule 8 CCA Test Year" xr:uid="{00000000-0004-0000-0100-000005000000}"/>
    <hyperlink ref="D28" location="'T0 PILs,Tax Provision Test'!A1" display="T0 PILs, Tax Provision Test Year" xr:uid="{00000000-0004-0000-0100-000006000000}"/>
    <hyperlink ref="D32" location="'T13 Sch 13 Reserves Test'!A1" display="T13 Schedule 13 Reserve Test Year" xr:uid="{00000000-0004-0000-0100-000007000000}"/>
    <hyperlink ref="D16" location="'H0 PILs,Tax Provision Hist'!Print_Area" display="H0 - PILs, Tax Provision Historical Year" xr:uid="{00000000-0004-0000-0100-000008000000}"/>
    <hyperlink ref="D17" location="'H1 Sch 1 Taxable Income Hist'!Print_Area" display="H1 - Adj. Taxable Income Historical Year" xr:uid="{00000000-0004-0000-0100-000009000000}"/>
    <hyperlink ref="D18" location="'H4 Sch 4 Loss Cfwd Hist'!Print_Area" display="H4 - Schedule 4 Loss Carry Forward Historical Year" xr:uid="{00000000-0004-0000-0100-00000A000000}"/>
    <hyperlink ref="D19" location="'H8 Sch 8 CCA Hist'!Print_Area" display="H8 - Schedule 8 Historical" xr:uid="{00000000-0004-0000-0100-00000B000000}"/>
    <hyperlink ref="D20" location="'H13 Sch 13 Reserves Hist'!Print_Area" display="H13 - Schedule 13 Tax Reserves Historical" xr:uid="{00000000-0004-0000-0100-00000C000000}"/>
    <hyperlink ref="D22" location="'B0 PILs,Tax Provision Bridge'!A1" display="'B0 - PILs,Tax Provision Bridge Year" xr:uid="{00000000-0004-0000-0100-00000D000000}"/>
    <hyperlink ref="D23" location="'B1 Sch 1 Taxable Income Bridge'!A1" display="B1 - Adj. Taxable Income Bridge Year" xr:uid="{00000000-0004-0000-0100-00000E000000}"/>
    <hyperlink ref="D24" location="'B4 Sch 4 Loss Cfwd Bridge'!A1" display="B4 - Schedule 4 Loss Carry Forward Bridge Year" xr:uid="{00000000-0004-0000-0100-00000F000000}"/>
    <hyperlink ref="D25" location="'B8 Sch 8 CCA Bridge'!A1" display="B8 - Schedule 8 CCA Bridge Year" xr:uid="{00000000-0004-0000-0100-000010000000}"/>
    <hyperlink ref="D26" location="'B13 Sch 13 Reserves Bridge'!A1" display="B13 - Schedule 13 Tax Reserves Bridge Year" xr:uid="{00000000-0004-0000-0100-000011000000}"/>
    <hyperlink ref="D11" location="'S. Summary '!A1" display="'S. Summary" xr:uid="{00000000-0004-0000-0100-000012000000}"/>
  </hyperlinks>
  <pageMargins left="0.75" right="0.75" top="1" bottom="1" header="0.5" footer="0.5"/>
  <pageSetup scale="89" orientation="portrait" horizontalDpi="4294967293"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dimension ref="A1:K25"/>
  <sheetViews>
    <sheetView topLeftCell="A7" zoomScaleNormal="100" workbookViewId="0">
      <selection activeCell="H14" sqref="H14"/>
    </sheetView>
  </sheetViews>
  <sheetFormatPr defaultColWidth="9.140625" defaultRowHeight="12.75" x14ac:dyDescent="0.2"/>
  <cols>
    <col min="1" max="1" width="3.85546875" style="9" customWidth="1"/>
    <col min="2" max="2" width="4" style="9" customWidth="1"/>
    <col min="3" max="3" width="6.140625" style="9" customWidth="1"/>
    <col min="4" max="4" width="35.140625" style="9" customWidth="1"/>
    <col min="5" max="5" width="10" style="9" customWidth="1"/>
    <col min="6" max="6" width="18.140625" style="9" customWidth="1"/>
    <col min="7" max="7" width="15.140625" style="9" customWidth="1"/>
    <col min="8" max="8" width="15.85546875" style="9" customWidth="1"/>
    <col min="9" max="9" width="20.42578125" style="9" customWidth="1"/>
    <col min="10" max="11" width="18.140625" style="9" customWidth="1"/>
    <col min="12" max="12" width="2.85546875" style="9" customWidth="1"/>
    <col min="13" max="13" width="7.85546875" style="9" customWidth="1"/>
    <col min="14" max="14" width="18" style="9" customWidth="1"/>
    <col min="15" max="16384" width="9.140625" style="9"/>
  </cols>
  <sheetData>
    <row r="1" spans="1:11" ht="21.75" x14ac:dyDescent="0.2">
      <c r="A1" s="217"/>
      <c r="B1" s="2"/>
      <c r="C1" s="565"/>
      <c r="D1" s="565"/>
      <c r="E1" s="565"/>
      <c r="F1" s="565"/>
      <c r="G1" s="565"/>
      <c r="H1" s="1"/>
    </row>
    <row r="2" spans="1:11" ht="18" x14ac:dyDescent="0.25">
      <c r="A2" s="2"/>
      <c r="B2" s="2"/>
      <c r="C2" s="566"/>
      <c r="D2" s="566"/>
      <c r="E2" s="566"/>
      <c r="F2" s="566"/>
      <c r="G2" s="566"/>
      <c r="H2" s="566"/>
      <c r="I2" s="566"/>
      <c r="J2" s="566"/>
      <c r="K2" s="566"/>
    </row>
    <row r="3" spans="1:11" ht="18" x14ac:dyDescent="0.25">
      <c r="A3" s="2"/>
      <c r="B3" s="2"/>
      <c r="C3" s="566"/>
      <c r="D3" s="566"/>
      <c r="E3" s="566"/>
      <c r="F3" s="566"/>
      <c r="G3" s="566"/>
      <c r="H3" s="566"/>
      <c r="I3" s="566"/>
      <c r="J3" s="566"/>
      <c r="K3" s="566"/>
    </row>
    <row r="4" spans="1:11" ht="18" x14ac:dyDescent="0.25">
      <c r="A4" s="2"/>
      <c r="B4" s="2"/>
      <c r="C4" s="566"/>
      <c r="D4" s="566"/>
      <c r="E4" s="566"/>
      <c r="F4" s="566"/>
      <c r="G4" s="566"/>
      <c r="H4" s="566"/>
      <c r="I4" s="566"/>
      <c r="J4" s="566"/>
      <c r="K4" s="566"/>
    </row>
    <row r="5" spans="1:11" ht="18" x14ac:dyDescent="0.25">
      <c r="A5" s="2"/>
      <c r="B5" s="2"/>
      <c r="C5" s="6"/>
      <c r="D5" s="6"/>
      <c r="E5" s="6"/>
      <c r="G5" s="4"/>
      <c r="H5" s="6"/>
    </row>
    <row r="6" spans="1:11" ht="61.5" customHeight="1" x14ac:dyDescent="0.25">
      <c r="A6" s="2"/>
      <c r="B6" s="2"/>
      <c r="F6" s="4"/>
      <c r="G6" s="4"/>
    </row>
    <row r="7" spans="1:11" ht="18" x14ac:dyDescent="0.25">
      <c r="B7" s="39" t="s">
        <v>352</v>
      </c>
      <c r="C7" s="442"/>
      <c r="D7" s="442"/>
      <c r="E7" s="442"/>
      <c r="F7" s="4"/>
      <c r="G7" s="4"/>
    </row>
    <row r="9" spans="1:11" ht="20.25" x14ac:dyDescent="0.2">
      <c r="D9" s="343" t="s">
        <v>348</v>
      </c>
      <c r="E9" s="343"/>
      <c r="F9" s="343"/>
    </row>
    <row r="10" spans="1:11" x14ac:dyDescent="0.2">
      <c r="D10" s="347" t="s">
        <v>349</v>
      </c>
      <c r="E10" s="347"/>
      <c r="F10" s="304"/>
    </row>
    <row r="12" spans="1:11" ht="26.25" thickBot="1" x14ac:dyDescent="0.25">
      <c r="D12" s="350" t="s">
        <v>340</v>
      </c>
      <c r="E12" s="350"/>
      <c r="F12" s="344"/>
      <c r="G12" s="345" t="s">
        <v>311</v>
      </c>
      <c r="H12" s="346"/>
    </row>
    <row r="13" spans="1:11" x14ac:dyDescent="0.2">
      <c r="D13" s="84"/>
      <c r="E13" s="84"/>
      <c r="F13" s="84"/>
    </row>
    <row r="14" spans="1:11" x14ac:dyDescent="0.2">
      <c r="D14" s="84" t="s">
        <v>341</v>
      </c>
      <c r="E14" s="84"/>
      <c r="F14" s="84"/>
      <c r="G14" s="351" t="s">
        <v>345</v>
      </c>
      <c r="H14" s="37">
        <f>+H25</f>
        <v>-2321603.3594486336</v>
      </c>
    </row>
    <row r="15" spans="1:11" x14ac:dyDescent="0.2">
      <c r="D15" s="84" t="s">
        <v>339</v>
      </c>
      <c r="E15" s="84"/>
      <c r="F15" s="84"/>
      <c r="G15" s="308" t="s">
        <v>304</v>
      </c>
      <c r="H15" s="342">
        <f>+'T0 PILs,Tax Provision Test'!J25</f>
        <v>49583.435769712174</v>
      </c>
    </row>
    <row r="16" spans="1:11" x14ac:dyDescent="0.2">
      <c r="D16" s="84" t="s">
        <v>326</v>
      </c>
      <c r="E16" s="84"/>
      <c r="F16" s="84"/>
      <c r="G16" s="308" t="s">
        <v>304</v>
      </c>
      <c r="H16" s="342">
        <f>+'T0 PILs,Tax Provision Test'!J30</f>
        <v>67460.456829540373</v>
      </c>
    </row>
    <row r="17" spans="4:9" x14ac:dyDescent="0.2">
      <c r="D17" s="84" t="s">
        <v>357</v>
      </c>
      <c r="E17" s="84"/>
      <c r="F17" s="84"/>
      <c r="G17" s="308" t="s">
        <v>304</v>
      </c>
      <c r="H17" s="352">
        <f>+'T0 PILs,Tax Provision Test'!G14</f>
        <v>0.15000000000000002</v>
      </c>
    </row>
    <row r="18" spans="4:9" x14ac:dyDescent="0.2">
      <c r="D18" s="84" t="s">
        <v>178</v>
      </c>
      <c r="E18" s="84"/>
      <c r="F18" s="84"/>
      <c r="G18" s="308" t="s">
        <v>304</v>
      </c>
      <c r="H18" s="352">
        <f>+'T0 PILs,Tax Provision Test'!G13</f>
        <v>0.115</v>
      </c>
    </row>
    <row r="19" spans="4:9" x14ac:dyDescent="0.2">
      <c r="D19" s="304"/>
      <c r="E19" s="304"/>
      <c r="F19" s="304"/>
      <c r="G19" s="304"/>
      <c r="H19" s="304"/>
    </row>
    <row r="20" spans="4:9" x14ac:dyDescent="0.2">
      <c r="D20" s="304"/>
      <c r="E20" s="304"/>
      <c r="F20" s="304"/>
      <c r="G20" s="304"/>
      <c r="H20" s="304"/>
    </row>
    <row r="21" spans="4:9" x14ac:dyDescent="0.2">
      <c r="D21" s="304"/>
      <c r="E21" s="304"/>
      <c r="F21" s="304"/>
      <c r="G21" s="304"/>
      <c r="H21" s="304"/>
    </row>
    <row r="22" spans="4:9" x14ac:dyDescent="0.2">
      <c r="D22" s="349" t="s">
        <v>347</v>
      </c>
      <c r="E22" s="349"/>
      <c r="F22" s="349"/>
      <c r="G22" s="304"/>
      <c r="H22" s="304"/>
    </row>
    <row r="23" spans="4:9" x14ac:dyDescent="0.2">
      <c r="D23" s="304" t="s">
        <v>343</v>
      </c>
      <c r="E23" s="304"/>
      <c r="F23" s="304"/>
      <c r="G23" s="308" t="s">
        <v>303</v>
      </c>
      <c r="H23" s="353">
        <f>'T1 Sch 1 Taxable Income Test'!F12</f>
        <v>2508710.6642400003</v>
      </c>
    </row>
    <row r="24" spans="4:9" x14ac:dyDescent="0.2">
      <c r="D24" s="304" t="s">
        <v>342</v>
      </c>
      <c r="E24" s="304"/>
      <c r="F24" s="304"/>
      <c r="G24" s="308" t="s">
        <v>303</v>
      </c>
      <c r="H24" s="354">
        <f>'T1 Sch 1 Taxable Income Test'!F122</f>
        <v>187107.30479136668</v>
      </c>
    </row>
    <row r="25" spans="4:9" x14ac:dyDescent="0.2">
      <c r="D25" s="304" t="s">
        <v>344</v>
      </c>
      <c r="E25" s="304"/>
      <c r="F25" s="304"/>
      <c r="G25" s="348" t="s">
        <v>315</v>
      </c>
      <c r="H25" s="355">
        <f>+H24-H23</f>
        <v>-2321603.3594486336</v>
      </c>
      <c r="I25" s="347" t="s">
        <v>346</v>
      </c>
    </row>
  </sheetData>
  <sheetProtection algorithmName="SHA-512" hashValue="NXj4kAX+el6nkVZ+eMexyXnFelbZAzqNjLUfcNFCoGLRyyeLrQlIjAJG00mtnyiMhut/BEuyCd5ZZ0g2HibpKA==" saltValue="X2RxixN0Zd7T370hN/rEoA==" spinCount="100000" sheet="1" objects="1" scenarios="1"/>
  <mergeCells count="4">
    <mergeCell ref="C1:G1"/>
    <mergeCell ref="C2:K2"/>
    <mergeCell ref="C3:K3"/>
    <mergeCell ref="C4:K4"/>
  </mergeCells>
  <hyperlinks>
    <hyperlink ref="G15" location="'T0 PILs,Tax Provision Test'!A1" display="T0" xr:uid="{00000000-0004-0000-0200-000000000000}"/>
    <hyperlink ref="G14" location="'T1 Taxable Income Test Year'!A1" display="'T1" xr:uid="{00000000-0004-0000-0200-000001000000}"/>
    <hyperlink ref="G23" location="'T1 Sch 1 Taxable Income Test'!A1" display="T1" xr:uid="{00000000-0004-0000-0200-000002000000}"/>
    <hyperlink ref="G16" location="'T0 PILs,Tax Provision Test'!A1" display="T0" xr:uid="{00000000-0004-0000-0200-000003000000}"/>
    <hyperlink ref="G17" location="'T0 PILs,Tax Provision Test'!A1" display="T0" xr:uid="{00000000-0004-0000-0200-000004000000}"/>
    <hyperlink ref="G18" location="'T0 PILs,Tax Provision Test'!A1" display="T0" xr:uid="{00000000-0004-0000-0200-000005000000}"/>
    <hyperlink ref="G24" location="'T1 Sch 1 Taxable Income Test'!A1" display="T1" xr:uid="{00000000-0004-0000-0200-000006000000}"/>
  </hyperlinks>
  <pageMargins left="0.35433070866141736" right="0.35433070866141736" top="0.59055118110236227" bottom="0.59055118110236227" header="0.51181102362204722" footer="0.51181102362204722"/>
  <pageSetup scale="73" orientation="portrait" r:id="rId1"/>
  <headerFooter alignWithMargins="0"/>
  <colBreaks count="1" manualBreakCount="1">
    <brk id="14" max="6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1:F24"/>
  <sheetViews>
    <sheetView topLeftCell="B22" workbookViewId="0">
      <selection activeCell="B24" sqref="B24"/>
    </sheetView>
  </sheetViews>
  <sheetFormatPr defaultColWidth="9.140625" defaultRowHeight="15" x14ac:dyDescent="0.2"/>
  <cols>
    <col min="1" max="1" width="9.140625" style="478"/>
    <col min="2" max="2" width="141.140625" style="477" customWidth="1"/>
    <col min="3" max="3" width="19.85546875" style="478" customWidth="1"/>
    <col min="4" max="4" width="79.42578125" style="478" customWidth="1"/>
    <col min="5" max="16384" width="9.140625" style="478"/>
  </cols>
  <sheetData>
    <row r="11" spans="1:6" s="516" customFormat="1" ht="12.75" x14ac:dyDescent="0.2">
      <c r="A11" s="514" t="s">
        <v>370</v>
      </c>
      <c r="B11" s="515"/>
    </row>
    <row r="12" spans="1:6" s="516" customFormat="1" ht="12.75" x14ac:dyDescent="0.2">
      <c r="B12" s="515"/>
    </row>
    <row r="13" spans="1:6" s="516" customFormat="1" ht="12.75" x14ac:dyDescent="0.2">
      <c r="A13" s="567" t="s">
        <v>373</v>
      </c>
      <c r="B13" s="567"/>
      <c r="C13" s="567"/>
      <c r="D13" s="567"/>
      <c r="E13" s="517"/>
      <c r="F13" s="517"/>
    </row>
    <row r="14" spans="1:6" s="516" customFormat="1" ht="30" customHeight="1" thickBot="1" x14ac:dyDescent="0.25">
      <c r="B14" s="518"/>
      <c r="C14" s="518"/>
      <c r="D14" s="518"/>
      <c r="E14" s="518"/>
      <c r="F14" s="518"/>
    </row>
    <row r="15" spans="1:6" s="519" customFormat="1" ht="26.25" thickBot="1" x14ac:dyDescent="0.25">
      <c r="A15" s="527"/>
      <c r="B15" s="528" t="s">
        <v>340</v>
      </c>
      <c r="C15" s="530" t="s">
        <v>378</v>
      </c>
      <c r="D15" s="529" t="s">
        <v>292</v>
      </c>
    </row>
    <row r="16" spans="1:6" s="516" customFormat="1" ht="12.75" x14ac:dyDescent="0.2">
      <c r="A16" s="520">
        <v>1</v>
      </c>
      <c r="B16" s="523" t="s">
        <v>371</v>
      </c>
      <c r="C16" s="549" t="s">
        <v>517</v>
      </c>
      <c r="D16" s="550"/>
    </row>
    <row r="17" spans="1:4" s="516" customFormat="1" ht="12.75" x14ac:dyDescent="0.2">
      <c r="A17" s="521">
        <v>2</v>
      </c>
      <c r="B17" s="524" t="s">
        <v>446</v>
      </c>
      <c r="C17" s="551" t="s">
        <v>517</v>
      </c>
      <c r="D17" s="552"/>
    </row>
    <row r="18" spans="1:4" s="516" customFormat="1" ht="38.25" x14ac:dyDescent="0.2">
      <c r="A18" s="521">
        <v>3</v>
      </c>
      <c r="B18" s="524" t="s">
        <v>419</v>
      </c>
      <c r="C18" s="551" t="s">
        <v>517</v>
      </c>
      <c r="D18" s="552"/>
    </row>
    <row r="19" spans="1:4" s="516" customFormat="1" ht="25.5" x14ac:dyDescent="0.2">
      <c r="A19" s="521">
        <v>4</v>
      </c>
      <c r="B19" s="524" t="s">
        <v>445</v>
      </c>
      <c r="C19" s="551" t="s">
        <v>517</v>
      </c>
      <c r="D19" s="552"/>
    </row>
    <row r="20" spans="1:4" s="516" customFormat="1" ht="12.75" x14ac:dyDescent="0.2">
      <c r="A20" s="521">
        <v>5</v>
      </c>
      <c r="B20" s="525" t="s">
        <v>449</v>
      </c>
      <c r="C20" s="551" t="s">
        <v>517</v>
      </c>
      <c r="D20" s="552" t="s">
        <v>518</v>
      </c>
    </row>
    <row r="21" spans="1:4" s="516" customFormat="1" ht="12.75" x14ac:dyDescent="0.2">
      <c r="A21" s="521">
        <v>6</v>
      </c>
      <c r="B21" s="525" t="s">
        <v>447</v>
      </c>
      <c r="C21" s="551" t="s">
        <v>517</v>
      </c>
      <c r="D21" s="552"/>
    </row>
    <row r="22" spans="1:4" s="516" customFormat="1" ht="12.75" x14ac:dyDescent="0.2">
      <c r="A22" s="521">
        <v>7</v>
      </c>
      <c r="B22" s="525" t="s">
        <v>372</v>
      </c>
      <c r="C22" s="551" t="s">
        <v>517</v>
      </c>
      <c r="D22" s="552"/>
    </row>
    <row r="23" spans="1:4" s="516" customFormat="1" ht="38.25" x14ac:dyDescent="0.2">
      <c r="A23" s="521">
        <v>8</v>
      </c>
      <c r="B23" s="524" t="s">
        <v>450</v>
      </c>
      <c r="C23" s="551" t="s">
        <v>517</v>
      </c>
      <c r="D23" s="552"/>
    </row>
    <row r="24" spans="1:4" s="516" customFormat="1" ht="13.5" thickBot="1" x14ac:dyDescent="0.25">
      <c r="A24" s="522">
        <v>9</v>
      </c>
      <c r="B24" s="526" t="s">
        <v>448</v>
      </c>
      <c r="C24" s="553" t="s">
        <v>517</v>
      </c>
      <c r="D24" s="554"/>
    </row>
  </sheetData>
  <sheetProtection algorithmName="SHA-512" hashValue="+mOAXaZ6mnF8GnfqMTu62MW0Tvko1eProsHu5PRgHBMi8twIX0IXngXArIDr/HlTrL79BK4VnHPw/Qa4nGf7vQ==" saltValue="XqDOT84YVES0MbLVSw1pbA==" spinCount="100000" sheet="1" objects="1" scenarios="1"/>
  <mergeCells count="1">
    <mergeCell ref="A13:D13"/>
  </mergeCells>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M41"/>
  <sheetViews>
    <sheetView topLeftCell="A4" zoomScaleNormal="100" workbookViewId="0">
      <selection activeCell="G10" sqref="G10"/>
    </sheetView>
  </sheetViews>
  <sheetFormatPr defaultColWidth="9.140625" defaultRowHeight="12.75" x14ac:dyDescent="0.2"/>
  <cols>
    <col min="1" max="1" width="3.85546875" style="9" customWidth="1"/>
    <col min="2" max="2" width="3.42578125" style="9" customWidth="1"/>
    <col min="3" max="3" width="48" style="9" customWidth="1"/>
    <col min="4" max="4" width="4.85546875" style="9" customWidth="1"/>
    <col min="5" max="5" width="17.140625" style="9" customWidth="1"/>
    <col min="6" max="6" width="3.140625" style="9" customWidth="1"/>
    <col min="7" max="7" width="20.42578125" style="9" customWidth="1"/>
    <col min="8" max="9" width="18.140625" style="9" customWidth="1"/>
    <col min="10" max="10" width="2.85546875" style="9" customWidth="1"/>
    <col min="11" max="11" width="7.85546875" style="9" customWidth="1"/>
    <col min="12" max="12" width="18" style="9" customWidth="1"/>
    <col min="13" max="16384" width="9.140625" style="9"/>
  </cols>
  <sheetData>
    <row r="1" spans="1:9" ht="21.75" x14ac:dyDescent="0.2">
      <c r="A1" s="217"/>
      <c r="B1" s="2"/>
      <c r="C1" s="565"/>
      <c r="D1" s="565"/>
      <c r="E1" s="565"/>
      <c r="F1" s="1"/>
    </row>
    <row r="2" spans="1:9" ht="18" x14ac:dyDescent="0.25">
      <c r="A2" s="2"/>
      <c r="B2" s="2"/>
      <c r="C2" s="566"/>
      <c r="D2" s="566"/>
      <c r="E2" s="566"/>
      <c r="F2" s="566"/>
      <c r="G2" s="566"/>
      <c r="H2" s="566"/>
      <c r="I2" s="566"/>
    </row>
    <row r="3" spans="1:9" ht="18" x14ac:dyDescent="0.25">
      <c r="A3" s="2"/>
      <c r="B3" s="2"/>
      <c r="C3" s="566"/>
      <c r="D3" s="566"/>
      <c r="E3" s="566"/>
      <c r="F3" s="566"/>
      <c r="G3" s="566"/>
      <c r="H3" s="566"/>
      <c r="I3" s="566"/>
    </row>
    <row r="4" spans="1:9" ht="18" x14ac:dyDescent="0.25">
      <c r="A4" s="2"/>
      <c r="B4" s="2"/>
      <c r="C4" s="566"/>
      <c r="D4" s="566"/>
      <c r="E4" s="566"/>
      <c r="F4" s="566"/>
      <c r="G4" s="566"/>
      <c r="H4" s="566"/>
      <c r="I4" s="566"/>
    </row>
    <row r="5" spans="1:9" ht="18" x14ac:dyDescent="0.25">
      <c r="A5" s="2"/>
      <c r="B5" s="2"/>
      <c r="C5" s="6"/>
      <c r="E5" s="4"/>
      <c r="F5" s="6"/>
    </row>
    <row r="6" spans="1:9" ht="61.5" customHeight="1" x14ac:dyDescent="0.25">
      <c r="A6" s="2"/>
      <c r="B6" s="2"/>
      <c r="D6" s="4"/>
      <c r="E6" s="4"/>
    </row>
    <row r="7" spans="1:9" ht="61.5" customHeight="1" x14ac:dyDescent="0.25">
      <c r="C7" s="442"/>
      <c r="D7" s="4"/>
      <c r="E7" s="4"/>
      <c r="G7" s="154" t="s">
        <v>133</v>
      </c>
      <c r="H7" s="154" t="s">
        <v>228</v>
      </c>
    </row>
    <row r="8" spans="1:9" ht="18" x14ac:dyDescent="0.25">
      <c r="D8" s="4"/>
      <c r="E8" s="4"/>
    </row>
    <row r="9" spans="1:9" ht="15.75" x14ac:dyDescent="0.25">
      <c r="C9" s="96" t="s">
        <v>1</v>
      </c>
      <c r="D9" s="94"/>
      <c r="F9" s="129" t="s">
        <v>321</v>
      </c>
      <c r="G9" s="257">
        <v>75201159</v>
      </c>
      <c r="H9" s="257">
        <v>75744490</v>
      </c>
    </row>
    <row r="10" spans="1:9" ht="15.75" x14ac:dyDescent="0.25">
      <c r="C10" s="96"/>
      <c r="D10" s="94"/>
      <c r="F10" s="129"/>
      <c r="G10" s="97"/>
      <c r="H10" s="125"/>
    </row>
    <row r="11" spans="1:9" ht="18" x14ac:dyDescent="0.25">
      <c r="C11" s="255" t="s">
        <v>258</v>
      </c>
      <c r="D11" s="94"/>
      <c r="F11" s="129"/>
      <c r="H11" s="125"/>
    </row>
    <row r="12" spans="1:9" ht="15" x14ac:dyDescent="0.2">
      <c r="C12" s="9" t="s">
        <v>138</v>
      </c>
      <c r="D12" s="94"/>
      <c r="E12" s="256">
        <v>0.04</v>
      </c>
      <c r="F12" s="129" t="s">
        <v>139</v>
      </c>
      <c r="G12" s="95">
        <f>G9*E12</f>
        <v>3008046.36</v>
      </c>
      <c r="H12" s="124" t="s">
        <v>140</v>
      </c>
    </row>
    <row r="13" spans="1:9" ht="15" x14ac:dyDescent="0.2">
      <c r="C13" s="9" t="s">
        <v>141</v>
      </c>
      <c r="D13" s="94"/>
      <c r="E13" s="256">
        <v>0.56000000000000005</v>
      </c>
      <c r="F13" s="127" t="s">
        <v>142</v>
      </c>
      <c r="G13" s="95">
        <f>G9*E13</f>
        <v>42112649.040000007</v>
      </c>
      <c r="H13" s="125" t="s">
        <v>143</v>
      </c>
    </row>
    <row r="14" spans="1:9" ht="15" x14ac:dyDescent="0.2">
      <c r="C14" s="9" t="s">
        <v>144</v>
      </c>
      <c r="D14" s="94"/>
      <c r="E14" s="256">
        <v>0.4</v>
      </c>
      <c r="F14" s="130" t="s">
        <v>145</v>
      </c>
      <c r="G14" s="95">
        <f>G9*E14</f>
        <v>30080463.600000001</v>
      </c>
      <c r="H14" s="124" t="s">
        <v>146</v>
      </c>
    </row>
    <row r="15" spans="1:9" x14ac:dyDescent="0.2">
      <c r="D15" s="94"/>
      <c r="E15" s="93"/>
      <c r="F15" s="129"/>
      <c r="H15" s="125"/>
    </row>
    <row r="16" spans="1:9" ht="15" x14ac:dyDescent="0.2">
      <c r="C16" s="9" t="s">
        <v>186</v>
      </c>
      <c r="D16" s="94"/>
      <c r="E16" s="256">
        <v>1.7500000000000002E-2</v>
      </c>
      <c r="F16" s="128" t="s">
        <v>147</v>
      </c>
      <c r="G16" s="95">
        <f>G12*E16</f>
        <v>52640.811300000001</v>
      </c>
      <c r="H16" s="125" t="s">
        <v>148</v>
      </c>
    </row>
    <row r="17" spans="3:13" ht="15" x14ac:dyDescent="0.2">
      <c r="C17" s="9" t="s">
        <v>149</v>
      </c>
      <c r="D17" s="94"/>
      <c r="E17" s="256">
        <v>2.4819124015718952E-2</v>
      </c>
      <c r="F17" s="129" t="s">
        <v>150</v>
      </c>
      <c r="G17" s="95">
        <f>G13*E17</f>
        <v>1045199.0591542078</v>
      </c>
      <c r="H17" s="125" t="s">
        <v>151</v>
      </c>
    </row>
    <row r="18" spans="3:13" ht="15.75" x14ac:dyDescent="0.25">
      <c r="C18" s="39" t="s">
        <v>172</v>
      </c>
      <c r="D18" s="94"/>
      <c r="E18" s="256">
        <v>8.3400000000000002E-2</v>
      </c>
      <c r="F18" s="129" t="s">
        <v>152</v>
      </c>
      <c r="G18" s="112">
        <f>G14*E18</f>
        <v>2508710.6642400003</v>
      </c>
      <c r="H18" s="125" t="s">
        <v>153</v>
      </c>
      <c r="I18" s="307" t="s">
        <v>303</v>
      </c>
    </row>
    <row r="19" spans="3:13" ht="16.5" thickBot="1" x14ac:dyDescent="0.3">
      <c r="C19" s="96" t="s">
        <v>137</v>
      </c>
      <c r="D19" s="94"/>
      <c r="E19" s="8"/>
      <c r="F19" s="38"/>
      <c r="G19" s="113">
        <f>SUM(G16:G18)</f>
        <v>3606550.5346942078</v>
      </c>
      <c r="H19" s="126" t="s">
        <v>154</v>
      </c>
    </row>
    <row r="24" spans="3:13" ht="18" x14ac:dyDescent="0.25">
      <c r="C24" s="255" t="s">
        <v>259</v>
      </c>
      <c r="G24" s="154" t="s">
        <v>327</v>
      </c>
      <c r="H24" s="154" t="s">
        <v>228</v>
      </c>
      <c r="I24" s="154" t="s">
        <v>133</v>
      </c>
      <c r="J24" s="154"/>
    </row>
    <row r="25" spans="3:13" x14ac:dyDescent="0.2">
      <c r="C25" s="86"/>
      <c r="G25" s="38"/>
      <c r="I25" s="38"/>
    </row>
    <row r="26" spans="3:13" x14ac:dyDescent="0.2">
      <c r="C26" s="568" t="s">
        <v>126</v>
      </c>
      <c r="D26" s="568"/>
      <c r="E26" s="568"/>
      <c r="G26" s="388" t="s">
        <v>507</v>
      </c>
      <c r="H26" s="388" t="s">
        <v>507</v>
      </c>
      <c r="I26" s="388" t="s">
        <v>507</v>
      </c>
      <c r="M26" s="195"/>
    </row>
    <row r="27" spans="3:13" x14ac:dyDescent="0.2">
      <c r="C27" s="9" t="s">
        <v>125</v>
      </c>
      <c r="G27" s="38"/>
      <c r="H27" s="38"/>
      <c r="I27" s="38"/>
      <c r="M27" s="195"/>
    </row>
    <row r="28" spans="3:13" ht="12.75" customHeight="1" x14ac:dyDescent="0.2">
      <c r="C28" s="569" t="s">
        <v>244</v>
      </c>
      <c r="D28" s="569"/>
      <c r="E28" s="569"/>
      <c r="F28" s="196"/>
      <c r="G28" s="388" t="s">
        <v>508</v>
      </c>
      <c r="H28" s="388" t="s">
        <v>508</v>
      </c>
      <c r="I28" s="388" t="s">
        <v>508</v>
      </c>
      <c r="M28" s="197"/>
    </row>
    <row r="29" spans="3:13" x14ac:dyDescent="0.2">
      <c r="C29" s="9" t="s">
        <v>125</v>
      </c>
      <c r="G29" s="38"/>
      <c r="H29" s="38"/>
      <c r="I29" s="38"/>
    </row>
    <row r="30" spans="3:13" x14ac:dyDescent="0.2">
      <c r="C30" s="568" t="s">
        <v>127</v>
      </c>
      <c r="D30" s="568"/>
      <c r="E30" s="568"/>
      <c r="G30" s="388" t="s">
        <v>508</v>
      </c>
      <c r="H30" s="388" t="s">
        <v>508</v>
      </c>
      <c r="I30" s="388" t="s">
        <v>508</v>
      </c>
    </row>
    <row r="31" spans="3:13" x14ac:dyDescent="0.2">
      <c r="C31" s="442" t="s">
        <v>125</v>
      </c>
      <c r="G31" s="38"/>
      <c r="H31" s="38"/>
      <c r="I31" s="38"/>
    </row>
    <row r="32" spans="3:13" x14ac:dyDescent="0.2">
      <c r="C32" s="568" t="s">
        <v>128</v>
      </c>
      <c r="D32" s="568"/>
      <c r="E32" s="568"/>
      <c r="G32" s="388" t="s">
        <v>508</v>
      </c>
      <c r="H32" s="388" t="s">
        <v>508</v>
      </c>
      <c r="I32" s="388" t="s">
        <v>508</v>
      </c>
    </row>
    <row r="33" spans="3:9" x14ac:dyDescent="0.2">
      <c r="C33" s="442" t="s">
        <v>125</v>
      </c>
      <c r="G33" s="38"/>
      <c r="H33" s="38"/>
      <c r="I33" s="38"/>
    </row>
    <row r="34" spans="3:9" x14ac:dyDescent="0.2">
      <c r="C34" s="568" t="s">
        <v>129</v>
      </c>
      <c r="D34" s="568"/>
      <c r="E34" s="568"/>
      <c r="G34" s="388" t="s">
        <v>508</v>
      </c>
      <c r="H34" s="388" t="s">
        <v>507</v>
      </c>
      <c r="I34" s="388" t="s">
        <v>507</v>
      </c>
    </row>
    <row r="35" spans="3:9" x14ac:dyDescent="0.2">
      <c r="C35" s="442" t="s">
        <v>125</v>
      </c>
      <c r="G35" s="38"/>
      <c r="H35" s="38"/>
      <c r="I35" s="38"/>
    </row>
    <row r="36" spans="3:9" x14ac:dyDescent="0.2">
      <c r="C36" s="568" t="s">
        <v>130</v>
      </c>
      <c r="D36" s="568"/>
      <c r="E36" s="568"/>
      <c r="G36" s="388" t="s">
        <v>508</v>
      </c>
      <c r="H36" s="388" t="s">
        <v>508</v>
      </c>
      <c r="I36" s="388" t="s">
        <v>508</v>
      </c>
    </row>
    <row r="37" spans="3:9" x14ac:dyDescent="0.2">
      <c r="C37" s="442"/>
      <c r="G37" s="38"/>
      <c r="H37" s="38"/>
      <c r="I37" s="38"/>
    </row>
    <row r="38" spans="3:9" x14ac:dyDescent="0.2">
      <c r="C38" s="568" t="s">
        <v>131</v>
      </c>
      <c r="D38" s="568"/>
      <c r="E38" s="568"/>
      <c r="G38" s="388" t="s">
        <v>507</v>
      </c>
      <c r="H38" s="388" t="s">
        <v>507</v>
      </c>
      <c r="I38" s="388" t="s">
        <v>507</v>
      </c>
    </row>
    <row r="39" spans="3:9" x14ac:dyDescent="0.2">
      <c r="C39" s="192" t="s">
        <v>444</v>
      </c>
      <c r="G39" s="38"/>
      <c r="H39" s="38"/>
      <c r="I39" s="38"/>
    </row>
    <row r="40" spans="3:9" ht="9" customHeight="1" x14ac:dyDescent="0.2">
      <c r="C40" s="192"/>
      <c r="G40" s="38"/>
      <c r="H40" s="38"/>
      <c r="I40" s="38"/>
    </row>
    <row r="41" spans="3:9" x14ac:dyDescent="0.2">
      <c r="C41" s="568" t="s">
        <v>132</v>
      </c>
      <c r="D41" s="568"/>
      <c r="E41" s="568"/>
      <c r="G41" s="388" t="s">
        <v>508</v>
      </c>
      <c r="H41" s="388" t="s">
        <v>508</v>
      </c>
      <c r="I41" s="388" t="s">
        <v>508</v>
      </c>
    </row>
  </sheetData>
  <sheetProtection algorithmName="SHA-512" hashValue="tKrJOLr8yt8y/M9oA1mV2lz4bTE9nVYQivybxRzMczEAQX5/Ps84sH5mGiBI6cVVajlU0qDD5Dav6ACNQpZ5gQ==" saltValue="XvFD8mwt8yU6neumFKtfEA==" spinCount="100000" sheet="1" objects="1" scenarios="1"/>
  <mergeCells count="12">
    <mergeCell ref="C26:E26"/>
    <mergeCell ref="C28:E28"/>
    <mergeCell ref="C1:E1"/>
    <mergeCell ref="C2:I2"/>
    <mergeCell ref="C3:I3"/>
    <mergeCell ref="C4:I4"/>
    <mergeCell ref="C38:E38"/>
    <mergeCell ref="C41:E41"/>
    <mergeCell ref="C30:E30"/>
    <mergeCell ref="C32:E32"/>
    <mergeCell ref="C34:E34"/>
    <mergeCell ref="C36:E36"/>
  </mergeCells>
  <phoneticPr fontId="3" type="noConversion"/>
  <dataValidations count="1">
    <dataValidation type="list" allowBlank="1" showInputMessage="1" showErrorMessage="1" sqref="G26:I26 G28:I28 G30:I30 G32:I32 G34:I34 G36:I36 G38:I38 G41:I41" xr:uid="{00000000-0002-0000-0400-000000000000}">
      <formula1>"Yes, No"</formula1>
    </dataValidation>
  </dataValidations>
  <hyperlinks>
    <hyperlink ref="I18" location="'T1 Sch 1 Taxable Income Test'!A1" display="T1" xr:uid="{00000000-0004-0000-0400-000000000000}"/>
  </hyperlinks>
  <pageMargins left="0.35433070866141736" right="0.35433070866141736" top="0.59055118110236227" bottom="0.59055118110236227" header="0.51181102362204722" footer="0.51181102362204722"/>
  <pageSetup scale="73" orientation="portrait" r:id="rId1"/>
  <headerFooter alignWithMargins="0"/>
  <colBreaks count="1" manualBreakCount="1">
    <brk id="12" max="6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K39"/>
  <sheetViews>
    <sheetView topLeftCell="A7" zoomScaleNormal="100" workbookViewId="0">
      <selection activeCell="K19" activeCellId="1" sqref="K21 K19"/>
    </sheetView>
  </sheetViews>
  <sheetFormatPr defaultColWidth="9.140625" defaultRowHeight="12.75" x14ac:dyDescent="0.2"/>
  <cols>
    <col min="1" max="2" width="4.85546875" style="9" customWidth="1"/>
    <col min="3" max="3" width="52.85546875" style="9" customWidth="1"/>
    <col min="4" max="4" width="4.140625" style="9" customWidth="1"/>
    <col min="5" max="8" width="16.140625" style="9" bestFit="1" customWidth="1"/>
    <col min="9" max="9" width="16.140625" style="9" customWidth="1"/>
    <col min="10" max="11" width="16.140625" style="9" bestFit="1" customWidth="1"/>
    <col min="12" max="16384" width="9.140625" style="9"/>
  </cols>
  <sheetData>
    <row r="1" spans="1:11" ht="21.75" x14ac:dyDescent="0.2">
      <c r="A1" s="218"/>
      <c r="C1" s="565"/>
      <c r="D1" s="565"/>
    </row>
    <row r="2" spans="1:11" ht="18" x14ac:dyDescent="0.25">
      <c r="C2" s="566"/>
      <c r="D2" s="566"/>
    </row>
    <row r="3" spans="1:11" ht="18" x14ac:dyDescent="0.25">
      <c r="C3" s="566"/>
      <c r="D3" s="566"/>
    </row>
    <row r="4" spans="1:11" ht="42" customHeight="1" x14ac:dyDescent="0.25">
      <c r="C4" s="566"/>
      <c r="D4" s="566"/>
    </row>
    <row r="5" spans="1:11" ht="42" customHeight="1" x14ac:dyDescent="0.2"/>
    <row r="6" spans="1:11" ht="42" customHeight="1" x14ac:dyDescent="0.2"/>
    <row r="7" spans="1:11" ht="42" customHeight="1" x14ac:dyDescent="0.2"/>
    <row r="9" spans="1:11" x14ac:dyDescent="0.2">
      <c r="C9" s="209" t="s">
        <v>157</v>
      </c>
      <c r="D9" s="223"/>
      <c r="E9" s="223"/>
      <c r="F9" s="223"/>
      <c r="G9" s="223"/>
      <c r="H9" s="223"/>
    </row>
    <row r="10" spans="1:11" x14ac:dyDescent="0.2">
      <c r="C10" s="209" t="s">
        <v>158</v>
      </c>
      <c r="D10" s="223"/>
      <c r="E10" s="224" t="s">
        <v>159</v>
      </c>
      <c r="F10" s="224" t="s">
        <v>159</v>
      </c>
      <c r="G10" s="224" t="s">
        <v>159</v>
      </c>
      <c r="H10" s="224" t="s">
        <v>159</v>
      </c>
      <c r="I10" s="224" t="s">
        <v>159</v>
      </c>
      <c r="J10" s="224" t="s">
        <v>159</v>
      </c>
      <c r="K10" s="224" t="s">
        <v>159</v>
      </c>
    </row>
    <row r="11" spans="1:11" x14ac:dyDescent="0.2">
      <c r="C11" s="209" t="s">
        <v>393</v>
      </c>
      <c r="D11" s="223"/>
      <c r="E11" s="405">
        <v>42005</v>
      </c>
      <c r="F11" s="405">
        <v>42370</v>
      </c>
      <c r="G11" s="405">
        <v>42736</v>
      </c>
      <c r="H11" s="405">
        <v>43101</v>
      </c>
      <c r="I11" s="405">
        <v>43466</v>
      </c>
      <c r="J11" s="405">
        <v>43831</v>
      </c>
      <c r="K11" s="405">
        <v>44197</v>
      </c>
    </row>
    <row r="12" spans="1:11" x14ac:dyDescent="0.2">
      <c r="C12" s="223"/>
      <c r="D12" s="223"/>
      <c r="E12" s="224"/>
      <c r="F12" s="224"/>
      <c r="G12" s="224"/>
      <c r="H12" s="224"/>
      <c r="I12" s="224"/>
      <c r="J12" s="224"/>
      <c r="K12" s="224"/>
    </row>
    <row r="13" spans="1:11" x14ac:dyDescent="0.2">
      <c r="C13" s="209" t="s">
        <v>160</v>
      </c>
      <c r="D13" s="223"/>
      <c r="E13" s="223"/>
      <c r="F13" s="223"/>
      <c r="G13" s="223"/>
      <c r="H13" s="223"/>
      <c r="I13" s="223"/>
      <c r="J13" s="223"/>
      <c r="K13" s="223"/>
    </row>
    <row r="14" spans="1:11" x14ac:dyDescent="0.2">
      <c r="C14" s="223" t="s">
        <v>385</v>
      </c>
      <c r="D14" s="225"/>
      <c r="E14" s="226">
        <v>0.38</v>
      </c>
      <c r="F14" s="226">
        <v>0.38</v>
      </c>
      <c r="G14" s="226">
        <v>0.38</v>
      </c>
      <c r="H14" s="226">
        <v>0.38</v>
      </c>
      <c r="I14" s="226">
        <v>0.38</v>
      </c>
      <c r="J14" s="226">
        <v>0.38</v>
      </c>
      <c r="K14" s="226">
        <v>0.38</v>
      </c>
    </row>
    <row r="15" spans="1:11" x14ac:dyDescent="0.2">
      <c r="C15" s="223" t="s">
        <v>386</v>
      </c>
      <c r="D15" s="225"/>
      <c r="E15" s="227">
        <v>-0.1</v>
      </c>
      <c r="F15" s="227">
        <v>-0.1</v>
      </c>
      <c r="G15" s="227">
        <v>-0.1</v>
      </c>
      <c r="H15" s="227">
        <v>-0.1</v>
      </c>
      <c r="I15" s="227">
        <v>-0.1</v>
      </c>
      <c r="J15" s="227">
        <v>-0.1</v>
      </c>
      <c r="K15" s="227">
        <v>-0.1</v>
      </c>
    </row>
    <row r="16" spans="1:11" x14ac:dyDescent="0.2">
      <c r="C16" s="223" t="s">
        <v>387</v>
      </c>
      <c r="D16" s="225"/>
      <c r="E16" s="226">
        <f t="shared" ref="E16:I16" si="0">SUM(E14:E15)</f>
        <v>0.28000000000000003</v>
      </c>
      <c r="F16" s="226">
        <f t="shared" si="0"/>
        <v>0.28000000000000003</v>
      </c>
      <c r="G16" s="226">
        <f t="shared" si="0"/>
        <v>0.28000000000000003</v>
      </c>
      <c r="H16" s="226">
        <f t="shared" si="0"/>
        <v>0.28000000000000003</v>
      </c>
      <c r="I16" s="226">
        <f t="shared" si="0"/>
        <v>0.28000000000000003</v>
      </c>
      <c r="J16" s="226">
        <f t="shared" ref="J16:K16" si="1">SUM(J14:J15)</f>
        <v>0.28000000000000003</v>
      </c>
      <c r="K16" s="226">
        <f t="shared" si="1"/>
        <v>0.28000000000000003</v>
      </c>
    </row>
    <row r="17" spans="3:11" x14ac:dyDescent="0.2">
      <c r="C17" s="223"/>
      <c r="D17" s="223"/>
      <c r="E17" s="226"/>
      <c r="F17" s="226"/>
      <c r="G17" s="226"/>
      <c r="H17" s="226"/>
      <c r="I17" s="226"/>
      <c r="J17" s="226"/>
      <c r="K17" s="226"/>
    </row>
    <row r="18" spans="3:11" x14ac:dyDescent="0.2">
      <c r="C18" s="223" t="s">
        <v>388</v>
      </c>
      <c r="D18" s="225"/>
      <c r="E18" s="228">
        <v>-0.13</v>
      </c>
      <c r="F18" s="228">
        <v>-0.13</v>
      </c>
      <c r="G18" s="228">
        <v>-0.13</v>
      </c>
      <c r="H18" s="228">
        <v>-0.13</v>
      </c>
      <c r="I18" s="228">
        <v>-0.13</v>
      </c>
      <c r="J18" s="228">
        <v>-0.13</v>
      </c>
      <c r="K18" s="228">
        <v>-0.13</v>
      </c>
    </row>
    <row r="19" spans="3:11" x14ac:dyDescent="0.2">
      <c r="C19" s="209" t="s">
        <v>350</v>
      </c>
      <c r="D19" s="223"/>
      <c r="E19" s="229">
        <f t="shared" ref="E19:I19" si="2">E16+E18</f>
        <v>0.15000000000000002</v>
      </c>
      <c r="F19" s="229">
        <f t="shared" si="2"/>
        <v>0.15000000000000002</v>
      </c>
      <c r="G19" s="229">
        <f t="shared" si="2"/>
        <v>0.15000000000000002</v>
      </c>
      <c r="H19" s="229">
        <f t="shared" si="2"/>
        <v>0.15000000000000002</v>
      </c>
      <c r="I19" s="229">
        <f t="shared" si="2"/>
        <v>0.15000000000000002</v>
      </c>
      <c r="J19" s="229">
        <f t="shared" ref="J19:K19" si="3">J16+J18</f>
        <v>0.15000000000000002</v>
      </c>
      <c r="K19" s="229">
        <f t="shared" si="3"/>
        <v>0.15000000000000002</v>
      </c>
    </row>
    <row r="20" spans="3:11" x14ac:dyDescent="0.2">
      <c r="C20" s="223"/>
      <c r="D20" s="225"/>
      <c r="E20" s="230"/>
      <c r="F20" s="225"/>
      <c r="G20" s="225"/>
      <c r="H20" s="225"/>
      <c r="I20" s="225"/>
      <c r="J20" s="225"/>
      <c r="K20" s="225"/>
    </row>
    <row r="21" spans="3:11" x14ac:dyDescent="0.2">
      <c r="C21" s="209" t="s">
        <v>389</v>
      </c>
      <c r="D21" s="225"/>
      <c r="E21" s="231">
        <v>0.115</v>
      </c>
      <c r="F21" s="227">
        <v>0.115</v>
      </c>
      <c r="G21" s="227">
        <v>0.115</v>
      </c>
      <c r="H21" s="227">
        <v>0.115</v>
      </c>
      <c r="I21" s="227">
        <v>0.115</v>
      </c>
      <c r="J21" s="227">
        <v>0.115</v>
      </c>
      <c r="K21" s="227">
        <v>0.115</v>
      </c>
    </row>
    <row r="22" spans="3:11" x14ac:dyDescent="0.2">
      <c r="C22" s="223"/>
      <c r="D22" s="225"/>
      <c r="E22" s="230"/>
      <c r="F22" s="225"/>
      <c r="G22" s="225"/>
      <c r="H22" s="225"/>
      <c r="I22" s="225"/>
      <c r="J22" s="225"/>
      <c r="K22" s="225"/>
    </row>
    <row r="23" spans="3:11" ht="13.5" thickBot="1" x14ac:dyDescent="0.25">
      <c r="C23" s="209" t="s">
        <v>390</v>
      </c>
      <c r="D23" s="225"/>
      <c r="E23" s="232">
        <f t="shared" ref="E23:I23" si="4">E19+E21</f>
        <v>0.26500000000000001</v>
      </c>
      <c r="F23" s="232">
        <f t="shared" si="4"/>
        <v>0.26500000000000001</v>
      </c>
      <c r="G23" s="232">
        <f t="shared" si="4"/>
        <v>0.26500000000000001</v>
      </c>
      <c r="H23" s="232">
        <f t="shared" ref="H23" si="5">H19+H21</f>
        <v>0.26500000000000001</v>
      </c>
      <c r="I23" s="232">
        <f t="shared" si="4"/>
        <v>0.26500000000000001</v>
      </c>
      <c r="J23" s="232">
        <f t="shared" ref="J23:K23" si="6">J19+J21</f>
        <v>0.26500000000000001</v>
      </c>
      <c r="K23" s="232">
        <f t="shared" si="6"/>
        <v>0.26500000000000001</v>
      </c>
    </row>
    <row r="24" spans="3:11" x14ac:dyDescent="0.2">
      <c r="C24" s="223"/>
      <c r="D24" s="225"/>
      <c r="E24" s="225"/>
      <c r="F24" s="225"/>
      <c r="G24" s="225"/>
      <c r="H24" s="225"/>
      <c r="I24" s="225"/>
      <c r="J24" s="225"/>
      <c r="K24" s="225"/>
    </row>
    <row r="25" spans="3:11" x14ac:dyDescent="0.2">
      <c r="C25" s="209" t="s">
        <v>161</v>
      </c>
      <c r="D25" s="225"/>
      <c r="E25" s="225"/>
      <c r="F25" s="225"/>
      <c r="G25" s="225"/>
      <c r="H25" s="225"/>
      <c r="I25" s="225"/>
      <c r="J25" s="225"/>
      <c r="K25" s="225"/>
    </row>
    <row r="26" spans="3:11" x14ac:dyDescent="0.2">
      <c r="C26" s="481" t="s">
        <v>383</v>
      </c>
      <c r="D26" s="225"/>
      <c r="E26" s="233">
        <v>500000</v>
      </c>
      <c r="F26" s="233">
        <v>500000</v>
      </c>
      <c r="G26" s="233">
        <v>500000</v>
      </c>
      <c r="H26" s="233">
        <v>500000</v>
      </c>
      <c r="I26" s="233">
        <v>500000</v>
      </c>
      <c r="J26" s="233">
        <v>500000</v>
      </c>
      <c r="K26" s="233">
        <v>500000</v>
      </c>
    </row>
    <row r="27" spans="3:11" x14ac:dyDescent="0.2">
      <c r="C27" s="223" t="s">
        <v>384</v>
      </c>
      <c r="D27" s="225"/>
      <c r="E27" s="233">
        <v>500000</v>
      </c>
      <c r="F27" s="233">
        <v>500000</v>
      </c>
      <c r="G27" s="233">
        <v>500000</v>
      </c>
      <c r="H27" s="233">
        <v>500000</v>
      </c>
      <c r="I27" s="233">
        <v>500000</v>
      </c>
      <c r="J27" s="233">
        <v>500000</v>
      </c>
      <c r="K27" s="233">
        <v>500000</v>
      </c>
    </row>
    <row r="28" spans="3:11" x14ac:dyDescent="0.2">
      <c r="C28" s="223"/>
      <c r="D28" s="225"/>
      <c r="E28" s="226"/>
      <c r="F28" s="226"/>
      <c r="G28" s="226"/>
      <c r="H28" s="226"/>
      <c r="I28" s="226"/>
      <c r="J28" s="226"/>
      <c r="K28" s="226"/>
    </row>
    <row r="29" spans="3:11" x14ac:dyDescent="0.2">
      <c r="C29" s="223" t="s">
        <v>391</v>
      </c>
      <c r="D29" s="225"/>
      <c r="E29" s="226">
        <v>0.11</v>
      </c>
      <c r="F29" s="226">
        <v>0.105</v>
      </c>
      <c r="G29" s="226">
        <v>0.105</v>
      </c>
      <c r="H29" s="226">
        <v>0.1</v>
      </c>
      <c r="I29" s="226">
        <v>0.09</v>
      </c>
      <c r="J29" s="226">
        <v>0.09</v>
      </c>
      <c r="K29" s="226">
        <v>0.09</v>
      </c>
    </row>
    <row r="30" spans="3:11" x14ac:dyDescent="0.2">
      <c r="C30" s="223"/>
      <c r="D30" s="225"/>
      <c r="E30" s="226"/>
      <c r="F30" s="226"/>
      <c r="G30" s="226"/>
      <c r="H30" s="226"/>
      <c r="I30" s="226"/>
      <c r="J30" s="226"/>
      <c r="K30" s="226"/>
    </row>
    <row r="31" spans="3:11" x14ac:dyDescent="0.2">
      <c r="C31" s="223" t="s">
        <v>392</v>
      </c>
      <c r="D31" s="225"/>
      <c r="E31" s="226">
        <v>4.4999999999999998E-2</v>
      </c>
      <c r="F31" s="226">
        <v>4.4999999999999998E-2</v>
      </c>
      <c r="G31" s="226">
        <v>4.4999999999999998E-2</v>
      </c>
      <c r="H31" s="226">
        <v>3.5000000000000003E-2</v>
      </c>
      <c r="I31" s="226">
        <v>3.5000000000000003E-2</v>
      </c>
      <c r="J31" s="226">
        <v>3.2000000000000001E-2</v>
      </c>
      <c r="K31" s="226">
        <v>3.2000000000000001E-2</v>
      </c>
    </row>
    <row r="32" spans="3:11" x14ac:dyDescent="0.2">
      <c r="C32" s="223"/>
      <c r="D32" s="225"/>
      <c r="E32" s="234"/>
      <c r="F32" s="234"/>
      <c r="G32" s="223"/>
      <c r="H32" s="223"/>
    </row>
    <row r="33" spans="3:9" x14ac:dyDescent="0.2">
      <c r="C33" s="223"/>
      <c r="D33" s="225"/>
      <c r="E33" s="223"/>
      <c r="F33" s="223"/>
      <c r="G33" s="223"/>
      <c r="H33" s="223"/>
      <c r="I33" s="223"/>
    </row>
    <row r="34" spans="3:9" x14ac:dyDescent="0.2">
      <c r="C34" s="235" t="s">
        <v>292</v>
      </c>
      <c r="D34" s="225"/>
      <c r="E34" s="223"/>
      <c r="F34" s="223"/>
      <c r="G34" s="223"/>
      <c r="H34" s="223"/>
      <c r="I34" s="223"/>
    </row>
    <row r="35" spans="3:9" x14ac:dyDescent="0.2">
      <c r="C35" s="305" t="s">
        <v>293</v>
      </c>
      <c r="D35" s="223"/>
      <c r="E35" s="223"/>
      <c r="F35" s="223"/>
      <c r="G35" s="223"/>
      <c r="H35" s="223"/>
      <c r="I35" s="223"/>
    </row>
    <row r="36" spans="3:9" x14ac:dyDescent="0.2">
      <c r="C36" s="305" t="s">
        <v>380</v>
      </c>
      <c r="D36" s="223"/>
      <c r="E36" s="223"/>
      <c r="F36" s="223"/>
      <c r="G36" s="223"/>
      <c r="H36" s="223"/>
      <c r="I36" s="223"/>
    </row>
    <row r="37" spans="3:9" x14ac:dyDescent="0.2">
      <c r="C37" s="304" t="s">
        <v>353</v>
      </c>
    </row>
    <row r="38" spans="3:9" x14ac:dyDescent="0.2">
      <c r="C38" s="304" t="s">
        <v>381</v>
      </c>
    </row>
    <row r="39" spans="3:9" x14ac:dyDescent="0.2">
      <c r="C39" s="304" t="s">
        <v>382</v>
      </c>
    </row>
  </sheetData>
  <sheetProtection algorithmName="SHA-512" hashValue="fTC8do7oD72d4fN7vmn8ROHr5OLRppFn1YPYSYXv0vgEMzmgwGiK+R+dW4N+XU7irx/7vGmBJmvF9gHSsqRYWA==" saltValue="ZPVZ86/ZUcofijWibL6XTQ==" spinCount="100000" sheet="1" objects="1" scenarios="1"/>
  <mergeCells count="4">
    <mergeCell ref="C1:D1"/>
    <mergeCell ref="C2:D2"/>
    <mergeCell ref="C3:D3"/>
    <mergeCell ref="C4:D4"/>
  </mergeCells>
  <phoneticPr fontId="3" type="noConversion"/>
  <pageMargins left="0.75" right="0.75" top="1" bottom="1" header="0.5" footer="0.5"/>
  <pageSetup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dimension ref="A1:L46"/>
  <sheetViews>
    <sheetView topLeftCell="A4" zoomScaleNormal="100" workbookViewId="0">
      <selection activeCell="I31" sqref="I31"/>
    </sheetView>
  </sheetViews>
  <sheetFormatPr defaultColWidth="9.140625" defaultRowHeight="12.75" x14ac:dyDescent="0.2"/>
  <cols>
    <col min="1" max="1" width="4.140625" style="9" customWidth="1"/>
    <col min="2" max="2" width="13.140625" style="9" customWidth="1"/>
    <col min="3" max="3" width="32.140625" style="9" customWidth="1"/>
    <col min="4" max="4" width="42.85546875" style="9" customWidth="1"/>
    <col min="5" max="5" width="11.42578125" style="9" bestFit="1" customWidth="1"/>
    <col min="6" max="6" width="6" style="9" customWidth="1"/>
    <col min="7" max="7" width="16.140625" style="9" bestFit="1" customWidth="1"/>
    <col min="8" max="8" width="9.140625" style="9"/>
    <col min="9" max="9" width="16.140625" style="9" bestFit="1" customWidth="1"/>
    <col min="10" max="10" width="11.85546875" style="9" bestFit="1" customWidth="1"/>
    <col min="11" max="11" width="4.5703125" style="9" customWidth="1"/>
    <col min="12" max="16384" width="9.140625" style="9"/>
  </cols>
  <sheetData>
    <row r="1" spans="1:12" ht="21.75" x14ac:dyDescent="0.2">
      <c r="A1" s="218"/>
      <c r="C1" s="565"/>
      <c r="D1" s="565"/>
      <c r="E1" s="565"/>
      <c r="F1" s="565"/>
      <c r="G1" s="565"/>
      <c r="H1" s="440"/>
    </row>
    <row r="2" spans="1:12" ht="18" x14ac:dyDescent="0.25">
      <c r="C2" s="566"/>
      <c r="D2" s="566"/>
      <c r="E2" s="566"/>
      <c r="F2" s="566"/>
      <c r="G2" s="566"/>
      <c r="H2" s="566"/>
      <c r="I2" s="566"/>
      <c r="J2" s="566"/>
      <c r="K2" s="566"/>
      <c r="L2" s="566"/>
    </row>
    <row r="3" spans="1:12" ht="24.75" customHeight="1" x14ac:dyDescent="0.25">
      <c r="C3" s="566"/>
      <c r="D3" s="566"/>
      <c r="E3" s="566"/>
      <c r="F3" s="566"/>
      <c r="G3" s="566"/>
      <c r="H3" s="566"/>
      <c r="I3" s="566"/>
      <c r="J3" s="566"/>
      <c r="K3" s="566"/>
      <c r="L3" s="566"/>
    </row>
    <row r="4" spans="1:12" ht="50.25" customHeight="1" x14ac:dyDescent="0.25">
      <c r="C4" s="566"/>
      <c r="D4" s="566"/>
      <c r="E4" s="566"/>
      <c r="F4" s="566"/>
      <c r="G4" s="566"/>
      <c r="H4" s="566"/>
      <c r="I4" s="566"/>
      <c r="J4" s="566"/>
      <c r="K4" s="566"/>
      <c r="L4" s="566"/>
    </row>
    <row r="5" spans="1:12" ht="50.25" customHeight="1" x14ac:dyDescent="0.2"/>
    <row r="6" spans="1:12" ht="23.25" x14ac:dyDescent="0.35">
      <c r="C6" s="198" t="s">
        <v>283</v>
      </c>
    </row>
    <row r="8" spans="1:12" ht="15.75" x14ac:dyDescent="0.2">
      <c r="C8" s="571" t="s">
        <v>285</v>
      </c>
      <c r="D8" s="571"/>
      <c r="E8" s="571"/>
      <c r="F8" s="571"/>
      <c r="G8" s="82"/>
      <c r="H8" s="82"/>
      <c r="I8" s="267" t="s">
        <v>264</v>
      </c>
      <c r="J8" s="88"/>
    </row>
    <row r="9" spans="1:12" x14ac:dyDescent="0.2">
      <c r="C9" s="87"/>
      <c r="D9" s="87"/>
      <c r="E9" s="82"/>
      <c r="F9" s="82"/>
      <c r="G9" s="82"/>
      <c r="H9" s="82"/>
      <c r="I9" s="22"/>
      <c r="J9" s="88"/>
    </row>
    <row r="10" spans="1:12" x14ac:dyDescent="0.2">
      <c r="C10" s="89" t="s">
        <v>156</v>
      </c>
      <c r="D10" s="89"/>
      <c r="E10" s="82"/>
      <c r="F10" s="82"/>
      <c r="G10" s="82"/>
      <c r="H10" s="306" t="s">
        <v>320</v>
      </c>
      <c r="I10" s="220">
        <f>'H1 Sch 1 Taxable Income Hist'!G115</f>
        <v>463130</v>
      </c>
      <c r="J10" s="179" t="s">
        <v>0</v>
      </c>
    </row>
    <row r="11" spans="1:12" hidden="1" x14ac:dyDescent="0.2">
      <c r="C11" s="90"/>
      <c r="D11" s="90"/>
      <c r="E11" s="82"/>
      <c r="F11" s="82"/>
      <c r="G11" s="82"/>
      <c r="H11" s="82"/>
      <c r="I11" s="82"/>
      <c r="J11" s="180"/>
    </row>
    <row r="12" spans="1:12" hidden="1" x14ac:dyDescent="0.2">
      <c r="C12" s="103" t="s">
        <v>179</v>
      </c>
      <c r="D12" s="103"/>
      <c r="E12" s="82"/>
      <c r="F12" s="82"/>
      <c r="G12" s="82"/>
      <c r="H12" s="82"/>
      <c r="I12" s="82"/>
      <c r="J12" s="180"/>
    </row>
    <row r="13" spans="1:12" ht="14.25" hidden="1" x14ac:dyDescent="0.2">
      <c r="C13" s="208" t="s">
        <v>175</v>
      </c>
      <c r="D13" s="209" t="s">
        <v>226</v>
      </c>
      <c r="E13" s="268"/>
      <c r="F13" s="177" t="s">
        <v>134</v>
      </c>
      <c r="G13" s="271"/>
      <c r="H13" s="177" t="s">
        <v>180</v>
      </c>
      <c r="J13" s="180"/>
    </row>
    <row r="14" spans="1:12" hidden="1" x14ac:dyDescent="0.2">
      <c r="C14" s="210"/>
      <c r="F14" s="442"/>
      <c r="H14" s="442"/>
      <c r="J14" s="442"/>
    </row>
    <row r="15" spans="1:12" ht="14.25" hidden="1" x14ac:dyDescent="0.2">
      <c r="C15" s="208" t="s">
        <v>176</v>
      </c>
      <c r="D15" s="106" t="s">
        <v>162</v>
      </c>
      <c r="E15" s="269">
        <f>IF(I10&gt;'B. Tax Rates &amp; Exemptions'!E27,'B. Tax Rates &amp; Exemptions'!E27,0)</f>
        <v>0</v>
      </c>
      <c r="F15" s="177" t="s">
        <v>135</v>
      </c>
      <c r="G15" s="82"/>
      <c r="H15" s="178"/>
      <c r="I15" s="82"/>
      <c r="J15" s="180"/>
    </row>
    <row r="16" spans="1:12" ht="14.25" hidden="1" x14ac:dyDescent="0.2">
      <c r="C16" s="210"/>
      <c r="D16" s="106" t="s">
        <v>247</v>
      </c>
      <c r="E16" s="268"/>
      <c r="F16" s="177" t="s">
        <v>136</v>
      </c>
      <c r="G16" s="270"/>
      <c r="H16" s="177" t="s">
        <v>181</v>
      </c>
      <c r="I16" s="82"/>
      <c r="J16" s="180"/>
    </row>
    <row r="17" spans="3:10" ht="14.25" hidden="1" x14ac:dyDescent="0.2">
      <c r="C17" s="210"/>
      <c r="D17" s="106"/>
      <c r="E17" s="82"/>
      <c r="F17" s="82"/>
      <c r="G17" s="82"/>
      <c r="H17" s="178"/>
      <c r="I17" s="82"/>
      <c r="J17" s="180"/>
    </row>
    <row r="18" spans="3:10" hidden="1" x14ac:dyDescent="0.2">
      <c r="C18" s="210"/>
      <c r="H18" s="442"/>
      <c r="I18" s="82"/>
      <c r="J18" s="180"/>
    </row>
    <row r="19" spans="3:10" hidden="1" x14ac:dyDescent="0.2">
      <c r="C19" s="210"/>
      <c r="H19" s="442"/>
      <c r="I19" s="82"/>
      <c r="J19" s="180"/>
    </row>
    <row r="20" spans="3:10" ht="14.25" hidden="1" x14ac:dyDescent="0.2">
      <c r="C20" s="208" t="s">
        <v>177</v>
      </c>
      <c r="D20" s="90"/>
      <c r="E20" s="82"/>
      <c r="F20" s="82"/>
      <c r="G20" s="82"/>
      <c r="H20" s="178"/>
      <c r="I20" s="220">
        <f>SUM(G13:G19)</f>
        <v>0</v>
      </c>
      <c r="J20" s="179" t="s">
        <v>185</v>
      </c>
    </row>
    <row r="21" spans="3:10" hidden="1" x14ac:dyDescent="0.2">
      <c r="C21" s="90"/>
      <c r="D21" s="90"/>
      <c r="E21" s="82"/>
      <c r="F21" s="82"/>
      <c r="G21" s="82"/>
      <c r="H21" s="178"/>
      <c r="I21" s="82"/>
      <c r="J21" s="180"/>
    </row>
    <row r="22" spans="3:10" hidden="1" x14ac:dyDescent="0.2">
      <c r="C22" s="90"/>
      <c r="D22" s="90"/>
      <c r="E22" s="82"/>
      <c r="F22" s="82"/>
      <c r="G22" s="82"/>
      <c r="H22" s="178"/>
      <c r="I22" s="82"/>
      <c r="J22" s="180"/>
    </row>
    <row r="23" spans="3:10" ht="14.25" x14ac:dyDescent="0.2">
      <c r="C23" s="153" t="s">
        <v>182</v>
      </c>
      <c r="D23" s="106" t="s">
        <v>294</v>
      </c>
      <c r="E23" s="82"/>
      <c r="G23" s="268">
        <v>0.115</v>
      </c>
      <c r="H23" s="177" t="s">
        <v>134</v>
      </c>
      <c r="I23" s="82"/>
      <c r="J23" s="180"/>
    </row>
    <row r="24" spans="3:10" ht="14.25" x14ac:dyDescent="0.2">
      <c r="C24" s="90"/>
      <c r="D24" s="106" t="s">
        <v>289</v>
      </c>
      <c r="E24" s="82"/>
      <c r="F24" s="82"/>
      <c r="G24" s="268">
        <v>0.15</v>
      </c>
      <c r="H24" s="177" t="s">
        <v>296</v>
      </c>
      <c r="I24" s="82"/>
      <c r="J24" s="180"/>
    </row>
    <row r="25" spans="3:10" ht="14.25" x14ac:dyDescent="0.2">
      <c r="C25" s="90"/>
      <c r="D25" s="106" t="s">
        <v>295</v>
      </c>
      <c r="E25" s="82"/>
      <c r="F25" s="82"/>
      <c r="H25" s="178"/>
      <c r="I25" s="221">
        <f>SUM(G23:G24)</f>
        <v>0.26500000000000001</v>
      </c>
      <c r="J25" s="179" t="s">
        <v>365</v>
      </c>
    </row>
    <row r="26" spans="3:10" x14ac:dyDescent="0.2">
      <c r="C26" s="90"/>
      <c r="D26" s="90"/>
      <c r="E26" s="82"/>
      <c r="F26" s="82"/>
      <c r="G26" s="82"/>
      <c r="H26" s="178"/>
      <c r="I26" s="82"/>
      <c r="J26" s="180"/>
    </row>
    <row r="27" spans="3:10" x14ac:dyDescent="0.2">
      <c r="C27" s="82"/>
      <c r="D27" s="82"/>
      <c r="E27" s="82"/>
      <c r="F27" s="82"/>
      <c r="G27" s="82"/>
      <c r="H27" s="178"/>
      <c r="I27" s="82"/>
      <c r="J27" s="180"/>
    </row>
    <row r="28" spans="3:10" x14ac:dyDescent="0.2">
      <c r="C28" s="84" t="s">
        <v>120</v>
      </c>
      <c r="D28" s="84"/>
      <c r="E28" s="82"/>
      <c r="F28" s="82"/>
      <c r="G28" s="82"/>
      <c r="H28" s="178"/>
      <c r="I28" s="222">
        <f>I10*I25</f>
        <v>122729.45000000001</v>
      </c>
      <c r="J28" s="179" t="s">
        <v>298</v>
      </c>
    </row>
    <row r="29" spans="3:10" ht="6.75" customHeight="1" x14ac:dyDescent="0.2">
      <c r="C29" s="82"/>
      <c r="D29" s="82"/>
      <c r="E29" s="82"/>
      <c r="F29" s="82"/>
      <c r="G29" s="82"/>
      <c r="H29" s="178"/>
      <c r="I29" s="85"/>
      <c r="J29" s="180"/>
    </row>
    <row r="30" spans="3:10" x14ac:dyDescent="0.2">
      <c r="C30" s="90" t="s">
        <v>121</v>
      </c>
      <c r="D30" s="82"/>
      <c r="E30" s="82"/>
      <c r="F30" s="82"/>
      <c r="G30" s="82"/>
      <c r="H30" s="178"/>
      <c r="I30" s="272">
        <v>2000</v>
      </c>
      <c r="J30" s="179" t="s">
        <v>299</v>
      </c>
    </row>
    <row r="31" spans="3:10" x14ac:dyDescent="0.2">
      <c r="C31" s="90" t="s">
        <v>122</v>
      </c>
      <c r="D31" s="82"/>
      <c r="E31" s="82"/>
      <c r="F31" s="82"/>
      <c r="G31" s="82"/>
      <c r="H31" s="178"/>
      <c r="I31" s="272">
        <v>-2396</v>
      </c>
      <c r="J31" s="179" t="s">
        <v>300</v>
      </c>
    </row>
    <row r="32" spans="3:10" x14ac:dyDescent="0.2">
      <c r="C32" s="84" t="s">
        <v>183</v>
      </c>
      <c r="D32" s="82"/>
      <c r="E32" s="82"/>
      <c r="F32" s="82"/>
      <c r="G32" s="82"/>
      <c r="H32" s="178"/>
      <c r="I32" s="222">
        <f>SUM(I30:I31)</f>
        <v>-396</v>
      </c>
      <c r="J32" s="179" t="s">
        <v>301</v>
      </c>
    </row>
    <row r="33" spans="3:10" x14ac:dyDescent="0.2">
      <c r="C33" s="82"/>
      <c r="D33" s="82"/>
      <c r="E33" s="82"/>
      <c r="F33" s="82"/>
      <c r="G33" s="82"/>
      <c r="H33" s="178"/>
      <c r="I33" s="91"/>
      <c r="J33" s="180"/>
    </row>
    <row r="34" spans="3:10" x14ac:dyDescent="0.2">
      <c r="C34" s="84" t="s">
        <v>284</v>
      </c>
      <c r="D34" s="84"/>
      <c r="E34" s="82"/>
      <c r="F34" s="82"/>
      <c r="G34" s="82"/>
      <c r="H34" s="178"/>
      <c r="I34" s="222">
        <f>IF(I28-I32&lt;0,0,I28-I32)</f>
        <v>123125.45000000001</v>
      </c>
      <c r="J34" s="179" t="s">
        <v>362</v>
      </c>
    </row>
    <row r="35" spans="3:10" x14ac:dyDescent="0.2">
      <c r="C35" s="82"/>
      <c r="D35" s="82"/>
      <c r="E35" s="82"/>
      <c r="F35" s="82"/>
      <c r="G35" s="82"/>
      <c r="H35" s="178"/>
      <c r="I35" s="92"/>
    </row>
    <row r="36" spans="3:10" x14ac:dyDescent="0.2">
      <c r="C36" s="82"/>
      <c r="D36" s="82"/>
      <c r="E36" s="82"/>
      <c r="F36" s="82"/>
      <c r="G36" s="186"/>
      <c r="H36" s="177"/>
      <c r="I36" s="216"/>
    </row>
    <row r="37" spans="3:10" x14ac:dyDescent="0.2">
      <c r="C37" s="81"/>
      <c r="D37" s="81"/>
      <c r="E37" s="82"/>
      <c r="F37" s="82"/>
      <c r="G37" s="82"/>
      <c r="H37" s="82"/>
      <c r="I37" s="83"/>
    </row>
    <row r="38" spans="3:10" x14ac:dyDescent="0.2">
      <c r="C38" s="39"/>
      <c r="G38" s="82"/>
      <c r="H38" s="82"/>
      <c r="I38" s="83"/>
    </row>
    <row r="39" spans="3:10" ht="32.25" customHeight="1" x14ac:dyDescent="0.2">
      <c r="C39" s="570"/>
      <c r="D39" s="570"/>
      <c r="E39" s="570"/>
      <c r="F39" s="570"/>
      <c r="G39" s="82"/>
      <c r="H39" s="82"/>
      <c r="I39" s="216"/>
    </row>
    <row r="40" spans="3:10" x14ac:dyDescent="0.2">
      <c r="C40" s="82"/>
      <c r="D40" s="82"/>
      <c r="E40" s="82"/>
      <c r="F40" s="82"/>
      <c r="G40" s="82"/>
      <c r="H40" s="82"/>
      <c r="I40" s="211"/>
    </row>
    <row r="42" spans="3:10" x14ac:dyDescent="0.2">
      <c r="C42" s="39"/>
    </row>
    <row r="43" spans="3:10" ht="36" customHeight="1" x14ac:dyDescent="0.2">
      <c r="C43" s="570"/>
      <c r="D43" s="570"/>
      <c r="E43" s="570"/>
      <c r="F43" s="570"/>
      <c r="I43" s="215"/>
    </row>
    <row r="44" spans="3:10" x14ac:dyDescent="0.2">
      <c r="I44" s="214"/>
    </row>
    <row r="45" spans="3:10" x14ac:dyDescent="0.2">
      <c r="I45" s="214"/>
    </row>
    <row r="46" spans="3:10" x14ac:dyDescent="0.2">
      <c r="I46" s="213"/>
    </row>
  </sheetData>
  <sheetProtection algorithmName="SHA-512" hashValue="CYMLrGjjRgatf8i7BtborANwYd8Bd8toM9OuSMtrUXMRy9OS3Pc3ptqg1sM9ZgYQtfTquQiQT782pciWWEawqg==" saltValue="YX9Yh2B40tcvle/yb2GDsw==" spinCount="100000" sheet="1" objects="1" scenarios="1"/>
  <mergeCells count="7">
    <mergeCell ref="C43:F43"/>
    <mergeCell ref="C1:G1"/>
    <mergeCell ref="C2:L2"/>
    <mergeCell ref="C3:L3"/>
    <mergeCell ref="C4:L4"/>
    <mergeCell ref="C39:F39"/>
    <mergeCell ref="C8:F8"/>
  </mergeCells>
  <phoneticPr fontId="3" type="noConversion"/>
  <conditionalFormatting sqref="I30:I31">
    <cfRule type="expression" dxfId="68" priority="1" stopIfTrue="1">
      <formula>ISBLANK(I30)</formula>
    </cfRule>
  </conditionalFormatting>
  <hyperlinks>
    <hyperlink ref="H10" location="'H1 Sch 1 Taxable Income Hist'!A1" display="H1" xr:uid="{00000000-0004-0000-0600-000000000000}"/>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I115"/>
  <sheetViews>
    <sheetView topLeftCell="A79" zoomScale="115" zoomScaleNormal="115" workbookViewId="0">
      <selection activeCell="J129" sqref="J129"/>
    </sheetView>
  </sheetViews>
  <sheetFormatPr defaultColWidth="9.140625" defaultRowHeight="12.75" x14ac:dyDescent="0.2"/>
  <cols>
    <col min="1" max="1" width="3" style="9" customWidth="1"/>
    <col min="2" max="2" width="2.140625" style="9" customWidth="1"/>
    <col min="3" max="3" width="75.42578125" style="9" customWidth="1"/>
    <col min="4" max="4" width="15.85546875" style="9" customWidth="1"/>
    <col min="5" max="5" width="13.85546875" style="9" customWidth="1"/>
    <col min="6" max="6" width="16.85546875" style="9" customWidth="1"/>
    <col min="7" max="7" width="13.42578125" style="9" customWidth="1"/>
    <col min="8" max="16384" width="9.140625" style="9"/>
  </cols>
  <sheetData>
    <row r="1" spans="1:9" ht="21.75" x14ac:dyDescent="0.2">
      <c r="A1" s="218"/>
      <c r="C1" s="565"/>
      <c r="D1" s="565"/>
      <c r="E1" s="565"/>
      <c r="F1" s="1"/>
    </row>
    <row r="2" spans="1:9" ht="18" x14ac:dyDescent="0.25">
      <c r="C2" s="566"/>
      <c r="D2" s="566"/>
      <c r="E2" s="566"/>
      <c r="F2" s="566"/>
      <c r="G2" s="566"/>
      <c r="H2" s="566"/>
      <c r="I2" s="566"/>
    </row>
    <row r="3" spans="1:9" ht="18" x14ac:dyDescent="0.25">
      <c r="C3" s="566"/>
      <c r="D3" s="566"/>
      <c r="E3" s="566"/>
      <c r="F3" s="566"/>
      <c r="G3" s="566"/>
      <c r="H3" s="566"/>
      <c r="I3" s="566"/>
    </row>
    <row r="4" spans="1:9" ht="18" x14ac:dyDescent="0.25">
      <c r="C4" s="566"/>
      <c r="D4" s="566"/>
      <c r="E4" s="566"/>
      <c r="F4" s="566"/>
      <c r="G4" s="566"/>
      <c r="H4" s="566"/>
      <c r="I4" s="566"/>
    </row>
    <row r="6" spans="1:9" ht="37.5" customHeight="1" x14ac:dyDescent="0.2"/>
    <row r="8" spans="1:9" ht="28.5" customHeight="1" x14ac:dyDescent="0.35">
      <c r="C8" s="298" t="s">
        <v>282</v>
      </c>
    </row>
    <row r="9" spans="1:9" ht="23.25" x14ac:dyDescent="0.35">
      <c r="C9" s="198"/>
    </row>
    <row r="10" spans="1:9" ht="13.5" thickBot="1" x14ac:dyDescent="0.25"/>
    <row r="11" spans="1:9" ht="24" x14ac:dyDescent="0.2">
      <c r="C11" s="131"/>
      <c r="D11" s="132" t="s">
        <v>4</v>
      </c>
      <c r="E11" s="133" t="s">
        <v>5</v>
      </c>
      <c r="F11" s="133" t="s">
        <v>6</v>
      </c>
      <c r="G11" s="134" t="s">
        <v>155</v>
      </c>
    </row>
    <row r="12" spans="1:9" x14ac:dyDescent="0.2">
      <c r="C12" s="135" t="s">
        <v>7</v>
      </c>
      <c r="D12" s="13" t="s">
        <v>379</v>
      </c>
      <c r="E12" s="466">
        <f>2132506+122584+411365</f>
        <v>2666455</v>
      </c>
      <c r="F12" s="299"/>
      <c r="G12" s="136">
        <f>+E12-F12</f>
        <v>2666455</v>
      </c>
    </row>
    <row r="13" spans="1:9" x14ac:dyDescent="0.2">
      <c r="C13" s="578" t="s">
        <v>8</v>
      </c>
      <c r="D13" s="579"/>
      <c r="E13" s="579"/>
      <c r="F13" s="579"/>
      <c r="G13" s="580"/>
    </row>
    <row r="14" spans="1:9" x14ac:dyDescent="0.2">
      <c r="C14" s="137" t="s">
        <v>9</v>
      </c>
      <c r="D14" s="15">
        <v>103</v>
      </c>
      <c r="E14" s="299"/>
      <c r="F14" s="461"/>
      <c r="G14" s="136">
        <f t="shared" ref="G14:G52" si="0">+E14-F14</f>
        <v>0</v>
      </c>
    </row>
    <row r="15" spans="1:9" x14ac:dyDescent="0.2">
      <c r="C15" s="137" t="s">
        <v>10</v>
      </c>
      <c r="D15" s="15">
        <v>104</v>
      </c>
      <c r="E15" s="299">
        <v>2981841</v>
      </c>
      <c r="F15" s="299"/>
      <c r="G15" s="136">
        <f t="shared" si="0"/>
        <v>2981841</v>
      </c>
    </row>
    <row r="16" spans="1:9" x14ac:dyDescent="0.2">
      <c r="C16" s="137" t="s">
        <v>11</v>
      </c>
      <c r="D16" s="15">
        <v>106</v>
      </c>
      <c r="E16" s="299"/>
      <c r="F16" s="299"/>
      <c r="G16" s="136">
        <f t="shared" si="0"/>
        <v>0</v>
      </c>
    </row>
    <row r="17" spans="3:7" x14ac:dyDescent="0.2">
      <c r="C17" s="137" t="s">
        <v>12</v>
      </c>
      <c r="D17" s="15">
        <v>107</v>
      </c>
      <c r="E17" s="299"/>
      <c r="F17" s="461"/>
      <c r="G17" s="136">
        <f t="shared" si="0"/>
        <v>0</v>
      </c>
    </row>
    <row r="18" spans="3:7" x14ac:dyDescent="0.2">
      <c r="C18" s="137" t="s">
        <v>455</v>
      </c>
      <c r="D18" s="15">
        <v>108</v>
      </c>
      <c r="E18" s="299"/>
      <c r="F18" s="461"/>
      <c r="G18" s="136">
        <f t="shared" si="0"/>
        <v>0</v>
      </c>
    </row>
    <row r="19" spans="3:7" x14ac:dyDescent="0.2">
      <c r="C19" s="137" t="s">
        <v>14</v>
      </c>
      <c r="D19" s="15">
        <v>110</v>
      </c>
      <c r="E19" s="299"/>
      <c r="F19" s="299"/>
      <c r="G19" s="136">
        <f t="shared" si="0"/>
        <v>0</v>
      </c>
    </row>
    <row r="20" spans="3:7" x14ac:dyDescent="0.2">
      <c r="C20" s="137" t="s">
        <v>15</v>
      </c>
      <c r="D20" s="15">
        <v>111</v>
      </c>
      <c r="E20" s="299">
        <v>90272</v>
      </c>
      <c r="F20" s="461"/>
      <c r="G20" s="136">
        <f t="shared" si="0"/>
        <v>90272</v>
      </c>
    </row>
    <row r="21" spans="3:7" x14ac:dyDescent="0.2">
      <c r="C21" s="137" t="s">
        <v>456</v>
      </c>
      <c r="D21" s="15">
        <v>112</v>
      </c>
      <c r="E21" s="299">
        <v>33458</v>
      </c>
      <c r="F21" s="299"/>
      <c r="G21" s="136">
        <f t="shared" si="0"/>
        <v>33458</v>
      </c>
    </row>
    <row r="22" spans="3:7" x14ac:dyDescent="0.2">
      <c r="C22" s="137" t="s">
        <v>457</v>
      </c>
      <c r="D22" s="15">
        <v>113</v>
      </c>
      <c r="E22" s="299"/>
      <c r="F22" s="461"/>
      <c r="G22" s="136">
        <f t="shared" si="0"/>
        <v>0</v>
      </c>
    </row>
    <row r="23" spans="3:7" x14ac:dyDescent="0.2">
      <c r="C23" s="137" t="s">
        <v>459</v>
      </c>
      <c r="D23" s="15">
        <v>114</v>
      </c>
      <c r="E23" s="299"/>
      <c r="F23" s="299"/>
      <c r="G23" s="136">
        <f t="shared" si="0"/>
        <v>0</v>
      </c>
    </row>
    <row r="24" spans="3:7" x14ac:dyDescent="0.2">
      <c r="C24" s="137" t="s">
        <v>19</v>
      </c>
      <c r="D24" s="15">
        <v>116</v>
      </c>
      <c r="E24" s="299"/>
      <c r="F24" s="299"/>
      <c r="G24" s="136">
        <f t="shared" si="0"/>
        <v>0</v>
      </c>
    </row>
    <row r="25" spans="3:7" x14ac:dyDescent="0.2">
      <c r="C25" s="137" t="s">
        <v>20</v>
      </c>
      <c r="D25" s="15">
        <v>118</v>
      </c>
      <c r="E25" s="299"/>
      <c r="F25" s="299"/>
      <c r="G25" s="136">
        <f t="shared" si="0"/>
        <v>0</v>
      </c>
    </row>
    <row r="26" spans="3:7" x14ac:dyDescent="0.2">
      <c r="C26" s="137" t="s">
        <v>21</v>
      </c>
      <c r="D26" s="15">
        <v>119</v>
      </c>
      <c r="E26" s="299"/>
      <c r="F26" s="299"/>
      <c r="G26" s="136">
        <f t="shared" si="0"/>
        <v>0</v>
      </c>
    </row>
    <row r="27" spans="3:7" x14ac:dyDescent="0.2">
      <c r="C27" s="137" t="s">
        <v>22</v>
      </c>
      <c r="D27" s="15">
        <v>120</v>
      </c>
      <c r="E27" s="299"/>
      <c r="F27" s="299"/>
      <c r="G27" s="136">
        <f t="shared" si="0"/>
        <v>0</v>
      </c>
    </row>
    <row r="28" spans="3:7" x14ac:dyDescent="0.2">
      <c r="C28" s="137" t="s">
        <v>23</v>
      </c>
      <c r="D28" s="15">
        <v>121</v>
      </c>
      <c r="E28" s="299">
        <v>15179</v>
      </c>
      <c r="F28" s="299"/>
      <c r="G28" s="136">
        <f t="shared" si="0"/>
        <v>15179</v>
      </c>
    </row>
    <row r="29" spans="3:7" x14ac:dyDescent="0.2">
      <c r="C29" s="137" t="s">
        <v>24</v>
      </c>
      <c r="D29" s="15">
        <v>122</v>
      </c>
      <c r="E29" s="299"/>
      <c r="F29" s="299"/>
      <c r="G29" s="136">
        <f t="shared" si="0"/>
        <v>0</v>
      </c>
    </row>
    <row r="30" spans="3:7" x14ac:dyDescent="0.2">
      <c r="C30" s="137" t="s">
        <v>25</v>
      </c>
      <c r="D30" s="15">
        <v>123</v>
      </c>
      <c r="E30" s="299"/>
      <c r="F30" s="299"/>
      <c r="G30" s="136">
        <f t="shared" si="0"/>
        <v>0</v>
      </c>
    </row>
    <row r="31" spans="3:7" x14ac:dyDescent="0.2">
      <c r="C31" s="137" t="s">
        <v>26</v>
      </c>
      <c r="D31" s="15">
        <v>124</v>
      </c>
      <c r="E31" s="299"/>
      <c r="F31" s="299"/>
      <c r="G31" s="136">
        <f t="shared" si="0"/>
        <v>0</v>
      </c>
    </row>
    <row r="32" spans="3:7" x14ac:dyDescent="0.2">
      <c r="C32" s="138" t="s">
        <v>27</v>
      </c>
      <c r="D32" s="17">
        <v>125</v>
      </c>
      <c r="E32" s="299"/>
      <c r="F32" s="462"/>
      <c r="G32" s="136">
        <f t="shared" si="0"/>
        <v>0</v>
      </c>
    </row>
    <row r="33" spans="3:7" x14ac:dyDescent="0.2">
      <c r="C33" s="137" t="s">
        <v>465</v>
      </c>
      <c r="D33" s="15">
        <v>126</v>
      </c>
      <c r="E33" s="299"/>
      <c r="F33" s="461"/>
      <c r="G33" s="136">
        <f t="shared" si="0"/>
        <v>0</v>
      </c>
    </row>
    <row r="34" spans="3:7" x14ac:dyDescent="0.2">
      <c r="C34" s="137" t="s">
        <v>29</v>
      </c>
      <c r="D34" s="15">
        <v>127</v>
      </c>
      <c r="E34" s="299"/>
      <c r="F34" s="299"/>
      <c r="G34" s="136">
        <f t="shared" si="0"/>
        <v>0</v>
      </c>
    </row>
    <row r="35" spans="3:7" x14ac:dyDescent="0.2">
      <c r="C35" s="137" t="s">
        <v>31</v>
      </c>
      <c r="D35" s="15">
        <v>206</v>
      </c>
      <c r="E35" s="299"/>
      <c r="F35" s="299"/>
      <c r="G35" s="136">
        <f t="shared" si="0"/>
        <v>0</v>
      </c>
    </row>
    <row r="36" spans="3:7" x14ac:dyDescent="0.2">
      <c r="C36" s="137" t="s">
        <v>32</v>
      </c>
      <c r="D36" s="15">
        <v>208</v>
      </c>
      <c r="E36" s="299"/>
      <c r="F36" s="299"/>
      <c r="G36" s="136">
        <f t="shared" si="0"/>
        <v>0</v>
      </c>
    </row>
    <row r="37" spans="3:7" x14ac:dyDescent="0.2">
      <c r="C37" s="137" t="s">
        <v>33</v>
      </c>
      <c r="D37" s="15">
        <v>212</v>
      </c>
      <c r="E37" s="299"/>
      <c r="F37" s="299"/>
      <c r="G37" s="136">
        <f t="shared" si="0"/>
        <v>0</v>
      </c>
    </row>
    <row r="38" spans="3:7" x14ac:dyDescent="0.2">
      <c r="C38" s="137" t="s">
        <v>34</v>
      </c>
      <c r="D38" s="15">
        <v>216</v>
      </c>
      <c r="E38" s="299"/>
      <c r="F38" s="299"/>
      <c r="G38" s="136">
        <f t="shared" si="0"/>
        <v>0</v>
      </c>
    </row>
    <row r="39" spans="3:7" x14ac:dyDescent="0.2">
      <c r="C39" s="137" t="s">
        <v>35</v>
      </c>
      <c r="D39" s="15">
        <v>220</v>
      </c>
      <c r="E39" s="299"/>
      <c r="F39" s="299"/>
      <c r="G39" s="136">
        <f t="shared" si="0"/>
        <v>0</v>
      </c>
    </row>
    <row r="40" spans="3:7" x14ac:dyDescent="0.2">
      <c r="C40" s="137" t="s">
        <v>36</v>
      </c>
      <c r="D40" s="15">
        <v>226</v>
      </c>
      <c r="E40" s="299"/>
      <c r="F40" s="299"/>
      <c r="G40" s="136">
        <f t="shared" si="0"/>
        <v>0</v>
      </c>
    </row>
    <row r="41" spans="3:7" x14ac:dyDescent="0.2">
      <c r="C41" s="137" t="s">
        <v>37</v>
      </c>
      <c r="D41" s="15">
        <v>227</v>
      </c>
      <c r="E41" s="299"/>
      <c r="F41" s="299"/>
      <c r="G41" s="136">
        <f t="shared" si="0"/>
        <v>0</v>
      </c>
    </row>
    <row r="42" spans="3:7" x14ac:dyDescent="0.2">
      <c r="C42" s="137" t="s">
        <v>38</v>
      </c>
      <c r="D42" s="15">
        <v>228</v>
      </c>
      <c r="E42" s="299"/>
      <c r="F42" s="299"/>
      <c r="G42" s="136">
        <f t="shared" si="0"/>
        <v>0</v>
      </c>
    </row>
    <row r="43" spans="3:7" x14ac:dyDescent="0.2">
      <c r="C43" s="137" t="s">
        <v>39</v>
      </c>
      <c r="D43" s="15">
        <v>231</v>
      </c>
      <c r="E43" s="299"/>
      <c r="F43" s="299"/>
      <c r="G43" s="136">
        <f t="shared" si="0"/>
        <v>0</v>
      </c>
    </row>
    <row r="44" spans="3:7" x14ac:dyDescent="0.2">
      <c r="C44" s="137" t="s">
        <v>40</v>
      </c>
      <c r="D44" s="15">
        <v>235</v>
      </c>
      <c r="E44" s="299"/>
      <c r="F44" s="299"/>
      <c r="G44" s="136">
        <f t="shared" si="0"/>
        <v>0</v>
      </c>
    </row>
    <row r="45" spans="3:7" x14ac:dyDescent="0.2">
      <c r="C45" s="137" t="s">
        <v>41</v>
      </c>
      <c r="D45" s="15">
        <v>236</v>
      </c>
      <c r="E45" s="299"/>
      <c r="F45" s="299"/>
      <c r="G45" s="136">
        <f t="shared" si="0"/>
        <v>0</v>
      </c>
    </row>
    <row r="46" spans="3:7" ht="24" x14ac:dyDescent="0.2">
      <c r="C46" s="137" t="s">
        <v>42</v>
      </c>
      <c r="D46" s="15">
        <v>237</v>
      </c>
      <c r="E46" s="299"/>
      <c r="F46" s="299"/>
      <c r="G46" s="139">
        <f t="shared" si="0"/>
        <v>0</v>
      </c>
    </row>
    <row r="47" spans="3:7" x14ac:dyDescent="0.2">
      <c r="C47" s="572" t="s">
        <v>468</v>
      </c>
      <c r="D47" s="573"/>
      <c r="E47" s="573"/>
      <c r="F47" s="573"/>
      <c r="G47" s="574"/>
    </row>
    <row r="48" spans="3:7" x14ac:dyDescent="0.2">
      <c r="C48" s="137" t="s">
        <v>44</v>
      </c>
      <c r="D48" s="15">
        <v>295</v>
      </c>
      <c r="E48" s="299"/>
      <c r="F48" s="299"/>
      <c r="G48" s="140">
        <f t="shared" si="0"/>
        <v>0</v>
      </c>
    </row>
    <row r="49" spans="3:7" x14ac:dyDescent="0.2">
      <c r="C49" s="137" t="s">
        <v>45</v>
      </c>
      <c r="D49" s="15">
        <v>295</v>
      </c>
      <c r="E49" s="299"/>
      <c r="F49" s="299"/>
      <c r="G49" s="140">
        <f t="shared" si="0"/>
        <v>0</v>
      </c>
    </row>
    <row r="50" spans="3:7" x14ac:dyDescent="0.2">
      <c r="C50" s="137" t="s">
        <v>46</v>
      </c>
      <c r="D50" s="15">
        <v>295</v>
      </c>
      <c r="E50" s="299"/>
      <c r="F50" s="299"/>
      <c r="G50" s="140">
        <f t="shared" si="0"/>
        <v>0</v>
      </c>
    </row>
    <row r="51" spans="3:7" x14ac:dyDescent="0.2">
      <c r="C51" s="137" t="s">
        <v>47</v>
      </c>
      <c r="D51" s="15">
        <v>295</v>
      </c>
      <c r="E51" s="299"/>
      <c r="F51" s="299"/>
      <c r="G51" s="140">
        <f t="shared" si="0"/>
        <v>0</v>
      </c>
    </row>
    <row r="52" spans="3:7" x14ac:dyDescent="0.2">
      <c r="C52" s="463" t="s">
        <v>522</v>
      </c>
      <c r="D52" s="15">
        <v>295</v>
      </c>
      <c r="E52" s="299">
        <v>681401</v>
      </c>
      <c r="F52" s="299"/>
      <c r="G52" s="140">
        <f t="shared" si="0"/>
        <v>681401</v>
      </c>
    </row>
    <row r="53" spans="3:7" x14ac:dyDescent="0.2">
      <c r="C53" s="463" t="s">
        <v>523</v>
      </c>
      <c r="D53" s="18">
        <v>295</v>
      </c>
      <c r="E53" s="299">
        <v>275841</v>
      </c>
      <c r="F53" s="299"/>
      <c r="G53" s="140">
        <f t="shared" ref="G53:G68" si="1">+E53-F53</f>
        <v>275841</v>
      </c>
    </row>
    <row r="54" spans="3:7" x14ac:dyDescent="0.2">
      <c r="C54" s="199" t="s">
        <v>232</v>
      </c>
      <c r="D54" s="18"/>
      <c r="E54" s="299"/>
      <c r="F54" s="299"/>
      <c r="G54" s="140">
        <f t="shared" si="1"/>
        <v>0</v>
      </c>
    </row>
    <row r="55" spans="3:7" x14ac:dyDescent="0.2">
      <c r="C55" s="199" t="s">
        <v>233</v>
      </c>
      <c r="D55" s="18"/>
      <c r="E55" s="299"/>
      <c r="F55" s="299"/>
      <c r="G55" s="140">
        <f t="shared" si="1"/>
        <v>0</v>
      </c>
    </row>
    <row r="56" spans="3:7" x14ac:dyDescent="0.2">
      <c r="C56" s="199" t="s">
        <v>234</v>
      </c>
      <c r="D56" s="18"/>
      <c r="E56" s="299"/>
      <c r="F56" s="299"/>
      <c r="G56" s="140">
        <f t="shared" si="1"/>
        <v>0</v>
      </c>
    </row>
    <row r="57" spans="3:7" x14ac:dyDescent="0.2">
      <c r="C57" s="199" t="s">
        <v>235</v>
      </c>
      <c r="D57" s="18"/>
      <c r="E57" s="299"/>
      <c r="F57" s="299"/>
      <c r="G57" s="140">
        <f t="shared" si="1"/>
        <v>0</v>
      </c>
    </row>
    <row r="58" spans="3:7" x14ac:dyDescent="0.2">
      <c r="C58" s="199" t="s">
        <v>236</v>
      </c>
      <c r="D58" s="18"/>
      <c r="E58" s="299"/>
      <c r="F58" s="299"/>
      <c r="G58" s="140">
        <f t="shared" si="1"/>
        <v>0</v>
      </c>
    </row>
    <row r="59" spans="3:7" x14ac:dyDescent="0.2">
      <c r="C59" s="463"/>
      <c r="D59" s="18"/>
      <c r="E59" s="299"/>
      <c r="F59" s="299"/>
      <c r="G59" s="140">
        <f t="shared" si="1"/>
        <v>0</v>
      </c>
    </row>
    <row r="60" spans="3:7" x14ac:dyDescent="0.2">
      <c r="C60" s="463"/>
      <c r="D60" s="18"/>
      <c r="E60" s="299"/>
      <c r="F60" s="299"/>
      <c r="G60" s="140">
        <f t="shared" si="1"/>
        <v>0</v>
      </c>
    </row>
    <row r="61" spans="3:7" x14ac:dyDescent="0.2">
      <c r="C61" s="463"/>
      <c r="D61" s="18"/>
      <c r="E61" s="299"/>
      <c r="F61" s="299"/>
      <c r="G61" s="140">
        <f t="shared" si="1"/>
        <v>0</v>
      </c>
    </row>
    <row r="62" spans="3:7" x14ac:dyDescent="0.2">
      <c r="C62" s="463"/>
      <c r="D62" s="18"/>
      <c r="E62" s="466"/>
      <c r="F62" s="299"/>
      <c r="G62" s="140">
        <f t="shared" si="1"/>
        <v>0</v>
      </c>
    </row>
    <row r="63" spans="3:7" x14ac:dyDescent="0.2">
      <c r="C63" s="463"/>
      <c r="D63" s="18"/>
      <c r="E63" s="466"/>
      <c r="F63" s="299"/>
      <c r="G63" s="140">
        <f t="shared" si="1"/>
        <v>0</v>
      </c>
    </row>
    <row r="64" spans="3:7" x14ac:dyDescent="0.2">
      <c r="C64" s="463"/>
      <c r="D64" s="18"/>
      <c r="E64" s="466"/>
      <c r="F64" s="299"/>
      <c r="G64" s="140">
        <f t="shared" si="1"/>
        <v>0</v>
      </c>
    </row>
    <row r="65" spans="3:7" x14ac:dyDescent="0.2">
      <c r="C65" s="463"/>
      <c r="D65" s="18"/>
      <c r="E65" s="466"/>
      <c r="F65" s="299"/>
      <c r="G65" s="140">
        <f t="shared" si="1"/>
        <v>0</v>
      </c>
    </row>
    <row r="66" spans="3:7" x14ac:dyDescent="0.2">
      <c r="C66" s="463"/>
      <c r="D66" s="18"/>
      <c r="E66" s="466"/>
      <c r="F66" s="299"/>
      <c r="G66" s="140">
        <f t="shared" si="1"/>
        <v>0</v>
      </c>
    </row>
    <row r="67" spans="3:7" x14ac:dyDescent="0.2">
      <c r="C67" s="463"/>
      <c r="D67" s="15"/>
      <c r="E67" s="299"/>
      <c r="F67" s="299"/>
      <c r="G67" s="140">
        <f t="shared" si="1"/>
        <v>0</v>
      </c>
    </row>
    <row r="68" spans="3:7" ht="13.5" thickBot="1" x14ac:dyDescent="0.25">
      <c r="C68" s="464"/>
      <c r="D68" s="237"/>
      <c r="E68" s="465"/>
      <c r="F68" s="465"/>
      <c r="G68" s="140">
        <f t="shared" si="1"/>
        <v>0</v>
      </c>
    </row>
    <row r="69" spans="3:7" ht="13.5" thickBot="1" x14ac:dyDescent="0.25">
      <c r="C69" s="19" t="s">
        <v>48</v>
      </c>
      <c r="D69" s="20"/>
      <c r="E69" s="21">
        <f>SUM(E13:E68)</f>
        <v>4077992</v>
      </c>
      <c r="F69" s="21">
        <f>SUM(F13:F68)</f>
        <v>0</v>
      </c>
      <c r="G69" s="189">
        <f>SUM(G13:G68)</f>
        <v>4077992</v>
      </c>
    </row>
    <row r="70" spans="3:7" x14ac:dyDescent="0.2">
      <c r="C70" s="141"/>
      <c r="D70" s="22"/>
      <c r="E70" s="23"/>
      <c r="F70" s="23"/>
      <c r="G70" s="142"/>
    </row>
    <row r="71" spans="3:7" x14ac:dyDescent="0.2">
      <c r="C71" s="581" t="s">
        <v>49</v>
      </c>
      <c r="D71" s="582"/>
      <c r="E71" s="582"/>
      <c r="F71" s="582"/>
      <c r="G71" s="583"/>
    </row>
    <row r="72" spans="3:7" x14ac:dyDescent="0.2">
      <c r="C72" s="137" t="s">
        <v>50</v>
      </c>
      <c r="D72" s="15">
        <v>401</v>
      </c>
      <c r="E72" s="299"/>
      <c r="F72" s="299"/>
      <c r="G72" s="143">
        <f t="shared" ref="G72:G104" si="2">+E72-F72</f>
        <v>0</v>
      </c>
    </row>
    <row r="73" spans="3:7" x14ac:dyDescent="0.2">
      <c r="C73" s="138" t="s">
        <v>469</v>
      </c>
      <c r="D73" s="15">
        <v>402</v>
      </c>
      <c r="E73" s="299"/>
      <c r="F73" s="299"/>
      <c r="G73" s="143">
        <f t="shared" si="2"/>
        <v>0</v>
      </c>
    </row>
    <row r="74" spans="3:7" x14ac:dyDescent="0.2">
      <c r="C74" s="137" t="s">
        <v>52</v>
      </c>
      <c r="D74" s="15">
        <v>403</v>
      </c>
      <c r="E74" s="466">
        <v>4788912</v>
      </c>
      <c r="F74" s="299"/>
      <c r="G74" s="143">
        <f t="shared" si="2"/>
        <v>4788912</v>
      </c>
    </row>
    <row r="75" spans="3:7" x14ac:dyDescent="0.2">
      <c r="C75" s="138" t="s">
        <v>53</v>
      </c>
      <c r="D75" s="15">
        <v>404</v>
      </c>
      <c r="E75" s="299"/>
      <c r="F75" s="299"/>
      <c r="G75" s="143">
        <f t="shared" si="2"/>
        <v>0</v>
      </c>
    </row>
    <row r="76" spans="3:7" x14ac:dyDescent="0.2">
      <c r="C76" s="137" t="s">
        <v>54</v>
      </c>
      <c r="D76" s="15">
        <v>406</v>
      </c>
      <c r="E76" s="299"/>
      <c r="F76" s="299"/>
      <c r="G76" s="143">
        <f t="shared" si="2"/>
        <v>0</v>
      </c>
    </row>
    <row r="77" spans="3:7" x14ac:dyDescent="0.2">
      <c r="C77" s="137" t="s">
        <v>19</v>
      </c>
      <c r="D77" s="15">
        <v>409</v>
      </c>
      <c r="E77" s="299"/>
      <c r="F77" s="299"/>
      <c r="G77" s="143">
        <f t="shared" si="2"/>
        <v>0</v>
      </c>
    </row>
    <row r="78" spans="3:7" x14ac:dyDescent="0.2">
      <c r="C78" s="137" t="s">
        <v>55</v>
      </c>
      <c r="D78" s="15">
        <v>411</v>
      </c>
      <c r="E78" s="299"/>
      <c r="F78" s="299"/>
      <c r="G78" s="143">
        <f t="shared" si="2"/>
        <v>0</v>
      </c>
    </row>
    <row r="79" spans="3:7" x14ac:dyDescent="0.2">
      <c r="C79" s="137" t="s">
        <v>56</v>
      </c>
      <c r="D79" s="17">
        <v>413</v>
      </c>
      <c r="E79" s="299"/>
      <c r="F79" s="299"/>
      <c r="G79" s="143">
        <f t="shared" si="2"/>
        <v>0</v>
      </c>
    </row>
    <row r="80" spans="3:7" x14ac:dyDescent="0.2">
      <c r="C80" s="137" t="s">
        <v>57</v>
      </c>
      <c r="D80" s="15">
        <v>414</v>
      </c>
      <c r="E80" s="299"/>
      <c r="F80" s="299"/>
      <c r="G80" s="143">
        <f t="shared" si="2"/>
        <v>0</v>
      </c>
    </row>
    <row r="81" spans="3:7" x14ac:dyDescent="0.2">
      <c r="C81" s="137" t="s">
        <v>58</v>
      </c>
      <c r="D81" s="15">
        <v>416</v>
      </c>
      <c r="E81" s="299"/>
      <c r="F81" s="299"/>
      <c r="G81" s="143">
        <f t="shared" si="2"/>
        <v>0</v>
      </c>
    </row>
    <row r="82" spans="3:7" x14ac:dyDescent="0.2">
      <c r="C82" s="137" t="s">
        <v>59</v>
      </c>
      <c r="D82" s="15">
        <v>305</v>
      </c>
      <c r="E82" s="299"/>
      <c r="F82" s="299"/>
      <c r="G82" s="143">
        <f t="shared" si="2"/>
        <v>0</v>
      </c>
    </row>
    <row r="83" spans="3:7" x14ac:dyDescent="0.2">
      <c r="C83" s="137" t="s">
        <v>60</v>
      </c>
      <c r="D83" s="15">
        <v>306</v>
      </c>
      <c r="E83" s="299">
        <v>605148</v>
      </c>
      <c r="F83" s="299"/>
      <c r="G83" s="143">
        <f t="shared" si="2"/>
        <v>605148</v>
      </c>
    </row>
    <row r="84" spans="3:7" x14ac:dyDescent="0.2">
      <c r="C84" s="572" t="s">
        <v>467</v>
      </c>
      <c r="D84" s="573"/>
      <c r="E84" s="573"/>
      <c r="F84" s="573"/>
      <c r="G84" s="574"/>
    </row>
    <row r="85" spans="3:7" x14ac:dyDescent="0.2">
      <c r="C85" s="138" t="s">
        <v>61</v>
      </c>
      <c r="D85" s="15">
        <v>395</v>
      </c>
      <c r="E85" s="299"/>
      <c r="F85" s="466"/>
      <c r="G85" s="143">
        <f t="shared" si="2"/>
        <v>0</v>
      </c>
    </row>
    <row r="86" spans="3:7" x14ac:dyDescent="0.2">
      <c r="C86" s="138" t="s">
        <v>62</v>
      </c>
      <c r="D86" s="15">
        <v>395</v>
      </c>
      <c r="E86" s="299"/>
      <c r="F86" s="299"/>
      <c r="G86" s="143">
        <f t="shared" si="2"/>
        <v>0</v>
      </c>
    </row>
    <row r="87" spans="3:7" x14ac:dyDescent="0.2">
      <c r="C87" s="137" t="s">
        <v>63</v>
      </c>
      <c r="D87" s="15">
        <v>395</v>
      </c>
      <c r="E87" s="299"/>
      <c r="F87" s="299"/>
      <c r="G87" s="143">
        <f t="shared" si="2"/>
        <v>0</v>
      </c>
    </row>
    <row r="88" spans="3:7" x14ac:dyDescent="0.2">
      <c r="C88" s="511" t="s">
        <v>509</v>
      </c>
      <c r="D88" s="15">
        <v>395</v>
      </c>
      <c r="E88" s="299">
        <f>93371+260166</f>
        <v>353537</v>
      </c>
      <c r="F88" s="299"/>
      <c r="G88" s="143">
        <f t="shared" si="2"/>
        <v>353537</v>
      </c>
    </row>
    <row r="89" spans="3:7" x14ac:dyDescent="0.2">
      <c r="C89" s="511" t="s">
        <v>524</v>
      </c>
      <c r="D89" s="15">
        <v>395</v>
      </c>
      <c r="E89" s="299">
        <f>274855+167860</f>
        <v>442715</v>
      </c>
      <c r="F89" s="299"/>
      <c r="G89" s="143">
        <f t="shared" si="2"/>
        <v>442715</v>
      </c>
    </row>
    <row r="90" spans="3:7" x14ac:dyDescent="0.2">
      <c r="C90" s="137" t="s">
        <v>237</v>
      </c>
      <c r="D90" s="18"/>
      <c r="E90" s="299"/>
      <c r="F90" s="299"/>
      <c r="G90" s="140">
        <f t="shared" si="2"/>
        <v>0</v>
      </c>
    </row>
    <row r="91" spans="3:7" x14ac:dyDescent="0.2">
      <c r="C91" s="137" t="s">
        <v>238</v>
      </c>
      <c r="D91" s="18"/>
      <c r="E91" s="299"/>
      <c r="F91" s="299"/>
      <c r="G91" s="140">
        <f t="shared" si="2"/>
        <v>0</v>
      </c>
    </row>
    <row r="92" spans="3:7" x14ac:dyDescent="0.2">
      <c r="C92" s="137" t="s">
        <v>239</v>
      </c>
      <c r="D92" s="18"/>
      <c r="E92" s="299"/>
      <c r="F92" s="299"/>
      <c r="G92" s="140">
        <f t="shared" si="2"/>
        <v>0</v>
      </c>
    </row>
    <row r="93" spans="3:7" x14ac:dyDescent="0.2">
      <c r="C93" s="137" t="s">
        <v>240</v>
      </c>
      <c r="D93" s="18"/>
      <c r="E93" s="299"/>
      <c r="F93" s="299"/>
      <c r="G93" s="140">
        <f t="shared" si="2"/>
        <v>0</v>
      </c>
    </row>
    <row r="94" spans="3:7" x14ac:dyDescent="0.2">
      <c r="C94" s="137" t="s">
        <v>241</v>
      </c>
      <c r="D94" s="18"/>
      <c r="E94" s="299"/>
      <c r="F94" s="299"/>
      <c r="G94" s="140">
        <f t="shared" si="2"/>
        <v>0</v>
      </c>
    </row>
    <row r="95" spans="3:7" x14ac:dyDescent="0.2">
      <c r="C95" s="137" t="s">
        <v>242</v>
      </c>
      <c r="D95" s="18"/>
      <c r="E95" s="299"/>
      <c r="F95" s="299"/>
      <c r="G95" s="140">
        <f t="shared" si="2"/>
        <v>0</v>
      </c>
    </row>
    <row r="96" spans="3:7" x14ac:dyDescent="0.2">
      <c r="C96" s="137" t="s">
        <v>243</v>
      </c>
      <c r="D96" s="18"/>
      <c r="E96" s="299"/>
      <c r="F96" s="299"/>
      <c r="G96" s="140">
        <f t="shared" si="2"/>
        <v>0</v>
      </c>
    </row>
    <row r="97" spans="3:7" x14ac:dyDescent="0.2">
      <c r="C97" s="463"/>
      <c r="D97" s="18"/>
      <c r="E97" s="299"/>
      <c r="F97" s="299"/>
      <c r="G97" s="140">
        <f t="shared" si="2"/>
        <v>0</v>
      </c>
    </row>
    <row r="98" spans="3:7" x14ac:dyDescent="0.2">
      <c r="C98" s="463"/>
      <c r="D98" s="18"/>
      <c r="E98" s="299"/>
      <c r="F98" s="299"/>
      <c r="G98" s="140">
        <f t="shared" si="2"/>
        <v>0</v>
      </c>
    </row>
    <row r="99" spans="3:7" x14ac:dyDescent="0.2">
      <c r="C99" s="463"/>
      <c r="D99" s="18"/>
      <c r="E99" s="299"/>
      <c r="F99" s="299"/>
      <c r="G99" s="140">
        <f t="shared" si="2"/>
        <v>0</v>
      </c>
    </row>
    <row r="100" spans="3:7" x14ac:dyDescent="0.2">
      <c r="C100" s="463"/>
      <c r="D100" s="18"/>
      <c r="E100" s="299"/>
      <c r="F100" s="299"/>
      <c r="G100" s="140">
        <f t="shared" si="2"/>
        <v>0</v>
      </c>
    </row>
    <row r="101" spans="3:7" x14ac:dyDescent="0.2">
      <c r="C101" s="463"/>
      <c r="D101" s="18"/>
      <c r="E101" s="299"/>
      <c r="F101" s="299"/>
      <c r="G101" s="140">
        <f t="shared" si="2"/>
        <v>0</v>
      </c>
    </row>
    <row r="102" spans="3:7" x14ac:dyDescent="0.2">
      <c r="C102" s="463"/>
      <c r="D102" s="18"/>
      <c r="E102" s="299"/>
      <c r="F102" s="299"/>
      <c r="G102" s="140">
        <f t="shared" si="2"/>
        <v>0</v>
      </c>
    </row>
    <row r="103" spans="3:7" x14ac:dyDescent="0.2">
      <c r="C103" s="463"/>
      <c r="D103" s="15"/>
      <c r="E103" s="299"/>
      <c r="F103" s="299"/>
      <c r="G103" s="140">
        <f t="shared" si="2"/>
        <v>0</v>
      </c>
    </row>
    <row r="104" spans="3:7" x14ac:dyDescent="0.2">
      <c r="C104" s="512"/>
      <c r="D104" s="15"/>
      <c r="E104" s="299"/>
      <c r="F104" s="299"/>
      <c r="G104" s="143">
        <f t="shared" si="2"/>
        <v>0</v>
      </c>
    </row>
    <row r="105" spans="3:7" x14ac:dyDescent="0.2">
      <c r="C105" s="144" t="s">
        <v>64</v>
      </c>
      <c r="D105" s="15"/>
      <c r="E105" s="24">
        <f>SUM(E72:E104)</f>
        <v>6190312</v>
      </c>
      <c r="F105" s="24">
        <f>SUM(F72:F104)</f>
        <v>0</v>
      </c>
      <c r="G105" s="148">
        <f>SUM(G72:G104)</f>
        <v>6190312</v>
      </c>
    </row>
    <row r="106" spans="3:7" x14ac:dyDescent="0.2">
      <c r="C106" s="145"/>
      <c r="D106" s="15"/>
      <c r="E106" s="26"/>
      <c r="F106" s="26"/>
      <c r="G106" s="146"/>
    </row>
    <row r="107" spans="3:7" x14ac:dyDescent="0.2">
      <c r="C107" s="147" t="s">
        <v>65</v>
      </c>
      <c r="D107" s="15"/>
      <c r="E107" s="24">
        <f>+E12+E69-E105</f>
        <v>554135</v>
      </c>
      <c r="F107" s="24">
        <f>+F12+F69-F105</f>
        <v>0</v>
      </c>
      <c r="G107" s="148">
        <f>+G12+G69-G105</f>
        <v>554135</v>
      </c>
    </row>
    <row r="108" spans="3:7" ht="19.5" customHeight="1" x14ac:dyDescent="0.2">
      <c r="C108" s="575"/>
      <c r="D108" s="576"/>
      <c r="E108" s="576"/>
      <c r="F108" s="576"/>
      <c r="G108" s="577"/>
    </row>
    <row r="109" spans="3:7" x14ac:dyDescent="0.2">
      <c r="C109" s="145" t="s">
        <v>66</v>
      </c>
      <c r="D109" s="15">
        <v>311</v>
      </c>
      <c r="E109" s="299">
        <v>68531</v>
      </c>
      <c r="F109" s="299"/>
      <c r="G109" s="143">
        <f>+E109-F109</f>
        <v>68531</v>
      </c>
    </row>
    <row r="110" spans="3:7" x14ac:dyDescent="0.2">
      <c r="C110" s="145" t="s">
        <v>119</v>
      </c>
      <c r="D110" s="15">
        <v>320</v>
      </c>
      <c r="E110" s="299"/>
      <c r="F110" s="299"/>
      <c r="G110" s="143">
        <f>+E110-F110</f>
        <v>0</v>
      </c>
    </row>
    <row r="111" spans="3:7" x14ac:dyDescent="0.2">
      <c r="C111" s="145" t="s">
        <v>470</v>
      </c>
      <c r="D111" s="15">
        <v>331</v>
      </c>
      <c r="E111" s="299">
        <v>22474</v>
      </c>
      <c r="F111" s="299"/>
      <c r="G111" s="143">
        <f>+E111-F111</f>
        <v>22474</v>
      </c>
    </row>
    <row r="112" spans="3:7" x14ac:dyDescent="0.2">
      <c r="C112" s="145" t="s">
        <v>471</v>
      </c>
      <c r="D112" s="15">
        <v>332</v>
      </c>
      <c r="E112" s="299"/>
      <c r="F112" s="466"/>
      <c r="G112" s="143">
        <f>+E112-F112</f>
        <v>0</v>
      </c>
    </row>
    <row r="113" spans="3:8" x14ac:dyDescent="0.2">
      <c r="C113" s="145" t="s">
        <v>472</v>
      </c>
      <c r="D113" s="15">
        <v>335</v>
      </c>
      <c r="E113" s="299"/>
      <c r="F113" s="299"/>
      <c r="G113" s="143">
        <f>+E113-F113</f>
        <v>0</v>
      </c>
    </row>
    <row r="114" spans="3:8" x14ac:dyDescent="0.2">
      <c r="C114" s="145"/>
      <c r="D114" s="15"/>
      <c r="E114" s="28"/>
      <c r="F114" s="28"/>
      <c r="G114" s="140"/>
    </row>
    <row r="115" spans="3:8" ht="13.5" thickBot="1" x14ac:dyDescent="0.25">
      <c r="C115" s="149" t="s">
        <v>67</v>
      </c>
      <c r="D115" s="150"/>
      <c r="E115" s="151">
        <f>+E107-SUM(E109:E113)</f>
        <v>463130</v>
      </c>
      <c r="F115" s="151">
        <f>+F107-SUM(F109:F113)</f>
        <v>0</v>
      </c>
      <c r="G115" s="152">
        <f>+G107-SUM(G109:G113)</f>
        <v>463130</v>
      </c>
      <c r="H115" s="308" t="s">
        <v>351</v>
      </c>
    </row>
  </sheetData>
  <sheetProtection algorithmName="SHA-512" hashValue="lZhfVFbBzVxXqJg9HYAaxVW9vCs35N6WIqs6zFddiGRqb9U/61kNeeZpq35msl1CEDW8Ioalh/9rZinnhR30yQ==" saltValue="1XuFjJHpzB0+7KeSxIs53g==" spinCount="100000" sheet="1" objects="1" scenarios="1"/>
  <mergeCells count="9">
    <mergeCell ref="C47:G47"/>
    <mergeCell ref="C108:G108"/>
    <mergeCell ref="C1:E1"/>
    <mergeCell ref="C2:I2"/>
    <mergeCell ref="C3:I3"/>
    <mergeCell ref="C4:I4"/>
    <mergeCell ref="C13:G13"/>
    <mergeCell ref="C84:G84"/>
    <mergeCell ref="C71:G71"/>
  </mergeCells>
  <phoneticPr fontId="3" type="noConversion"/>
  <conditionalFormatting sqref="G109:G113">
    <cfRule type="cellIs" dxfId="67" priority="1" stopIfTrue="1" operator="lessThan">
      <formula>0</formula>
    </cfRule>
  </conditionalFormatting>
  <conditionalFormatting sqref="E109:F113 E12:F12 C52:C68 E48:F68 C88:C89 C97:C104 E14:F46 E72:F83 E85:F104">
    <cfRule type="expression" dxfId="66" priority="2" stopIfTrue="1">
      <formula>ISBLANK(C12)</formula>
    </cfRule>
  </conditionalFormatting>
  <conditionalFormatting sqref="G12 G48:G68 G85:G104 G72:G83 G14:G46">
    <cfRule type="cellIs" dxfId="65" priority="3" stopIfTrue="1" operator="lessThan">
      <formula>0</formula>
    </cfRule>
  </conditionalFormatting>
  <hyperlinks>
    <hyperlink ref="H115" location="'H0 PILs,Tax Provision Hist'!A1" display="H0" xr:uid="{00000000-0004-0000-0700-000000000000}"/>
  </hyperlinks>
  <pageMargins left="0.35433070866141736" right="0.15748031496062992" top="0.39370078740157483" bottom="0.39370078740157483" header="0.51181102362204722" footer="0.51181102362204722"/>
  <pageSetup scale="75" orientation="portrait" r:id="rId1"/>
  <headerFooter alignWithMargins="0"/>
  <rowBreaks count="1" manualBreakCount="1">
    <brk id="59" max="6" man="1"/>
  </rowBreaks>
  <colBreaks count="2" manualBreakCount="2">
    <brk id="7" max="118" man="1"/>
    <brk id="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I18"/>
  <sheetViews>
    <sheetView topLeftCell="A13" zoomScaleNormal="100" workbookViewId="0">
      <selection activeCell="F14" sqref="F14"/>
    </sheetView>
  </sheetViews>
  <sheetFormatPr defaultColWidth="9.140625" defaultRowHeight="12.75" x14ac:dyDescent="0.2"/>
  <cols>
    <col min="1" max="1" width="4.140625" style="9" customWidth="1"/>
    <col min="2" max="2" width="3.85546875" style="9" customWidth="1"/>
    <col min="3" max="3" width="41.85546875" style="9" bestFit="1" customWidth="1"/>
    <col min="4" max="4" width="9.140625" style="9"/>
    <col min="5" max="5" width="19.85546875" style="9" customWidth="1"/>
    <col min="6" max="8" width="12.85546875" style="9" customWidth="1"/>
    <col min="9" max="16384" width="9.140625" style="9"/>
  </cols>
  <sheetData>
    <row r="1" spans="1:9" ht="21.75" x14ac:dyDescent="0.2">
      <c r="A1" s="218"/>
      <c r="C1" s="565"/>
      <c r="D1" s="565"/>
      <c r="E1" s="565"/>
    </row>
    <row r="2" spans="1:9" ht="18" x14ac:dyDescent="0.25">
      <c r="C2" s="566"/>
      <c r="D2" s="566"/>
      <c r="E2" s="566"/>
      <c r="F2" s="566"/>
      <c r="G2" s="566"/>
      <c r="H2" s="566"/>
      <c r="I2" s="566"/>
    </row>
    <row r="3" spans="1:9" ht="18" x14ac:dyDescent="0.25">
      <c r="C3" s="566"/>
      <c r="D3" s="566"/>
      <c r="E3" s="566"/>
      <c r="F3" s="566"/>
      <c r="G3" s="566"/>
      <c r="H3" s="566"/>
      <c r="I3" s="566"/>
    </row>
    <row r="4" spans="1:9" ht="18" x14ac:dyDescent="0.25">
      <c r="C4" s="566"/>
      <c r="D4" s="566"/>
      <c r="E4" s="566"/>
      <c r="F4" s="566"/>
      <c r="G4" s="566"/>
      <c r="H4" s="566"/>
      <c r="I4" s="566"/>
    </row>
    <row r="5" spans="1:9" ht="37.5" customHeight="1" x14ac:dyDescent="0.2"/>
    <row r="6" spans="1:9" ht="37.5" customHeight="1" x14ac:dyDescent="0.2"/>
    <row r="9" spans="1:9" ht="15" customHeight="1" x14ac:dyDescent="0.25">
      <c r="C9" s="258" t="s">
        <v>475</v>
      </c>
    </row>
    <row r="10" spans="1:9" ht="15" customHeight="1" x14ac:dyDescent="0.25">
      <c r="C10" s="258"/>
    </row>
    <row r="11" spans="1:9" ht="18" x14ac:dyDescent="0.25">
      <c r="C11" s="258" t="s">
        <v>263</v>
      </c>
    </row>
    <row r="13" spans="1:9" ht="36" x14ac:dyDescent="0.2">
      <c r="C13" s="584" t="s">
        <v>109</v>
      </c>
      <c r="D13" s="585"/>
      <c r="E13" s="586"/>
      <c r="F13" s="30" t="s">
        <v>3</v>
      </c>
      <c r="G13" s="30" t="s">
        <v>169</v>
      </c>
      <c r="H13" s="30" t="s">
        <v>110</v>
      </c>
      <c r="I13" s="70"/>
    </row>
    <row r="14" spans="1:9" x14ac:dyDescent="0.2">
      <c r="C14" s="587" t="s">
        <v>281</v>
      </c>
      <c r="D14" s="588"/>
      <c r="E14" s="589"/>
      <c r="F14" s="467"/>
      <c r="G14" s="295"/>
      <c r="H14" s="71">
        <f>F14-G14</f>
        <v>0</v>
      </c>
      <c r="I14" s="340" t="s">
        <v>314</v>
      </c>
    </row>
    <row r="15" spans="1:9" x14ac:dyDescent="0.2">
      <c r="C15" s="70"/>
      <c r="D15" s="70"/>
      <c r="E15" s="70"/>
      <c r="F15" s="72"/>
      <c r="G15" s="72"/>
      <c r="H15" s="72"/>
      <c r="I15" s="72"/>
    </row>
    <row r="16" spans="1:9" ht="36" x14ac:dyDescent="0.2">
      <c r="C16" s="584" t="s">
        <v>112</v>
      </c>
      <c r="D16" s="585"/>
      <c r="E16" s="586"/>
      <c r="F16" s="30" t="s">
        <v>3</v>
      </c>
      <c r="G16" s="30" t="s">
        <v>169</v>
      </c>
      <c r="H16" s="30" t="s">
        <v>110</v>
      </c>
      <c r="I16" s="72"/>
    </row>
    <row r="17" spans="3:9" x14ac:dyDescent="0.2">
      <c r="C17" s="587" t="s">
        <v>281</v>
      </c>
      <c r="D17" s="588"/>
      <c r="E17" s="589"/>
      <c r="F17" s="467"/>
      <c r="G17" s="295"/>
      <c r="H17" s="71">
        <f>F17-G17</f>
        <v>0</v>
      </c>
      <c r="I17" s="340" t="s">
        <v>314</v>
      </c>
    </row>
    <row r="18" spans="3:9" x14ac:dyDescent="0.2">
      <c r="C18" s="77"/>
      <c r="D18" s="70"/>
      <c r="E18" s="70"/>
      <c r="F18" s="72"/>
      <c r="G18" s="72"/>
      <c r="H18" s="72"/>
      <c r="I18" s="72"/>
    </row>
  </sheetData>
  <sheetProtection algorithmName="SHA-512" hashValue="OhtM4it+FYTgI6arwJEGIUzovlpKfFibSQlCAAbn6i2b89q1z5SuWxVSeHUkETm9p5daYAsYd+aCP+JTDavlWA==" saltValue="jJh6LDaCrqSGzqffbaQHUQ==" spinCount="100000" sheet="1" objects="1" scenarios="1"/>
  <mergeCells count="8">
    <mergeCell ref="C16:E16"/>
    <mergeCell ref="C17:E17"/>
    <mergeCell ref="C13:E13"/>
    <mergeCell ref="C14:E14"/>
    <mergeCell ref="C1:E1"/>
    <mergeCell ref="C2:I2"/>
    <mergeCell ref="C3:I3"/>
    <mergeCell ref="C4:I4"/>
  </mergeCells>
  <phoneticPr fontId="3" type="noConversion"/>
  <conditionalFormatting sqref="H17 H14">
    <cfRule type="cellIs" dxfId="64" priority="1" stopIfTrue="1" operator="lessThan">
      <formula>0</formula>
    </cfRule>
  </conditionalFormatting>
  <conditionalFormatting sqref="F14:G14 F17:G17">
    <cfRule type="expression" dxfId="63" priority="2" stopIfTrue="1">
      <formula>ISBLANK(F14)</formula>
    </cfRule>
  </conditionalFormatting>
  <hyperlinks>
    <hyperlink ref="I14" location="'B4 Sch 4 Loss Cfwd Bridge'!A1" display="B4" xr:uid="{00000000-0004-0000-0800-000000000000}"/>
    <hyperlink ref="I17" location="'B4 Sch 4 Loss Cfwd Bridge'!A1" display="B4" xr:uid="{00000000-0004-0000-0800-000001000000}"/>
  </hyperlinks>
  <pageMargins left="0.75" right="0.75" top="1" bottom="1" header="0.5" footer="0.5"/>
  <pageSetup scale="90"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M47"/>
  <sheetViews>
    <sheetView topLeftCell="A7" zoomScaleNormal="100" workbookViewId="0">
      <selection activeCell="G6" sqref="G6"/>
    </sheetView>
  </sheetViews>
  <sheetFormatPr defaultColWidth="9.140625" defaultRowHeight="12.75" x14ac:dyDescent="0.2"/>
  <cols>
    <col min="1" max="1" width="3.85546875" style="9" customWidth="1"/>
    <col min="2" max="2" width="3.140625" style="9" customWidth="1"/>
    <col min="3" max="3" width="11.5703125" style="9" bestFit="1" customWidth="1"/>
    <col min="4" max="4" width="66.85546875" style="9" customWidth="1"/>
    <col min="5" max="5" width="20.85546875" style="9" customWidth="1"/>
    <col min="6" max="6" width="24.140625" style="9" customWidth="1"/>
    <col min="7" max="7" width="24.5703125" style="9" customWidth="1"/>
    <col min="8" max="16384" width="9.140625" style="9"/>
  </cols>
  <sheetData>
    <row r="1" spans="1:13" ht="21.75" x14ac:dyDescent="0.2">
      <c r="A1" s="218"/>
      <c r="C1" s="565"/>
      <c r="D1" s="565"/>
      <c r="E1" s="565"/>
      <c r="F1" s="1"/>
    </row>
    <row r="2" spans="1:13" ht="18" x14ac:dyDescent="0.25">
      <c r="C2" s="566"/>
      <c r="D2" s="566"/>
      <c r="E2" s="566"/>
      <c r="F2" s="566"/>
      <c r="G2" s="566"/>
      <c r="H2" s="566"/>
      <c r="I2" s="566"/>
    </row>
    <row r="3" spans="1:13" ht="41.25" customHeight="1" x14ac:dyDescent="0.25">
      <c r="C3" s="566"/>
      <c r="D3" s="566"/>
      <c r="E3" s="566"/>
      <c r="F3" s="566"/>
      <c r="G3" s="566"/>
      <c r="H3" s="566"/>
      <c r="I3" s="566"/>
    </row>
    <row r="4" spans="1:13" ht="41.25" customHeight="1" x14ac:dyDescent="0.25">
      <c r="C4" s="566"/>
      <c r="D4" s="566"/>
      <c r="E4" s="566"/>
      <c r="F4" s="566"/>
      <c r="G4" s="566"/>
      <c r="H4" s="566"/>
      <c r="I4" s="566"/>
    </row>
    <row r="5" spans="1:13" ht="41.25" customHeight="1" x14ac:dyDescent="0.2"/>
    <row r="6" spans="1:13" ht="18" x14ac:dyDescent="0.25">
      <c r="C6" s="258" t="s">
        <v>260</v>
      </c>
    </row>
    <row r="10" spans="1:13" ht="14.25" customHeight="1" thickBot="1" x14ac:dyDescent="0.4">
      <c r="C10" s="591"/>
      <c r="D10" s="591"/>
      <c r="E10" s="591"/>
      <c r="F10" s="591"/>
      <c r="G10" s="591"/>
    </row>
    <row r="11" spans="1:13" ht="48" x14ac:dyDescent="0.2">
      <c r="C11" s="99" t="s">
        <v>68</v>
      </c>
      <c r="D11" s="100" t="s">
        <v>69</v>
      </c>
      <c r="E11" s="101" t="s">
        <v>279</v>
      </c>
      <c r="F11" s="101" t="s">
        <v>70</v>
      </c>
      <c r="G11" s="321" t="s">
        <v>280</v>
      </c>
      <c r="H11" s="320" t="s">
        <v>311</v>
      </c>
      <c r="M11" s="2"/>
    </row>
    <row r="12" spans="1:13" x14ac:dyDescent="0.2">
      <c r="C12" s="483">
        <v>1</v>
      </c>
      <c r="D12" s="31" t="s">
        <v>406</v>
      </c>
      <c r="E12" s="470">
        <f>22205385+1574612</f>
        <v>23779997</v>
      </c>
      <c r="F12" s="470"/>
      <c r="G12" s="509">
        <f>+E12-F12</f>
        <v>23779997</v>
      </c>
      <c r="H12" s="308" t="s">
        <v>310</v>
      </c>
    </row>
    <row r="13" spans="1:13" x14ac:dyDescent="0.2">
      <c r="C13" s="483" t="s">
        <v>395</v>
      </c>
      <c r="D13" s="31" t="s">
        <v>397</v>
      </c>
      <c r="E13" s="470"/>
      <c r="F13" s="470"/>
      <c r="G13" s="509">
        <f>+E13-F13</f>
        <v>0</v>
      </c>
      <c r="H13" s="308" t="s">
        <v>310</v>
      </c>
    </row>
    <row r="14" spans="1:13" x14ac:dyDescent="0.2">
      <c r="C14" s="483">
        <v>2</v>
      </c>
      <c r="D14" s="31" t="s">
        <v>399</v>
      </c>
      <c r="E14" s="470"/>
      <c r="F14" s="470"/>
      <c r="G14" s="509">
        <f t="shared" ref="G14:G44" si="0">+E14-F14</f>
        <v>0</v>
      </c>
      <c r="H14" s="308" t="s">
        <v>310</v>
      </c>
    </row>
    <row r="15" spans="1:13" x14ac:dyDescent="0.2">
      <c r="C15" s="483">
        <v>3</v>
      </c>
      <c r="D15" s="31" t="s">
        <v>405</v>
      </c>
      <c r="E15" s="470"/>
      <c r="F15" s="470"/>
      <c r="G15" s="509">
        <f t="shared" si="0"/>
        <v>0</v>
      </c>
      <c r="H15" s="308" t="s">
        <v>310</v>
      </c>
    </row>
    <row r="16" spans="1:13" x14ac:dyDescent="0.2">
      <c r="C16" s="483">
        <v>6</v>
      </c>
      <c r="D16" s="31" t="s">
        <v>396</v>
      </c>
      <c r="E16" s="470"/>
      <c r="F16" s="470"/>
      <c r="G16" s="509">
        <f t="shared" ref="G16" si="1">+E16-F16</f>
        <v>0</v>
      </c>
      <c r="H16" s="308" t="s">
        <v>310</v>
      </c>
    </row>
    <row r="17" spans="3:8" x14ac:dyDescent="0.2">
      <c r="C17" s="483">
        <v>8</v>
      </c>
      <c r="D17" s="31" t="s">
        <v>412</v>
      </c>
      <c r="E17" s="470">
        <v>349404</v>
      </c>
      <c r="F17" s="470"/>
      <c r="G17" s="509">
        <f t="shared" si="0"/>
        <v>349404</v>
      </c>
      <c r="H17" s="308" t="s">
        <v>310</v>
      </c>
    </row>
    <row r="18" spans="3:8" x14ac:dyDescent="0.2">
      <c r="C18" s="483">
        <v>10</v>
      </c>
      <c r="D18" s="31" t="s">
        <v>411</v>
      </c>
      <c r="E18" s="470">
        <v>678024</v>
      </c>
      <c r="F18" s="470"/>
      <c r="G18" s="509">
        <f t="shared" si="0"/>
        <v>678024</v>
      </c>
      <c r="H18" s="308" t="s">
        <v>310</v>
      </c>
    </row>
    <row r="19" spans="3:8" x14ac:dyDescent="0.2">
      <c r="C19" s="483">
        <v>10.1</v>
      </c>
      <c r="D19" s="31" t="s">
        <v>71</v>
      </c>
      <c r="E19" s="470"/>
      <c r="F19" s="470"/>
      <c r="G19" s="509">
        <f t="shared" si="0"/>
        <v>0</v>
      </c>
      <c r="H19" s="308" t="s">
        <v>310</v>
      </c>
    </row>
    <row r="20" spans="3:8" x14ac:dyDescent="0.2">
      <c r="C20" s="483">
        <v>12</v>
      </c>
      <c r="D20" s="31" t="s">
        <v>408</v>
      </c>
      <c r="E20" s="470"/>
      <c r="F20" s="470"/>
      <c r="G20" s="509">
        <f t="shared" si="0"/>
        <v>0</v>
      </c>
      <c r="H20" s="308" t="s">
        <v>310</v>
      </c>
    </row>
    <row r="21" spans="3:8" ht="13.5" x14ac:dyDescent="0.25">
      <c r="C21" s="484" t="s">
        <v>400</v>
      </c>
      <c r="D21" s="31" t="s">
        <v>72</v>
      </c>
      <c r="E21" s="470"/>
      <c r="F21" s="470"/>
      <c r="G21" s="509">
        <f t="shared" si="0"/>
        <v>0</v>
      </c>
      <c r="H21" s="308" t="s">
        <v>310</v>
      </c>
    </row>
    <row r="22" spans="3:8" ht="13.5" x14ac:dyDescent="0.25">
      <c r="C22" s="484" t="s">
        <v>401</v>
      </c>
      <c r="D22" s="31" t="s">
        <v>394</v>
      </c>
      <c r="E22" s="470"/>
      <c r="F22" s="470"/>
      <c r="G22" s="509">
        <f t="shared" si="0"/>
        <v>0</v>
      </c>
      <c r="H22" s="308" t="s">
        <v>310</v>
      </c>
    </row>
    <row r="23" spans="3:8" ht="13.5" x14ac:dyDescent="0.25">
      <c r="C23" s="484" t="s">
        <v>402</v>
      </c>
      <c r="D23" s="31" t="s">
        <v>73</v>
      </c>
      <c r="E23" s="470"/>
      <c r="F23" s="470"/>
      <c r="G23" s="509">
        <f t="shared" si="0"/>
        <v>0</v>
      </c>
      <c r="H23" s="308" t="s">
        <v>310</v>
      </c>
    </row>
    <row r="24" spans="3:8" ht="13.5" x14ac:dyDescent="0.25">
      <c r="C24" s="484" t="s">
        <v>403</v>
      </c>
      <c r="D24" s="31" t="s">
        <v>74</v>
      </c>
      <c r="E24" s="470"/>
      <c r="F24" s="470"/>
      <c r="G24" s="509">
        <f t="shared" si="0"/>
        <v>0</v>
      </c>
      <c r="H24" s="308" t="s">
        <v>310</v>
      </c>
    </row>
    <row r="25" spans="3:8" x14ac:dyDescent="0.2">
      <c r="C25" s="483">
        <v>14</v>
      </c>
      <c r="D25" s="31" t="s">
        <v>398</v>
      </c>
      <c r="E25" s="470"/>
      <c r="F25" s="470"/>
      <c r="G25" s="509">
        <f t="shared" si="0"/>
        <v>0</v>
      </c>
      <c r="H25" s="308" t="s">
        <v>310</v>
      </c>
    </row>
    <row r="26" spans="3:8" x14ac:dyDescent="0.2">
      <c r="C26" s="475">
        <v>14.1</v>
      </c>
      <c r="D26" s="476" t="s">
        <v>418</v>
      </c>
      <c r="E26" s="470"/>
      <c r="F26" s="470"/>
      <c r="G26" s="509">
        <f>+E26-F26</f>
        <v>0</v>
      </c>
      <c r="H26" s="308" t="s">
        <v>310</v>
      </c>
    </row>
    <row r="27" spans="3:8" x14ac:dyDescent="0.2">
      <c r="C27" s="475">
        <v>14.1</v>
      </c>
      <c r="D27" s="476" t="s">
        <v>417</v>
      </c>
      <c r="E27" s="470"/>
      <c r="F27" s="470"/>
      <c r="G27" s="509">
        <f>+E27-F27</f>
        <v>0</v>
      </c>
      <c r="H27" s="308" t="s">
        <v>310</v>
      </c>
    </row>
    <row r="28" spans="3:8" ht="13.5" customHeight="1" x14ac:dyDescent="0.2">
      <c r="C28" s="483">
        <v>17</v>
      </c>
      <c r="D28" s="31" t="s">
        <v>413</v>
      </c>
      <c r="E28" s="470">
        <v>273659</v>
      </c>
      <c r="F28" s="470"/>
      <c r="G28" s="509">
        <f t="shared" si="0"/>
        <v>273659</v>
      </c>
      <c r="H28" s="308" t="s">
        <v>310</v>
      </c>
    </row>
    <row r="29" spans="3:8" x14ac:dyDescent="0.2">
      <c r="C29" s="483">
        <v>42</v>
      </c>
      <c r="D29" s="31" t="s">
        <v>227</v>
      </c>
      <c r="E29" s="470"/>
      <c r="F29" s="470"/>
      <c r="G29" s="509">
        <f t="shared" ref="G29:G35" si="2">+E29-F29</f>
        <v>0</v>
      </c>
      <c r="H29" s="308" t="s">
        <v>310</v>
      </c>
    </row>
    <row r="30" spans="3:8" x14ac:dyDescent="0.2">
      <c r="C30" s="483">
        <v>43.1</v>
      </c>
      <c r="D30" s="31" t="s">
        <v>407</v>
      </c>
      <c r="E30" s="470"/>
      <c r="F30" s="470"/>
      <c r="G30" s="509">
        <f t="shared" si="2"/>
        <v>0</v>
      </c>
      <c r="H30" s="308" t="s">
        <v>310</v>
      </c>
    </row>
    <row r="31" spans="3:8" x14ac:dyDescent="0.2">
      <c r="C31" s="483">
        <v>43.2</v>
      </c>
      <c r="D31" s="31" t="s">
        <v>407</v>
      </c>
      <c r="E31" s="470"/>
      <c r="F31" s="470"/>
      <c r="G31" s="509">
        <f t="shared" si="2"/>
        <v>0</v>
      </c>
      <c r="H31" s="308" t="s">
        <v>310</v>
      </c>
    </row>
    <row r="32" spans="3:8" x14ac:dyDescent="0.2">
      <c r="C32" s="483">
        <v>45</v>
      </c>
      <c r="D32" s="31" t="s">
        <v>410</v>
      </c>
      <c r="E32" s="470">
        <v>106</v>
      </c>
      <c r="F32" s="470"/>
      <c r="G32" s="509">
        <f t="shared" si="2"/>
        <v>106</v>
      </c>
      <c r="H32" s="308" t="s">
        <v>310</v>
      </c>
    </row>
    <row r="33" spans="3:8" x14ac:dyDescent="0.2">
      <c r="C33" s="483">
        <v>46</v>
      </c>
      <c r="D33" s="31" t="s">
        <v>75</v>
      </c>
      <c r="E33" s="470"/>
      <c r="F33" s="470"/>
      <c r="G33" s="509">
        <f t="shared" si="2"/>
        <v>0</v>
      </c>
      <c r="H33" s="308" t="s">
        <v>310</v>
      </c>
    </row>
    <row r="34" spans="3:8" x14ac:dyDescent="0.2">
      <c r="C34" s="483">
        <v>47</v>
      </c>
      <c r="D34" s="31" t="s">
        <v>404</v>
      </c>
      <c r="E34" s="470">
        <v>40910243</v>
      </c>
      <c r="F34" s="470"/>
      <c r="G34" s="509">
        <f t="shared" si="2"/>
        <v>40910243</v>
      </c>
      <c r="H34" s="308" t="s">
        <v>310</v>
      </c>
    </row>
    <row r="35" spans="3:8" x14ac:dyDescent="0.2">
      <c r="C35" s="483">
        <v>50</v>
      </c>
      <c r="D35" s="31" t="s">
        <v>409</v>
      </c>
      <c r="E35" s="470">
        <v>203966</v>
      </c>
      <c r="F35" s="470"/>
      <c r="G35" s="509">
        <f t="shared" si="2"/>
        <v>203966</v>
      </c>
      <c r="H35" s="308" t="s">
        <v>310</v>
      </c>
    </row>
    <row r="36" spans="3:8" x14ac:dyDescent="0.2">
      <c r="C36" s="485">
        <v>95</v>
      </c>
      <c r="D36" s="482" t="s">
        <v>231</v>
      </c>
      <c r="E36" s="470">
        <v>1777367</v>
      </c>
      <c r="F36" s="470"/>
      <c r="G36" s="509">
        <f t="shared" si="0"/>
        <v>1777367</v>
      </c>
      <c r="H36" s="308" t="s">
        <v>310</v>
      </c>
    </row>
    <row r="37" spans="3:8" x14ac:dyDescent="0.2">
      <c r="C37" s="259"/>
      <c r="D37" s="260"/>
      <c r="E37" s="470"/>
      <c r="F37" s="470"/>
      <c r="G37" s="509">
        <f t="shared" si="0"/>
        <v>0</v>
      </c>
    </row>
    <row r="38" spans="3:8" x14ac:dyDescent="0.2">
      <c r="C38" s="259"/>
      <c r="D38" s="260"/>
      <c r="E38" s="470"/>
      <c r="F38" s="470"/>
      <c r="G38" s="509">
        <f t="shared" si="0"/>
        <v>0</v>
      </c>
    </row>
    <row r="39" spans="3:8" x14ac:dyDescent="0.2">
      <c r="C39" s="259"/>
      <c r="D39" s="260"/>
      <c r="E39" s="470"/>
      <c r="F39" s="470"/>
      <c r="G39" s="509">
        <f t="shared" si="0"/>
        <v>0</v>
      </c>
    </row>
    <row r="40" spans="3:8" x14ac:dyDescent="0.2">
      <c r="C40" s="259"/>
      <c r="D40" s="260"/>
      <c r="E40" s="470"/>
      <c r="F40" s="470"/>
      <c r="G40" s="509">
        <f t="shared" si="0"/>
        <v>0</v>
      </c>
    </row>
    <row r="41" spans="3:8" x14ac:dyDescent="0.2">
      <c r="C41" s="259"/>
      <c r="D41" s="260"/>
      <c r="E41" s="470"/>
      <c r="F41" s="470"/>
      <c r="G41" s="509">
        <f t="shared" si="0"/>
        <v>0</v>
      </c>
    </row>
    <row r="42" spans="3:8" x14ac:dyDescent="0.2">
      <c r="C42" s="259"/>
      <c r="D42" s="260"/>
      <c r="E42" s="470"/>
      <c r="F42" s="470"/>
      <c r="G42" s="509">
        <f t="shared" si="0"/>
        <v>0</v>
      </c>
    </row>
    <row r="43" spans="3:8" x14ac:dyDescent="0.2">
      <c r="C43" s="259"/>
      <c r="D43" s="260"/>
      <c r="E43" s="470"/>
      <c r="F43" s="470"/>
      <c r="G43" s="509">
        <f t="shared" si="0"/>
        <v>0</v>
      </c>
    </row>
    <row r="44" spans="3:8" ht="13.5" thickBot="1" x14ac:dyDescent="0.25">
      <c r="C44" s="259"/>
      <c r="D44" s="260"/>
      <c r="E44" s="470"/>
      <c r="F44" s="470"/>
      <c r="G44" s="509">
        <f t="shared" si="0"/>
        <v>0</v>
      </c>
    </row>
    <row r="45" spans="3:8" ht="13.5" thickBot="1" x14ac:dyDescent="0.25">
      <c r="C45" s="32"/>
      <c r="D45" s="33" t="s">
        <v>76</v>
      </c>
      <c r="E45" s="34">
        <f>SUM(E12:E44)</f>
        <v>67972766</v>
      </c>
      <c r="F45" s="34">
        <f>SUM(F12:F44)</f>
        <v>0</v>
      </c>
      <c r="G45" s="35">
        <f>SUM(G12:G44)</f>
        <v>67972766</v>
      </c>
    </row>
    <row r="47" spans="3:8" ht="26.25" customHeight="1" x14ac:dyDescent="0.2">
      <c r="C47" s="590"/>
      <c r="D47" s="590"/>
      <c r="E47" s="590"/>
      <c r="F47" s="590"/>
      <c r="G47" s="590"/>
    </row>
  </sheetData>
  <sheetProtection algorithmName="SHA-512" hashValue="3ks7QmMtp5VSPpjqmcqSHNne9ZGGrX1OzyBe6hmo3fShQwdu8aJWX2/zFNEuY35aOFUKivRRKlArhly9TM9SzQ==" saltValue="H2kiU9XDGyjan+AD0rJS2w==" spinCount="100000" sheet="1" objects="1" scenarios="1"/>
  <mergeCells count="6">
    <mergeCell ref="C47:G47"/>
    <mergeCell ref="C10:G10"/>
    <mergeCell ref="C1:E1"/>
    <mergeCell ref="C2:I2"/>
    <mergeCell ref="C3:I3"/>
    <mergeCell ref="C4:I4"/>
  </mergeCells>
  <phoneticPr fontId="3" type="noConversion"/>
  <conditionalFormatting sqref="G12:G14 G17:G44">
    <cfRule type="cellIs" dxfId="62" priority="13" stopIfTrue="1" operator="lessThan">
      <formula>0</formula>
    </cfRule>
  </conditionalFormatting>
  <conditionalFormatting sqref="C36:D44 C26:D27">
    <cfRule type="expression" dxfId="61" priority="14" stopIfTrue="1">
      <formula>ISBLANK(C26)</formula>
    </cfRule>
  </conditionalFormatting>
  <conditionalFormatting sqref="G15">
    <cfRule type="cellIs" dxfId="60" priority="10" stopIfTrue="1" operator="lessThan">
      <formula>0</formula>
    </cfRule>
  </conditionalFormatting>
  <conditionalFormatting sqref="G16">
    <cfRule type="cellIs" dxfId="59" priority="6" stopIfTrue="1" operator="lessThan">
      <formula>0</formula>
    </cfRule>
  </conditionalFormatting>
  <conditionalFormatting sqref="E12:F44">
    <cfRule type="expression" dxfId="58" priority="1" stopIfTrue="1">
      <formula>ISBLANK(E12)</formula>
    </cfRule>
  </conditionalFormatting>
  <hyperlinks>
    <hyperlink ref="H12" location="'B8 Sch 8 CCA Bridge'!A1" display="B8" xr:uid="{00000000-0004-0000-0900-000000000000}"/>
    <hyperlink ref="H13:H36" location="'B8 Sch 8 CCA Bridge'!A1" display="B8" xr:uid="{00000000-0004-0000-0900-000001000000}"/>
  </hyperlinks>
  <pageMargins left="0.35433070866141736" right="0.35433070866141736" top="0.39370078740157483" bottom="0.39370078740157483" header="0.51181102362204722" footer="0.51181102362204722"/>
  <pageSetup scale="80" orientation="portrait" r:id="rId1"/>
  <headerFooter alignWithMargins="0"/>
  <colBreaks count="1" manualBreakCount="1">
    <brk id="11"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I51"/>
  <sheetViews>
    <sheetView topLeftCell="A28" zoomScaleNormal="100" workbookViewId="0">
      <selection activeCell="J44" sqref="J44"/>
    </sheetView>
  </sheetViews>
  <sheetFormatPr defaultColWidth="9.140625" defaultRowHeight="12.75" x14ac:dyDescent="0.2"/>
  <cols>
    <col min="1" max="1" width="2.5703125" style="9" customWidth="1"/>
    <col min="2" max="2" width="4.140625" style="9" customWidth="1"/>
    <col min="3" max="3" width="35.5703125" style="9" customWidth="1"/>
    <col min="4" max="6" width="18.140625" style="9" customWidth="1"/>
    <col min="7" max="16384" width="9.140625" style="9"/>
  </cols>
  <sheetData>
    <row r="1" spans="1:9" ht="21.75" x14ac:dyDescent="0.2">
      <c r="A1" s="218"/>
      <c r="C1" s="565"/>
      <c r="D1" s="565"/>
      <c r="E1" s="565"/>
    </row>
    <row r="2" spans="1:9" ht="18" x14ac:dyDescent="0.25">
      <c r="C2" s="566"/>
      <c r="D2" s="566"/>
      <c r="E2" s="566"/>
      <c r="F2" s="566"/>
      <c r="G2" s="566"/>
      <c r="H2" s="566"/>
      <c r="I2" s="566"/>
    </row>
    <row r="3" spans="1:9" ht="18" x14ac:dyDescent="0.25">
      <c r="C3" s="566"/>
      <c r="D3" s="566"/>
      <c r="E3" s="566"/>
      <c r="F3" s="566"/>
      <c r="G3" s="566"/>
      <c r="H3" s="566"/>
      <c r="I3" s="566"/>
    </row>
    <row r="4" spans="1:9" ht="18" x14ac:dyDescent="0.25">
      <c r="C4" s="566"/>
      <c r="D4" s="566"/>
      <c r="E4" s="566"/>
      <c r="F4" s="566"/>
      <c r="G4" s="566"/>
      <c r="H4" s="566"/>
      <c r="I4" s="566"/>
    </row>
    <row r="6" spans="1:9" ht="48.75" customHeight="1" x14ac:dyDescent="0.2"/>
    <row r="8" spans="1:9" ht="18" x14ac:dyDescent="0.25">
      <c r="C8" s="258" t="s">
        <v>261</v>
      </c>
    </row>
    <row r="10" spans="1:9" ht="18" x14ac:dyDescent="0.2">
      <c r="C10" s="261" t="s">
        <v>262</v>
      </c>
      <c r="D10" s="40"/>
      <c r="E10" s="40"/>
      <c r="F10" s="40"/>
    </row>
    <row r="11" spans="1:9" x14ac:dyDescent="0.2">
      <c r="C11" s="42"/>
      <c r="D11" s="40"/>
      <c r="F11" s="40"/>
    </row>
    <row r="12" spans="1:9" ht="13.5" thickBot="1" x14ac:dyDescent="0.25"/>
    <row r="13" spans="1:9" ht="24.75" thickBot="1" x14ac:dyDescent="0.25">
      <c r="C13" s="43" t="s">
        <v>79</v>
      </c>
      <c r="D13" s="44" t="s">
        <v>163</v>
      </c>
      <c r="E13" s="44" t="s">
        <v>80</v>
      </c>
      <c r="F13" s="46" t="s">
        <v>164</v>
      </c>
    </row>
    <row r="14" spans="1:9" x14ac:dyDescent="0.2">
      <c r="C14" s="116"/>
      <c r="D14" s="114"/>
      <c r="E14" s="115"/>
      <c r="F14" s="117"/>
    </row>
    <row r="15" spans="1:9" x14ac:dyDescent="0.2">
      <c r="C15" s="118" t="s">
        <v>463</v>
      </c>
      <c r="D15" s="262"/>
      <c r="E15" s="263"/>
      <c r="F15" s="119">
        <f>D15-E15</f>
        <v>0</v>
      </c>
      <c r="G15" s="308" t="s">
        <v>312</v>
      </c>
    </row>
    <row r="16" spans="1:9" x14ac:dyDescent="0.2">
      <c r="C16" s="592" t="s">
        <v>462</v>
      </c>
      <c r="D16" s="593"/>
      <c r="E16" s="593"/>
      <c r="F16" s="594"/>
    </row>
    <row r="17" spans="3:7" x14ac:dyDescent="0.2">
      <c r="C17" s="120" t="s">
        <v>86</v>
      </c>
      <c r="D17" s="262">
        <v>131556</v>
      </c>
      <c r="E17" s="262"/>
      <c r="F17" s="119">
        <f t="shared" ref="F17:F26" si="0">D17-E17</f>
        <v>131556</v>
      </c>
      <c r="G17" s="308" t="s">
        <v>312</v>
      </c>
    </row>
    <row r="18" spans="3:7" ht="24" x14ac:dyDescent="0.2">
      <c r="C18" s="118" t="s">
        <v>466</v>
      </c>
      <c r="D18" s="262"/>
      <c r="E18" s="262"/>
      <c r="F18" s="119">
        <f t="shared" si="0"/>
        <v>0</v>
      </c>
      <c r="G18" s="308" t="s">
        <v>312</v>
      </c>
    </row>
    <row r="19" spans="3:7" x14ac:dyDescent="0.2">
      <c r="C19" s="118" t="s">
        <v>88</v>
      </c>
      <c r="D19" s="262"/>
      <c r="E19" s="262"/>
      <c r="F19" s="119">
        <f t="shared" si="0"/>
        <v>0</v>
      </c>
      <c r="G19" s="308" t="s">
        <v>312</v>
      </c>
    </row>
    <row r="20" spans="3:7" x14ac:dyDescent="0.2">
      <c r="C20" s="118" t="s">
        <v>461</v>
      </c>
      <c r="D20" s="262"/>
      <c r="E20" s="262"/>
      <c r="F20" s="119">
        <f t="shared" si="0"/>
        <v>0</v>
      </c>
      <c r="G20" s="308" t="s">
        <v>312</v>
      </c>
    </row>
    <row r="21" spans="3:7" x14ac:dyDescent="0.2">
      <c r="C21" s="118" t="s">
        <v>90</v>
      </c>
      <c r="D21" s="262"/>
      <c r="E21" s="262"/>
      <c r="F21" s="119">
        <f t="shared" si="0"/>
        <v>0</v>
      </c>
      <c r="G21" s="308" t="s">
        <v>312</v>
      </c>
    </row>
    <row r="22" spans="3:7" x14ac:dyDescent="0.2">
      <c r="C22" s="264"/>
      <c r="D22" s="262"/>
      <c r="E22" s="262"/>
      <c r="F22" s="119">
        <f t="shared" si="0"/>
        <v>0</v>
      </c>
    </row>
    <row r="23" spans="3:7" x14ac:dyDescent="0.2">
      <c r="C23" s="264"/>
      <c r="D23" s="262"/>
      <c r="E23" s="262"/>
      <c r="F23" s="119">
        <f t="shared" si="0"/>
        <v>0</v>
      </c>
    </row>
    <row r="24" spans="3:7" x14ac:dyDescent="0.2">
      <c r="C24" s="264"/>
      <c r="D24" s="262"/>
      <c r="E24" s="262"/>
      <c r="F24" s="119">
        <f t="shared" si="0"/>
        <v>0</v>
      </c>
    </row>
    <row r="25" spans="3:7" x14ac:dyDescent="0.2">
      <c r="C25" s="264" t="s">
        <v>510</v>
      </c>
      <c r="D25" s="262">
        <v>4316342</v>
      </c>
      <c r="E25" s="262"/>
      <c r="F25" s="119">
        <f t="shared" si="0"/>
        <v>4316342</v>
      </c>
    </row>
    <row r="26" spans="3:7" ht="16.5" thickBot="1" x14ac:dyDescent="0.25">
      <c r="C26" s="265" t="s">
        <v>511</v>
      </c>
      <c r="D26" s="262">
        <v>220400</v>
      </c>
      <c r="E26" s="262"/>
      <c r="F26" s="119">
        <f t="shared" si="0"/>
        <v>220400</v>
      </c>
    </row>
    <row r="27" spans="3:7" ht="19.5" thickBot="1" x14ac:dyDescent="0.25">
      <c r="C27" s="54" t="s">
        <v>3</v>
      </c>
      <c r="D27" s="219">
        <f>SUM(D17:D26)</f>
        <v>4668298</v>
      </c>
      <c r="E27" s="55">
        <f>SUM(E17:E26)</f>
        <v>0</v>
      </c>
      <c r="F27" s="239">
        <f>SUM(F17:F26)</f>
        <v>4668298</v>
      </c>
    </row>
    <row r="28" spans="3:7" x14ac:dyDescent="0.2">
      <c r="C28" s="121"/>
      <c r="D28" s="57"/>
      <c r="E28" s="57"/>
      <c r="F28" s="122"/>
    </row>
    <row r="29" spans="3:7" x14ac:dyDescent="0.2">
      <c r="C29" s="592" t="s">
        <v>91</v>
      </c>
      <c r="D29" s="593"/>
      <c r="E29" s="593"/>
      <c r="F29" s="594"/>
    </row>
    <row r="30" spans="3:7" ht="24" x14ac:dyDescent="0.2">
      <c r="C30" s="118" t="s">
        <v>460</v>
      </c>
      <c r="D30" s="262"/>
      <c r="E30" s="263"/>
      <c r="F30" s="119">
        <f t="shared" ref="F30:F50" si="1">D30-E30</f>
        <v>0</v>
      </c>
      <c r="G30" s="308" t="s">
        <v>312</v>
      </c>
    </row>
    <row r="31" spans="3:7" x14ac:dyDescent="0.2">
      <c r="C31" s="118" t="s">
        <v>93</v>
      </c>
      <c r="D31" s="262">
        <v>131556</v>
      </c>
      <c r="E31" s="263"/>
      <c r="F31" s="119">
        <f t="shared" si="1"/>
        <v>131556</v>
      </c>
      <c r="G31" s="308" t="s">
        <v>312</v>
      </c>
    </row>
    <row r="32" spans="3:7" x14ac:dyDescent="0.2">
      <c r="C32" s="118" t="s">
        <v>94</v>
      </c>
      <c r="D32" s="262"/>
      <c r="E32" s="263"/>
      <c r="F32" s="119">
        <f t="shared" si="1"/>
        <v>0</v>
      </c>
      <c r="G32" s="308" t="s">
        <v>312</v>
      </c>
    </row>
    <row r="33" spans="3:7" x14ac:dyDescent="0.2">
      <c r="C33" s="123" t="s">
        <v>95</v>
      </c>
      <c r="D33" s="262"/>
      <c r="E33" s="263"/>
      <c r="F33" s="119">
        <f t="shared" si="1"/>
        <v>0</v>
      </c>
      <c r="G33" s="308" t="s">
        <v>312</v>
      </c>
    </row>
    <row r="34" spans="3:7" x14ac:dyDescent="0.2">
      <c r="C34" s="123" t="s">
        <v>96</v>
      </c>
      <c r="D34" s="262"/>
      <c r="E34" s="263"/>
      <c r="F34" s="119">
        <f t="shared" si="1"/>
        <v>0</v>
      </c>
      <c r="G34" s="308" t="s">
        <v>312</v>
      </c>
    </row>
    <row r="35" spans="3:7" x14ac:dyDescent="0.2">
      <c r="C35" s="123" t="s">
        <v>97</v>
      </c>
      <c r="D35" s="262"/>
      <c r="E35" s="263"/>
      <c r="F35" s="119">
        <f t="shared" si="1"/>
        <v>0</v>
      </c>
      <c r="G35" s="308" t="s">
        <v>312</v>
      </c>
    </row>
    <row r="36" spans="3:7" x14ac:dyDescent="0.2">
      <c r="C36" s="123" t="s">
        <v>98</v>
      </c>
      <c r="D36" s="262"/>
      <c r="E36" s="263"/>
      <c r="F36" s="119">
        <f t="shared" si="1"/>
        <v>0</v>
      </c>
      <c r="G36" s="308" t="s">
        <v>312</v>
      </c>
    </row>
    <row r="37" spans="3:7" x14ac:dyDescent="0.2">
      <c r="C37" s="123" t="s">
        <v>99</v>
      </c>
      <c r="D37" s="262"/>
      <c r="E37" s="263"/>
      <c r="F37" s="119">
        <f t="shared" si="1"/>
        <v>0</v>
      </c>
      <c r="G37" s="308" t="s">
        <v>312</v>
      </c>
    </row>
    <row r="38" spans="3:7" x14ac:dyDescent="0.2">
      <c r="C38" s="118" t="s">
        <v>100</v>
      </c>
      <c r="D38" s="262"/>
      <c r="E38" s="263"/>
      <c r="F38" s="119">
        <f t="shared" si="1"/>
        <v>0</v>
      </c>
      <c r="G38" s="308" t="s">
        <v>312</v>
      </c>
    </row>
    <row r="39" spans="3:7" x14ac:dyDescent="0.2">
      <c r="C39" s="118" t="s">
        <v>101</v>
      </c>
      <c r="D39" s="262"/>
      <c r="E39" s="263"/>
      <c r="F39" s="119">
        <f t="shared" si="1"/>
        <v>0</v>
      </c>
      <c r="G39" s="308" t="s">
        <v>312</v>
      </c>
    </row>
    <row r="40" spans="3:7" x14ac:dyDescent="0.2">
      <c r="C40" s="118" t="s">
        <v>102</v>
      </c>
      <c r="D40" s="262"/>
      <c r="E40" s="263"/>
      <c r="F40" s="119">
        <f t="shared" si="1"/>
        <v>0</v>
      </c>
      <c r="G40" s="308" t="s">
        <v>312</v>
      </c>
    </row>
    <row r="41" spans="3:7" x14ac:dyDescent="0.2">
      <c r="C41" s="118" t="s">
        <v>103</v>
      </c>
      <c r="D41" s="262"/>
      <c r="E41" s="263"/>
      <c r="F41" s="119">
        <f t="shared" si="1"/>
        <v>0</v>
      </c>
      <c r="G41" s="308" t="s">
        <v>312</v>
      </c>
    </row>
    <row r="42" spans="3:7" x14ac:dyDescent="0.2">
      <c r="C42" s="118" t="s">
        <v>104</v>
      </c>
      <c r="D42" s="262"/>
      <c r="E42" s="263"/>
      <c r="F42" s="119">
        <f t="shared" si="1"/>
        <v>0</v>
      </c>
      <c r="G42" s="308" t="s">
        <v>312</v>
      </c>
    </row>
    <row r="43" spans="3:7" ht="24" x14ac:dyDescent="0.2">
      <c r="C43" s="118" t="s">
        <v>105</v>
      </c>
      <c r="D43" s="262"/>
      <c r="E43" s="263"/>
      <c r="F43" s="119">
        <f t="shared" si="1"/>
        <v>0</v>
      </c>
      <c r="G43" s="308" t="s">
        <v>312</v>
      </c>
    </row>
    <row r="44" spans="3:7" ht="24" x14ac:dyDescent="0.2">
      <c r="C44" s="118" t="s">
        <v>106</v>
      </c>
      <c r="D44" s="262"/>
      <c r="E44" s="263"/>
      <c r="F44" s="119">
        <f t="shared" si="1"/>
        <v>0</v>
      </c>
      <c r="G44" s="308" t="s">
        <v>312</v>
      </c>
    </row>
    <row r="45" spans="3:7" x14ac:dyDescent="0.2">
      <c r="C45" s="118" t="s">
        <v>107</v>
      </c>
      <c r="D45" s="262"/>
      <c r="E45" s="263"/>
      <c r="F45" s="119">
        <f t="shared" si="1"/>
        <v>0</v>
      </c>
      <c r="G45" s="308" t="s">
        <v>312</v>
      </c>
    </row>
    <row r="46" spans="3:7" x14ac:dyDescent="0.2">
      <c r="C46" s="264"/>
      <c r="D46" s="262"/>
      <c r="E46" s="263"/>
      <c r="F46" s="119"/>
    </row>
    <row r="47" spans="3:7" x14ac:dyDescent="0.2">
      <c r="C47" s="264"/>
      <c r="D47" s="262"/>
      <c r="E47" s="263"/>
      <c r="F47" s="119"/>
    </row>
    <row r="48" spans="3:7" x14ac:dyDescent="0.2">
      <c r="C48" s="264"/>
      <c r="D48" s="262"/>
      <c r="E48" s="263"/>
      <c r="F48" s="119"/>
    </row>
    <row r="49" spans="3:6" x14ac:dyDescent="0.2">
      <c r="C49" s="264" t="s">
        <v>510</v>
      </c>
      <c r="D49" s="262">
        <v>4316342</v>
      </c>
      <c r="E49" s="263"/>
      <c r="F49" s="119">
        <f t="shared" si="1"/>
        <v>4316342</v>
      </c>
    </row>
    <row r="50" spans="3:6" ht="16.5" thickBot="1" x14ac:dyDescent="0.25">
      <c r="C50" s="265" t="s">
        <v>511</v>
      </c>
      <c r="D50" s="262">
        <v>220400</v>
      </c>
      <c r="E50" s="263"/>
      <c r="F50" s="119">
        <f t="shared" si="1"/>
        <v>220400</v>
      </c>
    </row>
    <row r="51" spans="3:6" ht="19.5" thickBot="1" x14ac:dyDescent="0.25">
      <c r="C51" s="54" t="s">
        <v>108</v>
      </c>
      <c r="D51" s="240">
        <f>SUM(D30:D50)</f>
        <v>4668298</v>
      </c>
      <c r="E51" s="61">
        <f>SUM(E30:E50)</f>
        <v>0</v>
      </c>
      <c r="F51" s="241">
        <f>SUM(F30:F50)</f>
        <v>4668298</v>
      </c>
    </row>
  </sheetData>
  <sheetProtection algorithmName="SHA-512" hashValue="3wUO63hrpjfqUZWWhe6FI9xCr5Yaf+IFmTnqGlPsF5Ern76xLrXFWR+xz9Hrjuu0E+oAUq2jk/iMwrxVh7OtAA==" saltValue="8znyBQ22mWcycVjGbPg2DA==" spinCount="100000" sheet="1" objects="1" scenarios="1"/>
  <mergeCells count="6">
    <mergeCell ref="C16:F16"/>
    <mergeCell ref="C29:F29"/>
    <mergeCell ref="C1:E1"/>
    <mergeCell ref="C2:I2"/>
    <mergeCell ref="C3:I3"/>
    <mergeCell ref="C4:I4"/>
  </mergeCells>
  <phoneticPr fontId="3" type="noConversion"/>
  <conditionalFormatting sqref="E27">
    <cfRule type="cellIs" dxfId="57" priority="2" stopIfTrue="1" operator="notEqual">
      <formula>$C$14</formula>
    </cfRule>
  </conditionalFormatting>
  <conditionalFormatting sqref="E51">
    <cfRule type="cellIs" dxfId="56" priority="4" stopIfTrue="1" operator="notEqual">
      <formula>$B$37</formula>
    </cfRule>
  </conditionalFormatting>
  <conditionalFormatting sqref="F15 F30:F50 F17:F26">
    <cfRule type="cellIs" dxfId="55" priority="6" stopIfTrue="1" operator="lessThan">
      <formula>0</formula>
    </cfRule>
  </conditionalFormatting>
  <conditionalFormatting sqref="C22:C26 D17:E26 D15:E15 C46:C50 D30:E50">
    <cfRule type="expression" dxfId="54" priority="7" stopIfTrue="1">
      <formula>ISBLANK(C15)</formula>
    </cfRule>
  </conditionalFormatting>
  <hyperlinks>
    <hyperlink ref="G15" location="'B13 Sch 13 Reserves Bridge'!A1" display="B13" xr:uid="{00000000-0004-0000-0A00-000000000000}"/>
    <hyperlink ref="G17" location="'B13 Sch 13 Reserves Bridge'!A1" display="B13" xr:uid="{00000000-0004-0000-0A00-000001000000}"/>
    <hyperlink ref="G18:G21" location="'B13 Sch 13 Reserves Bridge'!A1" display="B13" xr:uid="{00000000-0004-0000-0A00-000002000000}"/>
    <hyperlink ref="G30:G45" location="'B13 Sch 13 Reserves Bridge'!A1" display="B13" xr:uid="{00000000-0004-0000-0A00-000003000000}"/>
  </hyperlinks>
  <pageMargins left="0.35433070866141736" right="0.15748031496062992" top="0.39370078740157483" bottom="0.39370078740157483" header="0.51181102362204722" footer="0.51181102362204722"/>
  <pageSetup scale="91" orientation="portrait"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M37"/>
  <sheetViews>
    <sheetView topLeftCell="A4" zoomScaleNormal="100" workbookViewId="0">
      <selection activeCell="J25" sqref="J25"/>
    </sheetView>
  </sheetViews>
  <sheetFormatPr defaultColWidth="9.140625" defaultRowHeight="12.75" x14ac:dyDescent="0.2"/>
  <cols>
    <col min="1" max="1" width="4.140625" style="9" customWidth="1"/>
    <col min="2" max="2" width="13.140625" style="9" customWidth="1"/>
    <col min="3" max="3" width="32.140625" style="9" customWidth="1"/>
    <col min="4" max="4" width="42.85546875" style="9" customWidth="1"/>
    <col min="5" max="5" width="11.42578125" style="9" bestFit="1" customWidth="1"/>
    <col min="6" max="6" width="10" style="9" customWidth="1"/>
    <col min="7" max="7" width="16.140625" style="9" bestFit="1" customWidth="1"/>
    <col min="8" max="8" width="16.140625" style="9" customWidth="1"/>
    <col min="9" max="9" width="10.42578125" style="9" customWidth="1"/>
    <col min="10" max="10" width="16.140625" style="9" bestFit="1" customWidth="1"/>
    <col min="11" max="11" width="11.85546875" style="9" bestFit="1" customWidth="1"/>
    <col min="12" max="12" width="4.5703125" style="9" customWidth="1"/>
    <col min="13" max="16384" width="9.140625" style="9"/>
  </cols>
  <sheetData>
    <row r="1" spans="1:13" ht="21.75" x14ac:dyDescent="0.2">
      <c r="A1" s="218"/>
      <c r="C1" s="565"/>
      <c r="D1" s="565"/>
      <c r="E1" s="565"/>
      <c r="F1" s="565"/>
      <c r="G1" s="565"/>
      <c r="H1" s="440"/>
      <c r="I1" s="440"/>
    </row>
    <row r="2" spans="1:13" ht="18" x14ac:dyDescent="0.25">
      <c r="C2" s="566"/>
      <c r="D2" s="566"/>
      <c r="E2" s="566"/>
      <c r="F2" s="566"/>
      <c r="G2" s="566"/>
      <c r="H2" s="566"/>
      <c r="I2" s="566"/>
      <c r="J2" s="566"/>
      <c r="K2" s="566"/>
      <c r="L2" s="566"/>
      <c r="M2" s="566"/>
    </row>
    <row r="3" spans="1:13" ht="18" x14ac:dyDescent="0.25">
      <c r="C3" s="566"/>
      <c r="D3" s="566"/>
      <c r="E3" s="566"/>
      <c r="F3" s="566"/>
      <c r="G3" s="566"/>
      <c r="H3" s="566"/>
      <c r="I3" s="566"/>
      <c r="J3" s="566"/>
      <c r="K3" s="566"/>
      <c r="L3" s="566"/>
      <c r="M3" s="566"/>
    </row>
    <row r="4" spans="1:13" ht="50.25" customHeight="1" x14ac:dyDescent="0.25">
      <c r="C4" s="566"/>
      <c r="D4" s="566"/>
      <c r="E4" s="566"/>
      <c r="F4" s="566"/>
      <c r="G4" s="566"/>
      <c r="H4" s="566"/>
      <c r="I4" s="566"/>
      <c r="J4" s="566"/>
      <c r="K4" s="566"/>
      <c r="L4" s="566"/>
      <c r="M4" s="566"/>
    </row>
    <row r="5" spans="1:13" ht="50.25" customHeight="1" x14ac:dyDescent="0.2"/>
    <row r="6" spans="1:13" ht="18" x14ac:dyDescent="0.25">
      <c r="B6" s="258" t="s">
        <v>268</v>
      </c>
    </row>
    <row r="8" spans="1:13" ht="18" x14ac:dyDescent="0.2">
      <c r="C8" s="87"/>
      <c r="D8" s="87"/>
      <c r="E8" s="82"/>
      <c r="F8" s="82"/>
      <c r="G8" s="82"/>
      <c r="H8" s="82"/>
      <c r="I8" s="82"/>
      <c r="J8" s="290" t="s">
        <v>264</v>
      </c>
      <c r="K8" s="88"/>
    </row>
    <row r="9" spans="1:13" x14ac:dyDescent="0.2">
      <c r="C9" s="87"/>
      <c r="D9" s="87"/>
      <c r="E9" s="82"/>
      <c r="F9" s="82"/>
      <c r="G9" s="82"/>
      <c r="H9" s="82"/>
      <c r="I9" s="319" t="s">
        <v>307</v>
      </c>
      <c r="J9" s="22"/>
      <c r="K9" s="88"/>
    </row>
    <row r="10" spans="1:13" x14ac:dyDescent="0.2">
      <c r="C10" s="89" t="s">
        <v>156</v>
      </c>
      <c r="D10" s="89"/>
      <c r="E10" s="82"/>
      <c r="F10" s="82"/>
      <c r="G10" s="82"/>
      <c r="H10" s="82"/>
      <c r="I10" s="306" t="s">
        <v>309</v>
      </c>
      <c r="J10" s="185">
        <f>'B1 Sch 1 Taxable Income Bridge'!F111</f>
        <v>6396.1567944446579</v>
      </c>
      <c r="K10" s="179" t="s">
        <v>0</v>
      </c>
    </row>
    <row r="11" spans="1:13" x14ac:dyDescent="0.2">
      <c r="C11" s="90"/>
      <c r="D11" s="90"/>
      <c r="E11" s="82"/>
      <c r="F11" s="82"/>
      <c r="G11" s="82"/>
      <c r="H11" s="82"/>
      <c r="I11" s="82"/>
      <c r="J11" s="82"/>
      <c r="K11" s="180"/>
    </row>
    <row r="12" spans="1:13" ht="51" x14ac:dyDescent="0.2">
      <c r="C12" s="406"/>
      <c r="D12" s="411" t="s">
        <v>354</v>
      </c>
      <c r="E12" s="411" t="s">
        <v>358</v>
      </c>
      <c r="F12" s="411" t="s">
        <v>355</v>
      </c>
      <c r="G12" s="412" t="s">
        <v>356</v>
      </c>
      <c r="H12" s="82"/>
      <c r="I12" s="82"/>
      <c r="J12" s="82"/>
      <c r="K12" s="180"/>
    </row>
    <row r="13" spans="1:13" x14ac:dyDescent="0.2">
      <c r="C13" s="406" t="s">
        <v>359</v>
      </c>
      <c r="D13" s="408">
        <v>0.115</v>
      </c>
      <c r="E13" s="408">
        <f>IF('A. Data Input Sheet'!H9&lt;=10000000, ontario_SB, IF('A. Data Input Sheet'!H9&gt;=15000000, ontariotax, IF(AND('A. Data Input Sheet'!H9&gt;10000000, 'A. Data Input Sheet'!H9&lt;15000000), ontario_SB+ ('A. Data Input Sheet'!H9 - 10000000)*(ontariotax - ontario_SB)/(15000000-10000000))))</f>
        <v>0.115</v>
      </c>
      <c r="F13" s="413">
        <f>IF(J10&lt;500000,J10,500000)*E13+IF(J10&gt;500000,J10-500000,0)*D13</f>
        <v>735.5580313611357</v>
      </c>
      <c r="G13" s="408">
        <f>IF(F13=0,0,+F13/J10)</f>
        <v>0.115</v>
      </c>
      <c r="H13" s="177" t="s">
        <v>134</v>
      </c>
      <c r="I13" s="82"/>
      <c r="J13" s="82"/>
      <c r="K13" s="180"/>
    </row>
    <row r="14" spans="1:13" x14ac:dyDescent="0.2">
      <c r="C14" s="406" t="s">
        <v>360</v>
      </c>
      <c r="D14" s="408">
        <v>0.15</v>
      </c>
      <c r="E14" s="414">
        <f>IF('A. Data Input Sheet'!H9&lt;=10000000, Fed_SB_Bridge, IF('A. Data Input Sheet'!H9&gt;=15000000, FedTax, IF(AND('A. Data Input Sheet'!H9&gt;10000000, 'A. Data Input Sheet'!H9&lt;15000000), Fed_SB_Bridge+ ('A. Data Input Sheet'!H9 - 10000000)*(FedTax -Fed_SB_Bridge)/(15000000-10000000))))</f>
        <v>0.15000000000000002</v>
      </c>
      <c r="F14" s="413">
        <f>E14*IF(J10&lt;500000,J10,500000)+IF(J10&gt;500000,J10-500000,0)*D14</f>
        <v>959.42351916669884</v>
      </c>
      <c r="G14" s="408">
        <f>IF(F14=0,0,+F14/J10)</f>
        <v>0.15000000000000002</v>
      </c>
      <c r="H14" s="177" t="s">
        <v>296</v>
      </c>
      <c r="I14" s="82"/>
      <c r="J14" s="82"/>
      <c r="K14" s="180"/>
    </row>
    <row r="15" spans="1:13" ht="12.75" customHeight="1" x14ac:dyDescent="0.2">
      <c r="C15" s="90"/>
      <c r="D15" s="90"/>
      <c r="E15" s="82"/>
      <c r="F15" s="82"/>
      <c r="G15" s="82"/>
      <c r="H15" s="82"/>
      <c r="I15" s="178"/>
      <c r="J15" s="82"/>
      <c r="K15" s="180"/>
    </row>
    <row r="16" spans="1:13" ht="14.25" x14ac:dyDescent="0.2">
      <c r="C16" s="406" t="s">
        <v>361</v>
      </c>
      <c r="D16" s="106"/>
      <c r="E16" s="82"/>
      <c r="F16" s="82"/>
      <c r="I16" s="178"/>
      <c r="J16" s="187">
        <f>SUM(G13:G14)</f>
        <v>0.26500000000000001</v>
      </c>
      <c r="K16" s="179" t="s">
        <v>297</v>
      </c>
    </row>
    <row r="17" spans="3:11" x14ac:dyDescent="0.2">
      <c r="C17" s="90"/>
      <c r="D17" s="90"/>
      <c r="E17" s="82"/>
      <c r="F17" s="82"/>
      <c r="G17" s="82"/>
      <c r="H17" s="82"/>
      <c r="I17" s="178"/>
      <c r="J17" s="82"/>
      <c r="K17" s="180"/>
    </row>
    <row r="18" spans="3:11" x14ac:dyDescent="0.2">
      <c r="C18" s="82"/>
      <c r="D18" s="82"/>
      <c r="E18" s="82"/>
      <c r="F18" s="82"/>
      <c r="G18" s="82"/>
      <c r="H18" s="82"/>
      <c r="I18" s="178"/>
      <c r="J18" s="82"/>
      <c r="K18" s="180"/>
    </row>
    <row r="19" spans="3:11" x14ac:dyDescent="0.2">
      <c r="C19" s="84" t="s">
        <v>120</v>
      </c>
      <c r="D19" s="84"/>
      <c r="E19" s="82"/>
      <c r="F19" s="82"/>
      <c r="G19" s="82"/>
      <c r="H19" s="82"/>
      <c r="I19" s="341"/>
      <c r="J19" s="188">
        <f>IF(J10*J16&lt;0,0,J10*J16)</f>
        <v>1694.9815505278343</v>
      </c>
      <c r="K19" s="179" t="s">
        <v>298</v>
      </c>
    </row>
    <row r="20" spans="3:11" ht="6.75" customHeight="1" x14ac:dyDescent="0.2">
      <c r="C20" s="82"/>
      <c r="D20" s="82"/>
      <c r="E20" s="82"/>
      <c r="F20" s="82"/>
      <c r="G20" s="82"/>
      <c r="H20" s="82"/>
      <c r="I20" s="178"/>
      <c r="J20" s="85"/>
      <c r="K20" s="180"/>
    </row>
    <row r="21" spans="3:11" x14ac:dyDescent="0.2">
      <c r="C21" s="90" t="s">
        <v>121</v>
      </c>
      <c r="D21" s="82"/>
      <c r="E21" s="82"/>
      <c r="F21" s="82"/>
      <c r="G21" s="82"/>
      <c r="H21" s="82"/>
      <c r="I21" s="178"/>
      <c r="J21" s="272">
        <v>2000</v>
      </c>
      <c r="K21" s="179" t="s">
        <v>299</v>
      </c>
    </row>
    <row r="22" spans="3:11" x14ac:dyDescent="0.2">
      <c r="C22" s="90" t="s">
        <v>122</v>
      </c>
      <c r="D22" s="82"/>
      <c r="E22" s="82"/>
      <c r="F22" s="82"/>
      <c r="G22" s="82"/>
      <c r="H22" s="82"/>
      <c r="I22" s="178"/>
      <c r="J22" s="272"/>
      <c r="K22" s="179" t="s">
        <v>300</v>
      </c>
    </row>
    <row r="23" spans="3:11" x14ac:dyDescent="0.2">
      <c r="C23" s="84" t="s">
        <v>183</v>
      </c>
      <c r="D23" s="82"/>
      <c r="E23" s="82"/>
      <c r="F23" s="82"/>
      <c r="G23" s="82"/>
      <c r="H23" s="82"/>
      <c r="I23" s="178"/>
      <c r="J23" s="188">
        <f>SUM(J21:J22)</f>
        <v>2000</v>
      </c>
      <c r="K23" s="179" t="s">
        <v>301</v>
      </c>
    </row>
    <row r="24" spans="3:11" x14ac:dyDescent="0.2">
      <c r="C24" s="82"/>
      <c r="D24" s="82"/>
      <c r="E24" s="82"/>
      <c r="F24" s="82"/>
      <c r="G24" s="82"/>
      <c r="H24" s="82"/>
      <c r="I24" s="178"/>
      <c r="J24" s="91"/>
      <c r="K24" s="180"/>
    </row>
    <row r="25" spans="3:11" x14ac:dyDescent="0.2">
      <c r="C25" s="84" t="s">
        <v>246</v>
      </c>
      <c r="D25" s="84"/>
      <c r="E25" s="82"/>
      <c r="F25" s="82"/>
      <c r="G25" s="82"/>
      <c r="H25" s="82"/>
      <c r="I25" s="178"/>
      <c r="J25" s="188">
        <f>IF(J19-J23&lt;0,0,J19-J23)</f>
        <v>0</v>
      </c>
      <c r="K25" s="179" t="s">
        <v>362</v>
      </c>
    </row>
    <row r="26" spans="3:11" x14ac:dyDescent="0.2">
      <c r="C26" s="82"/>
      <c r="D26" s="82"/>
      <c r="E26" s="82"/>
      <c r="F26" s="82"/>
      <c r="G26" s="82"/>
      <c r="H26" s="82"/>
      <c r="I26" s="178"/>
      <c r="J26" s="92"/>
      <c r="K26" s="180"/>
    </row>
    <row r="27" spans="3:11" x14ac:dyDescent="0.2">
      <c r="C27" s="82"/>
      <c r="D27" s="82"/>
      <c r="E27" s="82"/>
      <c r="F27" s="82"/>
      <c r="G27" s="186"/>
      <c r="H27" s="186"/>
      <c r="I27" s="177"/>
      <c r="J27" s="216"/>
      <c r="K27" s="177"/>
    </row>
    <row r="28" spans="3:11" x14ac:dyDescent="0.2">
      <c r="C28" s="81"/>
      <c r="D28" s="81"/>
      <c r="E28" s="82"/>
      <c r="F28" s="82"/>
      <c r="G28" s="82"/>
      <c r="H28" s="82"/>
      <c r="I28" s="82"/>
      <c r="J28" s="83"/>
      <c r="K28" s="178"/>
    </row>
    <row r="29" spans="3:11" x14ac:dyDescent="0.2">
      <c r="C29" s="39" t="s">
        <v>188</v>
      </c>
      <c r="G29" s="82"/>
      <c r="H29" s="82"/>
      <c r="I29" s="82"/>
      <c r="J29" s="83"/>
      <c r="K29" s="178"/>
    </row>
    <row r="30" spans="3:11" ht="32.25" customHeight="1" x14ac:dyDescent="0.2">
      <c r="C30" s="570" t="s">
        <v>249</v>
      </c>
      <c r="D30" s="570"/>
      <c r="E30" s="570"/>
      <c r="F30" s="570"/>
      <c r="G30" s="82"/>
      <c r="H30" s="82"/>
      <c r="I30" s="82"/>
      <c r="J30" s="216"/>
      <c r="K30" s="177"/>
    </row>
    <row r="31" spans="3:11" x14ac:dyDescent="0.2">
      <c r="C31" s="82"/>
      <c r="D31" s="82"/>
      <c r="E31" s="82"/>
      <c r="F31" s="82"/>
      <c r="G31" s="82"/>
      <c r="H31" s="82"/>
      <c r="I31" s="82"/>
      <c r="J31" s="211"/>
    </row>
    <row r="33" spans="3:10" x14ac:dyDescent="0.2">
      <c r="C33" s="39"/>
    </row>
    <row r="34" spans="3:10" ht="36" customHeight="1" x14ac:dyDescent="0.2">
      <c r="C34" s="570"/>
      <c r="D34" s="570"/>
      <c r="E34" s="570"/>
      <c r="F34" s="570"/>
      <c r="J34" s="215"/>
    </row>
    <row r="35" spans="3:10" x14ac:dyDescent="0.2">
      <c r="J35" s="214"/>
    </row>
    <row r="36" spans="3:10" x14ac:dyDescent="0.2">
      <c r="J36" s="214"/>
    </row>
    <row r="37" spans="3:10" x14ac:dyDescent="0.2">
      <c r="J37" s="213"/>
    </row>
  </sheetData>
  <sheetProtection algorithmName="SHA-512" hashValue="vtlOW/8b86UoiMXdQbB+Nl1w7fP/ZbiovZ+WYSt5ba9JEzbVgGc9m2LuPr1aBFZ+tLzVkHxacwA0ingCI428+w==" saltValue="A5rpN8er9lPr4zQkT2yKtA==" spinCount="100000" sheet="1" objects="1" scenarios="1"/>
  <mergeCells count="6">
    <mergeCell ref="C34:F34"/>
    <mergeCell ref="C1:G1"/>
    <mergeCell ref="C2:M2"/>
    <mergeCell ref="C3:M3"/>
    <mergeCell ref="C4:M4"/>
    <mergeCell ref="C30:F30"/>
  </mergeCells>
  <phoneticPr fontId="3" type="noConversion"/>
  <conditionalFormatting sqref="J21:J22">
    <cfRule type="expression" dxfId="53" priority="1" stopIfTrue="1">
      <formula>ISBLANK(J21)</formula>
    </cfRule>
  </conditionalFormatting>
  <hyperlinks>
    <hyperlink ref="I10" location="'B1 Sch 1 Taxable Income Bridge'!A1" display="B1" xr:uid="{00000000-0004-0000-0B00-000000000000}"/>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J111"/>
  <sheetViews>
    <sheetView topLeftCell="A19" zoomScaleNormal="100" workbookViewId="0">
      <selection activeCell="C58" sqref="C58"/>
    </sheetView>
  </sheetViews>
  <sheetFormatPr defaultColWidth="9.140625" defaultRowHeight="12.75" x14ac:dyDescent="0.2"/>
  <cols>
    <col min="1" max="1" width="1.85546875" style="9" customWidth="1"/>
    <col min="2" max="2" width="16.85546875" style="9" customWidth="1"/>
    <col min="3" max="3" width="35.5703125" style="9" customWidth="1"/>
    <col min="4" max="4" width="14.42578125" style="38" customWidth="1"/>
    <col min="5" max="5" width="11.42578125" style="38" customWidth="1"/>
    <col min="6" max="6" width="13.85546875" style="9" customWidth="1"/>
    <col min="7" max="7" width="9.140625" style="9"/>
    <col min="8" max="8" width="35.5703125" style="9" customWidth="1"/>
    <col min="9" max="9" width="10.140625" style="38" customWidth="1"/>
    <col min="10" max="10" width="14.85546875" style="9" customWidth="1"/>
    <col min="11" max="16384" width="9.140625" style="9"/>
  </cols>
  <sheetData>
    <row r="1" spans="1:10" ht="45.75" customHeight="1" x14ac:dyDescent="0.2">
      <c r="A1" s="218"/>
      <c r="C1" s="565"/>
      <c r="D1" s="565"/>
      <c r="E1" s="565"/>
      <c r="F1" s="565"/>
    </row>
    <row r="2" spans="1:10" ht="45.75" customHeight="1" x14ac:dyDescent="0.25">
      <c r="C2" s="566"/>
      <c r="D2" s="566"/>
      <c r="E2" s="566"/>
      <c r="F2" s="566"/>
      <c r="G2" s="566"/>
      <c r="H2" s="566"/>
      <c r="I2" s="566"/>
      <c r="J2" s="566"/>
    </row>
    <row r="3" spans="1:10" ht="45.75" customHeight="1" x14ac:dyDescent="0.25">
      <c r="C3" s="566"/>
      <c r="D3" s="566"/>
      <c r="E3" s="566"/>
      <c r="F3" s="566"/>
      <c r="G3" s="566"/>
      <c r="H3" s="566"/>
      <c r="I3" s="566"/>
      <c r="J3" s="566"/>
    </row>
    <row r="4" spans="1:10" ht="18" x14ac:dyDescent="0.25">
      <c r="C4" s="566"/>
      <c r="D4" s="566"/>
      <c r="E4" s="566"/>
      <c r="F4" s="566"/>
      <c r="G4" s="566"/>
      <c r="H4" s="566"/>
      <c r="I4" s="566"/>
      <c r="J4" s="566"/>
    </row>
    <row r="5" spans="1:10" ht="23.25" x14ac:dyDescent="0.35">
      <c r="B5" s="288" t="s">
        <v>267</v>
      </c>
    </row>
    <row r="6" spans="1:10" ht="23.25" x14ac:dyDescent="0.35">
      <c r="D6" s="200"/>
      <c r="E6" s="200"/>
      <c r="F6" s="200"/>
    </row>
    <row r="7" spans="1:10" ht="36" x14ac:dyDescent="0.2">
      <c r="C7" s="105"/>
      <c r="D7" s="10" t="s">
        <v>4</v>
      </c>
      <c r="E7" s="10" t="s">
        <v>311</v>
      </c>
      <c r="F7" s="11" t="s">
        <v>187</v>
      </c>
    </row>
    <row r="8" spans="1:10" x14ac:dyDescent="0.2">
      <c r="C8" s="12" t="s">
        <v>7</v>
      </c>
      <c r="D8" s="13" t="s">
        <v>379</v>
      </c>
      <c r="E8" s="13"/>
      <c r="F8" s="299">
        <v>169457</v>
      </c>
    </row>
    <row r="9" spans="1:10" x14ac:dyDescent="0.2">
      <c r="C9" s="601"/>
      <c r="D9" s="601"/>
      <c r="E9" s="601"/>
      <c r="F9" s="601"/>
    </row>
    <row r="10" spans="1:10" x14ac:dyDescent="0.2">
      <c r="C10" s="602" t="s">
        <v>8</v>
      </c>
      <c r="D10" s="602"/>
      <c r="E10" s="602"/>
      <c r="F10" s="602"/>
    </row>
    <row r="11" spans="1:10" x14ac:dyDescent="0.2">
      <c r="C11" s="14" t="s">
        <v>9</v>
      </c>
      <c r="D11" s="161">
        <v>103</v>
      </c>
      <c r="E11" s="161"/>
      <c r="F11" s="299"/>
    </row>
    <row r="12" spans="1:10" x14ac:dyDescent="0.2">
      <c r="C12" s="14" t="s">
        <v>10</v>
      </c>
      <c r="D12" s="161">
        <v>104</v>
      </c>
      <c r="E12" s="161"/>
      <c r="F12" s="299">
        <v>3158923.403027778</v>
      </c>
    </row>
    <row r="13" spans="1:10" x14ac:dyDescent="0.2">
      <c r="C13" s="14" t="s">
        <v>11</v>
      </c>
      <c r="D13" s="161">
        <v>106</v>
      </c>
      <c r="E13" s="161"/>
      <c r="F13" s="299"/>
    </row>
    <row r="14" spans="1:10" ht="24" x14ac:dyDescent="0.2">
      <c r="C14" s="14" t="s">
        <v>12</v>
      </c>
      <c r="D14" s="161">
        <v>107</v>
      </c>
      <c r="E14" s="323" t="s">
        <v>310</v>
      </c>
      <c r="F14" s="508">
        <f>'B8 Sch 8 CCA Bridge'!S43</f>
        <v>0</v>
      </c>
    </row>
    <row r="15" spans="1:10" ht="24" x14ac:dyDescent="0.2">
      <c r="C15" s="14" t="s">
        <v>441</v>
      </c>
      <c r="D15" s="161">
        <v>108</v>
      </c>
      <c r="E15" s="161"/>
      <c r="F15" s="299"/>
    </row>
    <row r="16" spans="1:10" ht="24" x14ac:dyDescent="0.2">
      <c r="C16" s="14" t="s">
        <v>13</v>
      </c>
      <c r="D16" s="161">
        <v>109</v>
      </c>
      <c r="E16" s="161"/>
      <c r="F16" s="299"/>
    </row>
    <row r="17" spans="3:6" ht="24" x14ac:dyDescent="0.2">
      <c r="C17" s="14" t="s">
        <v>14</v>
      </c>
      <c r="D17" s="161">
        <v>110</v>
      </c>
      <c r="E17" s="161"/>
      <c r="F17" s="299"/>
    </row>
    <row r="18" spans="3:6" x14ac:dyDescent="0.2">
      <c r="C18" s="14" t="s">
        <v>15</v>
      </c>
      <c r="D18" s="161">
        <v>111</v>
      </c>
      <c r="E18" s="161"/>
      <c r="F18" s="299">
        <v>44768.17</v>
      </c>
    </row>
    <row r="19" spans="3:6" ht="24" x14ac:dyDescent="0.2">
      <c r="C19" s="14" t="s">
        <v>456</v>
      </c>
      <c r="D19" s="161">
        <v>112</v>
      </c>
      <c r="E19" s="161"/>
      <c r="F19" s="299">
        <f>28833.34</f>
        <v>28833.34</v>
      </c>
    </row>
    <row r="20" spans="3:6" x14ac:dyDescent="0.2">
      <c r="C20" s="14" t="s">
        <v>458</v>
      </c>
      <c r="D20" s="161">
        <v>113</v>
      </c>
      <c r="E20" s="161"/>
      <c r="F20" s="299"/>
    </row>
    <row r="21" spans="3:6" x14ac:dyDescent="0.2">
      <c r="C21" s="14" t="s">
        <v>459</v>
      </c>
      <c r="D21" s="161">
        <v>114</v>
      </c>
      <c r="E21" s="161"/>
      <c r="F21" s="299"/>
    </row>
    <row r="22" spans="3:6" x14ac:dyDescent="0.2">
      <c r="C22" s="14" t="s">
        <v>19</v>
      </c>
      <c r="D22" s="161">
        <v>116</v>
      </c>
      <c r="E22" s="161"/>
      <c r="F22" s="299"/>
    </row>
    <row r="23" spans="3:6" ht="24" x14ac:dyDescent="0.2">
      <c r="C23" s="14" t="s">
        <v>20</v>
      </c>
      <c r="D23" s="161">
        <v>118</v>
      </c>
      <c r="E23" s="161"/>
      <c r="F23" s="299"/>
    </row>
    <row r="24" spans="3:6" x14ac:dyDescent="0.2">
      <c r="C24" s="14" t="s">
        <v>21</v>
      </c>
      <c r="D24" s="161">
        <v>119</v>
      </c>
      <c r="E24" s="161"/>
      <c r="F24" s="299"/>
    </row>
    <row r="25" spans="3:6" x14ac:dyDescent="0.2">
      <c r="C25" s="14" t="s">
        <v>22</v>
      </c>
      <c r="D25" s="161">
        <v>120</v>
      </c>
      <c r="E25" s="161"/>
      <c r="F25" s="299"/>
    </row>
    <row r="26" spans="3:6" ht="24" x14ac:dyDescent="0.2">
      <c r="C26" s="14" t="s">
        <v>23</v>
      </c>
      <c r="D26" s="161">
        <v>121</v>
      </c>
      <c r="E26" s="161"/>
      <c r="F26" s="299">
        <v>6947.1650000000009</v>
      </c>
    </row>
    <row r="27" spans="3:6" x14ac:dyDescent="0.2">
      <c r="C27" s="14" t="s">
        <v>24</v>
      </c>
      <c r="D27" s="161">
        <v>122</v>
      </c>
      <c r="E27" s="161"/>
      <c r="F27" s="299"/>
    </row>
    <row r="28" spans="3:6" x14ac:dyDescent="0.2">
      <c r="C28" s="14" t="s">
        <v>25</v>
      </c>
      <c r="D28" s="161">
        <v>123</v>
      </c>
      <c r="E28" s="161"/>
      <c r="F28" s="299"/>
    </row>
    <row r="29" spans="3:6" x14ac:dyDescent="0.2">
      <c r="C29" s="14" t="s">
        <v>26</v>
      </c>
      <c r="D29" s="161">
        <v>124</v>
      </c>
      <c r="E29" s="161"/>
      <c r="F29" s="299"/>
    </row>
    <row r="30" spans="3:6" x14ac:dyDescent="0.2">
      <c r="C30" s="16" t="s">
        <v>27</v>
      </c>
      <c r="D30" s="162">
        <v>125</v>
      </c>
      <c r="E30" s="323" t="s">
        <v>312</v>
      </c>
      <c r="F30" s="28">
        <f>'B13 Sch 13 Reserves Bridge'!G22</f>
        <v>4668298</v>
      </c>
    </row>
    <row r="31" spans="3:6" ht="24" x14ac:dyDescent="0.2">
      <c r="C31" s="14" t="s">
        <v>28</v>
      </c>
      <c r="D31" s="161">
        <v>126</v>
      </c>
      <c r="E31" s="323" t="s">
        <v>312</v>
      </c>
      <c r="F31" s="28">
        <f>'B13 Sch 13 Reserves Bridge'!K43</f>
        <v>5014447.28</v>
      </c>
    </row>
    <row r="32" spans="3:6" ht="24" x14ac:dyDescent="0.2">
      <c r="C32" s="14" t="s">
        <v>29</v>
      </c>
      <c r="D32" s="161">
        <v>127</v>
      </c>
      <c r="E32" s="161"/>
      <c r="F32" s="299"/>
    </row>
    <row r="33" spans="3:6" x14ac:dyDescent="0.2">
      <c r="C33" s="14" t="s">
        <v>31</v>
      </c>
      <c r="D33" s="161">
        <v>206</v>
      </c>
      <c r="E33" s="161"/>
      <c r="F33" s="299"/>
    </row>
    <row r="34" spans="3:6" x14ac:dyDescent="0.2">
      <c r="C34" s="14" t="s">
        <v>32</v>
      </c>
      <c r="D34" s="161">
        <v>208</v>
      </c>
      <c r="E34" s="161"/>
      <c r="F34" s="299"/>
    </row>
    <row r="35" spans="3:6" ht="24" x14ac:dyDescent="0.2">
      <c r="C35" s="14" t="s">
        <v>33</v>
      </c>
      <c r="D35" s="161">
        <v>212</v>
      </c>
      <c r="E35" s="161"/>
      <c r="F35" s="299"/>
    </row>
    <row r="36" spans="3:6" x14ac:dyDescent="0.2">
      <c r="C36" s="14" t="s">
        <v>34</v>
      </c>
      <c r="D36" s="161">
        <v>216</v>
      </c>
      <c r="E36" s="161"/>
      <c r="F36" s="299"/>
    </row>
    <row r="37" spans="3:6" x14ac:dyDescent="0.2">
      <c r="C37" s="14" t="s">
        <v>35</v>
      </c>
      <c r="D37" s="161">
        <v>220</v>
      </c>
      <c r="E37" s="161"/>
      <c r="F37" s="299"/>
    </row>
    <row r="38" spans="3:6" x14ac:dyDescent="0.2">
      <c r="C38" s="14" t="s">
        <v>36</v>
      </c>
      <c r="D38" s="161">
        <v>226</v>
      </c>
      <c r="E38" s="161"/>
      <c r="F38" s="299"/>
    </row>
    <row r="39" spans="3:6" x14ac:dyDescent="0.2">
      <c r="C39" s="14" t="s">
        <v>37</v>
      </c>
      <c r="D39" s="161">
        <v>227</v>
      </c>
      <c r="E39" s="161"/>
      <c r="F39" s="299"/>
    </row>
    <row r="40" spans="3:6" ht="24" x14ac:dyDescent="0.2">
      <c r="C40" s="14" t="s">
        <v>38</v>
      </c>
      <c r="D40" s="161">
        <v>228</v>
      </c>
      <c r="E40" s="161"/>
      <c r="F40" s="299"/>
    </row>
    <row r="41" spans="3:6" x14ac:dyDescent="0.2">
      <c r="C41" s="14" t="s">
        <v>39</v>
      </c>
      <c r="D41" s="161">
        <v>231</v>
      </c>
      <c r="E41" s="161"/>
      <c r="F41" s="299"/>
    </row>
    <row r="42" spans="3:6" x14ac:dyDescent="0.2">
      <c r="C42" s="14" t="s">
        <v>40</v>
      </c>
      <c r="D42" s="161">
        <v>235</v>
      </c>
      <c r="E42" s="161"/>
      <c r="F42" s="299"/>
    </row>
    <row r="43" spans="3:6" x14ac:dyDescent="0.2">
      <c r="C43" s="14" t="s">
        <v>41</v>
      </c>
      <c r="D43" s="161">
        <v>236</v>
      </c>
      <c r="E43" s="161"/>
      <c r="F43" s="299"/>
    </row>
    <row r="44" spans="3:6" ht="36" x14ac:dyDescent="0.2">
      <c r="C44" s="14" t="s">
        <v>42</v>
      </c>
      <c r="D44" s="161">
        <v>237</v>
      </c>
      <c r="E44" s="161"/>
      <c r="F44" s="299"/>
    </row>
    <row r="45" spans="3:6" x14ac:dyDescent="0.2">
      <c r="C45" s="596" t="s">
        <v>43</v>
      </c>
      <c r="D45" s="573"/>
      <c r="E45" s="573"/>
      <c r="F45" s="597"/>
    </row>
    <row r="46" spans="3:6" x14ac:dyDescent="0.2">
      <c r="C46" s="14" t="s">
        <v>44</v>
      </c>
      <c r="D46" s="161">
        <v>295</v>
      </c>
      <c r="E46" s="161"/>
      <c r="F46" s="299"/>
    </row>
    <row r="47" spans="3:6" ht="24" x14ac:dyDescent="0.2">
      <c r="C47" s="14" t="s">
        <v>45</v>
      </c>
      <c r="D47" s="161">
        <v>295</v>
      </c>
      <c r="E47" s="161"/>
      <c r="F47" s="299"/>
    </row>
    <row r="48" spans="3:6" x14ac:dyDescent="0.2">
      <c r="C48" s="14" t="s">
        <v>46</v>
      </c>
      <c r="D48" s="161">
        <v>295</v>
      </c>
      <c r="E48" s="161"/>
      <c r="F48" s="299"/>
    </row>
    <row r="49" spans="3:9" x14ac:dyDescent="0.2">
      <c r="C49" s="14" t="s">
        <v>47</v>
      </c>
      <c r="D49" s="161">
        <v>295</v>
      </c>
      <c r="E49" s="161"/>
      <c r="F49" s="299"/>
    </row>
    <row r="50" spans="3:9" x14ac:dyDescent="0.2">
      <c r="C50" s="289" t="s">
        <v>512</v>
      </c>
      <c r="D50" s="161">
        <v>295</v>
      </c>
      <c r="E50" s="161"/>
      <c r="F50" s="299">
        <v>270702</v>
      </c>
    </row>
    <row r="51" spans="3:9" x14ac:dyDescent="0.2">
      <c r="C51" s="289"/>
      <c r="D51" s="451">
        <v>295</v>
      </c>
      <c r="E51" s="451"/>
      <c r="F51" s="299"/>
    </row>
    <row r="52" spans="3:9" x14ac:dyDescent="0.2">
      <c r="C52" s="202" t="s">
        <v>232</v>
      </c>
      <c r="D52" s="18"/>
      <c r="E52" s="18"/>
      <c r="F52" s="299"/>
      <c r="G52" s="201"/>
      <c r="H52" s="190"/>
      <c r="I52" s="9"/>
    </row>
    <row r="53" spans="3:9" ht="24" x14ac:dyDescent="0.2">
      <c r="C53" s="202" t="s">
        <v>233</v>
      </c>
      <c r="D53" s="18"/>
      <c r="E53" s="18"/>
      <c r="F53" s="299"/>
      <c r="G53" s="201"/>
      <c r="H53" s="190"/>
      <c r="I53" s="9"/>
    </row>
    <row r="54" spans="3:9" ht="24" x14ac:dyDescent="0.2">
      <c r="C54" s="202" t="s">
        <v>234</v>
      </c>
      <c r="D54" s="18"/>
      <c r="E54" s="18"/>
      <c r="F54" s="299"/>
      <c r="G54" s="201"/>
      <c r="H54" s="190"/>
      <c r="I54" s="9"/>
    </row>
    <row r="55" spans="3:9" x14ac:dyDescent="0.2">
      <c r="C55" s="202" t="s">
        <v>235</v>
      </c>
      <c r="D55" s="18"/>
      <c r="E55" s="18"/>
      <c r="F55" s="299"/>
      <c r="G55" s="201"/>
      <c r="H55" s="190"/>
      <c r="I55" s="9"/>
    </row>
    <row r="56" spans="3:9" x14ac:dyDescent="0.2">
      <c r="C56" s="202" t="s">
        <v>236</v>
      </c>
      <c r="D56" s="18"/>
      <c r="E56" s="18"/>
      <c r="F56" s="299"/>
      <c r="G56" s="201"/>
      <c r="H56" s="190"/>
      <c r="I56" s="9"/>
    </row>
    <row r="57" spans="3:9" ht="24" x14ac:dyDescent="0.2">
      <c r="C57" s="289" t="s">
        <v>525</v>
      </c>
      <c r="D57" s="18"/>
      <c r="E57" s="18"/>
      <c r="F57" s="299">
        <v>2102924</v>
      </c>
      <c r="G57" s="201"/>
      <c r="H57" s="190"/>
      <c r="I57" s="9"/>
    </row>
    <row r="58" spans="3:9" ht="24" x14ac:dyDescent="0.2">
      <c r="C58" s="289" t="s">
        <v>526</v>
      </c>
      <c r="D58" s="18"/>
      <c r="E58" s="18"/>
      <c r="F58" s="299">
        <v>421363</v>
      </c>
      <c r="G58" s="201"/>
      <c r="H58" s="190"/>
      <c r="I58" s="9"/>
    </row>
    <row r="59" spans="3:9" x14ac:dyDescent="0.2">
      <c r="C59" s="289"/>
      <c r="D59" s="18"/>
      <c r="E59" s="18"/>
      <c r="F59" s="299"/>
      <c r="G59" s="201"/>
      <c r="H59" s="190"/>
      <c r="I59" s="9"/>
    </row>
    <row r="60" spans="3:9" x14ac:dyDescent="0.2">
      <c r="C60" s="289"/>
      <c r="D60" s="18"/>
      <c r="E60" s="18"/>
      <c r="F60" s="299"/>
      <c r="G60" s="201"/>
      <c r="H60" s="190"/>
      <c r="I60" s="9"/>
    </row>
    <row r="61" spans="3:9" x14ac:dyDescent="0.2">
      <c r="C61" s="289"/>
      <c r="D61" s="18"/>
      <c r="E61" s="18"/>
      <c r="F61" s="299"/>
      <c r="G61" s="201"/>
      <c r="H61" s="190"/>
      <c r="I61" s="9"/>
    </row>
    <row r="62" spans="3:9" x14ac:dyDescent="0.2">
      <c r="C62" s="289"/>
      <c r="D62" s="18"/>
      <c r="E62" s="18"/>
      <c r="F62" s="299"/>
      <c r="G62" s="201"/>
      <c r="H62" s="190"/>
      <c r="I62" s="9"/>
    </row>
    <row r="63" spans="3:9" x14ac:dyDescent="0.2">
      <c r="C63" s="289"/>
      <c r="D63" s="18"/>
      <c r="E63" s="18"/>
      <c r="F63" s="299"/>
      <c r="G63" s="201"/>
      <c r="H63" s="190"/>
      <c r="I63" s="9"/>
    </row>
    <row r="64" spans="3:9" x14ac:dyDescent="0.2">
      <c r="C64" s="289"/>
      <c r="D64" s="18"/>
      <c r="E64" s="18"/>
      <c r="F64" s="299"/>
      <c r="G64" s="201"/>
      <c r="H64" s="190"/>
      <c r="I64" s="9"/>
    </row>
    <row r="65" spans="3:9" x14ac:dyDescent="0.2">
      <c r="C65" s="289"/>
      <c r="D65" s="15"/>
      <c r="E65" s="15"/>
      <c r="F65" s="299"/>
      <c r="G65" s="201"/>
      <c r="H65" s="190"/>
      <c r="I65" s="9"/>
    </row>
    <row r="66" spans="3:9" ht="13.5" thickBot="1" x14ac:dyDescent="0.25">
      <c r="C66" s="468"/>
      <c r="D66" s="237"/>
      <c r="E66" s="237"/>
      <c r="F66" s="469"/>
      <c r="G66" s="201"/>
      <c r="H66" s="190"/>
      <c r="I66" s="9"/>
    </row>
    <row r="67" spans="3:9" x14ac:dyDescent="0.2">
      <c r="C67" s="203" t="s">
        <v>48</v>
      </c>
      <c r="D67" s="204"/>
      <c r="E67" s="204"/>
      <c r="F67" s="205">
        <f>SUM(F10:F66)</f>
        <v>15717206.358027779</v>
      </c>
    </row>
    <row r="68" spans="3:9" x14ac:dyDescent="0.2">
      <c r="C68" s="595" t="s">
        <v>49</v>
      </c>
      <c r="D68" s="595"/>
      <c r="E68" s="595"/>
      <c r="F68" s="595"/>
    </row>
    <row r="69" spans="3:9" ht="24" x14ac:dyDescent="0.2">
      <c r="C69" s="14" t="s">
        <v>50</v>
      </c>
      <c r="D69" s="161">
        <v>401</v>
      </c>
      <c r="E69" s="161"/>
      <c r="F69" s="299"/>
    </row>
    <row r="70" spans="3:9" x14ac:dyDescent="0.2">
      <c r="C70" s="16" t="s">
        <v>51</v>
      </c>
      <c r="D70" s="161">
        <v>402</v>
      </c>
      <c r="E70" s="161"/>
      <c r="F70" s="299"/>
    </row>
    <row r="71" spans="3:9" x14ac:dyDescent="0.2">
      <c r="C71" s="14" t="s">
        <v>52</v>
      </c>
      <c r="D71" s="161">
        <v>403</v>
      </c>
      <c r="E71" s="323" t="s">
        <v>310</v>
      </c>
      <c r="F71" s="28">
        <f>'B8 Sch 8 CCA Bridge'!U43</f>
        <v>5579831.4508500006</v>
      </c>
    </row>
    <row r="72" spans="3:9" x14ac:dyDescent="0.2">
      <c r="C72" s="16" t="s">
        <v>53</v>
      </c>
      <c r="D72" s="161">
        <v>404</v>
      </c>
      <c r="E72" s="323" t="s">
        <v>310</v>
      </c>
      <c r="F72" s="28">
        <f>'B8 Sch 8 CCA Bridge'!T43</f>
        <v>0</v>
      </c>
    </row>
    <row r="73" spans="3:9" x14ac:dyDescent="0.2">
      <c r="C73" s="14" t="s">
        <v>54</v>
      </c>
      <c r="D73" s="161">
        <v>406</v>
      </c>
      <c r="E73" s="161"/>
      <c r="F73" s="299"/>
    </row>
    <row r="74" spans="3:9" x14ac:dyDescent="0.2">
      <c r="C74" s="14" t="s">
        <v>19</v>
      </c>
      <c r="D74" s="161">
        <v>409</v>
      </c>
      <c r="E74" s="161"/>
      <c r="F74" s="299"/>
    </row>
    <row r="75" spans="3:9" ht="24" x14ac:dyDescent="0.2">
      <c r="C75" s="14" t="s">
        <v>55</v>
      </c>
      <c r="D75" s="161">
        <v>411</v>
      </c>
      <c r="E75" s="161"/>
      <c r="F75" s="299"/>
    </row>
    <row r="76" spans="3:9" x14ac:dyDescent="0.2">
      <c r="C76" s="14" t="s">
        <v>56</v>
      </c>
      <c r="D76" s="162">
        <v>413</v>
      </c>
      <c r="E76" s="324" t="s">
        <v>312</v>
      </c>
      <c r="F76" s="28">
        <f>'B13 Sch 13 Reserves Bridge'!K22</f>
        <v>5014447.28</v>
      </c>
    </row>
    <row r="77" spans="3:9" ht="24" x14ac:dyDescent="0.2">
      <c r="C77" s="14" t="s">
        <v>57</v>
      </c>
      <c r="D77" s="161">
        <v>414</v>
      </c>
      <c r="E77" s="324" t="s">
        <v>312</v>
      </c>
      <c r="F77" s="28">
        <f>'B13 Sch 13 Reserves Bridge'!G43</f>
        <v>4668298</v>
      </c>
    </row>
    <row r="78" spans="3:9" x14ac:dyDescent="0.2">
      <c r="C78" s="14" t="s">
        <v>58</v>
      </c>
      <c r="D78" s="161">
        <v>416</v>
      </c>
      <c r="E78" s="161"/>
      <c r="F78" s="299"/>
    </row>
    <row r="79" spans="3:9" ht="24" x14ac:dyDescent="0.2">
      <c r="C79" s="14" t="s">
        <v>59</v>
      </c>
      <c r="D79" s="161">
        <v>305</v>
      </c>
      <c r="E79" s="161"/>
      <c r="F79" s="299"/>
    </row>
    <row r="80" spans="3:9" ht="24" x14ac:dyDescent="0.2">
      <c r="C80" s="14" t="s">
        <v>60</v>
      </c>
      <c r="D80" s="161">
        <v>306</v>
      </c>
      <c r="E80" s="161"/>
      <c r="F80" s="299">
        <v>236851</v>
      </c>
    </row>
    <row r="81" spans="3:9" x14ac:dyDescent="0.2">
      <c r="C81" s="513" t="s">
        <v>467</v>
      </c>
      <c r="D81" s="161"/>
      <c r="E81" s="161"/>
      <c r="F81" s="299"/>
    </row>
    <row r="82" spans="3:9" ht="24" x14ac:dyDescent="0.2">
      <c r="C82" s="16" t="s">
        <v>61</v>
      </c>
      <c r="D82" s="161">
        <v>395</v>
      </c>
      <c r="E82" s="161"/>
      <c r="F82" s="299"/>
    </row>
    <row r="83" spans="3:9" x14ac:dyDescent="0.2">
      <c r="C83" s="16" t="s">
        <v>62</v>
      </c>
      <c r="D83" s="161">
        <v>395</v>
      </c>
      <c r="E83" s="161"/>
      <c r="F83" s="299"/>
    </row>
    <row r="84" spans="3:9" ht="24" x14ac:dyDescent="0.2">
      <c r="C84" s="14" t="s">
        <v>63</v>
      </c>
      <c r="D84" s="161">
        <v>395</v>
      </c>
      <c r="E84" s="161"/>
      <c r="F84" s="299"/>
    </row>
    <row r="85" spans="3:9" ht="24" x14ac:dyDescent="0.2">
      <c r="C85" s="289" t="s">
        <v>513</v>
      </c>
      <c r="D85" s="161">
        <v>395</v>
      </c>
      <c r="E85" s="161"/>
      <c r="F85" s="299">
        <v>257459</v>
      </c>
    </row>
    <row r="86" spans="3:9" x14ac:dyDescent="0.2">
      <c r="C86" s="289"/>
      <c r="D86" s="161">
        <v>395</v>
      </c>
      <c r="E86" s="161"/>
      <c r="F86" s="299"/>
    </row>
    <row r="87" spans="3:9" ht="24" x14ac:dyDescent="0.2">
      <c r="C87" s="14" t="s">
        <v>237</v>
      </c>
      <c r="D87" s="18"/>
      <c r="E87" s="18"/>
      <c r="F87" s="299"/>
      <c r="G87" s="201"/>
      <c r="H87" s="190"/>
      <c r="I87" s="9"/>
    </row>
    <row r="88" spans="3:9" ht="24" x14ac:dyDescent="0.2">
      <c r="C88" s="14" t="s">
        <v>238</v>
      </c>
      <c r="D88" s="18"/>
      <c r="E88" s="18"/>
      <c r="F88" s="299"/>
      <c r="G88" s="201"/>
      <c r="H88" s="190"/>
      <c r="I88" s="9"/>
    </row>
    <row r="89" spans="3:9" ht="24" x14ac:dyDescent="0.2">
      <c r="C89" s="14" t="s">
        <v>239</v>
      </c>
      <c r="D89" s="18"/>
      <c r="E89" s="18"/>
      <c r="F89" s="299"/>
      <c r="G89" s="201"/>
      <c r="H89" s="190"/>
      <c r="I89" s="9"/>
    </row>
    <row r="90" spans="3:9" x14ac:dyDescent="0.2">
      <c r="C90" s="14" t="s">
        <v>240</v>
      </c>
      <c r="D90" s="18"/>
      <c r="E90" s="18"/>
      <c r="F90" s="299"/>
      <c r="G90" s="201"/>
      <c r="H90" s="190"/>
      <c r="I90" s="9"/>
    </row>
    <row r="91" spans="3:9" x14ac:dyDescent="0.2">
      <c r="C91" s="14" t="s">
        <v>241</v>
      </c>
      <c r="D91" s="18"/>
      <c r="E91" s="18"/>
      <c r="F91" s="299"/>
      <c r="G91" s="201"/>
      <c r="H91" s="190"/>
      <c r="I91" s="9"/>
    </row>
    <row r="92" spans="3:9" ht="24" x14ac:dyDescent="0.2">
      <c r="C92" s="14" t="s">
        <v>242</v>
      </c>
      <c r="D92" s="18"/>
      <c r="E92" s="18"/>
      <c r="F92" s="299"/>
      <c r="G92" s="201"/>
      <c r="H92" s="190"/>
      <c r="I92" s="9"/>
    </row>
    <row r="93" spans="3:9" ht="24" x14ac:dyDescent="0.2">
      <c r="C93" s="14" t="s">
        <v>243</v>
      </c>
      <c r="D93" s="18"/>
      <c r="E93" s="18"/>
      <c r="F93" s="299"/>
      <c r="G93" s="201"/>
      <c r="H93" s="190"/>
      <c r="I93" s="9"/>
    </row>
    <row r="94" spans="3:9" x14ac:dyDescent="0.2">
      <c r="C94" s="289" t="s">
        <v>514</v>
      </c>
      <c r="D94" s="18"/>
      <c r="E94" s="18"/>
      <c r="F94" s="299">
        <v>104192</v>
      </c>
      <c r="G94" s="201"/>
      <c r="H94" s="190"/>
      <c r="I94" s="9"/>
    </row>
    <row r="95" spans="3:9" x14ac:dyDescent="0.2">
      <c r="C95" s="289"/>
      <c r="D95" s="18"/>
      <c r="E95" s="18"/>
      <c r="F95" s="299"/>
      <c r="G95" s="201"/>
      <c r="H95" s="190"/>
      <c r="I95" s="9"/>
    </row>
    <row r="96" spans="3:9" x14ac:dyDescent="0.2">
      <c r="C96" s="289"/>
      <c r="D96" s="18"/>
      <c r="E96" s="18"/>
      <c r="F96" s="299"/>
      <c r="G96" s="201"/>
      <c r="H96" s="190"/>
      <c r="I96" s="9"/>
    </row>
    <row r="97" spans="3:9" x14ac:dyDescent="0.2">
      <c r="C97" s="289"/>
      <c r="D97" s="18"/>
      <c r="E97" s="18"/>
      <c r="F97" s="299"/>
      <c r="G97" s="201"/>
      <c r="H97" s="190"/>
      <c r="I97" s="9"/>
    </row>
    <row r="98" spans="3:9" x14ac:dyDescent="0.2">
      <c r="C98" s="289"/>
      <c r="D98" s="18"/>
      <c r="E98" s="18"/>
      <c r="F98" s="299"/>
      <c r="G98" s="201"/>
      <c r="H98" s="190"/>
      <c r="I98" s="9"/>
    </row>
    <row r="99" spans="3:9" x14ac:dyDescent="0.2">
      <c r="C99" s="289"/>
      <c r="D99" s="18"/>
      <c r="E99" s="18"/>
      <c r="F99" s="299"/>
      <c r="G99" s="201"/>
      <c r="H99" s="190"/>
      <c r="I99" s="9"/>
    </row>
    <row r="100" spans="3:9" x14ac:dyDescent="0.2">
      <c r="C100" s="289"/>
      <c r="D100" s="15"/>
      <c r="E100" s="15"/>
      <c r="F100" s="299"/>
      <c r="G100" s="201"/>
      <c r="H100" s="190"/>
      <c r="I100" s="9"/>
    </row>
    <row r="101" spans="3:9" x14ac:dyDescent="0.2">
      <c r="C101" s="299"/>
      <c r="D101" s="15"/>
      <c r="E101" s="15"/>
      <c r="F101" s="299"/>
      <c r="G101" s="201"/>
      <c r="H101" s="191"/>
      <c r="I101" s="9"/>
    </row>
    <row r="102" spans="3:9" x14ac:dyDescent="0.2">
      <c r="C102" s="447" t="s">
        <v>64</v>
      </c>
      <c r="D102" s="161"/>
      <c r="E102" s="325" t="s">
        <v>315</v>
      </c>
      <c r="F102" s="24">
        <f>SUM(F69:F101)</f>
        <v>15861078.73085</v>
      </c>
    </row>
    <row r="103" spans="3:9" x14ac:dyDescent="0.2">
      <c r="C103" s="25"/>
      <c r="D103" s="161"/>
      <c r="E103" s="161"/>
      <c r="F103" s="26"/>
    </row>
    <row r="104" spans="3:9" x14ac:dyDescent="0.2">
      <c r="C104" s="27" t="s">
        <v>65</v>
      </c>
      <c r="D104" s="161"/>
      <c r="E104" s="325" t="s">
        <v>315</v>
      </c>
      <c r="F104" s="24">
        <f>+F8+F67-F102</f>
        <v>25584.627177778631</v>
      </c>
    </row>
    <row r="105" spans="3:9" x14ac:dyDescent="0.2">
      <c r="C105" s="25" t="s">
        <v>16</v>
      </c>
      <c r="D105" s="161">
        <v>311</v>
      </c>
      <c r="E105" s="161"/>
      <c r="F105" s="299">
        <f>-F104*0.75</f>
        <v>-19188.470383333974</v>
      </c>
    </row>
    <row r="106" spans="3:9" ht="24" x14ac:dyDescent="0.2">
      <c r="C106" s="25" t="s">
        <v>119</v>
      </c>
      <c r="D106" s="161">
        <v>320</v>
      </c>
      <c r="E106" s="161"/>
      <c r="F106" s="299"/>
    </row>
    <row r="107" spans="3:9" ht="24" x14ac:dyDescent="0.2">
      <c r="C107" s="25" t="s">
        <v>470</v>
      </c>
      <c r="D107" s="161">
        <v>331</v>
      </c>
      <c r="E107" s="323" t="s">
        <v>314</v>
      </c>
      <c r="F107" s="28">
        <f>'B4 Sch 4 Loss Cfwd Bridge'!G13*-1</f>
        <v>0</v>
      </c>
    </row>
    <row r="108" spans="3:9" ht="24" x14ac:dyDescent="0.2">
      <c r="C108" s="25" t="s">
        <v>471</v>
      </c>
      <c r="D108" s="161">
        <v>332</v>
      </c>
      <c r="E108" s="323" t="s">
        <v>314</v>
      </c>
      <c r="F108" s="28">
        <f>'B4 Sch 4 Loss Cfwd Bridge'!G20*-1</f>
        <v>0</v>
      </c>
    </row>
    <row r="109" spans="3:9" ht="24" x14ac:dyDescent="0.2">
      <c r="C109" s="25" t="s">
        <v>472</v>
      </c>
      <c r="D109" s="161">
        <v>335</v>
      </c>
      <c r="E109" s="161"/>
      <c r="F109" s="299"/>
    </row>
    <row r="110" spans="3:9" x14ac:dyDescent="0.2">
      <c r="C110" s="598"/>
      <c r="D110" s="599"/>
      <c r="E110" s="599"/>
      <c r="F110" s="600"/>
    </row>
    <row r="111" spans="3:9" x14ac:dyDescent="0.2">
      <c r="C111" s="29" t="s">
        <v>67</v>
      </c>
      <c r="D111" s="161"/>
      <c r="E111" s="325" t="s">
        <v>315</v>
      </c>
      <c r="F111" s="24">
        <f>SUM(F104:F109)</f>
        <v>6396.1567944446579</v>
      </c>
    </row>
  </sheetData>
  <sheetProtection algorithmName="SHA-512" hashValue="+vKBCg/uqT7zot+zd6XxnDFvDtqShFvT5G7vodq4J4ICrkorjENb7DKTFR7btnYDGOBpwwqXVp6T2c3lHfRLrw==" saltValue="1q5t5CMDNjnwa3bs9LveTg==" spinCount="100000" sheet="1" objects="1" scenarios="1"/>
  <mergeCells count="9">
    <mergeCell ref="C68:F68"/>
    <mergeCell ref="C45:F45"/>
    <mergeCell ref="C110:F110"/>
    <mergeCell ref="C9:F9"/>
    <mergeCell ref="C1:F1"/>
    <mergeCell ref="C2:J2"/>
    <mergeCell ref="C3:J3"/>
    <mergeCell ref="C4:J4"/>
    <mergeCell ref="C10:F10"/>
  </mergeCells>
  <phoneticPr fontId="3" type="noConversion"/>
  <conditionalFormatting sqref="F8 F105:F109 F46:F66 C52:C66 C94:C101 F11:F44 F69:F101">
    <cfRule type="expression" dxfId="52" priority="1" stopIfTrue="1">
      <formula>ISBLANK(C8)</formula>
    </cfRule>
  </conditionalFormatting>
  <conditionalFormatting sqref="H52:H66">
    <cfRule type="cellIs" dxfId="51" priority="2" stopIfTrue="1" operator="lessThan">
      <formula>0</formula>
    </cfRule>
  </conditionalFormatting>
  <hyperlinks>
    <hyperlink ref="E76" location="'B13 Sch 13 Reserves Bridge'!A1" display="B13" xr:uid="{00000000-0004-0000-0C00-000000000000}"/>
    <hyperlink ref="E107" location="'B4 Sch 4 Loss Cfwd Bridge'!A1" display="B4" xr:uid="{00000000-0004-0000-0C00-000001000000}"/>
    <hyperlink ref="E30" location="'B13 Sch 13 Reserves Bridge'!A1" display="B13" xr:uid="{00000000-0004-0000-0C00-000002000000}"/>
    <hyperlink ref="E14" location="'B8 Sch 8 CCA Bridge'!A1" display="B8" xr:uid="{00000000-0004-0000-0C00-000003000000}"/>
    <hyperlink ref="E31" location="'B13 Sch 13 Reserves Bridge'!A1" display="B13" xr:uid="{00000000-0004-0000-0C00-000004000000}"/>
    <hyperlink ref="E71:E72" location="'B8 Sch 8 CCA Bridge'!A1" display="B8" xr:uid="{00000000-0004-0000-0C00-000005000000}"/>
    <hyperlink ref="E77" location="'B13 Sch 13 Reserves Bridge'!A1" display="B13" xr:uid="{00000000-0004-0000-0C00-000006000000}"/>
    <hyperlink ref="E108" location="'B4 Sch 4 Loss Cfwd Bridge'!A1" display="B4" xr:uid="{00000000-0004-0000-0C00-000007000000}"/>
  </hyperlinks>
  <pageMargins left="0.35433070866141736" right="0.15748031496062992" top="0.39370078740157483" bottom="0.39370078740157483" header="0.11811023622047245" footer="0.11811023622047245"/>
  <pageSetup scale="80" orientation="portrait" r:id="rId1"/>
  <headerFooter alignWithMargins="0"/>
  <rowBreaks count="2" manualBreakCount="2">
    <brk id="44" max="6" man="1"/>
    <brk id="81" max="6" man="1"/>
  </rowBreaks>
  <ignoredErrors>
    <ignoredError sqref="F72 F14" unlockedFormula="1"/>
    <ignoredError sqref="F71" evalError="1"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L33"/>
  <sheetViews>
    <sheetView topLeftCell="A7" zoomScaleNormal="100" workbookViewId="0">
      <selection activeCell="F44" sqref="F44"/>
    </sheetView>
  </sheetViews>
  <sheetFormatPr defaultColWidth="9.140625" defaultRowHeight="12.75" x14ac:dyDescent="0.2"/>
  <cols>
    <col min="1" max="2" width="3.85546875" style="9" customWidth="1"/>
    <col min="3" max="3" width="25" style="9" customWidth="1"/>
    <col min="4" max="4" width="9.140625" style="9"/>
    <col min="5" max="5" width="28" style="9" customWidth="1"/>
    <col min="6" max="6" width="13.42578125" style="9" customWidth="1"/>
    <col min="7" max="7" width="12.85546875" style="9" customWidth="1"/>
    <col min="8" max="16384" width="9.140625" style="9"/>
  </cols>
  <sheetData>
    <row r="1" spans="1:12" ht="21.75" x14ac:dyDescent="0.2">
      <c r="A1" s="218"/>
      <c r="C1" s="565"/>
      <c r="D1" s="565"/>
      <c r="E1" s="565"/>
      <c r="F1" s="440"/>
    </row>
    <row r="2" spans="1:12" ht="29.25" customHeight="1" x14ac:dyDescent="0.25">
      <c r="C2" s="566"/>
      <c r="D2" s="566"/>
      <c r="E2" s="566"/>
      <c r="F2" s="566"/>
      <c r="G2" s="566"/>
      <c r="H2" s="566"/>
      <c r="I2" s="566"/>
      <c r="J2" s="566"/>
    </row>
    <row r="3" spans="1:12" ht="42.75" customHeight="1" x14ac:dyDescent="0.25">
      <c r="C3" s="566"/>
      <c r="D3" s="566"/>
      <c r="E3" s="566"/>
      <c r="F3" s="566"/>
      <c r="G3" s="566"/>
      <c r="H3" s="566"/>
      <c r="I3" s="566"/>
      <c r="J3" s="566"/>
    </row>
    <row r="4" spans="1:12" ht="18" x14ac:dyDescent="0.25">
      <c r="C4" s="566"/>
      <c r="D4" s="566"/>
      <c r="E4" s="566"/>
      <c r="F4" s="566"/>
      <c r="G4" s="566"/>
      <c r="H4" s="566"/>
      <c r="I4" s="566"/>
      <c r="J4" s="566"/>
    </row>
    <row r="5" spans="1:12" ht="30" customHeight="1" x14ac:dyDescent="0.2"/>
    <row r="7" spans="1:12" ht="18" x14ac:dyDescent="0.25">
      <c r="C7" s="258" t="s">
        <v>263</v>
      </c>
      <c r="D7" s="258"/>
      <c r="E7" s="258"/>
      <c r="F7" s="258"/>
    </row>
    <row r="8" spans="1:12" ht="18" x14ac:dyDescent="0.25">
      <c r="C8" s="258"/>
      <c r="D8" s="258"/>
      <c r="E8" s="258"/>
      <c r="F8" s="258"/>
    </row>
    <row r="9" spans="1:12" ht="18" x14ac:dyDescent="0.25">
      <c r="C9" s="258" t="s">
        <v>317</v>
      </c>
      <c r="D9" s="285"/>
      <c r="E9" s="285"/>
      <c r="F9" s="285"/>
      <c r="G9" s="68"/>
      <c r="H9" s="69"/>
    </row>
    <row r="10" spans="1:12" ht="19.5" x14ac:dyDescent="0.35">
      <c r="C10" s="286"/>
      <c r="D10" s="287"/>
      <c r="E10" s="287"/>
      <c r="F10" s="287"/>
      <c r="G10" s="98"/>
      <c r="H10" s="36"/>
    </row>
    <row r="11" spans="1:12" x14ac:dyDescent="0.2">
      <c r="C11" s="584" t="s">
        <v>109</v>
      </c>
      <c r="D11" s="585"/>
      <c r="E11" s="586"/>
      <c r="F11" s="443"/>
      <c r="G11" s="30" t="s">
        <v>3</v>
      </c>
      <c r="H11" s="70"/>
    </row>
    <row r="12" spans="1:12" x14ac:dyDescent="0.2">
      <c r="C12" s="587" t="s">
        <v>281</v>
      </c>
      <c r="D12" s="588"/>
      <c r="E12" s="589"/>
      <c r="F12" s="326" t="s">
        <v>316</v>
      </c>
      <c r="G12" s="236">
        <f>'H4 Sch 4 Loss Cfwd Hist'!H14</f>
        <v>0</v>
      </c>
      <c r="H12" s="72"/>
      <c r="J12" s="607"/>
      <c r="K12" s="607"/>
      <c r="L12" s="607"/>
    </row>
    <row r="13" spans="1:12" x14ac:dyDescent="0.2">
      <c r="C13" s="76" t="s">
        <v>170</v>
      </c>
      <c r="D13" s="74"/>
      <c r="E13" s="75"/>
      <c r="F13" s="327" t="s">
        <v>309</v>
      </c>
      <c r="G13" s="418">
        <f>IF('B1 Sch 1 Taxable Income Bridge'!F104&lt;0,0,IF('B1 Sch 1 Taxable Income Bridge'!F104&gt;G12,G12,'B1 Sch 1 Taxable Income Bridge'!F104))</f>
        <v>0</v>
      </c>
      <c r="H13" s="72"/>
      <c r="J13" s="417"/>
      <c r="K13" s="416"/>
      <c r="L13" s="416"/>
    </row>
    <row r="14" spans="1:12" x14ac:dyDescent="0.2">
      <c r="C14" s="606" t="s">
        <v>375</v>
      </c>
      <c r="D14" s="606"/>
      <c r="E14" s="606"/>
      <c r="F14" s="327" t="s">
        <v>309</v>
      </c>
      <c r="G14" s="418">
        <f>IF('B1 Sch 1 Taxable Income Bridge'!F104&lt;0, 'B1 Sch 1 Taxable Income Bridge'!F104*-1, 0)</f>
        <v>0</v>
      </c>
      <c r="H14" s="72"/>
      <c r="J14" s="607"/>
      <c r="K14" s="607"/>
      <c r="L14" s="607"/>
    </row>
    <row r="15" spans="1:12" x14ac:dyDescent="0.2">
      <c r="C15" s="603" t="s">
        <v>78</v>
      </c>
      <c r="D15" s="604"/>
      <c r="E15" s="605"/>
      <c r="F15" s="326"/>
      <c r="G15" s="295"/>
      <c r="H15" s="72"/>
      <c r="J15" s="448"/>
      <c r="K15" s="448"/>
      <c r="L15" s="448"/>
    </row>
    <row r="16" spans="1:12" x14ac:dyDescent="0.2">
      <c r="C16" s="73" t="s">
        <v>171</v>
      </c>
      <c r="D16" s="74"/>
      <c r="E16" s="75"/>
      <c r="F16" s="328" t="s">
        <v>315</v>
      </c>
      <c r="G16" s="71">
        <f>G12-G13+G14+G15</f>
        <v>0</v>
      </c>
      <c r="H16" s="340" t="s">
        <v>319</v>
      </c>
      <c r="J16" s="416"/>
      <c r="K16" s="416"/>
      <c r="L16" s="416"/>
    </row>
    <row r="17" spans="3:12" x14ac:dyDescent="0.2">
      <c r="C17" s="70"/>
      <c r="D17" s="70"/>
      <c r="E17" s="70"/>
      <c r="F17" s="70"/>
      <c r="G17" s="72"/>
      <c r="H17" s="72"/>
      <c r="J17" s="2"/>
      <c r="K17" s="2"/>
      <c r="L17" s="2"/>
    </row>
    <row r="18" spans="3:12" x14ac:dyDescent="0.2">
      <c r="C18" s="584" t="s">
        <v>112</v>
      </c>
      <c r="D18" s="585"/>
      <c r="E18" s="586"/>
      <c r="F18" s="443"/>
      <c r="G18" s="30" t="s">
        <v>3</v>
      </c>
      <c r="H18" s="72"/>
    </row>
    <row r="19" spans="3:12" x14ac:dyDescent="0.2">
      <c r="C19" s="587" t="s">
        <v>281</v>
      </c>
      <c r="D19" s="588"/>
      <c r="E19" s="589"/>
      <c r="F19" s="326" t="s">
        <v>316</v>
      </c>
      <c r="G19" s="236">
        <f>'H4 Sch 4 Loss Cfwd Hist'!H17</f>
        <v>0</v>
      </c>
      <c r="H19" s="72"/>
    </row>
    <row r="20" spans="3:12" x14ac:dyDescent="0.2">
      <c r="C20" s="76" t="s">
        <v>170</v>
      </c>
      <c r="D20" s="74"/>
      <c r="E20" s="75"/>
      <c r="F20" s="75"/>
      <c r="G20" s="295"/>
      <c r="H20" s="72"/>
    </row>
    <row r="21" spans="3:12" x14ac:dyDescent="0.2">
      <c r="C21" s="606" t="s">
        <v>375</v>
      </c>
      <c r="D21" s="606"/>
      <c r="E21" s="606"/>
      <c r="F21" s="327" t="s">
        <v>309</v>
      </c>
      <c r="G21" s="295"/>
      <c r="H21" s="72"/>
    </row>
    <row r="22" spans="3:12" x14ac:dyDescent="0.2">
      <c r="C22" s="587" t="s">
        <v>78</v>
      </c>
      <c r="D22" s="588"/>
      <c r="E22" s="589"/>
      <c r="F22" s="444"/>
      <c r="G22" s="295"/>
      <c r="H22" s="72"/>
    </row>
    <row r="23" spans="3:12" x14ac:dyDescent="0.2">
      <c r="C23" s="73" t="s">
        <v>171</v>
      </c>
      <c r="D23" s="74"/>
      <c r="E23" s="75"/>
      <c r="F23" s="328" t="s">
        <v>315</v>
      </c>
      <c r="G23" s="71">
        <f>G19-G20+G21+G22</f>
        <v>0</v>
      </c>
      <c r="H23" s="340" t="s">
        <v>319</v>
      </c>
    </row>
    <row r="24" spans="3:12" x14ac:dyDescent="0.2">
      <c r="C24" s="77"/>
      <c r="D24" s="70"/>
      <c r="E24" s="70"/>
      <c r="F24" s="70"/>
      <c r="G24" s="72"/>
      <c r="H24" s="72"/>
    </row>
    <row r="33" spans="8:8" x14ac:dyDescent="0.2">
      <c r="H33" s="304"/>
    </row>
  </sheetData>
  <sheetProtection algorithmName="SHA-512" hashValue="OKxBmBKZ2eb3KkaStVSB2Pzm824V98EJiwxuCqAiMYL0wVVfrTSc+BlqMk6VjbNKkmrdrKzBEpXt01ZWBPUl3Q==" saltValue="p36B+ugHdSc38MS47rEM+g==" spinCount="100000" sheet="1" objects="1" scenarios="1"/>
  <mergeCells count="14">
    <mergeCell ref="C22:E22"/>
    <mergeCell ref="C15:E15"/>
    <mergeCell ref="C21:E21"/>
    <mergeCell ref="C19:E19"/>
    <mergeCell ref="C1:E1"/>
    <mergeCell ref="C14:E14"/>
    <mergeCell ref="C18:E18"/>
    <mergeCell ref="C11:E11"/>
    <mergeCell ref="C12:E12"/>
    <mergeCell ref="C2:J2"/>
    <mergeCell ref="C3:J3"/>
    <mergeCell ref="C4:J4"/>
    <mergeCell ref="J12:L12"/>
    <mergeCell ref="J14:L14"/>
  </mergeCells>
  <phoneticPr fontId="3" type="noConversion"/>
  <hyperlinks>
    <hyperlink ref="F12" location="'H4 Sch 4 Loss Cfwd Hist'!A1" display="H4" xr:uid="{00000000-0004-0000-0D00-000000000000}"/>
    <hyperlink ref="F13" location="'B1 Sch 1 Taxable Income Bridge'!A1" display="B1" xr:uid="{00000000-0004-0000-0D00-000001000000}"/>
    <hyperlink ref="H16" location="'T4 Sch 4 Loss Cfwd Test'!A1" display="T4" xr:uid="{00000000-0004-0000-0D00-000002000000}"/>
    <hyperlink ref="H23" location="'T4 Sch 4 Loss Cfwd Test'!A1" display="T4" xr:uid="{00000000-0004-0000-0D00-000003000000}"/>
    <hyperlink ref="F14" location="'B1 Sch 1 Taxable Income Bridge'!A1" display="B1" xr:uid="{00000000-0004-0000-0D00-000004000000}"/>
    <hyperlink ref="F19" location="'H4 Sch 4 Loss Cfwd Hist'!A1" display="H4" xr:uid="{00000000-0004-0000-0D00-000005000000}"/>
    <hyperlink ref="F21" location="'B1 Sch 1 Taxable Income Bridge'!A1" display="B1" xr:uid="{00000000-0004-0000-0D00-000006000000}"/>
  </hyperlinks>
  <pageMargins left="0.75" right="0.75" top="1" bottom="1" header="0.5" footer="0.5"/>
  <pageSetup orientation="landscape" r:id="rId1"/>
  <headerFooter alignWithMargins="0"/>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X66"/>
  <sheetViews>
    <sheetView showGridLines="0" topLeftCell="A28" zoomScaleNormal="100" workbookViewId="0">
      <selection activeCell="G65" sqref="G65"/>
    </sheetView>
  </sheetViews>
  <sheetFormatPr defaultColWidth="9.140625" defaultRowHeight="12.75" x14ac:dyDescent="0.2"/>
  <cols>
    <col min="1" max="1" width="3.5703125" style="9" customWidth="1"/>
    <col min="2" max="2" width="11.5703125" style="9" customWidth="1"/>
    <col min="3" max="3" width="65.85546875" style="9" customWidth="1"/>
    <col min="4" max="4" width="10.85546875" style="249" customWidth="1"/>
    <col min="5" max="14" width="15.140625" style="9" customWidth="1"/>
    <col min="15" max="15" width="8.140625" style="9" customWidth="1"/>
    <col min="16" max="21" width="15.140625" style="9" customWidth="1"/>
    <col min="22" max="22" width="5.140625" style="9" customWidth="1"/>
    <col min="23" max="23" width="15.140625" style="9" customWidth="1"/>
    <col min="24" max="24" width="10.5703125" style="9" customWidth="1"/>
    <col min="25" max="16384" width="9.140625" style="9"/>
  </cols>
  <sheetData>
    <row r="1" spans="1:24" ht="21.75" x14ac:dyDescent="0.2">
      <c r="A1" s="218"/>
      <c r="B1" s="565"/>
      <c r="C1" s="565"/>
      <c r="D1" s="565"/>
      <c r="E1" s="565"/>
      <c r="F1" s="440"/>
      <c r="G1" s="479"/>
      <c r="H1" s="440"/>
      <c r="I1" s="480"/>
      <c r="J1" s="480"/>
      <c r="K1" s="480"/>
      <c r="L1" s="480"/>
      <c r="M1" s="480"/>
      <c r="N1" s="480"/>
      <c r="O1" s="480"/>
      <c r="P1" s="480"/>
      <c r="Q1" s="480"/>
    </row>
    <row r="2" spans="1:24" ht="18" x14ac:dyDescent="0.25">
      <c r="B2" s="566"/>
      <c r="C2" s="566"/>
      <c r="D2" s="566"/>
      <c r="E2" s="566"/>
      <c r="F2" s="566"/>
      <c r="G2" s="566"/>
      <c r="H2" s="566"/>
      <c r="I2" s="566"/>
      <c r="J2" s="566"/>
      <c r="K2" s="566"/>
      <c r="L2" s="566"/>
      <c r="M2" s="566"/>
      <c r="N2" s="566"/>
      <c r="O2" s="566"/>
      <c r="P2" s="566"/>
      <c r="Q2" s="566"/>
    </row>
    <row r="3" spans="1:24" ht="27.75" customHeight="1" x14ac:dyDescent="0.25">
      <c r="B3" s="566"/>
      <c r="C3" s="566"/>
      <c r="D3" s="566"/>
      <c r="E3" s="566"/>
      <c r="F3" s="566"/>
      <c r="G3" s="566"/>
      <c r="H3" s="566"/>
      <c r="I3" s="566"/>
      <c r="J3" s="566"/>
      <c r="K3" s="566"/>
      <c r="L3" s="566"/>
      <c r="M3" s="566"/>
      <c r="N3" s="566"/>
      <c r="O3" s="566"/>
      <c r="P3" s="566"/>
      <c r="Q3" s="566"/>
    </row>
    <row r="4" spans="1:24" ht="54.75" customHeight="1" x14ac:dyDescent="0.25">
      <c r="B4" s="566"/>
      <c r="C4" s="566"/>
      <c r="D4" s="566"/>
      <c r="E4" s="566"/>
      <c r="F4" s="566"/>
      <c r="G4" s="566"/>
      <c r="H4" s="566"/>
      <c r="I4" s="566"/>
      <c r="J4" s="566"/>
      <c r="K4" s="566"/>
      <c r="L4" s="566"/>
      <c r="M4" s="566"/>
      <c r="N4" s="566"/>
      <c r="O4" s="566"/>
      <c r="P4" s="566"/>
      <c r="Q4" s="566"/>
    </row>
    <row r="7" spans="1:24" ht="18" x14ac:dyDescent="0.25">
      <c r="B7" s="258" t="s">
        <v>265</v>
      </c>
    </row>
    <row r="8" spans="1:24" x14ac:dyDescent="0.2">
      <c r="B8" s="497"/>
      <c r="E8" s="497"/>
      <c r="F8" s="497"/>
      <c r="G8" s="497"/>
      <c r="H8" s="497"/>
      <c r="I8" s="497"/>
      <c r="J8" s="497"/>
      <c r="K8" s="497"/>
      <c r="L8" s="497"/>
      <c r="M8" s="497"/>
      <c r="N8" s="497"/>
      <c r="O8" s="497"/>
      <c r="P8" s="497"/>
      <c r="Q8" s="497"/>
      <c r="R8" s="497"/>
      <c r="S8" s="497"/>
      <c r="T8" s="497"/>
      <c r="U8" s="497"/>
      <c r="V8" s="497"/>
      <c r="W8" s="497"/>
    </row>
    <row r="9" spans="1:24" ht="146.25" x14ac:dyDescent="0.2">
      <c r="B9" s="500" t="s">
        <v>440</v>
      </c>
      <c r="C9" s="498" t="s">
        <v>69</v>
      </c>
      <c r="D9" s="499" t="s">
        <v>311</v>
      </c>
      <c r="E9" s="500" t="s">
        <v>427</v>
      </c>
      <c r="F9" s="500" t="s">
        <v>422</v>
      </c>
      <c r="G9" s="500" t="s">
        <v>423</v>
      </c>
      <c r="H9" s="500" t="s">
        <v>424</v>
      </c>
      <c r="I9" s="500" t="s">
        <v>425</v>
      </c>
      <c r="J9" s="500" t="s">
        <v>426</v>
      </c>
      <c r="K9" s="500" t="s">
        <v>428</v>
      </c>
      <c r="L9" s="500" t="s">
        <v>429</v>
      </c>
      <c r="M9" s="500" t="s">
        <v>430</v>
      </c>
      <c r="N9" s="500" t="s">
        <v>431</v>
      </c>
      <c r="O9" s="500" t="s">
        <v>421</v>
      </c>
      <c r="P9" s="500" t="s">
        <v>432</v>
      </c>
      <c r="Q9" s="500" t="s">
        <v>433</v>
      </c>
      <c r="R9" s="500" t="s">
        <v>434</v>
      </c>
      <c r="S9" s="500" t="s">
        <v>435</v>
      </c>
      <c r="T9" s="500" t="s">
        <v>436</v>
      </c>
      <c r="U9" s="500" t="s">
        <v>437</v>
      </c>
      <c r="V9" s="500"/>
      <c r="W9" s="500" t="s">
        <v>438</v>
      </c>
      <c r="X9" s="501" t="s">
        <v>311</v>
      </c>
    </row>
    <row r="10" spans="1:24" ht="12.75" customHeight="1" x14ac:dyDescent="0.2">
      <c r="B10" s="486">
        <f>IF(ISBLANK('H8 Sch 8 CCA Hist'!C12), "", 'H8 Sch 8 CCA Hist'!C12)</f>
        <v>1</v>
      </c>
      <c r="C10" s="487" t="str">
        <f>IF(ISBLANK('H8 Sch 8 CCA Hist'!D12), "", 'H8 Sch 8 CCA Hist'!D12)</f>
        <v>Buildings, Distribution System (acq'd post 1987)</v>
      </c>
      <c r="D10" s="531" t="s">
        <v>306</v>
      </c>
      <c r="E10" s="532">
        <f>IF(ISBLANK('H8 Sch 8 CCA Hist'!E12),0, 'H8 Sch 8 CCA Hist'!G12)</f>
        <v>23779997</v>
      </c>
      <c r="F10" s="470"/>
      <c r="G10" s="470"/>
      <c r="H10" s="470"/>
      <c r="I10" s="470"/>
      <c r="J10" s="470"/>
      <c r="K10" s="470"/>
      <c r="L10" s="183">
        <f>IFERROR(E10+F10+H10-K10,0)</f>
        <v>23779997</v>
      </c>
      <c r="M10" s="183">
        <f>IF((K10+I10-F10+G10-J10)&lt;0,0,(K10+I10-F10+G10-J10))</f>
        <v>0</v>
      </c>
      <c r="N10" s="183">
        <f>IF((G10-M10)&lt;0,0,(G10-M10))</f>
        <v>0</v>
      </c>
      <c r="O10" s="504">
        <v>0.5</v>
      </c>
      <c r="P10" s="183">
        <f>N10*O10</f>
        <v>0</v>
      </c>
      <c r="Q10" s="183">
        <f>IF((0.5*(F10-G10-I10+J10-K10))&lt;0,0,(0.5*(F10-G10-I10+J10-K10)))</f>
        <v>0</v>
      </c>
      <c r="R10" s="492">
        <v>0.04</v>
      </c>
      <c r="S10" s="533"/>
      <c r="T10" s="533"/>
      <c r="U10" s="183">
        <f>IF(OR(L10&lt;0,T10&gt;0),0,(L10+P10-Q10)*R10)</f>
        <v>951199.88</v>
      </c>
      <c r="V10" s="183"/>
      <c r="W10" s="183">
        <f>IF(L10&lt;0,0,L10-T10-U10)</f>
        <v>22828797.120000001</v>
      </c>
      <c r="X10" s="308" t="s">
        <v>313</v>
      </c>
    </row>
    <row r="11" spans="1:24" ht="12.75" customHeight="1" x14ac:dyDescent="0.2">
      <c r="B11" s="486" t="str">
        <f>IF(ISBLANK('H8 Sch 8 CCA Hist'!C13), "", 'H8 Sch 8 CCA Hist'!C13)</f>
        <v>1b</v>
      </c>
      <c r="C11" s="487" t="str">
        <f>IF(ISBLANK('H8 Sch 8 CCA Hist'!D13), "", 'H8 Sch 8 CCA Hist'!D13)</f>
        <v>Non-Residential Buildings [Reg. 1100(1)(a.1) election]</v>
      </c>
      <c r="D11" s="531" t="s">
        <v>306</v>
      </c>
      <c r="E11" s="532">
        <f>IF(ISBLANK('H8 Sch 8 CCA Hist'!E13),0, 'H8 Sch 8 CCA Hist'!G13)</f>
        <v>0</v>
      </c>
      <c r="F11" s="470"/>
      <c r="G11" s="470"/>
      <c r="H11" s="470"/>
      <c r="I11" s="470"/>
      <c r="J11" s="470"/>
      <c r="K11" s="470"/>
      <c r="L11" s="183">
        <f t="shared" ref="L11:L41" si="0">IFERROR(E11+F11+H11-K11,"")</f>
        <v>0</v>
      </c>
      <c r="M11" s="183">
        <f t="shared" ref="M11:M42" si="1">IF((K11+I11-F11+G11-J11)&lt;0,0,(K11+I11-F11+G11-J11))</f>
        <v>0</v>
      </c>
      <c r="N11" s="183">
        <f t="shared" ref="N11:N42" si="2">IF((G11-M11)&lt;0,0,(G11-M11))</f>
        <v>0</v>
      </c>
      <c r="O11" s="504">
        <v>0.5</v>
      </c>
      <c r="P11" s="183">
        <f t="shared" ref="P11:P42" si="3">N11*O11</f>
        <v>0</v>
      </c>
      <c r="Q11" s="183">
        <f t="shared" ref="Q11:Q42" si="4">IF((0.5*(F11-G11-I11+J11-K11))&lt;0,0,(0.5*(F11-G11-I11+J11-K11)))</f>
        <v>0</v>
      </c>
      <c r="R11" s="492">
        <v>0.06</v>
      </c>
      <c r="S11" s="533"/>
      <c r="T11" s="533"/>
      <c r="U11" s="183">
        <f t="shared" ref="U11:U18" si="5">IF(OR(L11&lt;0,T11&gt;0),0,(L11+P11-Q11)*R11)</f>
        <v>0</v>
      </c>
      <c r="V11" s="183"/>
      <c r="W11" s="183">
        <f t="shared" ref="W11:W42" si="6">IF(L11&lt;0,0,L11-T11-U11)</f>
        <v>0</v>
      </c>
      <c r="X11" s="308" t="s">
        <v>313</v>
      </c>
    </row>
    <row r="12" spans="1:24" ht="12.75" customHeight="1" x14ac:dyDescent="0.2">
      <c r="B12" s="486">
        <f>IF(ISBLANK('H8 Sch 8 CCA Hist'!C14), "", 'H8 Sch 8 CCA Hist'!C14)</f>
        <v>2</v>
      </c>
      <c r="C12" s="487" t="str">
        <f>IF(ISBLANK('H8 Sch 8 CCA Hist'!D14), "", 'H8 Sch 8 CCA Hist'!D14)</f>
        <v>Distribution System (acq'd pre 1988)</v>
      </c>
      <c r="D12" s="531" t="s">
        <v>306</v>
      </c>
      <c r="E12" s="532">
        <f>IF(ISBLANK('H8 Sch 8 CCA Hist'!E14),0, 'H8 Sch 8 CCA Hist'!G14)</f>
        <v>0</v>
      </c>
      <c r="F12" s="491"/>
      <c r="G12" s="491"/>
      <c r="H12" s="470"/>
      <c r="I12" s="470"/>
      <c r="J12" s="470"/>
      <c r="K12" s="470"/>
      <c r="L12" s="183">
        <f t="shared" si="0"/>
        <v>0</v>
      </c>
      <c r="M12" s="183">
        <f t="shared" si="1"/>
        <v>0</v>
      </c>
      <c r="N12" s="183">
        <f t="shared" si="2"/>
        <v>0</v>
      </c>
      <c r="O12" s="504"/>
      <c r="P12" s="183">
        <f t="shared" si="3"/>
        <v>0</v>
      </c>
      <c r="Q12" s="183">
        <f t="shared" si="4"/>
        <v>0</v>
      </c>
      <c r="R12" s="492">
        <v>0.06</v>
      </c>
      <c r="S12" s="533"/>
      <c r="T12" s="533"/>
      <c r="U12" s="183">
        <f t="shared" si="5"/>
        <v>0</v>
      </c>
      <c r="V12" s="183"/>
      <c r="W12" s="183">
        <f t="shared" si="6"/>
        <v>0</v>
      </c>
      <c r="X12" s="308" t="s">
        <v>313</v>
      </c>
    </row>
    <row r="13" spans="1:24" ht="12.75" customHeight="1" x14ac:dyDescent="0.2">
      <c r="B13" s="486">
        <f>IF(ISBLANK('H8 Sch 8 CCA Hist'!C15), "", 'H8 Sch 8 CCA Hist'!C15)</f>
        <v>3</v>
      </c>
      <c r="C13" s="487" t="str">
        <f>IF(ISBLANK('H8 Sch 8 CCA Hist'!D15), "", 'H8 Sch 8 CCA Hist'!D15)</f>
        <v>Buildings (acq'd pre 1988)</v>
      </c>
      <c r="D13" s="531" t="s">
        <v>306</v>
      </c>
      <c r="E13" s="532">
        <f>IF(ISBLANK('H8 Sch 8 CCA Hist'!E15),0, 'H8 Sch 8 CCA Hist'!G15)</f>
        <v>0</v>
      </c>
      <c r="F13" s="491"/>
      <c r="G13" s="491"/>
      <c r="H13" s="470"/>
      <c r="I13" s="470"/>
      <c r="J13" s="470"/>
      <c r="K13" s="470"/>
      <c r="L13" s="183">
        <f t="shared" si="0"/>
        <v>0</v>
      </c>
      <c r="M13" s="183">
        <f t="shared" si="1"/>
        <v>0</v>
      </c>
      <c r="N13" s="183">
        <f t="shared" si="2"/>
        <v>0</v>
      </c>
      <c r="O13" s="504"/>
      <c r="P13" s="183">
        <f t="shared" si="3"/>
        <v>0</v>
      </c>
      <c r="Q13" s="183">
        <f t="shared" si="4"/>
        <v>0</v>
      </c>
      <c r="R13" s="492">
        <v>0.05</v>
      </c>
      <c r="S13" s="533"/>
      <c r="T13" s="533"/>
      <c r="U13" s="183">
        <f t="shared" si="5"/>
        <v>0</v>
      </c>
      <c r="V13" s="183"/>
      <c r="W13" s="183">
        <f t="shared" si="6"/>
        <v>0</v>
      </c>
      <c r="X13" s="308" t="s">
        <v>313</v>
      </c>
    </row>
    <row r="14" spans="1:24" ht="12.75" customHeight="1" x14ac:dyDescent="0.2">
      <c r="B14" s="486">
        <f>IF(ISBLANK('H8 Sch 8 CCA Hist'!C16), "", 'H8 Sch 8 CCA Hist'!C16)</f>
        <v>6</v>
      </c>
      <c r="C14" s="487" t="str">
        <f>IF(ISBLANK('H8 Sch 8 CCA Hist'!D16), "", 'H8 Sch 8 CCA Hist'!D16)</f>
        <v>Certain Buildings; Fences</v>
      </c>
      <c r="D14" s="531" t="s">
        <v>306</v>
      </c>
      <c r="E14" s="532">
        <f>IF(ISBLANK('H8 Sch 8 CCA Hist'!E16),0, 'H8 Sch 8 CCA Hist'!G16)</f>
        <v>0</v>
      </c>
      <c r="F14" s="470"/>
      <c r="G14" s="470"/>
      <c r="H14" s="470"/>
      <c r="I14" s="470"/>
      <c r="J14" s="470"/>
      <c r="K14" s="470"/>
      <c r="L14" s="183">
        <f t="shared" si="0"/>
        <v>0</v>
      </c>
      <c r="M14" s="183">
        <f t="shared" si="1"/>
        <v>0</v>
      </c>
      <c r="N14" s="183">
        <f t="shared" si="2"/>
        <v>0</v>
      </c>
      <c r="O14" s="504">
        <v>0.5</v>
      </c>
      <c r="P14" s="183">
        <f t="shared" si="3"/>
        <v>0</v>
      </c>
      <c r="Q14" s="183">
        <f t="shared" si="4"/>
        <v>0</v>
      </c>
      <c r="R14" s="492">
        <v>0.1</v>
      </c>
      <c r="S14" s="533"/>
      <c r="T14" s="533"/>
      <c r="U14" s="183">
        <f t="shared" si="5"/>
        <v>0</v>
      </c>
      <c r="V14" s="183"/>
      <c r="W14" s="183">
        <f t="shared" si="6"/>
        <v>0</v>
      </c>
      <c r="X14" s="308" t="s">
        <v>313</v>
      </c>
    </row>
    <row r="15" spans="1:24" ht="12.75" customHeight="1" x14ac:dyDescent="0.2">
      <c r="B15" s="486">
        <f>IF(ISBLANK('H8 Sch 8 CCA Hist'!C17), "", 'H8 Sch 8 CCA Hist'!C17)</f>
        <v>8</v>
      </c>
      <c r="C15" s="487" t="str">
        <f>IF(ISBLANK('H8 Sch 8 CCA Hist'!D17), "", 'H8 Sch 8 CCA Hist'!D17)</f>
        <v>General Office Equipment, Furniture, Fixtures</v>
      </c>
      <c r="D15" s="531" t="s">
        <v>306</v>
      </c>
      <c r="E15" s="532">
        <f>IF(ISBLANK('H8 Sch 8 CCA Hist'!E17),0, 'H8 Sch 8 CCA Hist'!G17)</f>
        <v>349404</v>
      </c>
      <c r="F15" s="470">
        <v>172726.66</v>
      </c>
      <c r="G15" s="470">
        <v>172726.66</v>
      </c>
      <c r="H15" s="470"/>
      <c r="I15" s="470"/>
      <c r="J15" s="470"/>
      <c r="K15" s="470"/>
      <c r="L15" s="183">
        <f t="shared" si="0"/>
        <v>522130.66000000003</v>
      </c>
      <c r="M15" s="183">
        <f t="shared" si="1"/>
        <v>0</v>
      </c>
      <c r="N15" s="183">
        <f t="shared" si="2"/>
        <v>172726.66</v>
      </c>
      <c r="O15" s="504">
        <v>0.5</v>
      </c>
      <c r="P15" s="183">
        <f t="shared" si="3"/>
        <v>86363.33</v>
      </c>
      <c r="Q15" s="183">
        <f t="shared" si="4"/>
        <v>0</v>
      </c>
      <c r="R15" s="492">
        <v>0.2</v>
      </c>
      <c r="S15" s="533"/>
      <c r="T15" s="533"/>
      <c r="U15" s="183">
        <f t="shared" si="5"/>
        <v>121698.79800000001</v>
      </c>
      <c r="V15" s="183"/>
      <c r="W15" s="183">
        <f t="shared" si="6"/>
        <v>400431.86200000002</v>
      </c>
      <c r="X15" s="308" t="s">
        <v>313</v>
      </c>
    </row>
    <row r="16" spans="1:24" ht="12.75" customHeight="1" x14ac:dyDescent="0.2">
      <c r="B16" s="486">
        <f>IF(ISBLANK('H8 Sch 8 CCA Hist'!C18), "", 'H8 Sch 8 CCA Hist'!C18)</f>
        <v>10</v>
      </c>
      <c r="C16" s="487" t="str">
        <f>IF(ISBLANK('H8 Sch 8 CCA Hist'!D18), "", 'H8 Sch 8 CCA Hist'!D18)</f>
        <v>Motor Vehicles, Fleet</v>
      </c>
      <c r="D16" s="531" t="s">
        <v>306</v>
      </c>
      <c r="E16" s="532">
        <f>IF(ISBLANK('H8 Sch 8 CCA Hist'!E18),0, 'H8 Sch 8 CCA Hist'!G18)</f>
        <v>678024</v>
      </c>
      <c r="F16" s="470"/>
      <c r="G16" s="470"/>
      <c r="H16" s="470"/>
      <c r="I16" s="470"/>
      <c r="J16" s="470"/>
      <c r="K16" s="470"/>
      <c r="L16" s="183">
        <f t="shared" si="0"/>
        <v>678024</v>
      </c>
      <c r="M16" s="183">
        <f t="shared" si="1"/>
        <v>0</v>
      </c>
      <c r="N16" s="183">
        <f t="shared" si="2"/>
        <v>0</v>
      </c>
      <c r="O16" s="504">
        <v>0.5</v>
      </c>
      <c r="P16" s="183">
        <f t="shared" si="3"/>
        <v>0</v>
      </c>
      <c r="Q16" s="183">
        <f t="shared" si="4"/>
        <v>0</v>
      </c>
      <c r="R16" s="492">
        <v>0.3</v>
      </c>
      <c r="S16" s="533"/>
      <c r="T16" s="533"/>
      <c r="U16" s="183">
        <f t="shared" si="5"/>
        <v>203407.19999999998</v>
      </c>
      <c r="V16" s="183"/>
      <c r="W16" s="183">
        <f t="shared" si="6"/>
        <v>474616.80000000005</v>
      </c>
      <c r="X16" s="308" t="s">
        <v>313</v>
      </c>
    </row>
    <row r="17" spans="2:24" ht="12.75" customHeight="1" x14ac:dyDescent="0.2">
      <c r="B17" s="486">
        <f>IF(ISBLANK('H8 Sch 8 CCA Hist'!C19), "", 'H8 Sch 8 CCA Hist'!C19)</f>
        <v>10.1</v>
      </c>
      <c r="C17" s="487" t="str">
        <f>IF(ISBLANK('H8 Sch 8 CCA Hist'!D19), "", 'H8 Sch 8 CCA Hist'!D19)</f>
        <v>Certain Automobiles</v>
      </c>
      <c r="D17" s="531" t="s">
        <v>306</v>
      </c>
      <c r="E17" s="532">
        <f>IF(ISBLANK('H8 Sch 8 CCA Hist'!E19),0, 'H8 Sch 8 CCA Hist'!G19)</f>
        <v>0</v>
      </c>
      <c r="F17" s="470"/>
      <c r="G17" s="470"/>
      <c r="H17" s="470"/>
      <c r="I17" s="470"/>
      <c r="J17" s="470"/>
      <c r="K17" s="470"/>
      <c r="L17" s="183">
        <f t="shared" si="0"/>
        <v>0</v>
      </c>
      <c r="M17" s="183">
        <f t="shared" si="1"/>
        <v>0</v>
      </c>
      <c r="N17" s="183">
        <f t="shared" si="2"/>
        <v>0</v>
      </c>
      <c r="O17" s="504">
        <v>0.5</v>
      </c>
      <c r="P17" s="183">
        <f t="shared" si="3"/>
        <v>0</v>
      </c>
      <c r="Q17" s="183">
        <f t="shared" si="4"/>
        <v>0</v>
      </c>
      <c r="R17" s="492">
        <v>0.3</v>
      </c>
      <c r="S17" s="533"/>
      <c r="T17" s="533"/>
      <c r="U17" s="183">
        <f t="shared" si="5"/>
        <v>0</v>
      </c>
      <c r="V17" s="183"/>
      <c r="W17" s="183">
        <f t="shared" si="6"/>
        <v>0</v>
      </c>
      <c r="X17" s="308" t="s">
        <v>313</v>
      </c>
    </row>
    <row r="18" spans="2:24" ht="12.75" customHeight="1" x14ac:dyDescent="0.2">
      <c r="B18" s="486">
        <f>IF(ISBLANK('H8 Sch 8 CCA Hist'!C20), "", 'H8 Sch 8 CCA Hist'!C20)</f>
        <v>12</v>
      </c>
      <c r="C18" s="487" t="str">
        <f>IF(ISBLANK('H8 Sch 8 CCA Hist'!D20), "", 'H8 Sch 8 CCA Hist'!D20)</f>
        <v>Computer Application Software (Non-Systems)</v>
      </c>
      <c r="D18" s="531" t="s">
        <v>306</v>
      </c>
      <c r="E18" s="532">
        <f>IF(ISBLANK('H8 Sch 8 CCA Hist'!E20),0, 'H8 Sch 8 CCA Hist'!G20)</f>
        <v>0</v>
      </c>
      <c r="F18" s="470"/>
      <c r="G18" s="470"/>
      <c r="H18" s="470"/>
      <c r="I18" s="470"/>
      <c r="J18" s="470"/>
      <c r="K18" s="470"/>
      <c r="L18" s="183">
        <f t="shared" si="0"/>
        <v>0</v>
      </c>
      <c r="M18" s="183">
        <f t="shared" si="1"/>
        <v>0</v>
      </c>
      <c r="N18" s="183">
        <f t="shared" si="2"/>
        <v>0</v>
      </c>
      <c r="O18" s="504">
        <v>0</v>
      </c>
      <c r="P18" s="183">
        <f t="shared" si="3"/>
        <v>0</v>
      </c>
      <c r="Q18" s="183">
        <f t="shared" si="4"/>
        <v>0</v>
      </c>
      <c r="R18" s="492">
        <v>1</v>
      </c>
      <c r="S18" s="533"/>
      <c r="T18" s="533"/>
      <c r="U18" s="183">
        <f t="shared" si="5"/>
        <v>0</v>
      </c>
      <c r="V18" s="183"/>
      <c r="W18" s="183">
        <f t="shared" si="6"/>
        <v>0</v>
      </c>
      <c r="X18" s="308" t="s">
        <v>313</v>
      </c>
    </row>
    <row r="19" spans="2:24" ht="12.75" customHeight="1" x14ac:dyDescent="0.25">
      <c r="B19" s="484" t="s">
        <v>400</v>
      </c>
      <c r="C19" s="487" t="str">
        <f>IF(ISBLANK('H8 Sch 8 CCA Hist'!D21), "", 'H8 Sch 8 CCA Hist'!D21)</f>
        <v>Lease # 1</v>
      </c>
      <c r="D19" s="531" t="s">
        <v>306</v>
      </c>
      <c r="E19" s="532">
        <f>IF(ISBLANK('H8 Sch 8 CCA Hist'!E21),0, 'H8 Sch 8 CCA Hist'!G21)</f>
        <v>0</v>
      </c>
      <c r="F19" s="470"/>
      <c r="G19" s="470"/>
      <c r="H19" s="470"/>
      <c r="I19" s="470"/>
      <c r="J19" s="470"/>
      <c r="K19" s="470"/>
      <c r="L19" s="183">
        <f t="shared" si="0"/>
        <v>0</v>
      </c>
      <c r="M19" s="183">
        <f t="shared" si="1"/>
        <v>0</v>
      </c>
      <c r="N19" s="183">
        <f t="shared" si="2"/>
        <v>0</v>
      </c>
      <c r="O19" s="504">
        <v>0</v>
      </c>
      <c r="P19" s="183">
        <f t="shared" si="3"/>
        <v>0</v>
      </c>
      <c r="Q19" s="183">
        <f t="shared" si="4"/>
        <v>0</v>
      </c>
      <c r="R19" s="496" t="s">
        <v>414</v>
      </c>
      <c r="S19" s="533"/>
      <c r="T19" s="533"/>
      <c r="U19" s="470"/>
      <c r="V19" s="183"/>
      <c r="W19" s="183">
        <f t="shared" si="6"/>
        <v>0</v>
      </c>
      <c r="X19" s="308" t="s">
        <v>313</v>
      </c>
    </row>
    <row r="20" spans="2:24" ht="12.75" customHeight="1" x14ac:dyDescent="0.25">
      <c r="B20" s="484" t="s">
        <v>401</v>
      </c>
      <c r="C20" s="487" t="str">
        <f>IF(ISBLANK('H8 Sch 8 CCA Hist'!D22), "", 'H8 Sch 8 CCA Hist'!D22)</f>
        <v>Lease # 2</v>
      </c>
      <c r="D20" s="531" t="s">
        <v>306</v>
      </c>
      <c r="E20" s="532">
        <f>IF(ISBLANK('H8 Sch 8 CCA Hist'!E22),0, 'H8 Sch 8 CCA Hist'!G22)</f>
        <v>0</v>
      </c>
      <c r="F20" s="470"/>
      <c r="G20" s="470"/>
      <c r="H20" s="470"/>
      <c r="I20" s="470"/>
      <c r="J20" s="470"/>
      <c r="K20" s="470"/>
      <c r="L20" s="183">
        <f t="shared" si="0"/>
        <v>0</v>
      </c>
      <c r="M20" s="183">
        <f t="shared" si="1"/>
        <v>0</v>
      </c>
      <c r="N20" s="183">
        <f t="shared" si="2"/>
        <v>0</v>
      </c>
      <c r="O20" s="504">
        <v>0</v>
      </c>
      <c r="P20" s="183">
        <f t="shared" si="3"/>
        <v>0</v>
      </c>
      <c r="Q20" s="183">
        <f t="shared" si="4"/>
        <v>0</v>
      </c>
      <c r="R20" s="496" t="s">
        <v>414</v>
      </c>
      <c r="S20" s="533"/>
      <c r="T20" s="533"/>
      <c r="U20" s="470"/>
      <c r="V20" s="183"/>
      <c r="W20" s="183">
        <f t="shared" si="6"/>
        <v>0</v>
      </c>
      <c r="X20" s="308" t="s">
        <v>313</v>
      </c>
    </row>
    <row r="21" spans="2:24" ht="12.75" customHeight="1" x14ac:dyDescent="0.25">
      <c r="B21" s="484" t="s">
        <v>402</v>
      </c>
      <c r="C21" s="487" t="str">
        <f>IF(ISBLANK('H8 Sch 8 CCA Hist'!D23), "", 'H8 Sch 8 CCA Hist'!D23)</f>
        <v>Lease # 3</v>
      </c>
      <c r="D21" s="531" t="s">
        <v>306</v>
      </c>
      <c r="E21" s="532">
        <f>IF(ISBLANK('H8 Sch 8 CCA Hist'!E23),0, 'H8 Sch 8 CCA Hist'!G23)</f>
        <v>0</v>
      </c>
      <c r="F21" s="470"/>
      <c r="G21" s="470"/>
      <c r="H21" s="470"/>
      <c r="I21" s="470"/>
      <c r="J21" s="470"/>
      <c r="K21" s="470"/>
      <c r="L21" s="183">
        <f t="shared" si="0"/>
        <v>0</v>
      </c>
      <c r="M21" s="183">
        <f t="shared" si="1"/>
        <v>0</v>
      </c>
      <c r="N21" s="183">
        <f t="shared" si="2"/>
        <v>0</v>
      </c>
      <c r="O21" s="504">
        <v>0</v>
      </c>
      <c r="P21" s="183">
        <f t="shared" si="3"/>
        <v>0</v>
      </c>
      <c r="Q21" s="183">
        <f t="shared" si="4"/>
        <v>0</v>
      </c>
      <c r="R21" s="496" t="s">
        <v>414</v>
      </c>
      <c r="S21" s="533"/>
      <c r="T21" s="533"/>
      <c r="U21" s="470"/>
      <c r="V21" s="183"/>
      <c r="W21" s="183">
        <f t="shared" si="6"/>
        <v>0</v>
      </c>
      <c r="X21" s="308" t="s">
        <v>313</v>
      </c>
    </row>
    <row r="22" spans="2:24" ht="12.75" customHeight="1" x14ac:dyDescent="0.25">
      <c r="B22" s="484" t="s">
        <v>403</v>
      </c>
      <c r="C22" s="487" t="str">
        <f>IF(ISBLANK('H8 Sch 8 CCA Hist'!D24), "", 'H8 Sch 8 CCA Hist'!D24)</f>
        <v>Lease # 4</v>
      </c>
      <c r="D22" s="531" t="s">
        <v>306</v>
      </c>
      <c r="E22" s="532">
        <f>IF(ISBLANK('H8 Sch 8 CCA Hist'!E24),0, 'H8 Sch 8 CCA Hist'!G24)</f>
        <v>0</v>
      </c>
      <c r="F22" s="470"/>
      <c r="G22" s="470"/>
      <c r="H22" s="470"/>
      <c r="I22" s="470"/>
      <c r="J22" s="470"/>
      <c r="K22" s="470"/>
      <c r="L22" s="183">
        <f t="shared" si="0"/>
        <v>0</v>
      </c>
      <c r="M22" s="183">
        <f t="shared" si="1"/>
        <v>0</v>
      </c>
      <c r="N22" s="183">
        <f t="shared" si="2"/>
        <v>0</v>
      </c>
      <c r="O22" s="504">
        <v>0</v>
      </c>
      <c r="P22" s="183">
        <f t="shared" si="3"/>
        <v>0</v>
      </c>
      <c r="Q22" s="183">
        <f t="shared" si="4"/>
        <v>0</v>
      </c>
      <c r="R22" s="496" t="s">
        <v>414</v>
      </c>
      <c r="S22" s="533"/>
      <c r="T22" s="533"/>
      <c r="U22" s="470"/>
      <c r="V22" s="183"/>
      <c r="W22" s="183">
        <f t="shared" si="6"/>
        <v>0</v>
      </c>
      <c r="X22" s="308" t="s">
        <v>313</v>
      </c>
    </row>
    <row r="23" spans="2:24" ht="12.75" customHeight="1" x14ac:dyDescent="0.2">
      <c r="B23" s="486">
        <f>IF(ISBLANK('H8 Sch 8 CCA Hist'!C25), "", 'H8 Sch 8 CCA Hist'!C25)</f>
        <v>14</v>
      </c>
      <c r="C23" s="487" t="str">
        <f>IF(ISBLANK('H8 Sch 8 CCA Hist'!D25), "", 'H8 Sch 8 CCA Hist'!D25)</f>
        <v>Limited Period Patents, Franchises, Concessions or Licences</v>
      </c>
      <c r="D23" s="531" t="s">
        <v>306</v>
      </c>
      <c r="E23" s="532">
        <f>IF(ISBLANK('H8 Sch 8 CCA Hist'!E25),0, 'H8 Sch 8 CCA Hist'!G25)</f>
        <v>0</v>
      </c>
      <c r="F23" s="470"/>
      <c r="G23" s="470"/>
      <c r="H23" s="470"/>
      <c r="I23" s="470"/>
      <c r="J23" s="470"/>
      <c r="K23" s="470"/>
      <c r="L23" s="183">
        <f t="shared" si="0"/>
        <v>0</v>
      </c>
      <c r="M23" s="183">
        <f t="shared" si="1"/>
        <v>0</v>
      </c>
      <c r="N23" s="183">
        <f t="shared" si="2"/>
        <v>0</v>
      </c>
      <c r="O23" s="504">
        <v>0</v>
      </c>
      <c r="P23" s="183">
        <f t="shared" si="3"/>
        <v>0</v>
      </c>
      <c r="Q23" s="183">
        <f t="shared" si="4"/>
        <v>0</v>
      </c>
      <c r="R23" s="496" t="s">
        <v>414</v>
      </c>
      <c r="S23" s="533"/>
      <c r="T23" s="533"/>
      <c r="U23" s="470"/>
      <c r="V23" s="183"/>
      <c r="W23" s="183">
        <f t="shared" si="6"/>
        <v>0</v>
      </c>
      <c r="X23" s="308" t="s">
        <v>313</v>
      </c>
    </row>
    <row r="24" spans="2:24" ht="12.75" customHeight="1" x14ac:dyDescent="0.2">
      <c r="B24" s="488">
        <v>14.1</v>
      </c>
      <c r="C24" s="489" t="s">
        <v>415</v>
      </c>
      <c r="D24" s="531" t="s">
        <v>306</v>
      </c>
      <c r="E24" s="532">
        <f>IF(ISBLANK('H8 Sch 8 CCA Hist'!E26),0, 'H8 Sch 8 CCA Hist'!G26)</f>
        <v>0</v>
      </c>
      <c r="F24" s="491"/>
      <c r="G24" s="491"/>
      <c r="H24" s="470"/>
      <c r="I24" s="470"/>
      <c r="J24" s="470"/>
      <c r="K24" s="470"/>
      <c r="L24" s="183">
        <f t="shared" si="0"/>
        <v>0</v>
      </c>
      <c r="M24" s="183">
        <f t="shared" si="1"/>
        <v>0</v>
      </c>
      <c r="N24" s="183">
        <f t="shared" si="2"/>
        <v>0</v>
      </c>
      <c r="O24" s="504"/>
      <c r="P24" s="183">
        <f t="shared" si="3"/>
        <v>0</v>
      </c>
      <c r="Q24" s="183">
        <f t="shared" si="4"/>
        <v>0</v>
      </c>
      <c r="R24" s="492">
        <v>7.0000000000000007E-2</v>
      </c>
      <c r="S24" s="533"/>
      <c r="T24" s="533"/>
      <c r="U24" s="183">
        <f t="shared" ref="U24:U34" si="7">IF(OR(L24&lt;0,T24&gt;0),0,(L24+P24-Q24)*R24)</f>
        <v>0</v>
      </c>
      <c r="V24" s="183"/>
      <c r="W24" s="183">
        <f t="shared" si="6"/>
        <v>0</v>
      </c>
      <c r="X24" s="308" t="s">
        <v>313</v>
      </c>
    </row>
    <row r="25" spans="2:24" ht="12.75" customHeight="1" x14ac:dyDescent="0.2">
      <c r="B25" s="488">
        <v>14.1</v>
      </c>
      <c r="C25" s="489" t="s">
        <v>416</v>
      </c>
      <c r="D25" s="531" t="s">
        <v>306</v>
      </c>
      <c r="E25" s="532">
        <f>IF(ISBLANK('H8 Sch 8 CCA Hist'!E27),0, 'H8 Sch 8 CCA Hist'!G27)</f>
        <v>0</v>
      </c>
      <c r="F25" s="470"/>
      <c r="G25" s="470"/>
      <c r="H25" s="470"/>
      <c r="I25" s="470"/>
      <c r="J25" s="470"/>
      <c r="K25" s="470"/>
      <c r="L25" s="183">
        <f t="shared" si="0"/>
        <v>0</v>
      </c>
      <c r="M25" s="183">
        <f t="shared" si="1"/>
        <v>0</v>
      </c>
      <c r="N25" s="183">
        <f t="shared" si="2"/>
        <v>0</v>
      </c>
      <c r="O25" s="504">
        <v>0.5</v>
      </c>
      <c r="P25" s="183">
        <f t="shared" si="3"/>
        <v>0</v>
      </c>
      <c r="Q25" s="183">
        <f t="shared" si="4"/>
        <v>0</v>
      </c>
      <c r="R25" s="492">
        <v>0.05</v>
      </c>
      <c r="S25" s="533"/>
      <c r="T25" s="533"/>
      <c r="U25" s="183">
        <f t="shared" si="7"/>
        <v>0</v>
      </c>
      <c r="V25" s="183"/>
      <c r="W25" s="183">
        <f t="shared" si="6"/>
        <v>0</v>
      </c>
      <c r="X25" s="308" t="s">
        <v>313</v>
      </c>
    </row>
    <row r="26" spans="2:24" ht="12.75" customHeight="1" x14ac:dyDescent="0.2">
      <c r="B26" s="486">
        <f>IF(ISBLANK('H8 Sch 8 CCA Hist'!C28), "", 'H8 Sch 8 CCA Hist'!C28)</f>
        <v>17</v>
      </c>
      <c r="C26" s="487" t="str">
        <f>IF(ISBLANK('H8 Sch 8 CCA Hist'!D28), "", 'H8 Sch 8 CCA Hist'!D28)</f>
        <v>Elec. Generation Equip. (Non-Bldng, acq'd post Feb 27/00); Roads, Lots, Storage</v>
      </c>
      <c r="D26" s="531" t="s">
        <v>306</v>
      </c>
      <c r="E26" s="532">
        <f>IF(ISBLANK('H8 Sch 8 CCA Hist'!E28),0, 'H8 Sch 8 CCA Hist'!G28)</f>
        <v>273659</v>
      </c>
      <c r="F26" s="470"/>
      <c r="G26" s="470"/>
      <c r="H26" s="470"/>
      <c r="I26" s="470"/>
      <c r="J26" s="470"/>
      <c r="K26" s="470"/>
      <c r="L26" s="183">
        <f t="shared" si="0"/>
        <v>273659</v>
      </c>
      <c r="M26" s="183">
        <f t="shared" si="1"/>
        <v>0</v>
      </c>
      <c r="N26" s="183">
        <f t="shared" si="2"/>
        <v>0</v>
      </c>
      <c r="O26" s="504">
        <v>0.5</v>
      </c>
      <c r="P26" s="183">
        <f t="shared" si="3"/>
        <v>0</v>
      </c>
      <c r="Q26" s="183">
        <f t="shared" si="4"/>
        <v>0</v>
      </c>
      <c r="R26" s="492">
        <v>0.08</v>
      </c>
      <c r="S26" s="533"/>
      <c r="T26" s="533"/>
      <c r="U26" s="183">
        <f t="shared" si="7"/>
        <v>21892.720000000001</v>
      </c>
      <c r="V26" s="183"/>
      <c r="W26" s="183">
        <f t="shared" si="6"/>
        <v>251766.28</v>
      </c>
      <c r="X26" s="308" t="s">
        <v>313</v>
      </c>
    </row>
    <row r="27" spans="2:24" ht="12.75" customHeight="1" x14ac:dyDescent="0.2">
      <c r="B27" s="486">
        <f>IF(ISBLANK('H8 Sch 8 CCA Hist'!C29), "", 'H8 Sch 8 CCA Hist'!C29)</f>
        <v>42</v>
      </c>
      <c r="C27" s="487" t="str">
        <f>IF(ISBLANK('H8 Sch 8 CCA Hist'!D29), "", 'H8 Sch 8 CCA Hist'!D29)</f>
        <v>Fibre Optic Cable</v>
      </c>
      <c r="D27" s="531" t="s">
        <v>306</v>
      </c>
      <c r="E27" s="532">
        <f>IF(ISBLANK('H8 Sch 8 CCA Hist'!E29),0, 'H8 Sch 8 CCA Hist'!G29)</f>
        <v>0</v>
      </c>
      <c r="F27" s="470"/>
      <c r="G27" s="470"/>
      <c r="H27" s="470"/>
      <c r="I27" s="470"/>
      <c r="J27" s="470"/>
      <c r="K27" s="470"/>
      <c r="L27" s="183">
        <f t="shared" si="0"/>
        <v>0</v>
      </c>
      <c r="M27" s="183">
        <f t="shared" si="1"/>
        <v>0</v>
      </c>
      <c r="N27" s="183">
        <f t="shared" si="2"/>
        <v>0</v>
      </c>
      <c r="O27" s="504">
        <v>0.5</v>
      </c>
      <c r="P27" s="183">
        <f t="shared" si="3"/>
        <v>0</v>
      </c>
      <c r="Q27" s="183">
        <f t="shared" si="4"/>
        <v>0</v>
      </c>
      <c r="R27" s="492">
        <v>0.12</v>
      </c>
      <c r="S27" s="533"/>
      <c r="T27" s="533"/>
      <c r="U27" s="183">
        <f t="shared" si="7"/>
        <v>0</v>
      </c>
      <c r="V27" s="183"/>
      <c r="W27" s="183">
        <f t="shared" si="6"/>
        <v>0</v>
      </c>
      <c r="X27" s="308" t="s">
        <v>313</v>
      </c>
    </row>
    <row r="28" spans="2:24" ht="12.75" customHeight="1" x14ac:dyDescent="0.2">
      <c r="B28" s="486">
        <f>IF(ISBLANK('H8 Sch 8 CCA Hist'!C30), "", 'H8 Sch 8 CCA Hist'!C30)</f>
        <v>43.1</v>
      </c>
      <c r="C28" s="487" t="str">
        <f>IF(ISBLANK('H8 Sch 8 CCA Hist'!D30), "", 'H8 Sch 8 CCA Hist'!D30)</f>
        <v>Certain Clean Energy/Energy-Efficient Generation Equipment</v>
      </c>
      <c r="D28" s="531" t="s">
        <v>306</v>
      </c>
      <c r="E28" s="532">
        <f>IF(ISBLANK('H8 Sch 8 CCA Hist'!E30),0, 'H8 Sch 8 CCA Hist'!G30)</f>
        <v>0</v>
      </c>
      <c r="F28" s="470"/>
      <c r="G28" s="470"/>
      <c r="H28" s="470"/>
      <c r="I28" s="470"/>
      <c r="J28" s="470"/>
      <c r="K28" s="470"/>
      <c r="L28" s="183">
        <f t="shared" si="0"/>
        <v>0</v>
      </c>
      <c r="M28" s="183">
        <f t="shared" si="1"/>
        <v>0</v>
      </c>
      <c r="N28" s="183">
        <f t="shared" si="2"/>
        <v>0</v>
      </c>
      <c r="O28" s="504">
        <f>(2+(1/3))</f>
        <v>2.3333333333333335</v>
      </c>
      <c r="P28" s="183">
        <f t="shared" si="3"/>
        <v>0</v>
      </c>
      <c r="Q28" s="183">
        <f t="shared" si="4"/>
        <v>0</v>
      </c>
      <c r="R28" s="492">
        <v>0.3</v>
      </c>
      <c r="S28" s="533"/>
      <c r="T28" s="533"/>
      <c r="U28" s="183">
        <f t="shared" si="7"/>
        <v>0</v>
      </c>
      <c r="V28" s="183"/>
      <c r="W28" s="183">
        <f t="shared" si="6"/>
        <v>0</v>
      </c>
      <c r="X28" s="308" t="s">
        <v>313</v>
      </c>
    </row>
    <row r="29" spans="2:24" ht="12.75" customHeight="1" x14ac:dyDescent="0.2">
      <c r="B29" s="486">
        <f>IF(ISBLANK('H8 Sch 8 CCA Hist'!C31), "", 'H8 Sch 8 CCA Hist'!C31)</f>
        <v>43.2</v>
      </c>
      <c r="C29" s="487" t="str">
        <f>IF(ISBLANK('H8 Sch 8 CCA Hist'!D31), "", 'H8 Sch 8 CCA Hist'!D31)</f>
        <v>Certain Clean Energy/Energy-Efficient Generation Equipment</v>
      </c>
      <c r="D29" s="531" t="s">
        <v>306</v>
      </c>
      <c r="E29" s="532">
        <f>IF(ISBLANK('H8 Sch 8 CCA Hist'!E31),0, 'H8 Sch 8 CCA Hist'!G31)</f>
        <v>0</v>
      </c>
      <c r="F29" s="470"/>
      <c r="G29" s="470"/>
      <c r="H29" s="470"/>
      <c r="I29" s="470"/>
      <c r="J29" s="470"/>
      <c r="K29" s="470"/>
      <c r="L29" s="183">
        <f t="shared" si="0"/>
        <v>0</v>
      </c>
      <c r="M29" s="183">
        <f t="shared" si="1"/>
        <v>0</v>
      </c>
      <c r="N29" s="183">
        <f t="shared" si="2"/>
        <v>0</v>
      </c>
      <c r="O29" s="504">
        <v>1</v>
      </c>
      <c r="P29" s="183">
        <f t="shared" si="3"/>
        <v>0</v>
      </c>
      <c r="Q29" s="183">
        <f t="shared" si="4"/>
        <v>0</v>
      </c>
      <c r="R29" s="492">
        <v>0.5</v>
      </c>
      <c r="S29" s="533"/>
      <c r="T29" s="533"/>
      <c r="U29" s="183">
        <f t="shared" si="7"/>
        <v>0</v>
      </c>
      <c r="V29" s="183"/>
      <c r="W29" s="183">
        <f t="shared" si="6"/>
        <v>0</v>
      </c>
      <c r="X29" s="308" t="s">
        <v>313</v>
      </c>
    </row>
    <row r="30" spans="2:24" ht="12.75" customHeight="1" x14ac:dyDescent="0.2">
      <c r="B30" s="486">
        <f>IF(ISBLANK('H8 Sch 8 CCA Hist'!C32), "", 'H8 Sch 8 CCA Hist'!C32)</f>
        <v>45</v>
      </c>
      <c r="C30" s="487" t="str">
        <f>IF(ISBLANK('H8 Sch 8 CCA Hist'!D32), "", 'H8 Sch 8 CCA Hist'!D32)</f>
        <v>Computers &amp; System Software (acq'd post Mar 22/04 and pre Mar 19/07)</v>
      </c>
      <c r="D30" s="531" t="s">
        <v>306</v>
      </c>
      <c r="E30" s="532">
        <f>IF(ISBLANK('H8 Sch 8 CCA Hist'!E32),0, 'H8 Sch 8 CCA Hist'!G32)</f>
        <v>106</v>
      </c>
      <c r="F30" s="491"/>
      <c r="G30" s="491"/>
      <c r="H30" s="470"/>
      <c r="I30" s="470"/>
      <c r="J30" s="470"/>
      <c r="K30" s="470"/>
      <c r="L30" s="183">
        <f t="shared" si="0"/>
        <v>106</v>
      </c>
      <c r="M30" s="183">
        <f t="shared" si="1"/>
        <v>0</v>
      </c>
      <c r="N30" s="183">
        <f t="shared" si="2"/>
        <v>0</v>
      </c>
      <c r="O30" s="504"/>
      <c r="P30" s="183">
        <f t="shared" si="3"/>
        <v>0</v>
      </c>
      <c r="Q30" s="183">
        <f t="shared" si="4"/>
        <v>0</v>
      </c>
      <c r="R30" s="492">
        <v>0.45</v>
      </c>
      <c r="S30" s="533"/>
      <c r="T30" s="533"/>
      <c r="U30" s="183">
        <f t="shared" si="7"/>
        <v>47.7</v>
      </c>
      <c r="V30" s="183"/>
      <c r="W30" s="183">
        <f t="shared" si="6"/>
        <v>58.3</v>
      </c>
      <c r="X30" s="308" t="s">
        <v>313</v>
      </c>
    </row>
    <row r="31" spans="2:24" ht="12.75" customHeight="1" x14ac:dyDescent="0.2">
      <c r="B31" s="486">
        <f>IF(ISBLANK('H8 Sch 8 CCA Hist'!C33), "", 'H8 Sch 8 CCA Hist'!C33)</f>
        <v>46</v>
      </c>
      <c r="C31" s="487" t="str">
        <f>IF(ISBLANK('H8 Sch 8 CCA Hist'!D33), "", 'H8 Sch 8 CCA Hist'!D33)</f>
        <v>Data Network Infrastructure Equipment (acq'd post Mar 22/04)</v>
      </c>
      <c r="D31" s="531" t="s">
        <v>306</v>
      </c>
      <c r="E31" s="532">
        <f>IF(ISBLANK('H8 Sch 8 CCA Hist'!E33),0, 'H8 Sch 8 CCA Hist'!G33)</f>
        <v>0</v>
      </c>
      <c r="F31" s="470"/>
      <c r="G31" s="470"/>
      <c r="H31" s="470"/>
      <c r="I31" s="470"/>
      <c r="J31" s="470"/>
      <c r="K31" s="470"/>
      <c r="L31" s="183">
        <f t="shared" si="0"/>
        <v>0</v>
      </c>
      <c r="M31" s="183">
        <f t="shared" si="1"/>
        <v>0</v>
      </c>
      <c r="N31" s="183">
        <f t="shared" si="2"/>
        <v>0</v>
      </c>
      <c r="O31" s="504">
        <v>0.5</v>
      </c>
      <c r="P31" s="183">
        <f t="shared" si="3"/>
        <v>0</v>
      </c>
      <c r="Q31" s="183">
        <f t="shared" si="4"/>
        <v>0</v>
      </c>
      <c r="R31" s="492">
        <v>0.3</v>
      </c>
      <c r="S31" s="533"/>
      <c r="T31" s="533"/>
      <c r="U31" s="183">
        <f t="shared" si="7"/>
        <v>0</v>
      </c>
      <c r="V31" s="183"/>
      <c r="W31" s="183">
        <f t="shared" si="6"/>
        <v>0</v>
      </c>
      <c r="X31" s="308" t="s">
        <v>313</v>
      </c>
    </row>
    <row r="32" spans="2:24" ht="12.75" customHeight="1" x14ac:dyDescent="0.2">
      <c r="B32" s="486">
        <f>IF(ISBLANK('H8 Sch 8 CCA Hist'!C34), "", 'H8 Sch 8 CCA Hist'!C34)</f>
        <v>47</v>
      </c>
      <c r="C32" s="487" t="str">
        <f>IF(ISBLANK('H8 Sch 8 CCA Hist'!D34), "", 'H8 Sch 8 CCA Hist'!D34)</f>
        <v>Distribution System (acq'd post Feb 22/05)</v>
      </c>
      <c r="D32" s="531" t="s">
        <v>306</v>
      </c>
      <c r="E32" s="532">
        <f>IF(ISBLANK('H8 Sch 8 CCA Hist'!E34),0, 'H8 Sch 8 CCA Hist'!G34)</f>
        <v>40910243</v>
      </c>
      <c r="F32" s="470">
        <v>5563574.3299999982</v>
      </c>
      <c r="G32" s="470">
        <v>5563574.3299999982</v>
      </c>
      <c r="H32" s="470"/>
      <c r="I32" s="470"/>
      <c r="J32" s="470"/>
      <c r="K32" s="470"/>
      <c r="L32" s="183">
        <f t="shared" si="0"/>
        <v>46473817.329999998</v>
      </c>
      <c r="M32" s="183">
        <f t="shared" si="1"/>
        <v>0</v>
      </c>
      <c r="N32" s="183">
        <f t="shared" si="2"/>
        <v>5563574.3299999982</v>
      </c>
      <c r="O32" s="504">
        <v>0.5</v>
      </c>
      <c r="P32" s="183">
        <f t="shared" si="3"/>
        <v>2781787.1649999991</v>
      </c>
      <c r="Q32" s="183">
        <f t="shared" si="4"/>
        <v>0</v>
      </c>
      <c r="R32" s="492">
        <v>0.08</v>
      </c>
      <c r="S32" s="533"/>
      <c r="T32" s="533"/>
      <c r="U32" s="183">
        <f t="shared" si="7"/>
        <v>3940448.3596000001</v>
      </c>
      <c r="V32" s="183"/>
      <c r="W32" s="183">
        <f t="shared" si="6"/>
        <v>42533368.970399998</v>
      </c>
      <c r="X32" s="308" t="s">
        <v>313</v>
      </c>
    </row>
    <row r="33" spans="2:24" ht="12.75" customHeight="1" x14ac:dyDescent="0.2">
      <c r="B33" s="486">
        <f>IF(ISBLANK('H8 Sch 8 CCA Hist'!C35), "", 'H8 Sch 8 CCA Hist'!C35)</f>
        <v>50</v>
      </c>
      <c r="C33" s="487" t="str">
        <f>IF(ISBLANK('H8 Sch 8 CCA Hist'!D35), "", 'H8 Sch 8 CCA Hist'!D35)</f>
        <v>General Purpose Computer Hardware &amp; Software (acq'd post Mar 18/07)</v>
      </c>
      <c r="D33" s="531" t="s">
        <v>306</v>
      </c>
      <c r="E33" s="532">
        <f>IF(ISBLANK('H8 Sch 8 CCA Hist'!E35),0, 'H8 Sch 8 CCA Hist'!G35)</f>
        <v>203966</v>
      </c>
      <c r="F33" s="470">
        <v>277521.80999999994</v>
      </c>
      <c r="G33" s="470">
        <v>277521.80999999994</v>
      </c>
      <c r="H33" s="470"/>
      <c r="I33" s="470"/>
      <c r="J33" s="470"/>
      <c r="K33" s="470"/>
      <c r="L33" s="183">
        <f t="shared" si="0"/>
        <v>481487.80999999994</v>
      </c>
      <c r="M33" s="183">
        <f t="shared" si="1"/>
        <v>0</v>
      </c>
      <c r="N33" s="183">
        <f t="shared" si="2"/>
        <v>277521.80999999994</v>
      </c>
      <c r="O33" s="504">
        <v>0.5</v>
      </c>
      <c r="P33" s="183">
        <f t="shared" si="3"/>
        <v>138760.90499999997</v>
      </c>
      <c r="Q33" s="183">
        <f t="shared" si="4"/>
        <v>0</v>
      </c>
      <c r="R33" s="492">
        <v>0.55000000000000004</v>
      </c>
      <c r="S33" s="533"/>
      <c r="T33" s="533"/>
      <c r="U33" s="183">
        <f t="shared" si="7"/>
        <v>341136.79324999993</v>
      </c>
      <c r="V33" s="183"/>
      <c r="W33" s="183">
        <f t="shared" si="6"/>
        <v>140351.01675000001</v>
      </c>
      <c r="X33" s="308" t="s">
        <v>313</v>
      </c>
    </row>
    <row r="34" spans="2:24" ht="12.75" customHeight="1" x14ac:dyDescent="0.2">
      <c r="B34" s="486">
        <f>IF(ISBLANK('H8 Sch 8 CCA Hist'!C36), "", 'H8 Sch 8 CCA Hist'!C36)</f>
        <v>95</v>
      </c>
      <c r="C34" s="487" t="str">
        <f>IF(ISBLANK('H8 Sch 8 CCA Hist'!D36), "", 'H8 Sch 8 CCA Hist'!D36)</f>
        <v>CWIP</v>
      </c>
      <c r="D34" s="531" t="s">
        <v>306</v>
      </c>
      <c r="E34" s="532">
        <f>IF(ISBLANK('H8 Sch 8 CCA Hist'!E36),0, 'H8 Sch 8 CCA Hist'!G36)</f>
        <v>1777367</v>
      </c>
      <c r="F34" s="470">
        <v>1149828.76</v>
      </c>
      <c r="G34" s="470">
        <v>1149828.76</v>
      </c>
      <c r="H34" s="470"/>
      <c r="I34" s="470"/>
      <c r="J34" s="470"/>
      <c r="K34" s="470"/>
      <c r="L34" s="183">
        <f t="shared" si="0"/>
        <v>2927195.76</v>
      </c>
      <c r="M34" s="183">
        <f t="shared" si="1"/>
        <v>0</v>
      </c>
      <c r="N34" s="183">
        <f t="shared" si="2"/>
        <v>1149828.76</v>
      </c>
      <c r="O34" s="504">
        <v>0</v>
      </c>
      <c r="P34" s="183">
        <f t="shared" si="3"/>
        <v>0</v>
      </c>
      <c r="Q34" s="183">
        <f t="shared" si="4"/>
        <v>0</v>
      </c>
      <c r="R34" s="492">
        <v>0</v>
      </c>
      <c r="S34" s="533"/>
      <c r="T34" s="533"/>
      <c r="U34" s="183">
        <f t="shared" si="7"/>
        <v>0</v>
      </c>
      <c r="V34" s="183"/>
      <c r="W34" s="183">
        <f t="shared" si="6"/>
        <v>2927195.76</v>
      </c>
      <c r="X34" s="308" t="s">
        <v>313</v>
      </c>
    </row>
    <row r="35" spans="2:24" ht="12.75" customHeight="1" x14ac:dyDescent="0.2">
      <c r="B35" s="488"/>
      <c r="C35" s="489"/>
      <c r="D35" s="531" t="s">
        <v>306</v>
      </c>
      <c r="E35" s="532">
        <f>IF(ISBLANK('H8 Sch 8 CCA Hist'!E37),0, 'H8 Sch 8 CCA Hist'!G37)</f>
        <v>0</v>
      </c>
      <c r="F35" s="470"/>
      <c r="G35" s="470"/>
      <c r="H35" s="470"/>
      <c r="I35" s="470"/>
      <c r="J35" s="470"/>
      <c r="K35" s="470"/>
      <c r="L35" s="183">
        <f t="shared" si="0"/>
        <v>0</v>
      </c>
      <c r="M35" s="183">
        <f t="shared" si="1"/>
        <v>0</v>
      </c>
      <c r="N35" s="183">
        <f t="shared" si="2"/>
        <v>0</v>
      </c>
      <c r="O35" s="504"/>
      <c r="P35" s="502">
        <f t="shared" si="3"/>
        <v>0</v>
      </c>
      <c r="Q35" s="183">
        <f t="shared" si="4"/>
        <v>0</v>
      </c>
      <c r="R35" s="493"/>
      <c r="S35" s="533"/>
      <c r="T35" s="533"/>
      <c r="U35" s="470">
        <f>(L35+Q35)*R35</f>
        <v>0</v>
      </c>
      <c r="V35" s="183"/>
      <c r="W35" s="183">
        <f t="shared" si="6"/>
        <v>0</v>
      </c>
      <c r="X35" s="308" t="s">
        <v>313</v>
      </c>
    </row>
    <row r="36" spans="2:24" ht="12.75" customHeight="1" x14ac:dyDescent="0.2">
      <c r="B36" s="488"/>
      <c r="C36" s="489"/>
      <c r="D36" s="531" t="s">
        <v>306</v>
      </c>
      <c r="E36" s="532">
        <f>IF(ISBLANK('H8 Sch 8 CCA Hist'!E38),0, 'H8 Sch 8 CCA Hist'!G38)</f>
        <v>0</v>
      </c>
      <c r="F36" s="470"/>
      <c r="G36" s="470"/>
      <c r="H36" s="470"/>
      <c r="I36" s="470"/>
      <c r="J36" s="470"/>
      <c r="K36" s="470"/>
      <c r="L36" s="183">
        <f t="shared" si="0"/>
        <v>0</v>
      </c>
      <c r="M36" s="183">
        <f t="shared" si="1"/>
        <v>0</v>
      </c>
      <c r="N36" s="183">
        <f t="shared" si="2"/>
        <v>0</v>
      </c>
      <c r="O36" s="504"/>
      <c r="P36" s="502">
        <f t="shared" si="3"/>
        <v>0</v>
      </c>
      <c r="Q36" s="183">
        <f t="shared" si="4"/>
        <v>0</v>
      </c>
      <c r="R36" s="493"/>
      <c r="S36" s="533"/>
      <c r="T36" s="533"/>
      <c r="U36" s="470">
        <f t="shared" ref="U36:U42" si="8">(L36+Q36)*R36</f>
        <v>0</v>
      </c>
      <c r="V36" s="183"/>
      <c r="W36" s="183">
        <f t="shared" si="6"/>
        <v>0</v>
      </c>
      <c r="X36" s="308" t="s">
        <v>313</v>
      </c>
    </row>
    <row r="37" spans="2:24" ht="12.75" customHeight="1" x14ac:dyDescent="0.2">
      <c r="B37" s="488"/>
      <c r="C37" s="489"/>
      <c r="D37" s="531" t="s">
        <v>306</v>
      </c>
      <c r="E37" s="532">
        <f>IF(ISBLANK('H8 Sch 8 CCA Hist'!E39),0, 'H8 Sch 8 CCA Hist'!G39)</f>
        <v>0</v>
      </c>
      <c r="F37" s="470"/>
      <c r="G37" s="470"/>
      <c r="H37" s="470"/>
      <c r="I37" s="470"/>
      <c r="J37" s="470"/>
      <c r="K37" s="470"/>
      <c r="L37" s="183">
        <f t="shared" si="0"/>
        <v>0</v>
      </c>
      <c r="M37" s="183">
        <f t="shared" si="1"/>
        <v>0</v>
      </c>
      <c r="N37" s="183">
        <f t="shared" si="2"/>
        <v>0</v>
      </c>
      <c r="O37" s="504"/>
      <c r="P37" s="502">
        <f t="shared" si="3"/>
        <v>0</v>
      </c>
      <c r="Q37" s="183">
        <f t="shared" si="4"/>
        <v>0</v>
      </c>
      <c r="R37" s="493"/>
      <c r="S37" s="533"/>
      <c r="T37" s="533"/>
      <c r="U37" s="470">
        <f t="shared" si="8"/>
        <v>0</v>
      </c>
      <c r="V37" s="183"/>
      <c r="W37" s="183">
        <f t="shared" si="6"/>
        <v>0</v>
      </c>
      <c r="X37" s="308" t="s">
        <v>313</v>
      </c>
    </row>
    <row r="38" spans="2:24" ht="12.75" customHeight="1" x14ac:dyDescent="0.2">
      <c r="B38" s="488"/>
      <c r="C38" s="489"/>
      <c r="D38" s="531" t="s">
        <v>306</v>
      </c>
      <c r="E38" s="532">
        <f>IF(ISBLANK('H8 Sch 8 CCA Hist'!E40),0, 'H8 Sch 8 CCA Hist'!G40)</f>
        <v>0</v>
      </c>
      <c r="F38" s="470"/>
      <c r="G38" s="470"/>
      <c r="H38" s="470"/>
      <c r="I38" s="470"/>
      <c r="J38" s="470"/>
      <c r="K38" s="470"/>
      <c r="L38" s="183">
        <f t="shared" si="0"/>
        <v>0</v>
      </c>
      <c r="M38" s="183">
        <f t="shared" si="1"/>
        <v>0</v>
      </c>
      <c r="N38" s="183">
        <f t="shared" si="2"/>
        <v>0</v>
      </c>
      <c r="O38" s="504"/>
      <c r="P38" s="502">
        <f t="shared" si="3"/>
        <v>0</v>
      </c>
      <c r="Q38" s="183">
        <f t="shared" si="4"/>
        <v>0</v>
      </c>
      <c r="R38" s="493"/>
      <c r="S38" s="533"/>
      <c r="T38" s="533"/>
      <c r="U38" s="470">
        <f t="shared" si="8"/>
        <v>0</v>
      </c>
      <c r="V38" s="183"/>
      <c r="W38" s="183">
        <f t="shared" si="6"/>
        <v>0</v>
      </c>
      <c r="X38" s="308" t="s">
        <v>313</v>
      </c>
    </row>
    <row r="39" spans="2:24" ht="12.75" customHeight="1" x14ac:dyDescent="0.2">
      <c r="B39" s="488"/>
      <c r="C39" s="489"/>
      <c r="D39" s="531" t="s">
        <v>306</v>
      </c>
      <c r="E39" s="532">
        <f>IF(ISBLANK('H8 Sch 8 CCA Hist'!E41),0, 'H8 Sch 8 CCA Hist'!G41)</f>
        <v>0</v>
      </c>
      <c r="F39" s="470"/>
      <c r="G39" s="470"/>
      <c r="H39" s="470"/>
      <c r="I39" s="470"/>
      <c r="J39" s="470"/>
      <c r="K39" s="470"/>
      <c r="L39" s="183">
        <f t="shared" si="0"/>
        <v>0</v>
      </c>
      <c r="M39" s="183">
        <f t="shared" si="1"/>
        <v>0</v>
      </c>
      <c r="N39" s="183">
        <f t="shared" si="2"/>
        <v>0</v>
      </c>
      <c r="O39" s="504"/>
      <c r="P39" s="502">
        <f t="shared" si="3"/>
        <v>0</v>
      </c>
      <c r="Q39" s="183">
        <f t="shared" si="4"/>
        <v>0</v>
      </c>
      <c r="R39" s="493"/>
      <c r="S39" s="533"/>
      <c r="T39" s="533"/>
      <c r="U39" s="470">
        <f t="shared" si="8"/>
        <v>0</v>
      </c>
      <c r="V39" s="183"/>
      <c r="W39" s="183">
        <f t="shared" si="6"/>
        <v>0</v>
      </c>
      <c r="X39" s="308" t="s">
        <v>313</v>
      </c>
    </row>
    <row r="40" spans="2:24" ht="12.75" customHeight="1" x14ac:dyDescent="0.2">
      <c r="B40" s="488"/>
      <c r="C40" s="489"/>
      <c r="D40" s="531" t="s">
        <v>306</v>
      </c>
      <c r="E40" s="532">
        <f>IF(ISBLANK('H8 Sch 8 CCA Hist'!E42),0, 'H8 Sch 8 CCA Hist'!G42)</f>
        <v>0</v>
      </c>
      <c r="F40" s="470"/>
      <c r="G40" s="470"/>
      <c r="H40" s="470"/>
      <c r="I40" s="470"/>
      <c r="J40" s="470"/>
      <c r="K40" s="470"/>
      <c r="L40" s="183">
        <f t="shared" si="0"/>
        <v>0</v>
      </c>
      <c r="M40" s="183">
        <f t="shared" si="1"/>
        <v>0</v>
      </c>
      <c r="N40" s="183">
        <f t="shared" si="2"/>
        <v>0</v>
      </c>
      <c r="O40" s="504"/>
      <c r="P40" s="502">
        <f t="shared" si="3"/>
        <v>0</v>
      </c>
      <c r="Q40" s="183">
        <f t="shared" si="4"/>
        <v>0</v>
      </c>
      <c r="R40" s="493"/>
      <c r="S40" s="533"/>
      <c r="T40" s="533"/>
      <c r="U40" s="470">
        <f>(L40+Q40)*R40</f>
        <v>0</v>
      </c>
      <c r="V40" s="183"/>
      <c r="W40" s="183">
        <f t="shared" si="6"/>
        <v>0</v>
      </c>
      <c r="X40" s="308" t="s">
        <v>313</v>
      </c>
    </row>
    <row r="41" spans="2:24" ht="12.75" customHeight="1" x14ac:dyDescent="0.2">
      <c r="B41" s="488"/>
      <c r="C41" s="489"/>
      <c r="D41" s="531" t="s">
        <v>306</v>
      </c>
      <c r="E41" s="532">
        <f>IF(ISBLANK('H8 Sch 8 CCA Hist'!E43),0, 'H8 Sch 8 CCA Hist'!G43)</f>
        <v>0</v>
      </c>
      <c r="F41" s="470"/>
      <c r="G41" s="470"/>
      <c r="H41" s="470"/>
      <c r="I41" s="470"/>
      <c r="J41" s="470"/>
      <c r="K41" s="470"/>
      <c r="L41" s="183">
        <f t="shared" si="0"/>
        <v>0</v>
      </c>
      <c r="M41" s="183">
        <f t="shared" si="1"/>
        <v>0</v>
      </c>
      <c r="N41" s="183">
        <f t="shared" si="2"/>
        <v>0</v>
      </c>
      <c r="O41" s="504"/>
      <c r="P41" s="502">
        <f t="shared" si="3"/>
        <v>0</v>
      </c>
      <c r="Q41" s="183">
        <f t="shared" si="4"/>
        <v>0</v>
      </c>
      <c r="R41" s="493"/>
      <c r="S41" s="533"/>
      <c r="T41" s="533"/>
      <c r="U41" s="470">
        <f t="shared" si="8"/>
        <v>0</v>
      </c>
      <c r="V41" s="183"/>
      <c r="W41" s="183">
        <f t="shared" si="6"/>
        <v>0</v>
      </c>
      <c r="X41" s="308" t="s">
        <v>313</v>
      </c>
    </row>
    <row r="42" spans="2:24" ht="12.75" customHeight="1" thickBot="1" x14ac:dyDescent="0.25">
      <c r="B42" s="488"/>
      <c r="C42" s="489"/>
      <c r="D42" s="531" t="s">
        <v>306</v>
      </c>
      <c r="E42" s="532">
        <f>IF(ISBLANK('H8 Sch 8 CCA Hist'!E44),0, 'H8 Sch 8 CCA Hist'!G44)</f>
        <v>0</v>
      </c>
      <c r="F42" s="470"/>
      <c r="G42" s="470"/>
      <c r="H42" s="470"/>
      <c r="I42" s="470"/>
      <c r="J42" s="470"/>
      <c r="K42" s="470"/>
      <c r="L42" s="183">
        <f>IFERROR(E42+F42+H42-K42,"")</f>
        <v>0</v>
      </c>
      <c r="M42" s="183">
        <f t="shared" si="1"/>
        <v>0</v>
      </c>
      <c r="N42" s="183">
        <f t="shared" si="2"/>
        <v>0</v>
      </c>
      <c r="O42" s="504"/>
      <c r="P42" s="502">
        <f t="shared" si="3"/>
        <v>0</v>
      </c>
      <c r="Q42" s="183">
        <f t="shared" si="4"/>
        <v>0</v>
      </c>
      <c r="R42" s="493"/>
      <c r="S42" s="533"/>
      <c r="T42" s="533"/>
      <c r="U42" s="470">
        <f t="shared" si="8"/>
        <v>0</v>
      </c>
      <c r="V42" s="183"/>
      <c r="W42" s="183">
        <f t="shared" si="6"/>
        <v>0</v>
      </c>
      <c r="X42" s="308" t="s">
        <v>313</v>
      </c>
    </row>
    <row r="43" spans="2:24" ht="12.75" customHeight="1" thickBot="1" x14ac:dyDescent="0.25">
      <c r="B43" s="490"/>
      <c r="C43" s="33" t="s">
        <v>420</v>
      </c>
      <c r="D43" s="291"/>
      <c r="E43" s="273">
        <f>SUM(E10:E42)</f>
        <v>67972766</v>
      </c>
      <c r="F43" s="273">
        <f>SUM(F10:F42)</f>
        <v>7163651.5599999977</v>
      </c>
      <c r="G43" s="273">
        <f t="shared" ref="G43:K43" si="9">SUM(G10:G42)</f>
        <v>7163651.5599999977</v>
      </c>
      <c r="H43" s="273">
        <f t="shared" si="9"/>
        <v>0</v>
      </c>
      <c r="I43" s="273">
        <f t="shared" si="9"/>
        <v>0</v>
      </c>
      <c r="J43" s="273">
        <f t="shared" si="9"/>
        <v>0</v>
      </c>
      <c r="K43" s="273">
        <f t="shared" si="9"/>
        <v>0</v>
      </c>
      <c r="L43" s="273">
        <f t="shared" ref="L43" si="10">SUM(L10:L42)</f>
        <v>75136417.560000002</v>
      </c>
      <c r="M43" s="273">
        <f t="shared" ref="M43" si="11">SUM(M10:M42)</f>
        <v>0</v>
      </c>
      <c r="N43" s="273">
        <f t="shared" ref="N43:Q43" si="12">SUM(N10:N42)</f>
        <v>7163651.5599999977</v>
      </c>
      <c r="O43" s="273"/>
      <c r="P43" s="273">
        <f t="shared" si="12"/>
        <v>3006911.399999999</v>
      </c>
      <c r="Q43" s="273">
        <f t="shared" si="12"/>
        <v>0</v>
      </c>
      <c r="R43" s="274"/>
      <c r="S43" s="503">
        <f>SUM(S10:S42)</f>
        <v>0</v>
      </c>
      <c r="T43" s="503">
        <f>SUM(T10:T42)</f>
        <v>0</v>
      </c>
      <c r="U43" s="503">
        <f>SUM(U10:U42)</f>
        <v>5579831.4508500006</v>
      </c>
      <c r="V43" s="548" t="s">
        <v>309</v>
      </c>
      <c r="W43" s="275">
        <f>SUM(W10:W42)</f>
        <v>69556586.109150007</v>
      </c>
      <c r="X43" s="70"/>
    </row>
    <row r="44" spans="2:24" x14ac:dyDescent="0.2">
      <c r="B44" s="70"/>
      <c r="C44" s="70"/>
      <c r="D44" s="494"/>
      <c r="E44" s="70"/>
      <c r="F44" s="70"/>
      <c r="G44" s="70"/>
      <c r="H44" s="70"/>
      <c r="I44" s="70"/>
      <c r="J44" s="70"/>
      <c r="K44" s="70"/>
      <c r="L44" s="70"/>
      <c r="M44" s="70"/>
      <c r="N44" s="70"/>
      <c r="O44" s="70"/>
      <c r="P44" s="70"/>
      <c r="Q44" s="70"/>
      <c r="R44" s="70"/>
      <c r="S44" s="70"/>
      <c r="T44" s="70"/>
      <c r="U44" s="70"/>
      <c r="V44" s="70"/>
      <c r="W44" s="70"/>
      <c r="X44" s="70"/>
    </row>
    <row r="45" spans="2:24" ht="15" customHeight="1" x14ac:dyDescent="0.2">
      <c r="B45" s="610" t="s">
        <v>473</v>
      </c>
      <c r="C45" s="610"/>
      <c r="D45" s="610"/>
      <c r="E45" s="610"/>
      <c r="F45" s="610"/>
      <c r="G45" s="610"/>
      <c r="H45" s="610"/>
      <c r="I45" s="610"/>
      <c r="J45" s="610"/>
      <c r="K45" s="610"/>
      <c r="L45" s="610"/>
      <c r="M45" s="610"/>
      <c r="N45" s="610"/>
      <c r="O45" s="610"/>
      <c r="P45" s="610"/>
      <c r="Q45" s="610"/>
      <c r="R45" s="610"/>
      <c r="S45" s="610"/>
      <c r="T45" s="610"/>
      <c r="U45" s="610"/>
      <c r="V45" s="610"/>
      <c r="W45" s="610"/>
      <c r="X45" s="610"/>
    </row>
    <row r="46" spans="2:24" ht="15" customHeight="1" x14ac:dyDescent="0.2">
      <c r="B46" s="611" t="s">
        <v>439</v>
      </c>
      <c r="C46" s="611"/>
      <c r="D46" s="611"/>
      <c r="E46" s="611"/>
      <c r="F46" s="611"/>
      <c r="G46" s="611"/>
      <c r="H46" s="611"/>
      <c r="I46" s="611"/>
      <c r="J46" s="611"/>
      <c r="K46" s="611"/>
      <c r="L46" s="611"/>
      <c r="M46" s="611"/>
      <c r="N46" s="611"/>
      <c r="O46" s="611"/>
      <c r="P46" s="611"/>
      <c r="Q46" s="611"/>
      <c r="R46" s="611"/>
      <c r="S46" s="611"/>
      <c r="T46" s="611"/>
      <c r="U46" s="611"/>
      <c r="V46" s="611"/>
      <c r="W46" s="611"/>
      <c r="X46" s="611"/>
    </row>
    <row r="47" spans="2:24" ht="15" customHeight="1" x14ac:dyDescent="0.2">
      <c r="B47" s="505"/>
      <c r="C47" s="612"/>
      <c r="D47" s="612"/>
      <c r="E47" s="612"/>
      <c r="F47" s="612"/>
      <c r="G47" s="612"/>
      <c r="H47" s="612"/>
      <c r="I47" s="612"/>
      <c r="J47" s="612"/>
      <c r="K47" s="612"/>
      <c r="L47" s="612"/>
      <c r="M47" s="612"/>
      <c r="N47" s="612"/>
      <c r="O47" s="612"/>
      <c r="P47" s="612"/>
      <c r="Q47" s="612"/>
      <c r="R47" s="612"/>
      <c r="S47" s="612"/>
      <c r="T47" s="612"/>
      <c r="U47" s="612"/>
      <c r="V47" s="612"/>
      <c r="W47" s="612"/>
      <c r="X47" s="612"/>
    </row>
    <row r="48" spans="2:24" ht="31.5" customHeight="1" x14ac:dyDescent="0.2">
      <c r="B48" s="505"/>
      <c r="C48" s="608"/>
      <c r="D48" s="608"/>
      <c r="E48" s="608"/>
      <c r="F48" s="608"/>
      <c r="G48" s="608"/>
      <c r="H48" s="608"/>
      <c r="I48" s="608"/>
      <c r="J48" s="608"/>
      <c r="K48" s="608"/>
      <c r="L48" s="608"/>
      <c r="M48" s="608"/>
      <c r="N48" s="608"/>
      <c r="O48" s="608"/>
      <c r="P48" s="608"/>
      <c r="Q48" s="608"/>
      <c r="R48" s="608"/>
      <c r="S48" s="608"/>
      <c r="T48" s="608"/>
      <c r="U48" s="608"/>
      <c r="V48" s="608"/>
      <c r="W48" s="608"/>
      <c r="X48" s="608"/>
    </row>
    <row r="49" spans="2:24" ht="15" customHeight="1" x14ac:dyDescent="0.2">
      <c r="B49" s="505"/>
      <c r="C49" s="609"/>
      <c r="D49" s="609"/>
      <c r="E49" s="609"/>
      <c r="F49" s="609"/>
      <c r="G49" s="609"/>
      <c r="H49" s="609"/>
      <c r="I49" s="609"/>
      <c r="J49" s="609"/>
      <c r="K49" s="609"/>
      <c r="L49" s="609"/>
      <c r="M49" s="609"/>
      <c r="N49" s="609"/>
      <c r="O49" s="609"/>
      <c r="P49" s="609"/>
      <c r="Q49" s="609"/>
      <c r="R49" s="609"/>
      <c r="S49" s="609"/>
      <c r="T49" s="609"/>
      <c r="U49" s="609"/>
      <c r="V49" s="609"/>
      <c r="W49" s="609"/>
      <c r="X49" s="609"/>
    </row>
    <row r="50" spans="2:24" ht="15" customHeight="1" x14ac:dyDescent="0.2">
      <c r="B50" s="505"/>
      <c r="C50" s="506"/>
      <c r="D50" s="507"/>
      <c r="E50" s="506"/>
      <c r="F50" s="506"/>
      <c r="G50" s="506"/>
      <c r="H50" s="506"/>
      <c r="I50" s="506"/>
      <c r="J50" s="506"/>
      <c r="K50" s="506"/>
      <c r="L50" s="506"/>
      <c r="M50" s="506"/>
      <c r="N50" s="506"/>
      <c r="O50" s="506"/>
      <c r="P50" s="506"/>
      <c r="Q50" s="506"/>
      <c r="R50" s="506"/>
      <c r="S50" s="506"/>
      <c r="T50" s="506"/>
      <c r="U50" s="506"/>
      <c r="V50" s="506"/>
      <c r="W50" s="506"/>
      <c r="X50" s="506"/>
    </row>
    <row r="51" spans="2:24" ht="15" customHeight="1" x14ac:dyDescent="0.2">
      <c r="B51" s="505"/>
      <c r="C51" s="506"/>
      <c r="D51" s="507"/>
      <c r="E51" s="506"/>
      <c r="F51" s="506"/>
      <c r="G51" s="506"/>
      <c r="H51" s="506"/>
      <c r="I51" s="506"/>
      <c r="J51" s="506"/>
      <c r="K51" s="506"/>
      <c r="L51" s="506"/>
      <c r="M51" s="506"/>
      <c r="N51" s="506"/>
      <c r="O51" s="506"/>
      <c r="P51" s="506"/>
      <c r="Q51" s="506"/>
      <c r="R51" s="506"/>
      <c r="S51" s="506"/>
      <c r="T51" s="506"/>
      <c r="U51" s="506"/>
      <c r="V51" s="506"/>
      <c r="W51" s="506"/>
      <c r="X51" s="506"/>
    </row>
    <row r="52" spans="2:24" ht="15" customHeight="1" x14ac:dyDescent="0.2">
      <c r="B52" s="505"/>
      <c r="C52" s="506"/>
      <c r="D52" s="507"/>
      <c r="E52" s="506"/>
      <c r="F52" s="506"/>
      <c r="G52" s="506"/>
      <c r="H52" s="506"/>
      <c r="I52" s="506"/>
      <c r="J52" s="506"/>
      <c r="K52" s="506"/>
      <c r="L52" s="506"/>
      <c r="M52" s="506"/>
      <c r="N52" s="506"/>
      <c r="O52" s="506"/>
      <c r="P52" s="506"/>
      <c r="Q52" s="506"/>
      <c r="R52" s="506"/>
      <c r="S52" s="506"/>
      <c r="T52" s="506"/>
      <c r="U52" s="506"/>
      <c r="V52" s="506"/>
      <c r="W52" s="506"/>
      <c r="X52" s="506"/>
    </row>
    <row r="53" spans="2:24" ht="15" customHeight="1" x14ac:dyDescent="0.2">
      <c r="B53" s="505"/>
      <c r="C53" s="506"/>
      <c r="D53" s="507"/>
      <c r="E53" s="506"/>
      <c r="F53" s="506"/>
      <c r="G53" s="506"/>
      <c r="H53" s="506"/>
      <c r="I53" s="506"/>
      <c r="J53" s="506"/>
      <c r="K53" s="506"/>
      <c r="L53" s="506"/>
      <c r="M53" s="506"/>
      <c r="N53" s="506"/>
      <c r="O53" s="506"/>
      <c r="P53" s="506"/>
      <c r="Q53" s="506"/>
      <c r="R53" s="506"/>
      <c r="S53" s="506"/>
      <c r="T53" s="506"/>
      <c r="U53" s="506"/>
      <c r="V53" s="506"/>
      <c r="W53" s="506"/>
      <c r="X53" s="506"/>
    </row>
    <row r="54" spans="2:24" ht="15" customHeight="1" x14ac:dyDescent="0.2">
      <c r="B54" s="505"/>
      <c r="C54" s="506"/>
      <c r="D54" s="507"/>
      <c r="E54" s="506"/>
      <c r="F54" s="506"/>
      <c r="G54" s="506"/>
      <c r="H54" s="506"/>
      <c r="I54" s="506"/>
      <c r="J54" s="506"/>
      <c r="K54" s="506"/>
      <c r="L54" s="506"/>
      <c r="M54" s="506"/>
      <c r="N54" s="506"/>
      <c r="O54" s="506"/>
      <c r="P54" s="506"/>
      <c r="Q54" s="506"/>
      <c r="R54" s="506"/>
      <c r="S54" s="506"/>
      <c r="T54" s="506"/>
      <c r="U54" s="506"/>
      <c r="V54" s="506"/>
      <c r="W54" s="506"/>
      <c r="X54" s="506"/>
    </row>
    <row r="55" spans="2:24" ht="15" customHeight="1" x14ac:dyDescent="0.2">
      <c r="B55" s="505"/>
      <c r="C55" s="506"/>
      <c r="D55" s="507"/>
      <c r="E55" s="506"/>
      <c r="F55" s="506"/>
      <c r="G55" s="506"/>
      <c r="H55" s="506"/>
      <c r="I55" s="506"/>
      <c r="J55" s="506"/>
      <c r="K55" s="506"/>
      <c r="L55" s="506"/>
      <c r="M55" s="506"/>
      <c r="N55" s="506"/>
      <c r="O55" s="506"/>
      <c r="P55" s="506"/>
      <c r="Q55" s="506"/>
      <c r="R55" s="506"/>
      <c r="S55" s="506"/>
      <c r="T55" s="506"/>
      <c r="U55" s="506"/>
      <c r="V55" s="506"/>
      <c r="W55" s="506"/>
      <c r="X55" s="506"/>
    </row>
    <row r="56" spans="2:24" ht="15" customHeight="1" x14ac:dyDescent="0.2"/>
    <row r="57" spans="2:24" ht="15" customHeight="1" x14ac:dyDescent="0.2"/>
    <row r="58" spans="2:24" ht="15" customHeight="1" x14ac:dyDescent="0.2"/>
    <row r="59" spans="2:24" ht="15" customHeight="1" x14ac:dyDescent="0.2"/>
    <row r="60" spans="2:24" ht="15" customHeight="1" x14ac:dyDescent="0.2"/>
    <row r="61" spans="2:24" ht="15" customHeight="1" x14ac:dyDescent="0.2"/>
    <row r="62" spans="2:24" ht="15" customHeight="1" x14ac:dyDescent="0.2"/>
    <row r="63" spans="2:24" ht="15" customHeight="1" x14ac:dyDescent="0.2"/>
    <row r="64" spans="2:24" ht="15" customHeight="1" x14ac:dyDescent="0.2"/>
    <row r="65" ht="15" customHeight="1" x14ac:dyDescent="0.2"/>
    <row r="66" ht="15" customHeight="1" x14ac:dyDescent="0.2"/>
  </sheetData>
  <sheetProtection algorithmName="SHA-512" hashValue="2Y0cAF7vOFdJkaF+pkX9CmuDYPxfjWThcuYsghXFLRHr6ygoc+KxwXg/3zaS5I7IorxeMQsO29c4OGK+dat9IA==" saltValue="txVOOhmIRxJ/UroKDpqwZQ==" spinCount="100000" sheet="1" objects="1" scenarios="1"/>
  <mergeCells count="9">
    <mergeCell ref="C48:X48"/>
    <mergeCell ref="C49:X49"/>
    <mergeCell ref="B45:X45"/>
    <mergeCell ref="B46:X46"/>
    <mergeCell ref="B1:E1"/>
    <mergeCell ref="B2:Q2"/>
    <mergeCell ref="B3:Q3"/>
    <mergeCell ref="B4:Q4"/>
    <mergeCell ref="C47:X47"/>
  </mergeCells>
  <phoneticPr fontId="3" type="noConversion"/>
  <conditionalFormatting sqref="F11:G11 F15:G23 R24:R25 F25:G29 F31:G42 R34:R42 T35:T42">
    <cfRule type="expression" dxfId="50" priority="21" stopIfTrue="1">
      <formula>ISBLANK(F11)</formula>
    </cfRule>
  </conditionalFormatting>
  <conditionalFormatting sqref="B24:B25 B10:E10 B15:C18 B23:C23 C19:C22 B11:C12 E11:E42 B26:C42">
    <cfRule type="expression" dxfId="49" priority="22" stopIfTrue="1">
      <formula>LEN(B10)&gt;0</formula>
    </cfRule>
  </conditionalFormatting>
  <conditionalFormatting sqref="C24:C25">
    <cfRule type="expression" dxfId="48" priority="20" stopIfTrue="1">
      <formula>LEN(C24)&gt;0</formula>
    </cfRule>
  </conditionalFormatting>
  <conditionalFormatting sqref="F24:G24">
    <cfRule type="expression" dxfId="47" priority="19" stopIfTrue="1">
      <formula>LEN(F24)&gt;0</formula>
    </cfRule>
  </conditionalFormatting>
  <conditionalFormatting sqref="B13:C13">
    <cfRule type="expression" dxfId="46" priority="18" stopIfTrue="1">
      <formula>LEN(B13)&gt;0</formula>
    </cfRule>
  </conditionalFormatting>
  <conditionalFormatting sqref="F13:G13">
    <cfRule type="expression" dxfId="45" priority="16" stopIfTrue="1">
      <formula>LEN(F13)&gt;0</formula>
    </cfRule>
  </conditionalFormatting>
  <conditionalFormatting sqref="F14:G14">
    <cfRule type="expression" dxfId="44" priority="14" stopIfTrue="1">
      <formula>ISBLANK(F14)</formula>
    </cfRule>
  </conditionalFormatting>
  <conditionalFormatting sqref="B14:C14">
    <cfRule type="expression" dxfId="43" priority="15" stopIfTrue="1">
      <formula>LEN(B14)&gt;0</formula>
    </cfRule>
  </conditionalFormatting>
  <conditionalFormatting sqref="F12:G12">
    <cfRule type="expression" dxfId="42" priority="11" stopIfTrue="1">
      <formula>LEN(F12)&gt;0</formula>
    </cfRule>
  </conditionalFormatting>
  <conditionalFormatting sqref="F30:G30">
    <cfRule type="expression" dxfId="41" priority="10" stopIfTrue="1">
      <formula>LEN(F30)&gt;0</formula>
    </cfRule>
  </conditionalFormatting>
  <conditionalFormatting sqref="O35:P42 H10:K42">
    <cfRule type="expression" dxfId="40" priority="9" stopIfTrue="1">
      <formula>ISBLANK(H10)</formula>
    </cfRule>
  </conditionalFormatting>
  <conditionalFormatting sqref="D11:D42">
    <cfRule type="expression" dxfId="39" priority="5" stopIfTrue="1">
      <formula>LEN(D11)&gt;0</formula>
    </cfRule>
  </conditionalFormatting>
  <conditionalFormatting sqref="F10">
    <cfRule type="expression" dxfId="38" priority="3" stopIfTrue="1">
      <formula>ISBLANK(F10)</formula>
    </cfRule>
  </conditionalFormatting>
  <conditionalFormatting sqref="G10">
    <cfRule type="expression" dxfId="37" priority="2" stopIfTrue="1">
      <formula>ISBLANK(G10)</formula>
    </cfRule>
  </conditionalFormatting>
  <conditionalFormatting sqref="S35:S42">
    <cfRule type="expression" dxfId="36" priority="1" stopIfTrue="1">
      <formula>ISBLANK(S35)</formula>
    </cfRule>
  </conditionalFormatting>
  <hyperlinks>
    <hyperlink ref="D10" location="'H8 Sch 8 CCA Hist'!A1" display="H8" xr:uid="{00000000-0004-0000-0E00-000000000000}"/>
    <hyperlink ref="X10" location="'T8 Sch 8 CCA Test'!A1" display="T8" xr:uid="{00000000-0004-0000-0E00-000001000000}"/>
    <hyperlink ref="V43" location="'B1 Sch 1 Taxable Income Bridge'!A1" display="B1" xr:uid="{00000000-0004-0000-0E00-000002000000}"/>
    <hyperlink ref="B46" r:id="rId1" xr:uid="{00000000-0004-0000-0E00-000003000000}"/>
    <hyperlink ref="D11:D42" location="'H8 Sch 8 CCA Hist'!A1" display="H8" xr:uid="{00000000-0004-0000-0E00-000004000000}"/>
    <hyperlink ref="X11:X42" location="'T8 Sch 8 CCA Test'!A1" display="T8" xr:uid="{00000000-0004-0000-0E00-000005000000}"/>
  </hyperlinks>
  <pageMargins left="0.35433070866141703" right="0.35433070866141703" top="0.39370078740157499" bottom="0.39370078740157499" header="0.511811023622047" footer="0.511811023622047"/>
  <pageSetup scale="36" fitToHeight="0" orientation="landscape" r:id="rId2"/>
  <headerFooter alignWithMargins="0"/>
  <ignoredErrors>
    <ignoredError sqref="P35 P36:P42" unlockedFormula="1"/>
    <ignoredError sqref="U43 W43" evalError="1"/>
  </ignoredError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N44"/>
  <sheetViews>
    <sheetView topLeftCell="A19" zoomScaleNormal="100" workbookViewId="0">
      <selection activeCell="E54" sqref="E54"/>
    </sheetView>
  </sheetViews>
  <sheetFormatPr defaultColWidth="9.140625" defaultRowHeight="12.75" x14ac:dyDescent="0.2"/>
  <cols>
    <col min="1" max="1" width="3.85546875" style="9" customWidth="1"/>
    <col min="2" max="2" width="3.5703125" style="9" customWidth="1"/>
    <col min="3" max="3" width="56.42578125" style="9" customWidth="1"/>
    <col min="4" max="4" width="13.5703125" style="9" customWidth="1"/>
    <col min="5" max="7" width="18.140625" style="9" customWidth="1"/>
    <col min="8" max="8" width="5.85546875" style="9" customWidth="1"/>
    <col min="9" max="11" width="18.140625" style="9" customWidth="1"/>
    <col min="12" max="12" width="5.85546875" style="9" customWidth="1"/>
    <col min="13" max="14" width="18.140625" style="9" customWidth="1"/>
    <col min="15" max="16384" width="9.140625" style="9"/>
  </cols>
  <sheetData>
    <row r="1" spans="1:14" ht="21.75" x14ac:dyDescent="0.2">
      <c r="A1" s="218"/>
      <c r="C1" s="440"/>
      <c r="D1" s="440"/>
    </row>
    <row r="2" spans="1:14" ht="18" x14ac:dyDescent="0.25">
      <c r="C2" s="566"/>
      <c r="D2" s="566"/>
      <c r="E2" s="566"/>
      <c r="F2" s="566"/>
      <c r="G2" s="566"/>
      <c r="H2" s="566"/>
      <c r="I2" s="566"/>
      <c r="J2" s="566"/>
      <c r="K2" s="566"/>
      <c r="L2" s="441"/>
    </row>
    <row r="3" spans="1:14" ht="18" x14ac:dyDescent="0.25">
      <c r="C3" s="566"/>
      <c r="D3" s="566"/>
      <c r="E3" s="566"/>
      <c r="F3" s="566"/>
      <c r="G3" s="566"/>
      <c r="H3" s="566"/>
      <c r="I3" s="566"/>
      <c r="J3" s="566"/>
      <c r="K3" s="566"/>
      <c r="L3" s="441"/>
    </row>
    <row r="4" spans="1:14" ht="18" x14ac:dyDescent="0.25">
      <c r="C4" s="566"/>
      <c r="D4" s="566"/>
      <c r="E4" s="566"/>
      <c r="F4" s="566"/>
      <c r="G4" s="566"/>
      <c r="H4" s="566"/>
      <c r="I4" s="566"/>
      <c r="J4" s="566"/>
      <c r="K4" s="566"/>
      <c r="L4" s="441"/>
    </row>
    <row r="5" spans="1:14" ht="40.5" customHeight="1" x14ac:dyDescent="0.2"/>
    <row r="6" spans="1:14" ht="40.5" customHeight="1" x14ac:dyDescent="0.2"/>
    <row r="7" spans="1:14" ht="40.5" customHeight="1" x14ac:dyDescent="0.2">
      <c r="C7" s="276" t="s">
        <v>266</v>
      </c>
      <c r="D7" s="276"/>
    </row>
    <row r="8" spans="1:14" ht="18" x14ac:dyDescent="0.2">
      <c r="C8" s="276"/>
      <c r="D8" s="276"/>
    </row>
    <row r="9" spans="1:14" ht="18.75" thickBot="1" x14ac:dyDescent="0.25">
      <c r="C9" s="277" t="s">
        <v>262</v>
      </c>
      <c r="D9" s="277"/>
      <c r="F9" s="40"/>
      <c r="G9" s="40"/>
      <c r="H9" s="40"/>
      <c r="I9" s="40"/>
      <c r="J9" s="40"/>
      <c r="K9" s="41"/>
      <c r="L9" s="41"/>
      <c r="M9" s="41"/>
      <c r="N9" s="41"/>
    </row>
    <row r="10" spans="1:14" ht="13.5" thickBot="1" x14ac:dyDescent="0.25">
      <c r="C10" s="42"/>
      <c r="D10" s="42"/>
      <c r="E10" s="40"/>
      <c r="F10" s="40"/>
      <c r="G10" s="40"/>
      <c r="H10" s="40"/>
      <c r="I10" s="613" t="s">
        <v>167</v>
      </c>
      <c r="J10" s="614"/>
      <c r="K10" s="41"/>
      <c r="L10" s="41"/>
      <c r="M10" s="41"/>
      <c r="N10" s="41"/>
    </row>
    <row r="11" spans="1:14" ht="27.75" thickBot="1" x14ac:dyDescent="0.25">
      <c r="C11" s="43" t="s">
        <v>79</v>
      </c>
      <c r="D11" s="310" t="s">
        <v>307</v>
      </c>
      <c r="E11" s="44" t="s">
        <v>286</v>
      </c>
      <c r="F11" s="45" t="s">
        <v>165</v>
      </c>
      <c r="G11" s="46" t="s">
        <v>166</v>
      </c>
      <c r="H11" s="331"/>
      <c r="I11" s="44" t="s">
        <v>77</v>
      </c>
      <c r="J11" s="44" t="s">
        <v>81</v>
      </c>
      <c r="K11" s="46" t="s">
        <v>168</v>
      </c>
      <c r="L11" s="329"/>
      <c r="M11" s="43" t="s">
        <v>82</v>
      </c>
      <c r="N11" s="46" t="s">
        <v>83</v>
      </c>
    </row>
    <row r="12" spans="1:14" x14ac:dyDescent="0.2">
      <c r="C12" s="155"/>
      <c r="D12" s="311"/>
      <c r="E12" s="156"/>
      <c r="F12" s="47"/>
      <c r="G12" s="47"/>
      <c r="H12" s="47"/>
      <c r="I12" s="47"/>
      <c r="J12" s="48"/>
      <c r="K12" s="156"/>
      <c r="L12" s="156"/>
      <c r="M12" s="156"/>
      <c r="N12" s="157"/>
    </row>
    <row r="13" spans="1:14" x14ac:dyDescent="0.2">
      <c r="C13" s="118" t="s">
        <v>463</v>
      </c>
      <c r="D13" s="318" t="s">
        <v>308</v>
      </c>
      <c r="E13" s="49">
        <f>'H13 Sch 13 Reserves Hist'!F15</f>
        <v>0</v>
      </c>
      <c r="F13" s="281"/>
      <c r="G13" s="50">
        <f>SUM(E13:F13)</f>
        <v>0</v>
      </c>
      <c r="H13" s="50"/>
      <c r="I13" s="281"/>
      <c r="J13" s="282"/>
      <c r="K13" s="49">
        <f>G13+I13-J13</f>
        <v>0</v>
      </c>
      <c r="L13" s="330" t="s">
        <v>318</v>
      </c>
      <c r="M13" s="49">
        <f>+K13-G13</f>
        <v>0</v>
      </c>
      <c r="N13" s="284"/>
    </row>
    <row r="14" spans="1:14" x14ac:dyDescent="0.2">
      <c r="C14" s="592" t="s">
        <v>452</v>
      </c>
      <c r="D14" s="593"/>
      <c r="E14" s="593"/>
      <c r="F14" s="593"/>
      <c r="G14" s="593"/>
      <c r="H14" s="593"/>
      <c r="I14" s="593"/>
      <c r="J14" s="593"/>
      <c r="K14" s="593"/>
      <c r="L14" s="593"/>
      <c r="M14" s="593"/>
      <c r="N14" s="594"/>
    </row>
    <row r="15" spans="1:14" x14ac:dyDescent="0.2">
      <c r="C15" s="120" t="s">
        <v>86</v>
      </c>
      <c r="D15" s="318" t="s">
        <v>308</v>
      </c>
      <c r="E15" s="49">
        <f>'H13 Sch 13 Reserves Hist'!F17</f>
        <v>131556</v>
      </c>
      <c r="F15" s="262"/>
      <c r="G15" s="51">
        <f t="shared" ref="G15:G21" si="0">SUM(E15:F15)</f>
        <v>131556</v>
      </c>
      <c r="H15" s="51"/>
      <c r="I15" s="262">
        <v>153450.28</v>
      </c>
      <c r="J15" s="283">
        <v>98630</v>
      </c>
      <c r="K15" s="49">
        <f t="shared" ref="K15:K21" si="1">G15+I15-J15</f>
        <v>186376.28000000003</v>
      </c>
      <c r="L15" s="330" t="s">
        <v>318</v>
      </c>
      <c r="M15" s="49">
        <f t="shared" ref="M15:M21" si="2">+K15-G15</f>
        <v>54820.280000000028</v>
      </c>
      <c r="N15" s="284"/>
    </row>
    <row r="16" spans="1:14" x14ac:dyDescent="0.2">
      <c r="C16" s="118" t="s">
        <v>87</v>
      </c>
      <c r="D16" s="318" t="s">
        <v>308</v>
      </c>
      <c r="E16" s="49">
        <f>'H13 Sch 13 Reserves Hist'!F18</f>
        <v>0</v>
      </c>
      <c r="F16" s="281"/>
      <c r="G16" s="50">
        <f t="shared" si="0"/>
        <v>0</v>
      </c>
      <c r="H16" s="50"/>
      <c r="I16" s="281"/>
      <c r="J16" s="282"/>
      <c r="K16" s="49">
        <f t="shared" si="1"/>
        <v>0</v>
      </c>
      <c r="L16" s="330" t="s">
        <v>318</v>
      </c>
      <c r="M16" s="49">
        <f t="shared" si="2"/>
        <v>0</v>
      </c>
      <c r="N16" s="284"/>
    </row>
    <row r="17" spans="3:14" x14ac:dyDescent="0.2">
      <c r="C17" s="118" t="s">
        <v>88</v>
      </c>
      <c r="D17" s="318" t="s">
        <v>308</v>
      </c>
      <c r="E17" s="49">
        <f>'H13 Sch 13 Reserves Hist'!F19</f>
        <v>0</v>
      </c>
      <c r="F17" s="281"/>
      <c r="G17" s="50">
        <f t="shared" si="0"/>
        <v>0</v>
      </c>
      <c r="H17" s="50"/>
      <c r="I17" s="281"/>
      <c r="J17" s="282"/>
      <c r="K17" s="49">
        <f t="shared" si="1"/>
        <v>0</v>
      </c>
      <c r="L17" s="330" t="s">
        <v>318</v>
      </c>
      <c r="M17" s="49">
        <f t="shared" si="2"/>
        <v>0</v>
      </c>
      <c r="N17" s="284"/>
    </row>
    <row r="18" spans="3:14" x14ac:dyDescent="0.2">
      <c r="C18" s="118" t="s">
        <v>461</v>
      </c>
      <c r="D18" s="318" t="s">
        <v>308</v>
      </c>
      <c r="E18" s="49">
        <f>'H13 Sch 13 Reserves Hist'!F20</f>
        <v>0</v>
      </c>
      <c r="F18" s="281"/>
      <c r="G18" s="50">
        <f t="shared" si="0"/>
        <v>0</v>
      </c>
      <c r="H18" s="50"/>
      <c r="I18" s="281"/>
      <c r="J18" s="282"/>
      <c r="K18" s="49">
        <f t="shared" si="1"/>
        <v>0</v>
      </c>
      <c r="L18" s="330" t="s">
        <v>318</v>
      </c>
      <c r="M18" s="49">
        <f t="shared" si="2"/>
        <v>0</v>
      </c>
      <c r="N18" s="284"/>
    </row>
    <row r="19" spans="3:14" x14ac:dyDescent="0.2">
      <c r="C19" s="118" t="s">
        <v>90</v>
      </c>
      <c r="D19" s="318" t="s">
        <v>308</v>
      </c>
      <c r="E19" s="49">
        <f>'H13 Sch 13 Reserves Hist'!F21</f>
        <v>0</v>
      </c>
      <c r="F19" s="281"/>
      <c r="G19" s="50">
        <f t="shared" si="0"/>
        <v>0</v>
      </c>
      <c r="H19" s="50"/>
      <c r="I19" s="281"/>
      <c r="J19" s="282"/>
      <c r="K19" s="49">
        <f t="shared" si="1"/>
        <v>0</v>
      </c>
      <c r="L19" s="330" t="s">
        <v>318</v>
      </c>
      <c r="M19" s="49">
        <f t="shared" si="2"/>
        <v>0</v>
      </c>
      <c r="N19" s="284"/>
    </row>
    <row r="20" spans="3:14" x14ac:dyDescent="0.2">
      <c r="C20" s="278" t="s">
        <v>510</v>
      </c>
      <c r="D20" s="313"/>
      <c r="E20" s="49">
        <f>'H13 Sch 13 Reserves Hist'!F25</f>
        <v>4316342</v>
      </c>
      <c r="F20" s="281"/>
      <c r="G20" s="50">
        <f t="shared" si="0"/>
        <v>4316342</v>
      </c>
      <c r="H20" s="50"/>
      <c r="I20" s="281">
        <v>273829</v>
      </c>
      <c r="J20" s="282"/>
      <c r="K20" s="49">
        <f t="shared" si="1"/>
        <v>4590171</v>
      </c>
      <c r="L20" s="49"/>
      <c r="M20" s="49">
        <f t="shared" si="2"/>
        <v>273829</v>
      </c>
      <c r="N20" s="284"/>
    </row>
    <row r="21" spans="3:14" ht="16.5" thickBot="1" x14ac:dyDescent="0.25">
      <c r="C21" s="279" t="s">
        <v>511</v>
      </c>
      <c r="D21" s="314"/>
      <c r="E21" s="49">
        <f>'H13 Sch 13 Reserves Hist'!F26</f>
        <v>220400</v>
      </c>
      <c r="F21" s="281"/>
      <c r="G21" s="50">
        <f t="shared" si="0"/>
        <v>220400</v>
      </c>
      <c r="H21" s="50"/>
      <c r="I21" s="281">
        <v>17500</v>
      </c>
      <c r="J21" s="282"/>
      <c r="K21" s="49">
        <f t="shared" si="1"/>
        <v>237900</v>
      </c>
      <c r="L21" s="49"/>
      <c r="M21" s="49">
        <f t="shared" si="2"/>
        <v>17500</v>
      </c>
      <c r="N21" s="284"/>
    </row>
    <row r="22" spans="3:14" ht="19.5" thickBot="1" x14ac:dyDescent="0.25">
      <c r="C22" s="54" t="s">
        <v>3</v>
      </c>
      <c r="D22" s="315"/>
      <c r="E22" s="55">
        <f t="shared" ref="E22:N22" si="3">SUM(E15:E21)</f>
        <v>4668298</v>
      </c>
      <c r="F22" s="55">
        <f t="shared" si="3"/>
        <v>0</v>
      </c>
      <c r="G22" s="55">
        <f t="shared" si="3"/>
        <v>4668298</v>
      </c>
      <c r="H22" s="332" t="s">
        <v>309</v>
      </c>
      <c r="I22" s="55">
        <f t="shared" si="3"/>
        <v>444779.28</v>
      </c>
      <c r="J22" s="55">
        <f t="shared" si="3"/>
        <v>98630</v>
      </c>
      <c r="K22" s="55">
        <f t="shared" si="3"/>
        <v>5014447.28</v>
      </c>
      <c r="L22" s="332" t="s">
        <v>309</v>
      </c>
      <c r="M22" s="55">
        <f t="shared" si="3"/>
        <v>346149.28</v>
      </c>
      <c r="N22" s="56">
        <f t="shared" si="3"/>
        <v>0</v>
      </c>
    </row>
    <row r="23" spans="3:14" x14ac:dyDescent="0.2">
      <c r="C23" s="121"/>
      <c r="D23" s="316"/>
      <c r="E23" s="57">
        <v>0</v>
      </c>
      <c r="F23" s="58"/>
      <c r="G23" s="58"/>
      <c r="H23" s="58"/>
      <c r="I23" s="58"/>
      <c r="J23" s="59"/>
      <c r="K23" s="60"/>
      <c r="L23" s="60"/>
      <c r="M23" s="60"/>
      <c r="N23" s="159"/>
    </row>
    <row r="24" spans="3:14" x14ac:dyDescent="0.2">
      <c r="C24" s="592" t="s">
        <v>464</v>
      </c>
      <c r="D24" s="593"/>
      <c r="E24" s="593"/>
      <c r="F24" s="593"/>
      <c r="G24" s="593"/>
      <c r="H24" s="593"/>
      <c r="I24" s="593"/>
      <c r="J24" s="593"/>
      <c r="K24" s="593"/>
      <c r="L24" s="593"/>
      <c r="M24" s="593"/>
      <c r="N24" s="594"/>
    </row>
    <row r="25" spans="3:14" x14ac:dyDescent="0.2">
      <c r="C25" s="118" t="s">
        <v>92</v>
      </c>
      <c r="D25" s="318" t="s">
        <v>308</v>
      </c>
      <c r="E25" s="49">
        <f>'H13 Sch 13 Reserves Hist'!F30</f>
        <v>0</v>
      </c>
      <c r="F25" s="281"/>
      <c r="G25" s="50">
        <f t="shared" ref="G25:G40" si="4">SUM(E25:F25)</f>
        <v>0</v>
      </c>
      <c r="H25" s="50"/>
      <c r="I25" s="281"/>
      <c r="J25" s="282"/>
      <c r="K25" s="49">
        <f t="shared" ref="K25:K42" si="5">G25+I25-J25</f>
        <v>0</v>
      </c>
      <c r="L25" s="330" t="s">
        <v>318</v>
      </c>
      <c r="M25" s="49">
        <f t="shared" ref="M25:M40" si="6">+K25-G25</f>
        <v>0</v>
      </c>
      <c r="N25" s="284"/>
    </row>
    <row r="26" spans="3:14" x14ac:dyDescent="0.2">
      <c r="C26" s="118" t="s">
        <v>451</v>
      </c>
      <c r="D26" s="318" t="s">
        <v>308</v>
      </c>
      <c r="E26" s="49">
        <f>'H13 Sch 13 Reserves Hist'!F31</f>
        <v>131556</v>
      </c>
      <c r="F26" s="281"/>
      <c r="G26" s="50">
        <f t="shared" si="4"/>
        <v>131556</v>
      </c>
      <c r="H26" s="50"/>
      <c r="I26" s="281">
        <v>153450.28</v>
      </c>
      <c r="J26" s="282">
        <v>98630</v>
      </c>
      <c r="K26" s="49">
        <f t="shared" si="5"/>
        <v>186376.28000000003</v>
      </c>
      <c r="L26" s="330" t="s">
        <v>318</v>
      </c>
      <c r="M26" s="49">
        <f t="shared" si="6"/>
        <v>54820.280000000028</v>
      </c>
      <c r="N26" s="284"/>
    </row>
    <row r="27" spans="3:14" x14ac:dyDescent="0.2">
      <c r="C27" s="118" t="s">
        <v>94</v>
      </c>
      <c r="D27" s="318" t="s">
        <v>308</v>
      </c>
      <c r="E27" s="49">
        <f>'H13 Sch 13 Reserves Hist'!F32</f>
        <v>0</v>
      </c>
      <c r="F27" s="281"/>
      <c r="G27" s="50">
        <f t="shared" si="4"/>
        <v>0</v>
      </c>
      <c r="H27" s="50"/>
      <c r="I27" s="281"/>
      <c r="J27" s="282"/>
      <c r="K27" s="49">
        <f t="shared" si="5"/>
        <v>0</v>
      </c>
      <c r="L27" s="330" t="s">
        <v>318</v>
      </c>
      <c r="M27" s="49">
        <f t="shared" si="6"/>
        <v>0</v>
      </c>
      <c r="N27" s="284"/>
    </row>
    <row r="28" spans="3:14" x14ac:dyDescent="0.2">
      <c r="C28" s="160" t="s">
        <v>95</v>
      </c>
      <c r="D28" s="318" t="s">
        <v>308</v>
      </c>
      <c r="E28" s="49">
        <f>'H13 Sch 13 Reserves Hist'!F33</f>
        <v>0</v>
      </c>
      <c r="F28" s="281"/>
      <c r="G28" s="50">
        <f t="shared" si="4"/>
        <v>0</v>
      </c>
      <c r="H28" s="50"/>
      <c r="I28" s="281"/>
      <c r="J28" s="282"/>
      <c r="K28" s="49">
        <f t="shared" si="5"/>
        <v>0</v>
      </c>
      <c r="L28" s="330" t="s">
        <v>318</v>
      </c>
      <c r="M28" s="49">
        <f t="shared" si="6"/>
        <v>0</v>
      </c>
      <c r="N28" s="284"/>
    </row>
    <row r="29" spans="3:14" x14ac:dyDescent="0.2">
      <c r="C29" s="160" t="s">
        <v>454</v>
      </c>
      <c r="D29" s="318" t="s">
        <v>308</v>
      </c>
      <c r="E29" s="49">
        <f>'H13 Sch 13 Reserves Hist'!F34</f>
        <v>0</v>
      </c>
      <c r="F29" s="281"/>
      <c r="G29" s="50">
        <f t="shared" si="4"/>
        <v>0</v>
      </c>
      <c r="H29" s="50"/>
      <c r="I29" s="281"/>
      <c r="J29" s="282"/>
      <c r="K29" s="49">
        <f t="shared" si="5"/>
        <v>0</v>
      </c>
      <c r="L29" s="330" t="s">
        <v>318</v>
      </c>
      <c r="M29" s="49">
        <f t="shared" si="6"/>
        <v>0</v>
      </c>
      <c r="N29" s="284"/>
    </row>
    <row r="30" spans="3:14" x14ac:dyDescent="0.2">
      <c r="C30" s="160" t="s">
        <v>453</v>
      </c>
      <c r="D30" s="318" t="s">
        <v>308</v>
      </c>
      <c r="E30" s="49">
        <f>'H13 Sch 13 Reserves Hist'!F35</f>
        <v>0</v>
      </c>
      <c r="F30" s="281"/>
      <c r="G30" s="50">
        <f t="shared" si="4"/>
        <v>0</v>
      </c>
      <c r="H30" s="50"/>
      <c r="I30" s="281"/>
      <c r="J30" s="282"/>
      <c r="K30" s="49">
        <f t="shared" si="5"/>
        <v>0</v>
      </c>
      <c r="L30" s="330" t="s">
        <v>318</v>
      </c>
      <c r="M30" s="49">
        <f t="shared" si="6"/>
        <v>0</v>
      </c>
      <c r="N30" s="284"/>
    </row>
    <row r="31" spans="3:14" x14ac:dyDescent="0.2">
      <c r="C31" s="160" t="s">
        <v>98</v>
      </c>
      <c r="D31" s="318" t="s">
        <v>308</v>
      </c>
      <c r="E31" s="49">
        <f>'H13 Sch 13 Reserves Hist'!F36</f>
        <v>0</v>
      </c>
      <c r="F31" s="281"/>
      <c r="G31" s="50">
        <f t="shared" si="4"/>
        <v>0</v>
      </c>
      <c r="H31" s="50"/>
      <c r="I31" s="281"/>
      <c r="J31" s="282"/>
      <c r="K31" s="49">
        <f t="shared" si="5"/>
        <v>0</v>
      </c>
      <c r="L31" s="330" t="s">
        <v>318</v>
      </c>
      <c r="M31" s="49">
        <f t="shared" si="6"/>
        <v>0</v>
      </c>
      <c r="N31" s="284"/>
    </row>
    <row r="32" spans="3:14" x14ac:dyDescent="0.2">
      <c r="C32" s="160" t="s">
        <v>99</v>
      </c>
      <c r="D32" s="318" t="s">
        <v>308</v>
      </c>
      <c r="E32" s="49">
        <f>'H13 Sch 13 Reserves Hist'!F37</f>
        <v>0</v>
      </c>
      <c r="F32" s="281"/>
      <c r="G32" s="50">
        <f t="shared" si="4"/>
        <v>0</v>
      </c>
      <c r="H32" s="50"/>
      <c r="I32" s="281"/>
      <c r="J32" s="282"/>
      <c r="K32" s="49">
        <f t="shared" si="5"/>
        <v>0</v>
      </c>
      <c r="L32" s="330" t="s">
        <v>318</v>
      </c>
      <c r="M32" s="49">
        <f t="shared" si="6"/>
        <v>0</v>
      </c>
      <c r="N32" s="284"/>
    </row>
    <row r="33" spans="3:14" x14ac:dyDescent="0.2">
      <c r="C33" s="118" t="s">
        <v>100</v>
      </c>
      <c r="D33" s="318" t="s">
        <v>308</v>
      </c>
      <c r="E33" s="49">
        <f>'H13 Sch 13 Reserves Hist'!F38</f>
        <v>0</v>
      </c>
      <c r="F33" s="281"/>
      <c r="G33" s="50">
        <f t="shared" si="4"/>
        <v>0</v>
      </c>
      <c r="H33" s="50"/>
      <c r="I33" s="281"/>
      <c r="J33" s="282"/>
      <c r="K33" s="49">
        <f t="shared" si="5"/>
        <v>0</v>
      </c>
      <c r="L33" s="330" t="s">
        <v>318</v>
      </c>
      <c r="M33" s="49">
        <f t="shared" si="6"/>
        <v>0</v>
      </c>
      <c r="N33" s="284"/>
    </row>
    <row r="34" spans="3:14" x14ac:dyDescent="0.2">
      <c r="C34" s="118" t="s">
        <v>101</v>
      </c>
      <c r="D34" s="318" t="s">
        <v>308</v>
      </c>
      <c r="E34" s="49">
        <f>'H13 Sch 13 Reserves Hist'!F39</f>
        <v>0</v>
      </c>
      <c r="F34" s="281"/>
      <c r="G34" s="50">
        <f t="shared" si="4"/>
        <v>0</v>
      </c>
      <c r="H34" s="50"/>
      <c r="I34" s="281"/>
      <c r="J34" s="282"/>
      <c r="K34" s="49">
        <f t="shared" si="5"/>
        <v>0</v>
      </c>
      <c r="L34" s="330" t="s">
        <v>318</v>
      </c>
      <c r="M34" s="49">
        <f t="shared" si="6"/>
        <v>0</v>
      </c>
      <c r="N34" s="284"/>
    </row>
    <row r="35" spans="3:14" x14ac:dyDescent="0.2">
      <c r="C35" s="118" t="s">
        <v>102</v>
      </c>
      <c r="D35" s="318" t="s">
        <v>308</v>
      </c>
      <c r="E35" s="49">
        <f>'H13 Sch 13 Reserves Hist'!F40</f>
        <v>0</v>
      </c>
      <c r="F35" s="281"/>
      <c r="G35" s="50">
        <f t="shared" si="4"/>
        <v>0</v>
      </c>
      <c r="H35" s="50"/>
      <c r="I35" s="281"/>
      <c r="J35" s="282"/>
      <c r="K35" s="49">
        <f t="shared" si="5"/>
        <v>0</v>
      </c>
      <c r="L35" s="330" t="s">
        <v>318</v>
      </c>
      <c r="M35" s="49">
        <f t="shared" si="6"/>
        <v>0</v>
      </c>
      <c r="N35" s="284"/>
    </row>
    <row r="36" spans="3:14" x14ac:dyDescent="0.2">
      <c r="C36" s="118" t="s">
        <v>103</v>
      </c>
      <c r="D36" s="318" t="s">
        <v>308</v>
      </c>
      <c r="E36" s="49">
        <f>'H13 Sch 13 Reserves Hist'!F41</f>
        <v>0</v>
      </c>
      <c r="F36" s="281"/>
      <c r="G36" s="50">
        <f t="shared" si="4"/>
        <v>0</v>
      </c>
      <c r="H36" s="50"/>
      <c r="I36" s="281"/>
      <c r="J36" s="282"/>
      <c r="K36" s="49">
        <f t="shared" si="5"/>
        <v>0</v>
      </c>
      <c r="L36" s="330" t="s">
        <v>318</v>
      </c>
      <c r="M36" s="49">
        <f t="shared" si="6"/>
        <v>0</v>
      </c>
      <c r="N36" s="284"/>
    </row>
    <row r="37" spans="3:14" x14ac:dyDescent="0.2">
      <c r="C37" s="118" t="s">
        <v>104</v>
      </c>
      <c r="D37" s="318" t="s">
        <v>308</v>
      </c>
      <c r="E37" s="49">
        <f>'H13 Sch 13 Reserves Hist'!F42</f>
        <v>0</v>
      </c>
      <c r="F37" s="281"/>
      <c r="G37" s="50">
        <f t="shared" si="4"/>
        <v>0</v>
      </c>
      <c r="H37" s="50"/>
      <c r="I37" s="281"/>
      <c r="J37" s="282"/>
      <c r="K37" s="49">
        <f t="shared" si="5"/>
        <v>0</v>
      </c>
      <c r="L37" s="330" t="s">
        <v>318</v>
      </c>
      <c r="M37" s="49">
        <f t="shared" si="6"/>
        <v>0</v>
      </c>
      <c r="N37" s="284"/>
    </row>
    <row r="38" spans="3:14" ht="24" x14ac:dyDescent="0.2">
      <c r="C38" s="118" t="s">
        <v>105</v>
      </c>
      <c r="D38" s="318" t="s">
        <v>308</v>
      </c>
      <c r="E38" s="49">
        <f>'H13 Sch 13 Reserves Hist'!F43</f>
        <v>0</v>
      </c>
      <c r="F38" s="281"/>
      <c r="G38" s="50">
        <f t="shared" si="4"/>
        <v>0</v>
      </c>
      <c r="H38" s="50"/>
      <c r="I38" s="281"/>
      <c r="J38" s="282"/>
      <c r="K38" s="49">
        <f t="shared" si="5"/>
        <v>0</v>
      </c>
      <c r="L38" s="330" t="s">
        <v>318</v>
      </c>
      <c r="M38" s="49">
        <f t="shared" si="6"/>
        <v>0</v>
      </c>
      <c r="N38" s="284"/>
    </row>
    <row r="39" spans="3:14" ht="24" x14ac:dyDescent="0.2">
      <c r="C39" s="118" t="s">
        <v>106</v>
      </c>
      <c r="D39" s="318" t="s">
        <v>308</v>
      </c>
      <c r="E39" s="49">
        <f>'H13 Sch 13 Reserves Hist'!F44</f>
        <v>0</v>
      </c>
      <c r="F39" s="281"/>
      <c r="G39" s="50">
        <f t="shared" si="4"/>
        <v>0</v>
      </c>
      <c r="H39" s="50"/>
      <c r="I39" s="281"/>
      <c r="J39" s="282"/>
      <c r="K39" s="49">
        <f t="shared" si="5"/>
        <v>0</v>
      </c>
      <c r="L39" s="330" t="s">
        <v>318</v>
      </c>
      <c r="M39" s="49">
        <f t="shared" si="6"/>
        <v>0</v>
      </c>
      <c r="N39" s="284"/>
    </row>
    <row r="40" spans="3:14" x14ac:dyDescent="0.2">
      <c r="C40" s="118" t="s">
        <v>107</v>
      </c>
      <c r="D40" s="318" t="s">
        <v>308</v>
      </c>
      <c r="E40" s="49">
        <f>'H13 Sch 13 Reserves Hist'!F45</f>
        <v>0</v>
      </c>
      <c r="F40" s="281"/>
      <c r="G40" s="50">
        <f t="shared" si="4"/>
        <v>0</v>
      </c>
      <c r="H40" s="50"/>
      <c r="I40" s="281"/>
      <c r="J40" s="282"/>
      <c r="K40" s="49">
        <f t="shared" si="5"/>
        <v>0</v>
      </c>
      <c r="L40" s="330" t="s">
        <v>318</v>
      </c>
      <c r="M40" s="49">
        <f t="shared" si="6"/>
        <v>0</v>
      </c>
      <c r="N40" s="284"/>
    </row>
    <row r="41" spans="3:14" x14ac:dyDescent="0.2">
      <c r="C41" s="278" t="s">
        <v>510</v>
      </c>
      <c r="D41" s="313"/>
      <c r="E41" s="49">
        <f>'H13 Sch 13 Reserves Hist'!F49</f>
        <v>4316342</v>
      </c>
      <c r="F41" s="281"/>
      <c r="G41" s="50">
        <f>SUM(E41:F41)</f>
        <v>4316342</v>
      </c>
      <c r="H41" s="50"/>
      <c r="I41" s="281">
        <v>273829</v>
      </c>
      <c r="J41" s="282"/>
      <c r="K41" s="49">
        <f t="shared" si="5"/>
        <v>4590171</v>
      </c>
      <c r="L41" s="49"/>
      <c r="M41" s="49">
        <f>+K41-G41</f>
        <v>273829</v>
      </c>
      <c r="N41" s="284"/>
    </row>
    <row r="42" spans="3:14" ht="13.5" thickBot="1" x14ac:dyDescent="0.25">
      <c r="C42" s="280" t="s">
        <v>511</v>
      </c>
      <c r="D42" s="317"/>
      <c r="E42" s="49">
        <f>'H13 Sch 13 Reserves Hist'!F50</f>
        <v>220400</v>
      </c>
      <c r="F42" s="281"/>
      <c r="G42" s="50">
        <f>SUM(E42:F42)</f>
        <v>220400</v>
      </c>
      <c r="H42" s="50"/>
      <c r="I42" s="281">
        <v>17500</v>
      </c>
      <c r="J42" s="282"/>
      <c r="K42" s="49">
        <f t="shared" si="5"/>
        <v>237900</v>
      </c>
      <c r="L42" s="49"/>
      <c r="M42" s="49">
        <f>+K42-G42</f>
        <v>17500</v>
      </c>
      <c r="N42" s="284"/>
    </row>
    <row r="43" spans="3:14" ht="19.5" thickBot="1" x14ac:dyDescent="0.25">
      <c r="C43" s="54" t="s">
        <v>108</v>
      </c>
      <c r="D43" s="315"/>
      <c r="E43" s="61">
        <f>SUM(E25:E42)</f>
        <v>4668298</v>
      </c>
      <c r="F43" s="61">
        <f t="shared" ref="F43:N43" si="7">SUM(F25:F42)</f>
        <v>0</v>
      </c>
      <c r="G43" s="61">
        <f t="shared" si="7"/>
        <v>4668298</v>
      </c>
      <c r="H43" s="332" t="s">
        <v>309</v>
      </c>
      <c r="I43" s="61">
        <f t="shared" si="7"/>
        <v>444779.28</v>
      </c>
      <c r="J43" s="61">
        <f t="shared" si="7"/>
        <v>98630</v>
      </c>
      <c r="K43" s="61">
        <f t="shared" si="7"/>
        <v>5014447.28</v>
      </c>
      <c r="L43" s="332" t="s">
        <v>309</v>
      </c>
      <c r="M43" s="61">
        <f t="shared" si="7"/>
        <v>346149.28</v>
      </c>
      <c r="N43" s="62">
        <f t="shared" si="7"/>
        <v>0</v>
      </c>
    </row>
    <row r="44" spans="3:14" ht="15.75" x14ac:dyDescent="0.2">
      <c r="C44" s="63"/>
      <c r="D44" s="63"/>
      <c r="E44" s="64">
        <v>0</v>
      </c>
      <c r="F44" s="65"/>
      <c r="G44" s="65"/>
      <c r="H44" s="65"/>
      <c r="I44" s="65"/>
      <c r="J44" s="66"/>
      <c r="K44" s="67"/>
      <c r="L44" s="67"/>
      <c r="M44" s="67"/>
      <c r="N44" s="67"/>
    </row>
  </sheetData>
  <sheetProtection algorithmName="SHA-512" hashValue="ezsuFFQ/850lmO5QUVAn+es5KDsEM3kUhCK2smhrcjRCQKqA66P8JTTZ9RKBEGFb7x66ntk7JHW+qcxvmw1TlA==" saltValue="1ZCZTcuhILlLJLYqzZ1W4w==" spinCount="100000" sheet="1" objects="1" scenarios="1"/>
  <mergeCells count="6">
    <mergeCell ref="C24:N24"/>
    <mergeCell ref="I10:J10"/>
    <mergeCell ref="C2:K2"/>
    <mergeCell ref="C3:K3"/>
    <mergeCell ref="C4:K4"/>
    <mergeCell ref="C14:N14"/>
  </mergeCells>
  <phoneticPr fontId="3" type="noConversion"/>
  <conditionalFormatting sqref="E22">
    <cfRule type="cellIs" dxfId="35" priority="1" stopIfTrue="1" operator="notEqual">
      <formula>#REF!</formula>
    </cfRule>
  </conditionalFormatting>
  <conditionalFormatting sqref="E43">
    <cfRule type="cellIs" dxfId="34" priority="2" stopIfTrue="1" operator="notEqual">
      <formula>#REF!</formula>
    </cfRule>
  </conditionalFormatting>
  <conditionalFormatting sqref="E13 E15:E21 E25:E42">
    <cfRule type="cellIs" dxfId="33" priority="3" stopIfTrue="1" operator="lessThan">
      <formula>0</formula>
    </cfRule>
  </conditionalFormatting>
  <hyperlinks>
    <hyperlink ref="D13" location="'H13 Sch 13 Reserves Hist'!A1" display="H13" xr:uid="{00000000-0004-0000-0F00-000000000000}"/>
    <hyperlink ref="L13" location="'T13 Sch 13 Reserves Test'!A1" display="T13" xr:uid="{00000000-0004-0000-0F00-000001000000}"/>
    <hyperlink ref="L22" location="'B1 Sch 1 Taxable Income Bridge'!A1" display="B1" xr:uid="{00000000-0004-0000-0F00-000002000000}"/>
    <hyperlink ref="D15:D19" location="'H13 Sch 13 Reserves Hist'!A1" display="H13" xr:uid="{00000000-0004-0000-0F00-000003000000}"/>
    <hyperlink ref="D25:D40" location="'H13 Sch 13 Reserves Hist'!A1" display="H13" xr:uid="{00000000-0004-0000-0F00-000004000000}"/>
    <hyperlink ref="L15:L19" location="'T13 Sch 13 Reserves Test'!A1" display="T13" xr:uid="{00000000-0004-0000-0F00-000005000000}"/>
    <hyperlink ref="L25:L40" location="'T13 Sch 13 Reserves Test'!A1" display="T13" xr:uid="{00000000-0004-0000-0F00-000006000000}"/>
    <hyperlink ref="H22" location="'B1 Sch 1 Taxable Income Bridge'!A1" display="B1" xr:uid="{00000000-0004-0000-0F00-000007000000}"/>
    <hyperlink ref="H43" location="'B1 Sch 1 Taxable Income Bridge'!A1" display="B1" xr:uid="{00000000-0004-0000-0F00-000008000000}"/>
    <hyperlink ref="L43" location="'B1 Sch 1 Taxable Income Bridge'!A1" display="B1" xr:uid="{00000000-0004-0000-0F00-000009000000}"/>
  </hyperlinks>
  <pageMargins left="0.35433070866141736" right="0.15748031496062992" top="0.39370078740157483" bottom="0.19685039370078741" header="0.51181102362204722" footer="0.51181102362204722"/>
  <pageSetup scale="6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U44"/>
  <sheetViews>
    <sheetView topLeftCell="A7" zoomScaleNormal="100" workbookViewId="0">
      <selection activeCell="I17" sqref="I17"/>
    </sheetView>
  </sheetViews>
  <sheetFormatPr defaultColWidth="9.140625" defaultRowHeight="12.75" x14ac:dyDescent="0.2"/>
  <cols>
    <col min="1" max="1" width="4.140625" style="9" customWidth="1"/>
    <col min="2" max="2" width="13.140625" style="9" customWidth="1"/>
    <col min="3" max="3" width="32.140625" style="9" customWidth="1"/>
    <col min="4" max="4" width="8.42578125" style="9" bestFit="1" customWidth="1"/>
    <col min="5" max="5" width="18" style="9" customWidth="1"/>
    <col min="6" max="6" width="13.42578125" style="9" bestFit="1" customWidth="1"/>
    <col min="7" max="7" width="15.140625" style="9" bestFit="1" customWidth="1"/>
    <col min="8" max="8" width="18.140625" style="9" bestFit="1" customWidth="1"/>
    <col min="9" max="9" width="9.140625" style="9"/>
    <col min="10" max="10" width="16.140625" style="9" bestFit="1" customWidth="1"/>
    <col min="11" max="11" width="11.85546875" style="9" bestFit="1" customWidth="1"/>
    <col min="12" max="12" width="4.5703125" style="9" customWidth="1"/>
    <col min="13" max="13" width="11.140625" style="9" bestFit="1" customWidth="1"/>
    <col min="14" max="19" width="9.140625" style="9"/>
    <col min="20" max="20" width="15" style="8" hidden="1" customWidth="1"/>
    <col min="21" max="21" width="10.140625" style="8" hidden="1" customWidth="1"/>
    <col min="22" max="16384" width="9.140625" style="9"/>
  </cols>
  <sheetData>
    <row r="1" spans="1:21" ht="21.75" x14ac:dyDescent="0.2">
      <c r="A1" s="218"/>
      <c r="C1" s="565"/>
      <c r="D1" s="565"/>
      <c r="E1" s="565"/>
      <c r="F1" s="565"/>
      <c r="G1" s="565"/>
      <c r="H1" s="565"/>
      <c r="I1" s="440"/>
      <c r="T1" s="8" t="s">
        <v>1</v>
      </c>
      <c r="U1" s="8" t="s">
        <v>290</v>
      </c>
    </row>
    <row r="2" spans="1:21" ht="18" x14ac:dyDescent="0.25">
      <c r="C2" s="566"/>
      <c r="D2" s="566"/>
      <c r="E2" s="566"/>
      <c r="F2" s="566"/>
      <c r="G2" s="566"/>
      <c r="H2" s="566"/>
      <c r="I2" s="566"/>
      <c r="J2" s="566"/>
      <c r="K2" s="566"/>
      <c r="L2" s="566"/>
      <c r="M2" s="566"/>
      <c r="T2" s="300">
        <v>500000</v>
      </c>
      <c r="U2" s="301">
        <v>0.11</v>
      </c>
    </row>
    <row r="3" spans="1:21" ht="18" x14ac:dyDescent="0.25">
      <c r="C3" s="566"/>
      <c r="D3" s="566"/>
      <c r="E3" s="566"/>
      <c r="F3" s="566"/>
      <c r="G3" s="566"/>
      <c r="H3" s="566"/>
      <c r="I3" s="566"/>
      <c r="J3" s="566"/>
      <c r="K3" s="566"/>
      <c r="L3" s="566"/>
      <c r="M3" s="566"/>
      <c r="T3" s="300">
        <v>10000000</v>
      </c>
      <c r="U3" s="301">
        <v>0.11</v>
      </c>
    </row>
    <row r="4" spans="1:21" ht="50.25" customHeight="1" x14ac:dyDescent="0.25">
      <c r="C4" s="566"/>
      <c r="D4" s="566"/>
      <c r="E4" s="566"/>
      <c r="F4" s="566"/>
      <c r="G4" s="566"/>
      <c r="H4" s="566"/>
      <c r="I4" s="566"/>
      <c r="J4" s="566"/>
      <c r="K4" s="566"/>
      <c r="L4" s="566"/>
      <c r="M4" s="566"/>
      <c r="T4" s="302">
        <f>T3+100000</f>
        <v>10100000</v>
      </c>
      <c r="U4" s="303">
        <v>0.11</v>
      </c>
    </row>
    <row r="5" spans="1:21" ht="50.25" customHeight="1" x14ac:dyDescent="0.2">
      <c r="T5" s="302">
        <f t="shared" ref="T5:T44" si="0">T4+100000</f>
        <v>10200000</v>
      </c>
      <c r="U5" s="303">
        <v>0.11</v>
      </c>
    </row>
    <row r="6" spans="1:21" ht="18" x14ac:dyDescent="0.2">
      <c r="B6" s="294" t="s">
        <v>272</v>
      </c>
      <c r="T6" s="302">
        <f t="shared" si="0"/>
        <v>10300000</v>
      </c>
      <c r="U6" s="303">
        <v>0.11</v>
      </c>
    </row>
    <row r="7" spans="1:21" x14ac:dyDescent="0.2">
      <c r="T7" s="302">
        <f t="shared" si="0"/>
        <v>10400000</v>
      </c>
      <c r="U7" s="303">
        <v>0.11</v>
      </c>
    </row>
    <row r="8" spans="1:21" ht="15.75" x14ac:dyDescent="0.2">
      <c r="D8" s="87"/>
      <c r="E8" s="82"/>
      <c r="F8" s="82"/>
      <c r="G8" s="82"/>
      <c r="H8" s="82"/>
      <c r="I8" s="82"/>
      <c r="J8" s="267" t="s">
        <v>264</v>
      </c>
      <c r="K8" s="88"/>
      <c r="T8" s="302">
        <f t="shared" si="0"/>
        <v>10500000</v>
      </c>
      <c r="U8" s="303">
        <v>0.11</v>
      </c>
    </row>
    <row r="9" spans="1:21" x14ac:dyDescent="0.2">
      <c r="C9" s="87"/>
      <c r="D9" s="87"/>
      <c r="E9" s="82"/>
      <c r="F9" s="82"/>
      <c r="G9" s="82"/>
      <c r="H9" s="82"/>
      <c r="I9" s="82"/>
      <c r="J9" s="22"/>
      <c r="K9" s="88"/>
      <c r="T9" s="302">
        <f t="shared" si="0"/>
        <v>10600000</v>
      </c>
      <c r="U9" s="303">
        <v>0.11</v>
      </c>
    </row>
    <row r="10" spans="1:21" x14ac:dyDescent="0.2">
      <c r="C10" s="89" t="s">
        <v>156</v>
      </c>
      <c r="D10" s="89"/>
      <c r="E10" s="82"/>
      <c r="F10" s="82"/>
      <c r="G10" s="82"/>
      <c r="H10" s="82"/>
      <c r="I10" s="306" t="s">
        <v>303</v>
      </c>
      <c r="J10" s="185">
        <f>'T1 Sch 1 Taxable Income Test'!F122</f>
        <v>187107.30479136668</v>
      </c>
      <c r="K10" s="179" t="s">
        <v>0</v>
      </c>
      <c r="T10" s="302">
        <f t="shared" si="0"/>
        <v>10700000</v>
      </c>
      <c r="U10" s="303">
        <v>0.11</v>
      </c>
    </row>
    <row r="11" spans="1:21" x14ac:dyDescent="0.2">
      <c r="C11" s="90"/>
      <c r="D11" s="90"/>
      <c r="E11" s="82"/>
      <c r="F11" s="82"/>
      <c r="G11" s="82"/>
      <c r="H11" s="82"/>
      <c r="I11" s="82"/>
      <c r="J11" s="82"/>
      <c r="K11" s="180"/>
      <c r="T11" s="302">
        <f t="shared" si="0"/>
        <v>10800000</v>
      </c>
      <c r="U11" s="303">
        <v>0.11</v>
      </c>
    </row>
    <row r="12" spans="1:21" ht="25.5" x14ac:dyDescent="0.2">
      <c r="C12" s="406"/>
      <c r="D12" s="411" t="s">
        <v>354</v>
      </c>
      <c r="E12" s="411" t="s">
        <v>358</v>
      </c>
      <c r="F12" s="411" t="s">
        <v>355</v>
      </c>
      <c r="G12" s="412" t="s">
        <v>356</v>
      </c>
      <c r="H12" s="82"/>
      <c r="I12" s="82"/>
      <c r="J12" s="82"/>
      <c r="K12" s="180"/>
      <c r="O12" s="407"/>
      <c r="T12" s="302"/>
      <c r="U12" s="303"/>
    </row>
    <row r="13" spans="1:21" x14ac:dyDescent="0.2">
      <c r="C13" s="406" t="s">
        <v>359</v>
      </c>
      <c r="D13" s="408">
        <v>0.115</v>
      </c>
      <c r="E13" s="408">
        <f>IF(ratebase&lt;=10000000, ontario_SB, IF(ratebase&gt;=15000000, ontariotax, IF(AND(ratebase&gt;10000000, ratebase&lt;15000000), ontario_SB+ (ratebase - 10000000)*(ontariotax - ontario_SB)/(15000000-10000000))))</f>
        <v>0.115</v>
      </c>
      <c r="F13" s="413">
        <f>IF(J10&lt;500000,J10,500000)*E13+IF(J10&gt;500000,J10-500000,0)*D13</f>
        <v>21517.34005100717</v>
      </c>
      <c r="G13" s="408">
        <f>IF(F13=0,0,+F13/J10)</f>
        <v>0.115</v>
      </c>
      <c r="H13" s="177" t="s">
        <v>134</v>
      </c>
      <c r="I13" s="82"/>
      <c r="J13" s="82"/>
      <c r="K13" s="180"/>
      <c r="O13" s="407"/>
      <c r="T13" s="302"/>
      <c r="U13" s="303"/>
    </row>
    <row r="14" spans="1:21" x14ac:dyDescent="0.2">
      <c r="C14" s="406" t="s">
        <v>360</v>
      </c>
      <c r="D14" s="408">
        <v>0.15</v>
      </c>
      <c r="E14" s="414">
        <f>IF(ratebase&lt;=10000000, Fed_SB_Test, IF(ratebase&gt;=15000000, FedTax, IF(AND(ratebase&gt;10000000, ratebase&lt;15000000), Fed_SB_Test+ (ratebase - 10000000)*(FedTax -Fed_SB_Test)/(15000000-10000000))))</f>
        <v>0.15000000000000002</v>
      </c>
      <c r="F14" s="413">
        <f>E14*IF(J10&lt;500000,J10,500000)+IF(J10&gt;500000,J10-500000,0)*D14</f>
        <v>28066.095718705008</v>
      </c>
      <c r="G14" s="408">
        <f>IF(F14=0,0,+F14/J10)</f>
        <v>0.15000000000000002</v>
      </c>
      <c r="H14" s="177" t="s">
        <v>296</v>
      </c>
      <c r="I14" s="82"/>
      <c r="J14" s="82"/>
      <c r="K14" s="180"/>
      <c r="O14" s="407"/>
      <c r="T14" s="302"/>
      <c r="U14" s="303"/>
    </row>
    <row r="15" spans="1:21" x14ac:dyDescent="0.2">
      <c r="C15" s="90"/>
      <c r="D15" s="90"/>
      <c r="E15" s="82"/>
      <c r="F15" s="82"/>
      <c r="G15" s="409"/>
      <c r="H15" s="82"/>
      <c r="I15" s="82"/>
      <c r="J15" s="410"/>
      <c r="K15" s="180"/>
      <c r="O15" s="407"/>
      <c r="T15" s="302"/>
      <c r="U15" s="303"/>
    </row>
    <row r="16" spans="1:21" x14ac:dyDescent="0.2">
      <c r="C16" s="406" t="s">
        <v>361</v>
      </c>
      <c r="E16" s="82"/>
      <c r="F16" s="82"/>
      <c r="G16" s="82"/>
      <c r="I16" s="178"/>
      <c r="J16" s="187">
        <f>SUM(G13:G14)</f>
        <v>0.26500000000000001</v>
      </c>
      <c r="K16" s="179" t="s">
        <v>297</v>
      </c>
      <c r="O16" s="407"/>
      <c r="T16" s="302" t="e">
        <f>#REF!+100000</f>
        <v>#REF!</v>
      </c>
      <c r="U16" s="303" t="e">
        <f>#REF!+0.112%</f>
        <v>#REF!</v>
      </c>
    </row>
    <row r="17" spans="3:21" x14ac:dyDescent="0.2">
      <c r="C17" s="90"/>
      <c r="D17" s="90"/>
      <c r="E17" s="82"/>
      <c r="F17" s="82"/>
      <c r="G17" s="82"/>
      <c r="H17" s="82"/>
      <c r="I17" s="178"/>
      <c r="J17" s="82"/>
      <c r="K17" s="180"/>
      <c r="T17" s="302" t="e">
        <f t="shared" si="0"/>
        <v>#REF!</v>
      </c>
      <c r="U17" s="303" t="e">
        <f t="shared" ref="U17:U19" si="1">U16+0.112%</f>
        <v>#REF!</v>
      </c>
    </row>
    <row r="18" spans="3:21" x14ac:dyDescent="0.2">
      <c r="C18" s="82"/>
      <c r="D18" s="82"/>
      <c r="E18" s="82"/>
      <c r="F18" s="82"/>
      <c r="G18" s="82"/>
      <c r="H18" s="82"/>
      <c r="I18" s="178"/>
      <c r="J18" s="82"/>
      <c r="K18" s="180"/>
      <c r="T18" s="302" t="e">
        <f t="shared" si="0"/>
        <v>#REF!</v>
      </c>
      <c r="U18" s="303" t="e">
        <f t="shared" si="1"/>
        <v>#REF!</v>
      </c>
    </row>
    <row r="19" spans="3:21" x14ac:dyDescent="0.2">
      <c r="C19" s="84" t="s">
        <v>120</v>
      </c>
      <c r="D19" s="84"/>
      <c r="E19" s="82"/>
      <c r="F19" s="82"/>
      <c r="G19" s="82"/>
      <c r="H19" s="82"/>
      <c r="I19" s="178"/>
      <c r="J19" s="188">
        <f>J10*J16</f>
        <v>49583.435769712174</v>
      </c>
      <c r="K19" s="179" t="s">
        <v>298</v>
      </c>
      <c r="T19" s="302" t="e">
        <f t="shared" si="0"/>
        <v>#REF!</v>
      </c>
      <c r="U19" s="303" t="e">
        <f t="shared" si="1"/>
        <v>#REF!</v>
      </c>
    </row>
    <row r="20" spans="3:21" x14ac:dyDescent="0.2">
      <c r="C20" s="82"/>
      <c r="D20" s="82"/>
      <c r="E20" s="82"/>
      <c r="F20" s="82"/>
      <c r="G20" s="82"/>
      <c r="H20" s="82"/>
      <c r="I20" s="178"/>
      <c r="J20" s="85"/>
      <c r="K20" s="180"/>
      <c r="T20" s="302" t="e">
        <f t="shared" si="0"/>
        <v>#REF!</v>
      </c>
      <c r="U20" s="303" t="e">
        <f>U19+0.102%</f>
        <v>#REF!</v>
      </c>
    </row>
    <row r="21" spans="3:21" x14ac:dyDescent="0.2">
      <c r="C21" s="90" t="s">
        <v>121</v>
      </c>
      <c r="D21" s="82"/>
      <c r="E21" s="82"/>
      <c r="F21" s="82"/>
      <c r="G21" s="82"/>
      <c r="H21" s="82"/>
      <c r="I21" s="178"/>
      <c r="J21" s="272">
        <v>0</v>
      </c>
      <c r="K21" s="179" t="s">
        <v>299</v>
      </c>
      <c r="T21" s="302" t="e">
        <f t="shared" si="0"/>
        <v>#REF!</v>
      </c>
      <c r="U21" s="303" t="e">
        <f>U20+0.102%</f>
        <v>#REF!</v>
      </c>
    </row>
    <row r="22" spans="3:21" x14ac:dyDescent="0.2">
      <c r="C22" s="90" t="s">
        <v>122</v>
      </c>
      <c r="D22" s="82"/>
      <c r="E22" s="82"/>
      <c r="F22" s="82"/>
      <c r="G22" s="82"/>
      <c r="H22" s="82"/>
      <c r="I22" s="178"/>
      <c r="J22" s="272"/>
      <c r="K22" s="179" t="s">
        <v>300</v>
      </c>
      <c r="T22" s="302" t="e">
        <f t="shared" si="0"/>
        <v>#REF!</v>
      </c>
      <c r="U22" s="303" t="e">
        <f>U21+0.102%</f>
        <v>#REF!</v>
      </c>
    </row>
    <row r="23" spans="3:21" x14ac:dyDescent="0.2">
      <c r="C23" s="84" t="s">
        <v>183</v>
      </c>
      <c r="D23" s="82"/>
      <c r="E23" s="82"/>
      <c r="F23" s="82"/>
      <c r="G23" s="82"/>
      <c r="H23" s="82"/>
      <c r="I23" s="178"/>
      <c r="J23" s="188">
        <f>SUM(J21:J22)</f>
        <v>0</v>
      </c>
      <c r="K23" s="179" t="s">
        <v>301</v>
      </c>
      <c r="T23" s="302" t="e">
        <f t="shared" si="0"/>
        <v>#REF!</v>
      </c>
      <c r="U23" s="303" t="e">
        <f>U22+0.102%</f>
        <v>#REF!</v>
      </c>
    </row>
    <row r="24" spans="3:21" x14ac:dyDescent="0.2">
      <c r="C24" s="82"/>
      <c r="D24" s="82"/>
      <c r="E24" s="82"/>
      <c r="F24" s="82"/>
      <c r="G24" s="82"/>
      <c r="H24" s="82"/>
      <c r="I24" s="178"/>
      <c r="J24" s="91"/>
      <c r="K24" s="180"/>
      <c r="T24" s="302" t="e">
        <f t="shared" si="0"/>
        <v>#REF!</v>
      </c>
      <c r="U24" s="303" t="e">
        <f>U23+0.102%</f>
        <v>#REF!</v>
      </c>
    </row>
    <row r="25" spans="3:21" x14ac:dyDescent="0.2">
      <c r="C25" s="84" t="s">
        <v>123</v>
      </c>
      <c r="D25" s="84"/>
      <c r="E25" s="82"/>
      <c r="F25" s="82"/>
      <c r="G25" s="82"/>
      <c r="H25" s="82"/>
      <c r="I25" s="178"/>
      <c r="J25" s="188">
        <f>IF(J19-J23&lt;0,0,J19-J23)</f>
        <v>49583.435769712174</v>
      </c>
      <c r="K25" s="179" t="s">
        <v>362</v>
      </c>
      <c r="L25" s="307" t="s">
        <v>338</v>
      </c>
      <c r="T25" s="302" t="e">
        <f t="shared" si="0"/>
        <v>#REF!</v>
      </c>
      <c r="U25" s="303" t="e">
        <f>U24+0.096%</f>
        <v>#REF!</v>
      </c>
    </row>
    <row r="26" spans="3:21" x14ac:dyDescent="0.2">
      <c r="C26" s="82"/>
      <c r="D26" s="82"/>
      <c r="E26" s="82"/>
      <c r="F26" s="82"/>
      <c r="G26" s="82"/>
      <c r="H26" s="82"/>
      <c r="I26" s="178"/>
      <c r="J26" s="92"/>
      <c r="K26" s="180"/>
      <c r="T26" s="302" t="e">
        <f t="shared" si="0"/>
        <v>#REF!</v>
      </c>
      <c r="U26" s="303" t="e">
        <f>U25+0.096%</f>
        <v>#REF!</v>
      </c>
    </row>
    <row r="27" spans="3:21" ht="14.25" x14ac:dyDescent="0.2">
      <c r="C27" s="82" t="s">
        <v>189</v>
      </c>
      <c r="D27" s="82"/>
      <c r="E27" s="82"/>
      <c r="F27" s="82"/>
      <c r="G27" s="82"/>
      <c r="H27" s="186">
        <f>(1-J16)</f>
        <v>0.73499999999999999</v>
      </c>
      <c r="I27" s="177" t="s">
        <v>363</v>
      </c>
      <c r="J27" s="188">
        <f>J25/H27-J25</f>
        <v>17877.021059828199</v>
      </c>
      <c r="K27" s="179" t="s">
        <v>364</v>
      </c>
      <c r="M27" s="415"/>
      <c r="T27" s="302" t="e">
        <f t="shared" si="0"/>
        <v>#REF!</v>
      </c>
      <c r="U27" s="303" t="e">
        <f>U26+0.096%</f>
        <v>#REF!</v>
      </c>
    </row>
    <row r="28" spans="3:21" x14ac:dyDescent="0.2">
      <c r="C28" s="81"/>
      <c r="D28" s="81"/>
      <c r="E28" s="82"/>
      <c r="F28" s="82"/>
      <c r="G28" s="82"/>
      <c r="H28" s="82"/>
      <c r="I28" s="82"/>
      <c r="J28" s="83"/>
      <c r="K28" s="178"/>
      <c r="T28" s="302" t="e">
        <f t="shared" si="0"/>
        <v>#REF!</v>
      </c>
      <c r="U28" s="303" t="e">
        <f>U27+0.096%</f>
        <v>#REF!</v>
      </c>
    </row>
    <row r="29" spans="3:21" x14ac:dyDescent="0.2">
      <c r="C29" s="81"/>
      <c r="D29" s="81"/>
      <c r="E29" s="82"/>
      <c r="F29" s="82"/>
      <c r="G29" s="82"/>
      <c r="H29" s="82"/>
      <c r="I29" s="82"/>
      <c r="J29" s="83"/>
      <c r="K29" s="178"/>
      <c r="T29" s="302" t="e">
        <f t="shared" si="0"/>
        <v>#REF!</v>
      </c>
      <c r="U29" s="303" t="e">
        <f>U28+0.096%</f>
        <v>#REF!</v>
      </c>
    </row>
    <row r="30" spans="3:21" x14ac:dyDescent="0.2">
      <c r="C30" s="84" t="s">
        <v>124</v>
      </c>
      <c r="D30" s="84"/>
      <c r="E30" s="82"/>
      <c r="F30" s="82"/>
      <c r="G30" s="82"/>
      <c r="H30" s="82"/>
      <c r="I30" s="82"/>
      <c r="J30" s="188">
        <f>J25+J27</f>
        <v>67460.456829540373</v>
      </c>
      <c r="K30" s="179" t="s">
        <v>302</v>
      </c>
      <c r="L30" s="307" t="s">
        <v>338</v>
      </c>
      <c r="T30" s="302" t="e">
        <f t="shared" si="0"/>
        <v>#REF!</v>
      </c>
      <c r="U30" s="303" t="e">
        <f>U29+0.088%</f>
        <v>#REF!</v>
      </c>
    </row>
    <row r="31" spans="3:21" x14ac:dyDescent="0.2">
      <c r="C31" s="82"/>
      <c r="D31" s="82"/>
      <c r="E31" s="82"/>
      <c r="F31" s="82"/>
      <c r="G31" s="82"/>
      <c r="H31" s="82"/>
      <c r="I31" s="82"/>
      <c r="J31" s="211"/>
      <c r="K31" s="104"/>
      <c r="T31" s="302" t="e">
        <f t="shared" si="0"/>
        <v>#REF!</v>
      </c>
      <c r="U31" s="303" t="e">
        <f>U30+0.088%</f>
        <v>#REF!</v>
      </c>
    </row>
    <row r="32" spans="3:21" x14ac:dyDescent="0.2">
      <c r="T32" s="302" t="e">
        <f t="shared" si="0"/>
        <v>#REF!</v>
      </c>
      <c r="U32" s="303" t="e">
        <f>U31+0.088%</f>
        <v>#REF!</v>
      </c>
    </row>
    <row r="33" spans="3:21" x14ac:dyDescent="0.2">
      <c r="C33" s="39" t="s">
        <v>188</v>
      </c>
      <c r="T33" s="302" t="e">
        <f t="shared" si="0"/>
        <v>#REF!</v>
      </c>
      <c r="U33" s="303" t="e">
        <f>U32+0.088%</f>
        <v>#REF!</v>
      </c>
    </row>
    <row r="34" spans="3:21" ht="36" customHeight="1" x14ac:dyDescent="0.2">
      <c r="C34" s="570" t="s">
        <v>245</v>
      </c>
      <c r="D34" s="570"/>
      <c r="E34" s="570"/>
      <c r="F34" s="570"/>
      <c r="G34" s="570"/>
      <c r="T34" s="302" t="e">
        <f t="shared" si="0"/>
        <v>#REF!</v>
      </c>
      <c r="U34" s="303" t="e">
        <f>U33+0.088%</f>
        <v>#REF!</v>
      </c>
    </row>
    <row r="35" spans="3:21" x14ac:dyDescent="0.2">
      <c r="J35" s="212"/>
      <c r="T35" s="302" t="e">
        <f t="shared" si="0"/>
        <v>#REF!</v>
      </c>
      <c r="U35" s="303" t="e">
        <f>U34+0.082%</f>
        <v>#REF!</v>
      </c>
    </row>
    <row r="36" spans="3:21" x14ac:dyDescent="0.2">
      <c r="J36" s="212"/>
      <c r="T36" s="302" t="e">
        <f t="shared" si="0"/>
        <v>#REF!</v>
      </c>
      <c r="U36" s="303" t="e">
        <f>U35+0.082%</f>
        <v>#REF!</v>
      </c>
    </row>
    <row r="37" spans="3:21" x14ac:dyDescent="0.2">
      <c r="J37" s="213"/>
      <c r="T37" s="302" t="e">
        <f t="shared" si="0"/>
        <v>#REF!</v>
      </c>
      <c r="U37" s="303" t="e">
        <f>U36+0.082%</f>
        <v>#REF!</v>
      </c>
    </row>
    <row r="38" spans="3:21" x14ac:dyDescent="0.2">
      <c r="T38" s="302" t="e">
        <f t="shared" si="0"/>
        <v>#REF!</v>
      </c>
      <c r="U38" s="303" t="e">
        <f>U37+0.082%</f>
        <v>#REF!</v>
      </c>
    </row>
    <row r="39" spans="3:21" x14ac:dyDescent="0.2">
      <c r="T39" s="302" t="e">
        <f t="shared" si="0"/>
        <v>#REF!</v>
      </c>
      <c r="U39" s="303" t="e">
        <f>U38+0.082%</f>
        <v>#REF!</v>
      </c>
    </row>
    <row r="40" spans="3:21" x14ac:dyDescent="0.2">
      <c r="T40" s="302" t="e">
        <f t="shared" si="0"/>
        <v>#REF!</v>
      </c>
      <c r="U40" s="303" t="e">
        <f>U39+0.076%</f>
        <v>#REF!</v>
      </c>
    </row>
    <row r="41" spans="3:21" x14ac:dyDescent="0.2">
      <c r="T41" s="302" t="e">
        <f t="shared" si="0"/>
        <v>#REF!</v>
      </c>
      <c r="U41" s="303" t="e">
        <f>U40+0.076%</f>
        <v>#REF!</v>
      </c>
    </row>
    <row r="42" spans="3:21" x14ac:dyDescent="0.2">
      <c r="T42" s="302" t="e">
        <f t="shared" si="0"/>
        <v>#REF!</v>
      </c>
      <c r="U42" s="303" t="e">
        <f>U41+0.076%</f>
        <v>#REF!</v>
      </c>
    </row>
    <row r="43" spans="3:21" x14ac:dyDescent="0.2">
      <c r="T43" s="302" t="e">
        <f t="shared" si="0"/>
        <v>#REF!</v>
      </c>
      <c r="U43" s="303" t="e">
        <f>U42+0.076%</f>
        <v>#REF!</v>
      </c>
    </row>
    <row r="44" spans="3:21" x14ac:dyDescent="0.2">
      <c r="T44" s="302" t="e">
        <f t="shared" si="0"/>
        <v>#REF!</v>
      </c>
      <c r="U44" s="303">
        <v>0.15</v>
      </c>
    </row>
  </sheetData>
  <sheetProtection algorithmName="SHA-512" hashValue="nivIBSYXUzf5yj34XGwFAtRkNm7qoO3lhUmCYkIY68SrkQSFwSNS/B3OK32ofE1YqEHAlt6VLfYhYAttzRzWsQ==" saltValue="qWNbnf8TCWK9jzKTHcuqew==" spinCount="100000" sheet="1" objects="1" scenarios="1"/>
  <mergeCells count="5">
    <mergeCell ref="C34:G34"/>
    <mergeCell ref="C1:H1"/>
    <mergeCell ref="C2:M2"/>
    <mergeCell ref="C3:M3"/>
    <mergeCell ref="C4:M4"/>
  </mergeCells>
  <phoneticPr fontId="3" type="noConversion"/>
  <conditionalFormatting sqref="J21:J22">
    <cfRule type="expression" dxfId="32" priority="1" stopIfTrue="1">
      <formula>ISBLANK(J21)</formula>
    </cfRule>
  </conditionalFormatting>
  <hyperlinks>
    <hyperlink ref="I10" location="'T1 Sch 1 Taxable Income Test'!A1" display="T1" xr:uid="{00000000-0004-0000-1000-000000000000}"/>
    <hyperlink ref="L25" location="'S. Summary '!A1" display="S. Summary" xr:uid="{00000000-0004-0000-1000-000001000000}"/>
    <hyperlink ref="L30" location="'S. Summary '!A1" display="S. Summary" xr:uid="{00000000-0004-0000-1000-000002000000}"/>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J123"/>
  <sheetViews>
    <sheetView topLeftCell="A7" workbookViewId="0">
      <selection activeCell="H33" sqref="H33"/>
    </sheetView>
  </sheetViews>
  <sheetFormatPr defaultColWidth="9.140625" defaultRowHeight="12.75" x14ac:dyDescent="0.2"/>
  <cols>
    <col min="1" max="1" width="2.42578125" style="9" customWidth="1"/>
    <col min="2" max="2" width="12" style="9" customWidth="1"/>
    <col min="3" max="3" width="38.5703125" style="9" customWidth="1"/>
    <col min="4" max="4" width="10.140625" style="390" bestFit="1" customWidth="1"/>
    <col min="5" max="5" width="10.140625" style="38" customWidth="1"/>
    <col min="6" max="6" width="11.140625" style="9" customWidth="1"/>
    <col min="7" max="7" width="9.140625" style="9"/>
    <col min="8" max="8" width="29.140625" style="9" customWidth="1"/>
    <col min="9" max="9" width="11.140625" style="9" customWidth="1"/>
    <col min="10" max="10" width="11.85546875" style="9" bestFit="1" customWidth="1"/>
    <col min="11" max="16384" width="9.140625" style="9"/>
  </cols>
  <sheetData>
    <row r="1" spans="1:10" ht="21.75" x14ac:dyDescent="0.2">
      <c r="A1" s="218"/>
      <c r="C1" s="565"/>
      <c r="D1" s="565"/>
      <c r="E1" s="565"/>
      <c r="F1" s="565"/>
    </row>
    <row r="2" spans="1:10" ht="18" x14ac:dyDescent="0.25">
      <c r="C2" s="566"/>
      <c r="D2" s="566"/>
      <c r="E2" s="566"/>
      <c r="F2" s="566"/>
      <c r="G2" s="566"/>
      <c r="H2" s="566"/>
      <c r="I2" s="566"/>
      <c r="J2" s="566"/>
    </row>
    <row r="3" spans="1:10" ht="18" x14ac:dyDescent="0.25">
      <c r="C3" s="566"/>
      <c r="D3" s="566"/>
      <c r="E3" s="566"/>
      <c r="F3" s="566"/>
      <c r="G3" s="566"/>
      <c r="H3" s="566"/>
      <c r="I3" s="566"/>
      <c r="J3" s="566"/>
    </row>
    <row r="4" spans="1:10" ht="35.25" customHeight="1" x14ac:dyDescent="0.25">
      <c r="C4" s="566"/>
      <c r="D4" s="566"/>
      <c r="E4" s="566"/>
      <c r="F4" s="566"/>
      <c r="G4" s="566"/>
      <c r="H4" s="566"/>
      <c r="I4" s="566"/>
      <c r="J4" s="566"/>
    </row>
    <row r="9" spans="1:10" ht="23.25" x14ac:dyDescent="0.35">
      <c r="C9" s="198"/>
    </row>
    <row r="10" spans="1:10" ht="18" x14ac:dyDescent="0.25">
      <c r="C10" s="258" t="s">
        <v>271</v>
      </c>
    </row>
    <row r="11" spans="1:10" ht="39" thickBot="1" x14ac:dyDescent="0.25">
      <c r="C11" s="78"/>
      <c r="E11" s="336" t="s">
        <v>311</v>
      </c>
      <c r="F11" s="79" t="s">
        <v>225</v>
      </c>
    </row>
    <row r="12" spans="1:10" ht="14.25" thickTop="1" thickBot="1" x14ac:dyDescent="0.25">
      <c r="C12" s="167" t="s">
        <v>2</v>
      </c>
      <c r="E12" s="309" t="s">
        <v>305</v>
      </c>
      <c r="F12" s="420">
        <f>'A. Data Input Sheet'!G18</f>
        <v>2508710.6642400003</v>
      </c>
      <c r="H12" s="173"/>
      <c r="I12" s="23"/>
      <c r="J12" s="174"/>
    </row>
    <row r="13" spans="1:10" ht="13.5" thickTop="1" x14ac:dyDescent="0.2">
      <c r="C13" s="176"/>
      <c r="D13" s="391"/>
      <c r="E13" s="333"/>
      <c r="F13" s="421"/>
      <c r="H13" s="389"/>
      <c r="I13" s="23"/>
      <c r="J13" s="174"/>
    </row>
    <row r="14" spans="1:10" ht="24" x14ac:dyDescent="0.2">
      <c r="C14" s="172"/>
      <c r="D14" s="392" t="s">
        <v>113</v>
      </c>
      <c r="E14" s="334"/>
      <c r="F14" s="422"/>
    </row>
    <row r="15" spans="1:10" x14ac:dyDescent="0.2">
      <c r="C15" s="446" t="s">
        <v>8</v>
      </c>
      <c r="D15" s="393"/>
      <c r="E15" s="171"/>
      <c r="F15" s="423"/>
    </row>
    <row r="16" spans="1:10" x14ac:dyDescent="0.2">
      <c r="C16" s="14" t="s">
        <v>9</v>
      </c>
      <c r="D16" s="394">
        <v>103</v>
      </c>
      <c r="E16" s="163"/>
      <c r="F16" s="471"/>
    </row>
    <row r="17" spans="3:6" ht="23.25" x14ac:dyDescent="0.2">
      <c r="C17" s="14" t="s">
        <v>114</v>
      </c>
      <c r="D17" s="394">
        <v>104</v>
      </c>
      <c r="E17" s="163"/>
      <c r="F17" s="471">
        <v>3332743</v>
      </c>
    </row>
    <row r="18" spans="3:6" ht="23.25" x14ac:dyDescent="0.2">
      <c r="C18" s="14" t="s">
        <v>115</v>
      </c>
      <c r="D18" s="394">
        <v>106</v>
      </c>
      <c r="E18" s="163"/>
      <c r="F18" s="471"/>
    </row>
    <row r="19" spans="3:6" ht="24" x14ac:dyDescent="0.2">
      <c r="C19" s="14" t="s">
        <v>12</v>
      </c>
      <c r="D19" s="394">
        <v>107</v>
      </c>
      <c r="E19" s="324" t="s">
        <v>313</v>
      </c>
      <c r="F19" s="424">
        <f>'T8 Sch 8 CCA Test'!S43</f>
        <v>0</v>
      </c>
    </row>
    <row r="20" spans="3:6" ht="24" x14ac:dyDescent="0.2">
      <c r="C20" s="14" t="s">
        <v>455</v>
      </c>
      <c r="D20" s="394">
        <v>108</v>
      </c>
      <c r="E20" s="163"/>
      <c r="F20" s="471"/>
    </row>
    <row r="21" spans="3:6" x14ac:dyDescent="0.2">
      <c r="C21" s="14" t="s">
        <v>14</v>
      </c>
      <c r="D21" s="394">
        <v>110</v>
      </c>
      <c r="E21" s="163"/>
      <c r="F21" s="471"/>
    </row>
    <row r="22" spans="3:6" x14ac:dyDescent="0.2">
      <c r="C22" s="14" t="s">
        <v>15</v>
      </c>
      <c r="D22" s="394">
        <v>111</v>
      </c>
      <c r="E22" s="163"/>
      <c r="F22" s="471">
        <v>69191.314015488024</v>
      </c>
    </row>
    <row r="23" spans="3:6" x14ac:dyDescent="0.2">
      <c r="C23" s="14" t="s">
        <v>16</v>
      </c>
      <c r="D23" s="394">
        <v>112</v>
      </c>
      <c r="E23" s="163"/>
      <c r="F23" s="471">
        <v>18822.676942003709</v>
      </c>
    </row>
    <row r="24" spans="3:6" x14ac:dyDescent="0.2">
      <c r="C24" s="14" t="s">
        <v>17</v>
      </c>
      <c r="D24" s="394">
        <v>113</v>
      </c>
      <c r="E24" s="163"/>
      <c r="F24" s="471"/>
    </row>
    <row r="25" spans="3:6" x14ac:dyDescent="0.2">
      <c r="C25" s="14" t="s">
        <v>18</v>
      </c>
      <c r="D25" s="394">
        <v>114</v>
      </c>
      <c r="E25" s="163"/>
      <c r="F25" s="471"/>
    </row>
    <row r="26" spans="3:6" x14ac:dyDescent="0.2">
      <c r="C26" s="14" t="s">
        <v>19</v>
      </c>
      <c r="D26" s="394">
        <v>116</v>
      </c>
      <c r="E26" s="163"/>
      <c r="F26" s="471"/>
    </row>
    <row r="27" spans="3:6" ht="24" x14ac:dyDescent="0.2">
      <c r="C27" s="14" t="s">
        <v>20</v>
      </c>
      <c r="D27" s="394">
        <v>118</v>
      </c>
      <c r="E27" s="163"/>
      <c r="F27" s="471"/>
    </row>
    <row r="28" spans="3:6" x14ac:dyDescent="0.2">
      <c r="C28" s="14" t="s">
        <v>21</v>
      </c>
      <c r="D28" s="394">
        <v>119</v>
      </c>
      <c r="E28" s="163"/>
      <c r="F28" s="471"/>
    </row>
    <row r="29" spans="3:6" x14ac:dyDescent="0.2">
      <c r="C29" s="14" t="s">
        <v>22</v>
      </c>
      <c r="D29" s="394">
        <v>120</v>
      </c>
      <c r="E29" s="163"/>
      <c r="F29" s="471"/>
    </row>
    <row r="30" spans="3:6" ht="24" x14ac:dyDescent="0.2">
      <c r="C30" s="14" t="s">
        <v>23</v>
      </c>
      <c r="D30" s="394">
        <v>121</v>
      </c>
      <c r="E30" s="163"/>
      <c r="F30" s="471">
        <v>18146</v>
      </c>
    </row>
    <row r="31" spans="3:6" x14ac:dyDescent="0.2">
      <c r="C31" s="14" t="s">
        <v>24</v>
      </c>
      <c r="D31" s="394">
        <v>122</v>
      </c>
      <c r="E31" s="163"/>
      <c r="F31" s="471"/>
    </row>
    <row r="32" spans="3:6" x14ac:dyDescent="0.2">
      <c r="C32" s="14" t="s">
        <v>25</v>
      </c>
      <c r="D32" s="394">
        <v>123</v>
      </c>
      <c r="E32" s="163"/>
      <c r="F32" s="471"/>
    </row>
    <row r="33" spans="3:6" x14ac:dyDescent="0.2">
      <c r="C33" s="14" t="s">
        <v>26</v>
      </c>
      <c r="D33" s="394">
        <v>124</v>
      </c>
      <c r="E33" s="335"/>
      <c r="F33" s="472"/>
    </row>
    <row r="34" spans="3:6" x14ac:dyDescent="0.2">
      <c r="C34" s="16" t="s">
        <v>116</v>
      </c>
      <c r="D34" s="395">
        <v>125</v>
      </c>
      <c r="E34" s="337" t="s">
        <v>318</v>
      </c>
      <c r="F34" s="424">
        <f>'T13 Sch 13 Reserves Test'!G22</f>
        <v>5014447.28</v>
      </c>
    </row>
    <row r="35" spans="3:6" ht="24" x14ac:dyDescent="0.2">
      <c r="C35" s="14" t="s">
        <v>28</v>
      </c>
      <c r="D35" s="395">
        <v>126</v>
      </c>
      <c r="E35" s="337" t="s">
        <v>318</v>
      </c>
      <c r="F35" s="424">
        <f>'T13 Sch 13 Reserves Test'!K43</f>
        <v>4988570.0025000004</v>
      </c>
    </row>
    <row r="36" spans="3:6" ht="24" x14ac:dyDescent="0.2">
      <c r="C36" s="14" t="s">
        <v>29</v>
      </c>
      <c r="D36" s="394">
        <v>127</v>
      </c>
      <c r="E36" s="335"/>
      <c r="F36" s="472"/>
    </row>
    <row r="37" spans="3:6" x14ac:dyDescent="0.2">
      <c r="C37" s="14" t="s">
        <v>30</v>
      </c>
      <c r="D37" s="394">
        <v>205</v>
      </c>
      <c r="E37" s="163"/>
      <c r="F37" s="471"/>
    </row>
    <row r="38" spans="3:6" x14ac:dyDescent="0.2">
      <c r="C38" s="14" t="s">
        <v>31</v>
      </c>
      <c r="D38" s="394">
        <v>206</v>
      </c>
      <c r="E38" s="163"/>
      <c r="F38" s="471"/>
    </row>
    <row r="39" spans="3:6" x14ac:dyDescent="0.2">
      <c r="C39" s="14" t="s">
        <v>32</v>
      </c>
      <c r="D39" s="394">
        <v>208</v>
      </c>
      <c r="E39" s="163"/>
      <c r="F39" s="471"/>
    </row>
    <row r="40" spans="3:6" ht="24" x14ac:dyDescent="0.2">
      <c r="C40" s="14" t="s">
        <v>33</v>
      </c>
      <c r="D40" s="394">
        <v>212</v>
      </c>
      <c r="E40" s="163"/>
      <c r="F40" s="471"/>
    </row>
    <row r="41" spans="3:6" x14ac:dyDescent="0.2">
      <c r="C41" s="14" t="s">
        <v>34</v>
      </c>
      <c r="D41" s="394">
        <v>216</v>
      </c>
      <c r="E41" s="163"/>
      <c r="F41" s="471"/>
    </row>
    <row r="42" spans="3:6" x14ac:dyDescent="0.2">
      <c r="C42" s="14" t="s">
        <v>35</v>
      </c>
      <c r="D42" s="394">
        <v>220</v>
      </c>
      <c r="E42" s="163"/>
      <c r="F42" s="471"/>
    </row>
    <row r="43" spans="3:6" x14ac:dyDescent="0.2">
      <c r="C43" s="14" t="s">
        <v>36</v>
      </c>
      <c r="D43" s="394">
        <v>226</v>
      </c>
      <c r="E43" s="163"/>
      <c r="F43" s="471"/>
    </row>
    <row r="44" spans="3:6" x14ac:dyDescent="0.2">
      <c r="C44" s="14" t="s">
        <v>37</v>
      </c>
      <c r="D44" s="394">
        <v>227</v>
      </c>
      <c r="E44" s="163"/>
      <c r="F44" s="471"/>
    </row>
    <row r="45" spans="3:6" x14ac:dyDescent="0.2">
      <c r="C45" s="14" t="s">
        <v>38</v>
      </c>
      <c r="D45" s="394">
        <v>228</v>
      </c>
      <c r="E45" s="163"/>
      <c r="F45" s="471"/>
    </row>
    <row r="46" spans="3:6" x14ac:dyDescent="0.2">
      <c r="C46" s="14" t="s">
        <v>39</v>
      </c>
      <c r="D46" s="394">
        <v>231</v>
      </c>
      <c r="E46" s="163"/>
      <c r="F46" s="471"/>
    </row>
    <row r="47" spans="3:6" x14ac:dyDescent="0.2">
      <c r="C47" s="14" t="s">
        <v>40</v>
      </c>
      <c r="D47" s="394">
        <v>235</v>
      </c>
      <c r="E47" s="163"/>
      <c r="F47" s="471"/>
    </row>
    <row r="48" spans="3:6" x14ac:dyDescent="0.2">
      <c r="C48" s="14" t="s">
        <v>41</v>
      </c>
      <c r="D48" s="394">
        <v>236</v>
      </c>
      <c r="E48" s="163"/>
      <c r="F48" s="471"/>
    </row>
    <row r="49" spans="3:8" ht="36" x14ac:dyDescent="0.2">
      <c r="C49" s="14" t="s">
        <v>42</v>
      </c>
      <c r="D49" s="394">
        <v>237</v>
      </c>
      <c r="E49" s="163"/>
      <c r="F49" s="471"/>
    </row>
    <row r="50" spans="3:8" x14ac:dyDescent="0.2">
      <c r="C50" s="513" t="s">
        <v>43</v>
      </c>
      <c r="D50" s="394"/>
      <c r="E50" s="163"/>
      <c r="F50" s="473"/>
    </row>
    <row r="51" spans="3:8" x14ac:dyDescent="0.2">
      <c r="C51" s="14" t="s">
        <v>44</v>
      </c>
      <c r="D51" s="394">
        <v>295</v>
      </c>
      <c r="E51" s="163"/>
      <c r="F51" s="471"/>
    </row>
    <row r="52" spans="3:8" ht="24" x14ac:dyDescent="0.2">
      <c r="C52" s="14" t="s">
        <v>45</v>
      </c>
      <c r="D52" s="394">
        <v>295</v>
      </c>
      <c r="E52" s="163"/>
      <c r="F52" s="471"/>
    </row>
    <row r="53" spans="3:8" x14ac:dyDescent="0.2">
      <c r="C53" s="14" t="s">
        <v>46</v>
      </c>
      <c r="D53" s="394">
        <v>295</v>
      </c>
      <c r="E53" s="163"/>
      <c r="F53" s="471"/>
    </row>
    <row r="54" spans="3:8" x14ac:dyDescent="0.2">
      <c r="C54" s="14" t="s">
        <v>47</v>
      </c>
      <c r="D54" s="394">
        <v>295</v>
      </c>
      <c r="E54" s="163"/>
      <c r="F54" s="471"/>
    </row>
    <row r="55" spans="3:8" x14ac:dyDescent="0.2">
      <c r="C55" s="425"/>
      <c r="D55" s="394">
        <v>295</v>
      </c>
      <c r="E55" s="163"/>
      <c r="F55" s="471"/>
    </row>
    <row r="56" spans="3:8" ht="25.5" x14ac:dyDescent="0.2">
      <c r="C56" s="425" t="s">
        <v>515</v>
      </c>
      <c r="D56" s="394">
        <v>295</v>
      </c>
      <c r="E56" s="163"/>
      <c r="F56" s="471">
        <v>188177</v>
      </c>
    </row>
    <row r="57" spans="3:8" x14ac:dyDescent="0.2">
      <c r="C57" s="425"/>
      <c r="D57" s="394">
        <v>295</v>
      </c>
      <c r="E57" s="163"/>
      <c r="F57" s="471"/>
    </row>
    <row r="58" spans="3:8" x14ac:dyDescent="0.2">
      <c r="C58" s="425"/>
      <c r="D58" s="394">
        <v>295</v>
      </c>
      <c r="E58" s="335"/>
      <c r="F58" s="472"/>
    </row>
    <row r="59" spans="3:8" x14ac:dyDescent="0.2">
      <c r="C59" s="199" t="s">
        <v>232</v>
      </c>
      <c r="D59" s="396"/>
      <c r="E59" s="18"/>
      <c r="F59" s="466"/>
      <c r="G59" s="426"/>
      <c r="H59" s="190"/>
    </row>
    <row r="60" spans="3:8" x14ac:dyDescent="0.2">
      <c r="C60" s="199" t="s">
        <v>233</v>
      </c>
      <c r="D60" s="396"/>
      <c r="E60" s="18"/>
      <c r="F60" s="466"/>
      <c r="G60" s="426"/>
      <c r="H60" s="190"/>
    </row>
    <row r="61" spans="3:8" x14ac:dyDescent="0.2">
      <c r="C61" s="199" t="s">
        <v>234</v>
      </c>
      <c r="D61" s="396"/>
      <c r="E61" s="18"/>
      <c r="F61" s="466"/>
      <c r="G61" s="426"/>
      <c r="H61" s="190"/>
    </row>
    <row r="62" spans="3:8" x14ac:dyDescent="0.2">
      <c r="C62" s="199" t="s">
        <v>235</v>
      </c>
      <c r="D62" s="396"/>
      <c r="E62" s="18"/>
      <c r="F62" s="466"/>
      <c r="G62" s="426"/>
      <c r="H62" s="190"/>
    </row>
    <row r="63" spans="3:8" x14ac:dyDescent="0.2">
      <c r="C63" s="199" t="s">
        <v>236</v>
      </c>
      <c r="D63" s="396"/>
      <c r="E63" s="18"/>
      <c r="F63" s="466"/>
      <c r="G63" s="426"/>
      <c r="H63" s="190"/>
    </row>
    <row r="64" spans="3:8" x14ac:dyDescent="0.2">
      <c r="C64" s="463"/>
      <c r="D64" s="396"/>
      <c r="E64" s="18"/>
      <c r="F64" s="466"/>
      <c r="G64" s="426"/>
      <c r="H64" s="190"/>
    </row>
    <row r="65" spans="3:8" x14ac:dyDescent="0.2">
      <c r="C65" s="463"/>
      <c r="D65" s="396"/>
      <c r="E65" s="18"/>
      <c r="F65" s="466"/>
      <c r="G65" s="426"/>
      <c r="H65" s="190"/>
    </row>
    <row r="66" spans="3:8" x14ac:dyDescent="0.2">
      <c r="C66" s="463"/>
      <c r="D66" s="396"/>
      <c r="E66" s="18"/>
      <c r="F66" s="466"/>
      <c r="G66" s="426"/>
      <c r="H66" s="190"/>
    </row>
    <row r="67" spans="3:8" x14ac:dyDescent="0.2">
      <c r="C67" s="463"/>
      <c r="D67" s="396"/>
      <c r="E67" s="18"/>
      <c r="F67" s="466"/>
      <c r="G67" s="426"/>
      <c r="H67" s="190"/>
    </row>
    <row r="68" spans="3:8" x14ac:dyDescent="0.2">
      <c r="C68" s="463"/>
      <c r="D68" s="396"/>
      <c r="E68" s="18"/>
      <c r="F68" s="466"/>
      <c r="G68" s="426"/>
      <c r="H68" s="190"/>
    </row>
    <row r="69" spans="3:8" x14ac:dyDescent="0.2">
      <c r="C69" s="463"/>
      <c r="D69" s="396"/>
      <c r="E69" s="18"/>
      <c r="F69" s="466"/>
      <c r="G69" s="426"/>
      <c r="H69" s="190"/>
    </row>
    <row r="70" spans="3:8" x14ac:dyDescent="0.2">
      <c r="C70" s="463"/>
      <c r="D70" s="396"/>
      <c r="E70" s="18"/>
      <c r="F70" s="466"/>
      <c r="G70" s="426"/>
      <c r="H70" s="190"/>
    </row>
    <row r="71" spans="3:8" x14ac:dyDescent="0.2">
      <c r="C71" s="463"/>
      <c r="D71" s="396"/>
      <c r="E71" s="18"/>
      <c r="F71" s="466"/>
      <c r="G71" s="426"/>
      <c r="H71" s="190"/>
    </row>
    <row r="72" spans="3:8" x14ac:dyDescent="0.2">
      <c r="C72" s="463"/>
      <c r="D72" s="452"/>
      <c r="E72" s="15"/>
      <c r="F72" s="466"/>
      <c r="G72" s="426"/>
      <c r="H72" s="190"/>
    </row>
    <row r="73" spans="3:8" ht="13.5" thickBot="1" x14ac:dyDescent="0.25">
      <c r="C73" s="464"/>
      <c r="D73" s="453"/>
      <c r="E73" s="237"/>
      <c r="F73" s="474"/>
      <c r="G73" s="426"/>
      <c r="H73" s="190"/>
    </row>
    <row r="74" spans="3:8" ht="13.5" thickBot="1" x14ac:dyDescent="0.25">
      <c r="C74" s="19" t="s">
        <v>48</v>
      </c>
      <c r="D74" s="397"/>
      <c r="E74" s="164"/>
      <c r="F74" s="80">
        <f>SUM(F16:F73)</f>
        <v>13630097.273457494</v>
      </c>
    </row>
    <row r="75" spans="3:8" x14ac:dyDescent="0.2">
      <c r="C75" s="446" t="s">
        <v>49</v>
      </c>
      <c r="D75" s="398"/>
      <c r="E75" s="165"/>
      <c r="F75" s="423"/>
    </row>
    <row r="76" spans="3:8" ht="24" x14ac:dyDescent="0.2">
      <c r="C76" s="14" t="s">
        <v>50</v>
      </c>
      <c r="D76" s="394">
        <v>401</v>
      </c>
      <c r="E76" s="163"/>
      <c r="F76" s="471"/>
    </row>
    <row r="77" spans="3:8" x14ac:dyDescent="0.2">
      <c r="C77" s="16" t="s">
        <v>51</v>
      </c>
      <c r="D77" s="394">
        <v>402</v>
      </c>
      <c r="E77" s="163"/>
      <c r="F77" s="471"/>
    </row>
    <row r="78" spans="3:8" x14ac:dyDescent="0.2">
      <c r="C78" s="14" t="s">
        <v>52</v>
      </c>
      <c r="D78" s="395">
        <v>403</v>
      </c>
      <c r="E78" s="324" t="s">
        <v>313</v>
      </c>
      <c r="F78" s="427">
        <f>'T8 Sch 8 CCA Test'!U43</f>
        <v>5537060.1714444999</v>
      </c>
    </row>
    <row r="79" spans="3:8" x14ac:dyDescent="0.2">
      <c r="C79" s="16" t="s">
        <v>53</v>
      </c>
      <c r="D79" s="394">
        <v>404</v>
      </c>
      <c r="E79" s="324" t="s">
        <v>313</v>
      </c>
      <c r="F79" s="427">
        <f>'T8 Sch 8 CCA Test'!T43</f>
        <v>0</v>
      </c>
    </row>
    <row r="80" spans="3:8" x14ac:dyDescent="0.2">
      <c r="C80" s="14" t="s">
        <v>54</v>
      </c>
      <c r="D80" s="394">
        <v>406</v>
      </c>
      <c r="E80" s="163"/>
      <c r="F80" s="471"/>
    </row>
    <row r="81" spans="3:6" x14ac:dyDescent="0.2">
      <c r="C81" s="14" t="s">
        <v>19</v>
      </c>
      <c r="D81" s="394">
        <v>409</v>
      </c>
      <c r="E81" s="163"/>
      <c r="F81" s="471"/>
    </row>
    <row r="82" spans="3:6" x14ac:dyDescent="0.2">
      <c r="C82" s="14" t="s">
        <v>55</v>
      </c>
      <c r="D82" s="394">
        <v>411</v>
      </c>
      <c r="E82" s="163"/>
      <c r="F82" s="471"/>
    </row>
    <row r="83" spans="3:6" x14ac:dyDescent="0.2">
      <c r="C83" s="14" t="s">
        <v>117</v>
      </c>
      <c r="D83" s="395">
        <v>413</v>
      </c>
      <c r="E83" s="324" t="s">
        <v>318</v>
      </c>
      <c r="F83" s="427">
        <f>'T13 Sch 13 Reserves Test'!K22</f>
        <v>4988570.0025000004</v>
      </c>
    </row>
    <row r="84" spans="3:6" ht="24" x14ac:dyDescent="0.2">
      <c r="C84" s="14" t="s">
        <v>57</v>
      </c>
      <c r="D84" s="395">
        <v>414</v>
      </c>
      <c r="E84" s="324" t="s">
        <v>318</v>
      </c>
      <c r="F84" s="427">
        <f>'T13 Sch 13 Reserves Test'!G43</f>
        <v>5014447.28</v>
      </c>
    </row>
    <row r="85" spans="3:6" x14ac:dyDescent="0.2">
      <c r="C85" s="14" t="s">
        <v>58</v>
      </c>
      <c r="D85" s="394">
        <v>416</v>
      </c>
      <c r="E85" s="163"/>
      <c r="F85" s="471"/>
    </row>
    <row r="86" spans="3:6" x14ac:dyDescent="0.2">
      <c r="C86" s="14" t="s">
        <v>59</v>
      </c>
      <c r="D86" s="394">
        <v>305</v>
      </c>
      <c r="E86" s="163"/>
      <c r="F86" s="471"/>
    </row>
    <row r="87" spans="3:6" x14ac:dyDescent="0.2">
      <c r="C87" s="14" t="s">
        <v>60</v>
      </c>
      <c r="D87" s="394">
        <v>306</v>
      </c>
      <c r="E87" s="163"/>
      <c r="F87" s="471"/>
    </row>
    <row r="88" spans="3:6" x14ac:dyDescent="0.2">
      <c r="C88" s="513" t="s">
        <v>467</v>
      </c>
      <c r="D88" s="394"/>
      <c r="E88" s="163"/>
      <c r="F88" s="471"/>
    </row>
    <row r="89" spans="3:6" ht="24" x14ac:dyDescent="0.2">
      <c r="C89" s="16" t="s">
        <v>61</v>
      </c>
      <c r="D89" s="394">
        <v>395</v>
      </c>
      <c r="E89" s="163"/>
      <c r="F89" s="471"/>
    </row>
    <row r="90" spans="3:6" x14ac:dyDescent="0.2">
      <c r="C90" s="16" t="s">
        <v>62</v>
      </c>
      <c r="D90" s="394">
        <v>395</v>
      </c>
      <c r="E90" s="163"/>
      <c r="F90" s="471"/>
    </row>
    <row r="91" spans="3:6" ht="24" x14ac:dyDescent="0.2">
      <c r="C91" s="14" t="s">
        <v>63</v>
      </c>
      <c r="D91" s="394">
        <v>395</v>
      </c>
      <c r="E91" s="163"/>
      <c r="F91" s="471"/>
    </row>
    <row r="92" spans="3:6" ht="31.5" x14ac:dyDescent="0.2">
      <c r="C92" s="292" t="s">
        <v>513</v>
      </c>
      <c r="D92" s="394">
        <v>395</v>
      </c>
      <c r="E92" s="163"/>
      <c r="F92" s="471">
        <v>295029.74579496006</v>
      </c>
    </row>
    <row r="93" spans="3:6" ht="31.5" x14ac:dyDescent="0.2">
      <c r="C93" s="292" t="s">
        <v>516</v>
      </c>
      <c r="D93" s="394">
        <v>395</v>
      </c>
      <c r="E93" s="163"/>
      <c r="F93" s="471">
        <v>116593.433166667</v>
      </c>
    </row>
    <row r="94" spans="3:6" ht="15.75" x14ac:dyDescent="0.2">
      <c r="C94" s="292"/>
      <c r="D94" s="394">
        <v>395</v>
      </c>
      <c r="E94" s="163"/>
      <c r="F94" s="471"/>
    </row>
    <row r="95" spans="3:6" ht="15.75" x14ac:dyDescent="0.2">
      <c r="C95" s="292"/>
      <c r="D95" s="394">
        <v>395</v>
      </c>
      <c r="E95" s="163"/>
      <c r="F95" s="471"/>
    </row>
    <row r="96" spans="3:6" ht="15.75" x14ac:dyDescent="0.2">
      <c r="C96" s="293"/>
      <c r="D96" s="454">
        <v>395</v>
      </c>
      <c r="E96" s="335"/>
      <c r="F96" s="471"/>
    </row>
    <row r="97" spans="3:8" ht="24" x14ac:dyDescent="0.2">
      <c r="C97" s="14" t="s">
        <v>237</v>
      </c>
      <c r="D97" s="396"/>
      <c r="E97" s="18"/>
      <c r="F97" s="466"/>
      <c r="G97" s="426"/>
      <c r="H97" s="190"/>
    </row>
    <row r="98" spans="3:8" ht="24" x14ac:dyDescent="0.2">
      <c r="C98" s="14" t="s">
        <v>238</v>
      </c>
      <c r="D98" s="396"/>
      <c r="E98" s="18"/>
      <c r="F98" s="466"/>
      <c r="G98" s="426"/>
      <c r="H98" s="190"/>
    </row>
    <row r="99" spans="3:8" ht="24" x14ac:dyDescent="0.2">
      <c r="C99" s="14" t="s">
        <v>239</v>
      </c>
      <c r="D99" s="396"/>
      <c r="E99" s="18"/>
      <c r="F99" s="466"/>
      <c r="G99" s="426"/>
      <c r="H99" s="190"/>
    </row>
    <row r="100" spans="3:8" x14ac:dyDescent="0.2">
      <c r="C100" s="14" t="s">
        <v>240</v>
      </c>
      <c r="D100" s="396"/>
      <c r="E100" s="18"/>
      <c r="F100" s="466"/>
      <c r="G100" s="426"/>
      <c r="H100" s="190"/>
    </row>
    <row r="101" spans="3:8" x14ac:dyDescent="0.2">
      <c r="C101" s="14" t="s">
        <v>241</v>
      </c>
      <c r="D101" s="396"/>
      <c r="E101" s="18"/>
      <c r="F101" s="460"/>
      <c r="G101" s="426"/>
      <c r="H101" s="190"/>
    </row>
    <row r="102" spans="3:8" ht="24" x14ac:dyDescent="0.2">
      <c r="C102" s="14" t="s">
        <v>242</v>
      </c>
      <c r="D102" s="396"/>
      <c r="E102" s="18"/>
      <c r="F102" s="460"/>
      <c r="G102" s="426"/>
      <c r="H102" s="190"/>
    </row>
    <row r="103" spans="3:8" x14ac:dyDescent="0.2">
      <c r="C103" s="14" t="s">
        <v>243</v>
      </c>
      <c r="D103" s="396"/>
      <c r="E103" s="18"/>
      <c r="F103" s="460"/>
      <c r="G103" s="426"/>
      <c r="H103" s="190"/>
    </row>
    <row r="104" spans="3:8" x14ac:dyDescent="0.2">
      <c r="C104" s="289"/>
      <c r="D104" s="396"/>
      <c r="E104" s="18"/>
      <c r="F104" s="466"/>
      <c r="G104" s="426"/>
      <c r="H104" s="190"/>
    </row>
    <row r="105" spans="3:8" x14ac:dyDescent="0.2">
      <c r="C105" s="289"/>
      <c r="D105" s="396"/>
      <c r="E105" s="18"/>
      <c r="F105" s="466"/>
      <c r="G105" s="426"/>
      <c r="H105" s="190"/>
    </row>
    <row r="106" spans="3:8" x14ac:dyDescent="0.2">
      <c r="C106" s="289"/>
      <c r="D106" s="396"/>
      <c r="E106" s="18"/>
      <c r="F106" s="466"/>
      <c r="G106" s="426"/>
      <c r="H106" s="190"/>
    </row>
    <row r="107" spans="3:8" x14ac:dyDescent="0.2">
      <c r="C107" s="289"/>
      <c r="D107" s="396"/>
      <c r="E107" s="18"/>
      <c r="F107" s="466"/>
      <c r="G107" s="426"/>
      <c r="H107" s="190"/>
    </row>
    <row r="108" spans="3:8" x14ac:dyDescent="0.2">
      <c r="C108" s="289"/>
      <c r="D108" s="396"/>
      <c r="E108" s="18"/>
      <c r="F108" s="466"/>
      <c r="G108" s="426"/>
      <c r="H108" s="190"/>
    </row>
    <row r="109" spans="3:8" x14ac:dyDescent="0.2">
      <c r="C109" s="289"/>
      <c r="D109" s="396"/>
      <c r="E109" s="18"/>
      <c r="F109" s="466"/>
      <c r="G109" s="426"/>
      <c r="H109" s="190"/>
    </row>
    <row r="110" spans="3:8" x14ac:dyDescent="0.2">
      <c r="C110" s="289"/>
      <c r="D110" s="452"/>
      <c r="E110" s="15"/>
      <c r="F110" s="466"/>
      <c r="G110" s="426"/>
      <c r="H110" s="190"/>
    </row>
    <row r="111" spans="3:8" ht="13.5" thickBot="1" x14ac:dyDescent="0.25">
      <c r="C111" s="466"/>
      <c r="D111" s="452"/>
      <c r="E111" s="15"/>
      <c r="F111" s="466"/>
      <c r="G111" s="426"/>
      <c r="H111" s="191"/>
    </row>
    <row r="112" spans="3:8" ht="13.5" thickBot="1" x14ac:dyDescent="0.25">
      <c r="C112" s="19" t="s">
        <v>64</v>
      </c>
      <c r="D112" s="399"/>
      <c r="E112" s="338" t="s">
        <v>315</v>
      </c>
      <c r="F112" s="80">
        <f>SUM(F76:F111)</f>
        <v>15951700.632906128</v>
      </c>
    </row>
    <row r="113" spans="3:7" ht="13.5" thickBot="1" x14ac:dyDescent="0.25">
      <c r="C113" s="168"/>
      <c r="D113" s="400"/>
      <c r="E113" s="166"/>
      <c r="F113" s="428"/>
    </row>
    <row r="114" spans="3:7" ht="13.5" thickBot="1" x14ac:dyDescent="0.25">
      <c r="C114" s="169" t="s">
        <v>118</v>
      </c>
      <c r="D114" s="399"/>
      <c r="E114" s="338" t="s">
        <v>315</v>
      </c>
      <c r="F114" s="175">
        <f>SUM(F12,F74)-F112</f>
        <v>187107.30479136668</v>
      </c>
    </row>
    <row r="115" spans="3:7" x14ac:dyDescent="0.2">
      <c r="C115" s="206"/>
      <c r="D115" s="401"/>
      <c r="E115" s="429"/>
      <c r="F115" s="430"/>
    </row>
    <row r="116" spans="3:7" x14ac:dyDescent="0.2">
      <c r="C116" s="207" t="s">
        <v>16</v>
      </c>
      <c r="D116" s="402">
        <v>311</v>
      </c>
      <c r="E116" s="238"/>
      <c r="F116" s="471"/>
    </row>
    <row r="117" spans="3:7" ht="24" x14ac:dyDescent="0.2">
      <c r="C117" s="207" t="s">
        <v>119</v>
      </c>
      <c r="D117" s="402">
        <v>320</v>
      </c>
      <c r="E117" s="238"/>
      <c r="F117" s="471"/>
    </row>
    <row r="118" spans="3:7" ht="24" x14ac:dyDescent="0.2">
      <c r="C118" s="207" t="s">
        <v>470</v>
      </c>
      <c r="D118" s="395">
        <v>331</v>
      </c>
      <c r="E118" s="324" t="s">
        <v>319</v>
      </c>
      <c r="F118" s="427">
        <f>'T4 Sch 4 Loss Cfwd Test'!I15</f>
        <v>0</v>
      </c>
    </row>
    <row r="119" spans="3:7" ht="24" x14ac:dyDescent="0.2">
      <c r="C119" s="207" t="s">
        <v>471</v>
      </c>
      <c r="D119" s="395">
        <v>332</v>
      </c>
      <c r="E119" s="436" t="s">
        <v>319</v>
      </c>
      <c r="F119" s="427">
        <f>'T4 Sch 4 Loss Cfwd Test'!I25</f>
        <v>0</v>
      </c>
    </row>
    <row r="120" spans="3:7" ht="24" x14ac:dyDescent="0.2">
      <c r="C120" s="207" t="s">
        <v>472</v>
      </c>
      <c r="D120" s="394">
        <v>335</v>
      </c>
      <c r="E120" s="163"/>
      <c r="F120" s="471"/>
    </row>
    <row r="121" spans="3:7" ht="13.5" thickBot="1" x14ac:dyDescent="0.25">
      <c r="C121" s="455"/>
      <c r="D121" s="454"/>
      <c r="E121" s="335"/>
      <c r="F121" s="456"/>
    </row>
    <row r="122" spans="3:7" ht="13.5" thickBot="1" x14ac:dyDescent="0.25">
      <c r="C122" s="170" t="s">
        <v>184</v>
      </c>
      <c r="D122" s="403"/>
      <c r="E122" s="338" t="s">
        <v>315</v>
      </c>
      <c r="F122" s="184">
        <f>IF(F114&lt;0,F114,F114-SUM(F116:F121))</f>
        <v>187107.30479136668</v>
      </c>
      <c r="G122" s="308" t="s">
        <v>304</v>
      </c>
    </row>
    <row r="123" spans="3:7" x14ac:dyDescent="0.2">
      <c r="D123" s="404"/>
      <c r="E123" s="9"/>
    </row>
  </sheetData>
  <sheetProtection algorithmName="SHA-512" hashValue="Jgc17+Vr+YwBnnjWrMc2SeR/zuENwJhtUPShxIuPhtRrEtcD2lkqjdAJTO9yOPQNr8trHF7iw79AIw/H2aE+Rg==" saltValue="ADl9cPUw4T+6Qv3BTSFMPg==" spinCount="100000" sheet="1" objects="1" scenarios="1"/>
  <mergeCells count="4">
    <mergeCell ref="C1:F1"/>
    <mergeCell ref="C2:J2"/>
    <mergeCell ref="C3:J3"/>
    <mergeCell ref="C4:J4"/>
  </mergeCells>
  <conditionalFormatting sqref="F122">
    <cfRule type="cellIs" dxfId="31" priority="2" stopIfTrue="1" operator="lessThan">
      <formula>0</formula>
    </cfRule>
  </conditionalFormatting>
  <conditionalFormatting sqref="F116:F120 C59:C73 C104:C111 F16:F18 F76:F111 F20:F73">
    <cfRule type="expression" dxfId="30" priority="3" stopIfTrue="1">
      <formula>ISBLANK(C16)</formula>
    </cfRule>
  </conditionalFormatting>
  <conditionalFormatting sqref="H59:H73">
    <cfRule type="cellIs" dxfId="29" priority="4" stopIfTrue="1" operator="lessThan">
      <formula>0</formula>
    </cfRule>
  </conditionalFormatting>
  <conditionalFormatting sqref="F19">
    <cfRule type="expression" dxfId="28" priority="1" stopIfTrue="1">
      <formula>ISBLANK(F19)</formula>
    </cfRule>
  </conditionalFormatting>
  <hyperlinks>
    <hyperlink ref="G122" location="'T0 PILs,Tax Provision Test'!A1" display="T0" xr:uid="{00000000-0004-0000-1100-000000000000}"/>
    <hyperlink ref="E12" location="'A. Data Input Sheet'!A1" display="A." xr:uid="{00000000-0004-0000-1100-000001000000}"/>
    <hyperlink ref="E34" location="'T13 Sch 13 Reserves Test'!A1" display="T13" xr:uid="{00000000-0004-0000-1100-000002000000}"/>
    <hyperlink ref="E78" location="'T8 Sch 8 CCA Test'!A1" display="T8" xr:uid="{00000000-0004-0000-1100-000003000000}"/>
    <hyperlink ref="E83" location="'T13 Sch 13 Reserves Test'!A1" display="T13" xr:uid="{00000000-0004-0000-1100-000004000000}"/>
    <hyperlink ref="E84" location="'T13 Sch 13 Reserves Test'!A1" display="T13" xr:uid="{00000000-0004-0000-1100-000005000000}"/>
    <hyperlink ref="E118" location="'T4 Sch 4 Loss Cfwd Test'!A1" display="T4" xr:uid="{00000000-0004-0000-1100-000006000000}"/>
    <hyperlink ref="E119" location="'T4 Sch 4 Loss Cfwd Test'!A1" display="T4" xr:uid="{00000000-0004-0000-1100-000007000000}"/>
    <hyperlink ref="E19" location="'T8 Sch 8 CCA Test'!A1" display="T8" xr:uid="{00000000-0004-0000-1100-000008000000}"/>
    <hyperlink ref="E35" location="'T13 Sch 13 Reserves Test'!A1" display="T13" xr:uid="{00000000-0004-0000-1100-000009000000}"/>
    <hyperlink ref="E79" location="'T8 Sch 8 CCA Test'!A1" display="T8" xr:uid="{00000000-0004-0000-1100-00000A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J28"/>
  <sheetViews>
    <sheetView topLeftCell="A4" zoomScaleNormal="100" workbookViewId="0">
      <selection activeCell="G18" sqref="G18"/>
    </sheetView>
  </sheetViews>
  <sheetFormatPr defaultColWidth="9.140625" defaultRowHeight="12.75" x14ac:dyDescent="0.2"/>
  <cols>
    <col min="1" max="1" width="3" style="9" customWidth="1"/>
    <col min="2" max="2" width="3.140625" style="9" customWidth="1"/>
    <col min="3" max="5" width="25.42578125" style="9" customWidth="1"/>
    <col min="6" max="6" width="13.140625" style="9" customWidth="1"/>
    <col min="7" max="9" width="12.85546875" style="9" customWidth="1"/>
    <col min="10" max="11" width="9.140625" style="9"/>
    <col min="12" max="12" width="5.140625" style="9" customWidth="1"/>
    <col min="13" max="16384" width="9.140625" style="9"/>
  </cols>
  <sheetData>
    <row r="1" spans="1:10" ht="21.75" x14ac:dyDescent="0.2">
      <c r="A1" s="218"/>
      <c r="C1" s="565"/>
      <c r="D1" s="565"/>
      <c r="E1" s="565"/>
      <c r="F1" s="440"/>
    </row>
    <row r="2" spans="1:10" ht="41.25" customHeight="1" x14ac:dyDescent="0.25">
      <c r="C2" s="566"/>
      <c r="D2" s="566"/>
      <c r="E2" s="566"/>
      <c r="F2" s="566"/>
      <c r="G2" s="566"/>
      <c r="H2" s="566"/>
      <c r="I2" s="566"/>
      <c r="J2" s="566"/>
    </row>
    <row r="3" spans="1:10" ht="41.25" customHeight="1" x14ac:dyDescent="0.25">
      <c r="C3" s="566"/>
      <c r="D3" s="566"/>
      <c r="E3" s="566"/>
      <c r="F3" s="566"/>
      <c r="G3" s="566"/>
      <c r="H3" s="566"/>
      <c r="I3" s="566"/>
      <c r="J3" s="566"/>
    </row>
    <row r="4" spans="1:10" ht="18" x14ac:dyDescent="0.25">
      <c r="C4" s="566"/>
      <c r="D4" s="566"/>
      <c r="E4" s="566"/>
      <c r="F4" s="566"/>
      <c r="G4" s="566"/>
      <c r="H4" s="566"/>
      <c r="I4" s="566"/>
      <c r="J4" s="566"/>
    </row>
    <row r="7" spans="1:10" ht="21.75" customHeight="1" x14ac:dyDescent="0.25">
      <c r="C7" s="258" t="s">
        <v>476</v>
      </c>
    </row>
    <row r="9" spans="1:10" ht="18" x14ac:dyDescent="0.2">
      <c r="C9" s="285" t="s">
        <v>263</v>
      </c>
    </row>
    <row r="11" spans="1:10" ht="36" x14ac:dyDescent="0.2">
      <c r="C11" s="584" t="s">
        <v>109</v>
      </c>
      <c r="D11" s="585"/>
      <c r="E11" s="586"/>
      <c r="F11" s="339" t="s">
        <v>311</v>
      </c>
      <c r="G11" s="30" t="s">
        <v>3</v>
      </c>
      <c r="H11" s="30" t="s">
        <v>169</v>
      </c>
      <c r="I11" s="30" t="s">
        <v>110</v>
      </c>
      <c r="J11" s="70"/>
    </row>
    <row r="12" spans="1:10" x14ac:dyDescent="0.2">
      <c r="C12" s="587" t="s">
        <v>377</v>
      </c>
      <c r="D12" s="588"/>
      <c r="E12" s="589"/>
      <c r="F12" s="326" t="s">
        <v>314</v>
      </c>
      <c r="G12" s="457">
        <f>'B4 Sch 4 Loss Cfwd Bridge'!G16</f>
        <v>0</v>
      </c>
      <c r="H12" s="295"/>
      <c r="I12" s="71">
        <f>G12-H12</f>
        <v>0</v>
      </c>
      <c r="J12" s="72"/>
    </row>
    <row r="13" spans="1:10" x14ac:dyDescent="0.2">
      <c r="C13" s="76" t="s">
        <v>369</v>
      </c>
      <c r="D13" s="74"/>
      <c r="E13" s="75"/>
      <c r="F13" s="327" t="s">
        <v>303</v>
      </c>
      <c r="G13" s="71">
        <f>IF('T1 Sch 1 Taxable Income Test'!F114&lt;0,0,IF('T1 Sch 1 Taxable Income Test'!F114&gt;G12,G12,'T1 Sch 1 Taxable Income Test'!F114))</f>
        <v>0</v>
      </c>
      <c r="H13" s="295"/>
      <c r="I13" s="71">
        <f>G13-H13</f>
        <v>0</v>
      </c>
      <c r="J13" s="72"/>
    </row>
    <row r="14" spans="1:10" x14ac:dyDescent="0.2">
      <c r="C14" s="73" t="s">
        <v>368</v>
      </c>
      <c r="D14" s="73"/>
      <c r="E14" s="73"/>
      <c r="F14" s="433"/>
      <c r="G14" s="295"/>
      <c r="H14" s="295"/>
      <c r="I14" s="295"/>
      <c r="J14" s="72"/>
    </row>
    <row r="15" spans="1:10" x14ac:dyDescent="0.2">
      <c r="C15" s="584" t="s">
        <v>111</v>
      </c>
      <c r="D15" s="585"/>
      <c r="E15" s="586"/>
      <c r="F15" s="328" t="s">
        <v>315</v>
      </c>
      <c r="G15" s="71">
        <f>IF(ISERROR(G13/G14),G13,G13/G14)</f>
        <v>0</v>
      </c>
      <c r="H15" s="295"/>
      <c r="I15" s="71">
        <f>G15-H15</f>
        <v>0</v>
      </c>
      <c r="J15" s="72"/>
    </row>
    <row r="16" spans="1:10" x14ac:dyDescent="0.2">
      <c r="C16" s="606" t="s">
        <v>376</v>
      </c>
      <c r="D16" s="606"/>
      <c r="E16" s="606"/>
      <c r="F16" s="327" t="s">
        <v>303</v>
      </c>
      <c r="G16" s="71">
        <f>IF('T1 Sch 1 Taxable Income Test'!F114&lt;0,'T1 Sch 1 Taxable Income Test'!F114*-1,0)</f>
        <v>0</v>
      </c>
      <c r="H16" s="295"/>
      <c r="I16" s="71">
        <f>G16-H16</f>
        <v>0</v>
      </c>
      <c r="J16" s="72"/>
    </row>
    <row r="17" spans="3:10" x14ac:dyDescent="0.2">
      <c r="C17" s="587" t="s">
        <v>78</v>
      </c>
      <c r="D17" s="588"/>
      <c r="E17" s="589"/>
      <c r="F17" s="326"/>
      <c r="G17" s="295">
        <v>0</v>
      </c>
      <c r="H17" s="295"/>
      <c r="I17" s="71">
        <f>G17-H17</f>
        <v>0</v>
      </c>
      <c r="J17" s="72"/>
    </row>
    <row r="18" spans="3:10" x14ac:dyDescent="0.2">
      <c r="C18" s="73" t="s">
        <v>367</v>
      </c>
      <c r="D18" s="74"/>
      <c r="E18" s="75"/>
      <c r="F18" s="328" t="s">
        <v>315</v>
      </c>
      <c r="G18" s="71">
        <f>G12-G13+G16+G17</f>
        <v>0</v>
      </c>
      <c r="H18" s="295"/>
      <c r="I18" s="71">
        <f>G18-H18</f>
        <v>0</v>
      </c>
      <c r="J18" s="72"/>
    </row>
    <row r="19" spans="3:10" x14ac:dyDescent="0.2">
      <c r="C19" s="416"/>
      <c r="D19" s="416"/>
      <c r="E19" s="416"/>
      <c r="F19" s="431"/>
      <c r="G19" s="432"/>
      <c r="H19" s="432"/>
      <c r="I19" s="432"/>
      <c r="J19" s="72"/>
    </row>
    <row r="20" spans="3:10" x14ac:dyDescent="0.2">
      <c r="C20" s="70"/>
      <c r="D20" s="70"/>
      <c r="E20" s="70"/>
      <c r="F20" s="70"/>
      <c r="G20" s="72"/>
      <c r="H20" s="72"/>
      <c r="I20" s="72"/>
      <c r="J20" s="72"/>
    </row>
    <row r="21" spans="3:10" ht="36" x14ac:dyDescent="0.2">
      <c r="C21" s="584" t="s">
        <v>112</v>
      </c>
      <c r="D21" s="585"/>
      <c r="E21" s="586"/>
      <c r="F21" s="443"/>
      <c r="G21" s="30" t="s">
        <v>3</v>
      </c>
      <c r="H21" s="30" t="s">
        <v>169</v>
      </c>
      <c r="I21" s="30" t="s">
        <v>110</v>
      </c>
      <c r="J21" s="72"/>
    </row>
    <row r="22" spans="3:10" x14ac:dyDescent="0.2">
      <c r="C22" s="587" t="s">
        <v>377</v>
      </c>
      <c r="D22" s="588"/>
      <c r="E22" s="589"/>
      <c r="F22" s="326" t="s">
        <v>314</v>
      </c>
      <c r="G22" s="457">
        <f>'B4 Sch 4 Loss Cfwd Bridge'!G23</f>
        <v>0</v>
      </c>
      <c r="H22" s="295"/>
      <c r="I22" s="71">
        <f>G22-H22</f>
        <v>0</v>
      </c>
      <c r="J22" s="72"/>
    </row>
    <row r="23" spans="3:10" x14ac:dyDescent="0.2">
      <c r="C23" s="76" t="s">
        <v>369</v>
      </c>
      <c r="D23" s="74"/>
      <c r="E23" s="75"/>
      <c r="F23" s="75"/>
      <c r="G23" s="295"/>
      <c r="H23" s="295"/>
      <c r="I23" s="71">
        <f>G23-H23</f>
        <v>0</v>
      </c>
      <c r="J23" s="72"/>
    </row>
    <row r="24" spans="3:10" x14ac:dyDescent="0.2">
      <c r="C24" s="73" t="s">
        <v>368</v>
      </c>
      <c r="D24" s="73"/>
      <c r="E24" s="73"/>
      <c r="F24" s="433"/>
      <c r="G24" s="295"/>
      <c r="H24" s="295"/>
      <c r="I24" s="295"/>
      <c r="J24" s="72"/>
    </row>
    <row r="25" spans="3:10" x14ac:dyDescent="0.2">
      <c r="C25" s="584" t="s">
        <v>111</v>
      </c>
      <c r="D25" s="585"/>
      <c r="E25" s="586"/>
      <c r="F25" s="437" t="s">
        <v>303</v>
      </c>
      <c r="G25" s="71">
        <f>IF(ISERROR(G23/G24),G23,G23/G24)</f>
        <v>0</v>
      </c>
      <c r="H25" s="458"/>
      <c r="I25" s="71">
        <f>G25-H25</f>
        <v>0</v>
      </c>
      <c r="J25" s="72"/>
    </row>
    <row r="26" spans="3:10" x14ac:dyDescent="0.2">
      <c r="C26" s="606" t="s">
        <v>376</v>
      </c>
      <c r="D26" s="606"/>
      <c r="E26" s="606"/>
      <c r="F26" s="434"/>
      <c r="G26" s="459"/>
      <c r="H26" s="459"/>
      <c r="I26" s="71">
        <f>G26-H26</f>
        <v>0</v>
      </c>
    </row>
    <row r="27" spans="3:10" x14ac:dyDescent="0.2">
      <c r="C27" s="587" t="s">
        <v>78</v>
      </c>
      <c r="D27" s="588"/>
      <c r="E27" s="589"/>
      <c r="F27" s="326"/>
      <c r="G27" s="295"/>
      <c r="H27" s="295"/>
      <c r="I27" s="71">
        <f>G27-H27</f>
        <v>0</v>
      </c>
      <c r="J27" s="72"/>
    </row>
    <row r="28" spans="3:10" x14ac:dyDescent="0.2">
      <c r="C28" s="73" t="s">
        <v>367</v>
      </c>
      <c r="D28" s="74"/>
      <c r="E28" s="75"/>
      <c r="F28" s="434"/>
      <c r="G28" s="435">
        <f>G22-G23+G26+G27</f>
        <v>0</v>
      </c>
      <c r="H28" s="459"/>
      <c r="I28" s="71">
        <f>G28-H28</f>
        <v>0</v>
      </c>
    </row>
  </sheetData>
  <sheetProtection algorithmName="SHA-512" hashValue="PpC4HKA6KnogIs1mX4MXQuUGtsocF1wUkNIB1l0ZfdBf6ubOZs0rIVz4LwI0QYF4/uDe4ExxqzD7BQ1omxZERw==" saltValue="lBefeVmCPLx+rSjnRKeIBA==" spinCount="100000" sheet="1" objects="1" scenarios="1"/>
  <mergeCells count="14">
    <mergeCell ref="C27:E27"/>
    <mergeCell ref="C25:E25"/>
    <mergeCell ref="C26:E26"/>
    <mergeCell ref="C12:E12"/>
    <mergeCell ref="C1:E1"/>
    <mergeCell ref="C2:J2"/>
    <mergeCell ref="C3:J3"/>
    <mergeCell ref="C4:J4"/>
    <mergeCell ref="C11:E11"/>
    <mergeCell ref="C16:E16"/>
    <mergeCell ref="C21:E21"/>
    <mergeCell ref="C22:E22"/>
    <mergeCell ref="C15:E15"/>
    <mergeCell ref="C17:E17"/>
  </mergeCells>
  <phoneticPr fontId="3" type="noConversion"/>
  <conditionalFormatting sqref="I12:I13 I22:I24 I16:I18">
    <cfRule type="cellIs" dxfId="27" priority="7" stopIfTrue="1" operator="lessThan">
      <formula>0</formula>
    </cfRule>
  </conditionalFormatting>
  <conditionalFormatting sqref="G12:H13 G16:H17 G22:H23">
    <cfRule type="expression" dxfId="26" priority="8" stopIfTrue="1">
      <formula>ISBLANK(G12)</formula>
    </cfRule>
  </conditionalFormatting>
  <conditionalFormatting sqref="I15">
    <cfRule type="cellIs" dxfId="25" priority="6" stopIfTrue="1" operator="lessThan">
      <formula>0</formula>
    </cfRule>
  </conditionalFormatting>
  <conditionalFormatting sqref="I25">
    <cfRule type="cellIs" dxfId="24" priority="5" stopIfTrue="1" operator="lessThan">
      <formula>0</formula>
    </cfRule>
  </conditionalFormatting>
  <conditionalFormatting sqref="I26">
    <cfRule type="cellIs" dxfId="23" priority="4" stopIfTrue="1" operator="lessThan">
      <formula>0</formula>
    </cfRule>
  </conditionalFormatting>
  <conditionalFormatting sqref="I28">
    <cfRule type="cellIs" dxfId="22" priority="3" stopIfTrue="1" operator="lessThan">
      <formula>0</formula>
    </cfRule>
  </conditionalFormatting>
  <conditionalFormatting sqref="I27">
    <cfRule type="cellIs" dxfId="21" priority="1" stopIfTrue="1" operator="lessThan">
      <formula>0</formula>
    </cfRule>
  </conditionalFormatting>
  <conditionalFormatting sqref="G27:H27">
    <cfRule type="expression" dxfId="20" priority="2" stopIfTrue="1">
      <formula>ISBLANK(G27)</formula>
    </cfRule>
  </conditionalFormatting>
  <hyperlinks>
    <hyperlink ref="F12" location="'B4 Sch 4 Loss Cfwd Bridge'!A1" display="'B4" xr:uid="{00000000-0004-0000-1200-000000000000}"/>
    <hyperlink ref="F16" location="'T1 Sch 1 Taxable Income Test'!A1" display="T1" xr:uid="{00000000-0004-0000-1200-000001000000}"/>
    <hyperlink ref="F22" location="'B4 Sch 4 Loss Cfwd Bridge'!A1" display="B4" xr:uid="{00000000-0004-0000-1200-000002000000}"/>
    <hyperlink ref="F13" location="'T1 Sch 1 Taxable Income Test'!A1" display="T1" xr:uid="{00000000-0004-0000-1200-000003000000}"/>
    <hyperlink ref="F25" location="'T1 Sch 1 Taxable Income Test'!A1" display="T1" xr:uid="{00000000-0004-0000-1200-000004000000}"/>
  </hyperlinks>
  <pageMargins left="0.75" right="0.75" top="1" bottom="1" header="0.5" footer="0.5"/>
  <pageSetup scale="8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dimension ref="A1:AE46"/>
  <sheetViews>
    <sheetView topLeftCell="J14" zoomScaleNormal="100" workbookViewId="0">
      <selection activeCell="AA49" sqref="AA49"/>
    </sheetView>
  </sheetViews>
  <sheetFormatPr defaultColWidth="9.140625" defaultRowHeight="12.75" x14ac:dyDescent="0.2"/>
  <cols>
    <col min="1" max="1" width="3.5703125" style="9" customWidth="1"/>
    <col min="2" max="2" width="11.5703125" style="9" bestFit="1" customWidth="1"/>
    <col min="3" max="3" width="72.85546875" style="9" customWidth="1"/>
    <col min="4" max="4" width="12.5703125" style="9" bestFit="1" customWidth="1"/>
    <col min="5" max="5" width="14.140625" style="9" bestFit="1" customWidth="1"/>
    <col min="6" max="14" width="15.140625" style="9" customWidth="1"/>
    <col min="15" max="15" width="7.85546875" style="9" customWidth="1"/>
    <col min="16" max="21" width="15.140625" style="9" customWidth="1"/>
    <col min="22" max="22" width="4.140625" style="9" bestFit="1" customWidth="1"/>
    <col min="23" max="23" width="15.140625" style="9" customWidth="1"/>
    <col min="24" max="16384" width="9.140625" style="9"/>
  </cols>
  <sheetData>
    <row r="1" spans="1:24" ht="21.75" x14ac:dyDescent="0.2">
      <c r="A1" s="218"/>
      <c r="B1" s="565"/>
      <c r="C1" s="565"/>
      <c r="D1" s="565"/>
      <c r="E1" s="565"/>
      <c r="F1" s="480"/>
      <c r="G1" s="480"/>
      <c r="H1" s="480"/>
      <c r="I1" s="480"/>
      <c r="J1" s="480"/>
      <c r="K1" s="480"/>
      <c r="L1" s="480"/>
      <c r="M1" s="480"/>
      <c r="N1" s="480"/>
      <c r="O1" s="480"/>
      <c r="P1" s="480"/>
      <c r="Q1" s="480"/>
    </row>
    <row r="2" spans="1:24" ht="18" x14ac:dyDescent="0.25">
      <c r="B2" s="566"/>
      <c r="C2" s="566"/>
      <c r="D2" s="566"/>
      <c r="E2" s="566"/>
      <c r="F2" s="566"/>
      <c r="G2" s="566"/>
      <c r="H2" s="566"/>
      <c r="I2" s="566"/>
      <c r="J2" s="566"/>
      <c r="K2" s="566"/>
      <c r="L2" s="566"/>
      <c r="M2" s="566"/>
      <c r="N2" s="566"/>
      <c r="O2" s="566"/>
      <c r="P2" s="566"/>
      <c r="Q2" s="566"/>
    </row>
    <row r="3" spans="1:24" ht="27.75" customHeight="1" x14ac:dyDescent="0.25">
      <c r="B3" s="566"/>
      <c r="C3" s="566"/>
      <c r="D3" s="566"/>
      <c r="E3" s="566"/>
      <c r="F3" s="566"/>
      <c r="G3" s="566"/>
      <c r="H3" s="566"/>
      <c r="I3" s="566"/>
      <c r="J3" s="566"/>
      <c r="K3" s="566"/>
      <c r="L3" s="566"/>
      <c r="M3" s="566"/>
      <c r="N3" s="566"/>
      <c r="O3" s="566"/>
      <c r="P3" s="566"/>
      <c r="Q3" s="566"/>
    </row>
    <row r="4" spans="1:24" ht="54.75" customHeight="1" x14ac:dyDescent="0.25">
      <c r="B4" s="566"/>
      <c r="C4" s="566"/>
      <c r="D4" s="566"/>
      <c r="E4" s="566"/>
      <c r="F4" s="566"/>
      <c r="G4" s="566"/>
      <c r="H4" s="566"/>
      <c r="I4" s="566"/>
      <c r="J4" s="566"/>
      <c r="K4" s="566"/>
      <c r="L4" s="566"/>
      <c r="M4" s="566"/>
      <c r="N4" s="566"/>
      <c r="O4" s="566"/>
      <c r="P4" s="566"/>
      <c r="Q4" s="566"/>
    </row>
    <row r="7" spans="1:24" ht="18" x14ac:dyDescent="0.25">
      <c r="B7" s="258" t="s">
        <v>269</v>
      </c>
    </row>
    <row r="8" spans="1:24" x14ac:dyDescent="0.2">
      <c r="D8" s="249"/>
    </row>
    <row r="9" spans="1:24" ht="146.25" x14ac:dyDescent="0.2">
      <c r="B9" s="500" t="s">
        <v>440</v>
      </c>
      <c r="C9" s="498" t="s">
        <v>69</v>
      </c>
      <c r="D9" s="499" t="s">
        <v>311</v>
      </c>
      <c r="E9" s="500" t="s">
        <v>442</v>
      </c>
      <c r="F9" s="500" t="s">
        <v>422</v>
      </c>
      <c r="G9" s="500" t="s">
        <v>423</v>
      </c>
      <c r="H9" s="500" t="s">
        <v>424</v>
      </c>
      <c r="I9" s="500" t="s">
        <v>425</v>
      </c>
      <c r="J9" s="500" t="s">
        <v>426</v>
      </c>
      <c r="K9" s="500" t="s">
        <v>428</v>
      </c>
      <c r="L9" s="500" t="s">
        <v>429</v>
      </c>
      <c r="M9" s="500" t="s">
        <v>430</v>
      </c>
      <c r="N9" s="500" t="s">
        <v>431</v>
      </c>
      <c r="O9" s="500" t="s">
        <v>421</v>
      </c>
      <c r="P9" s="500" t="s">
        <v>432</v>
      </c>
      <c r="Q9" s="500" t="s">
        <v>433</v>
      </c>
      <c r="R9" s="500" t="s">
        <v>434</v>
      </c>
      <c r="S9" s="500" t="s">
        <v>435</v>
      </c>
      <c r="T9" s="500" t="s">
        <v>436</v>
      </c>
      <c r="U9" s="500" t="s">
        <v>437</v>
      </c>
      <c r="V9" s="500"/>
      <c r="W9" s="500" t="s">
        <v>443</v>
      </c>
      <c r="X9" s="322"/>
    </row>
    <row r="10" spans="1:24" x14ac:dyDescent="0.2">
      <c r="B10" s="486">
        <f>IF(ISBLANK('B8 Sch 8 CCA Bridge'!B10), "", 'B8 Sch 8 CCA Bridge'!B10)</f>
        <v>1</v>
      </c>
      <c r="C10" s="487" t="str">
        <f>IF(ISBLANK('B8 Sch 8 CCA Bridge'!C10), "", 'B8 Sch 8 CCA Bridge'!C10)</f>
        <v>Buildings, Distribution System (acq'd post 1987)</v>
      </c>
      <c r="D10" s="531" t="s">
        <v>310</v>
      </c>
      <c r="E10" s="510">
        <f>IF(ISBLANK('B8 Sch 8 CCA Bridge'!W10), "", 'B8 Sch 8 CCA Bridge'!W10)</f>
        <v>22828797.120000001</v>
      </c>
      <c r="F10" s="495"/>
      <c r="G10" s="495"/>
      <c r="H10" s="495"/>
      <c r="I10" s="495"/>
      <c r="J10" s="495"/>
      <c r="K10" s="495"/>
      <c r="L10" s="183">
        <f>IFERROR(E10+F10+H10-K10,0)</f>
        <v>22828797.120000001</v>
      </c>
      <c r="M10" s="183">
        <f>IF((K10+I10-F10+G10-J10)&lt;0,0,(K10+I10-F10+G10-J10))</f>
        <v>0</v>
      </c>
      <c r="N10" s="183">
        <f>IF((G10-M10)&lt;0,0,(G10-M10))</f>
        <v>0</v>
      </c>
      <c r="O10" s="504">
        <v>0.5</v>
      </c>
      <c r="P10" s="183">
        <f>N10*O10</f>
        <v>0</v>
      </c>
      <c r="Q10" s="183">
        <f>IF((0.5*(F10-G10-I10+J10-K10))&lt;0,0,(0.5*(F10-G10-I10+J10-K10)))</f>
        <v>0</v>
      </c>
      <c r="R10" s="492">
        <v>0.04</v>
      </c>
      <c r="S10" s="533"/>
      <c r="T10" s="533"/>
      <c r="U10" s="183">
        <f>IF(OR(L10&lt;0,T10&gt;0),0,(L10+P10-Q10)*R10)</f>
        <v>913151.88480000012</v>
      </c>
      <c r="V10" s="183"/>
      <c r="W10" s="183">
        <f>IF(L10&lt;0,0,L10-T10-U10)</f>
        <v>21915645.235200003</v>
      </c>
      <c r="X10" s="308"/>
    </row>
    <row r="11" spans="1:24" x14ac:dyDescent="0.2">
      <c r="B11" s="486" t="str">
        <f>IF(ISBLANK('B8 Sch 8 CCA Bridge'!B11), "", 'B8 Sch 8 CCA Bridge'!B11)</f>
        <v>1b</v>
      </c>
      <c r="C11" s="487" t="str">
        <f>IF(ISBLANK('B8 Sch 8 CCA Bridge'!C11), "", 'B8 Sch 8 CCA Bridge'!C11)</f>
        <v>Non-Residential Buildings [Reg. 1100(1)(a.1) election]</v>
      </c>
      <c r="D11" s="531" t="s">
        <v>310</v>
      </c>
      <c r="E11" s="510">
        <f>IF(ISBLANK('B8 Sch 8 CCA Bridge'!W11), "", 'B8 Sch 8 CCA Bridge'!W11)</f>
        <v>0</v>
      </c>
      <c r="F11" s="495"/>
      <c r="G11" s="495"/>
      <c r="H11" s="495"/>
      <c r="I11" s="495"/>
      <c r="J11" s="495"/>
      <c r="K11" s="495"/>
      <c r="L11" s="183">
        <f t="shared" ref="L11:L41" si="0">IFERROR(E11+F11+H11-K11,"")</f>
        <v>0</v>
      </c>
      <c r="M11" s="183">
        <f t="shared" ref="M11:M42" si="1">IF((K11+I11-F11+G11-J11)&lt;0,0,(K11+I11-F11+G11-J11))</f>
        <v>0</v>
      </c>
      <c r="N11" s="183">
        <f t="shared" ref="N11:N42" si="2">IF((G11-M11)&lt;0,0,(G11-M11))</f>
        <v>0</v>
      </c>
      <c r="O11" s="504">
        <v>0.5</v>
      </c>
      <c r="P11" s="183">
        <f t="shared" ref="P11:P42" si="3">N11*O11</f>
        <v>0</v>
      </c>
      <c r="Q11" s="183">
        <f t="shared" ref="Q11:Q42" si="4">IF((0.5*(F11-G11-I11+J11-K11))&lt;0,0,(0.5*(F11-G11-I11+J11-K11)))</f>
        <v>0</v>
      </c>
      <c r="R11" s="492">
        <v>0.06</v>
      </c>
      <c r="S11" s="533"/>
      <c r="T11" s="533"/>
      <c r="U11" s="183">
        <f t="shared" ref="U11:U18" si="5">IF(OR(L11&lt;0,T11&gt;0),0,(L11+P11-Q11)*R11)</f>
        <v>0</v>
      </c>
      <c r="V11" s="183"/>
      <c r="W11" s="183">
        <f t="shared" ref="W11:W42" si="6">IF(L11&lt;0,0,L11-T11-U11)</f>
        <v>0</v>
      </c>
      <c r="X11" s="308"/>
    </row>
    <row r="12" spans="1:24" x14ac:dyDescent="0.2">
      <c r="B12" s="486">
        <f>IF(ISBLANK('B8 Sch 8 CCA Bridge'!B12), "", 'B8 Sch 8 CCA Bridge'!B12)</f>
        <v>2</v>
      </c>
      <c r="C12" s="487" t="str">
        <f>IF(ISBLANK('B8 Sch 8 CCA Bridge'!C12), "", 'B8 Sch 8 CCA Bridge'!C12)</f>
        <v>Distribution System (acq'd pre 1988)</v>
      </c>
      <c r="D12" s="531" t="s">
        <v>310</v>
      </c>
      <c r="E12" s="510">
        <f>IF(ISBLANK('B8 Sch 8 CCA Bridge'!W12), "", 'B8 Sch 8 CCA Bridge'!W12)</f>
        <v>0</v>
      </c>
      <c r="F12" s="491"/>
      <c r="G12" s="491"/>
      <c r="H12" s="495"/>
      <c r="I12" s="495"/>
      <c r="J12" s="495"/>
      <c r="K12" s="495"/>
      <c r="L12" s="183">
        <f t="shared" si="0"/>
        <v>0</v>
      </c>
      <c r="M12" s="183">
        <f t="shared" si="1"/>
        <v>0</v>
      </c>
      <c r="N12" s="183">
        <f t="shared" si="2"/>
        <v>0</v>
      </c>
      <c r="O12" s="504"/>
      <c r="P12" s="183">
        <f t="shared" si="3"/>
        <v>0</v>
      </c>
      <c r="Q12" s="183">
        <f t="shared" si="4"/>
        <v>0</v>
      </c>
      <c r="R12" s="492">
        <v>0.06</v>
      </c>
      <c r="S12" s="533"/>
      <c r="T12" s="533"/>
      <c r="U12" s="183">
        <f t="shared" si="5"/>
        <v>0</v>
      </c>
      <c r="V12" s="183"/>
      <c r="W12" s="183">
        <f t="shared" si="6"/>
        <v>0</v>
      </c>
      <c r="X12" s="308"/>
    </row>
    <row r="13" spans="1:24" x14ac:dyDescent="0.2">
      <c r="B13" s="486">
        <f>IF(ISBLANK('B8 Sch 8 CCA Bridge'!B13), "", 'B8 Sch 8 CCA Bridge'!B13)</f>
        <v>3</v>
      </c>
      <c r="C13" s="487" t="str">
        <f>IF(ISBLANK('B8 Sch 8 CCA Bridge'!C13), "", 'B8 Sch 8 CCA Bridge'!C13)</f>
        <v>Buildings (acq'd pre 1988)</v>
      </c>
      <c r="D13" s="531" t="s">
        <v>310</v>
      </c>
      <c r="E13" s="510">
        <f>IF(ISBLANK('B8 Sch 8 CCA Bridge'!W13), "", 'B8 Sch 8 CCA Bridge'!W13)</f>
        <v>0</v>
      </c>
      <c r="F13" s="491"/>
      <c r="G13" s="491"/>
      <c r="H13" s="495"/>
      <c r="I13" s="495"/>
      <c r="J13" s="495"/>
      <c r="K13" s="495"/>
      <c r="L13" s="183">
        <f t="shared" si="0"/>
        <v>0</v>
      </c>
      <c r="M13" s="183">
        <f t="shared" si="1"/>
        <v>0</v>
      </c>
      <c r="N13" s="183">
        <f t="shared" si="2"/>
        <v>0</v>
      </c>
      <c r="O13" s="504"/>
      <c r="P13" s="183">
        <f t="shared" si="3"/>
        <v>0</v>
      </c>
      <c r="Q13" s="183">
        <f t="shared" si="4"/>
        <v>0</v>
      </c>
      <c r="R13" s="492">
        <v>0.05</v>
      </c>
      <c r="S13" s="533"/>
      <c r="T13" s="533"/>
      <c r="U13" s="183">
        <f t="shared" si="5"/>
        <v>0</v>
      </c>
      <c r="V13" s="183"/>
      <c r="W13" s="183">
        <f t="shared" si="6"/>
        <v>0</v>
      </c>
      <c r="X13" s="308"/>
    </row>
    <row r="14" spans="1:24" x14ac:dyDescent="0.2">
      <c r="B14" s="486">
        <f>IF(ISBLANK('B8 Sch 8 CCA Bridge'!B14), "", 'B8 Sch 8 CCA Bridge'!B14)</f>
        <v>6</v>
      </c>
      <c r="C14" s="487" t="str">
        <f>IF(ISBLANK('B8 Sch 8 CCA Bridge'!C14), "", 'B8 Sch 8 CCA Bridge'!C14)</f>
        <v>Certain Buildings; Fences</v>
      </c>
      <c r="D14" s="531" t="s">
        <v>310</v>
      </c>
      <c r="E14" s="510">
        <f>IF(ISBLANK('B8 Sch 8 CCA Bridge'!W14), "", 'B8 Sch 8 CCA Bridge'!W14)</f>
        <v>0</v>
      </c>
      <c r="F14" s="495"/>
      <c r="G14" s="495"/>
      <c r="H14" s="495"/>
      <c r="I14" s="495"/>
      <c r="J14" s="495"/>
      <c r="K14" s="495"/>
      <c r="L14" s="183">
        <f t="shared" si="0"/>
        <v>0</v>
      </c>
      <c r="M14" s="183">
        <f t="shared" si="1"/>
        <v>0</v>
      </c>
      <c r="N14" s="183">
        <f t="shared" si="2"/>
        <v>0</v>
      </c>
      <c r="O14" s="504">
        <v>0.5</v>
      </c>
      <c r="P14" s="183">
        <f t="shared" si="3"/>
        <v>0</v>
      </c>
      <c r="Q14" s="183">
        <f t="shared" si="4"/>
        <v>0</v>
      </c>
      <c r="R14" s="492">
        <v>0.1</v>
      </c>
      <c r="S14" s="533"/>
      <c r="T14" s="533"/>
      <c r="U14" s="183">
        <f t="shared" si="5"/>
        <v>0</v>
      </c>
      <c r="V14" s="183"/>
      <c r="W14" s="183">
        <f t="shared" si="6"/>
        <v>0</v>
      </c>
      <c r="X14" s="308"/>
    </row>
    <row r="15" spans="1:24" ht="12.75" customHeight="1" x14ac:dyDescent="0.2">
      <c r="B15" s="486">
        <f>IF(ISBLANK('B8 Sch 8 CCA Bridge'!B15), "", 'B8 Sch 8 CCA Bridge'!B15)</f>
        <v>8</v>
      </c>
      <c r="C15" s="487" t="str">
        <f>IF(ISBLANK('B8 Sch 8 CCA Bridge'!C15), "", 'B8 Sch 8 CCA Bridge'!C15)</f>
        <v>General Office Equipment, Furniture, Fixtures</v>
      </c>
      <c r="D15" s="531" t="s">
        <v>310</v>
      </c>
      <c r="E15" s="510">
        <f>IF(ISBLANK('B8 Sch 8 CCA Bridge'!W15), "", 'B8 Sch 8 CCA Bridge'!W15)</f>
        <v>400431.86200000002</v>
      </c>
      <c r="F15" s="495">
        <v>42000</v>
      </c>
      <c r="G15" s="495">
        <v>42000</v>
      </c>
      <c r="H15" s="495"/>
      <c r="I15" s="495"/>
      <c r="J15" s="495"/>
      <c r="K15" s="495"/>
      <c r="L15" s="183">
        <f t="shared" si="0"/>
        <v>442431.86200000002</v>
      </c>
      <c r="M15" s="183">
        <f t="shared" si="1"/>
        <v>0</v>
      </c>
      <c r="N15" s="183">
        <f t="shared" si="2"/>
        <v>42000</v>
      </c>
      <c r="O15" s="504">
        <v>0.5</v>
      </c>
      <c r="P15" s="183">
        <f t="shared" si="3"/>
        <v>21000</v>
      </c>
      <c r="Q15" s="183">
        <f t="shared" si="4"/>
        <v>0</v>
      </c>
      <c r="R15" s="492">
        <v>0.2</v>
      </c>
      <c r="S15" s="533"/>
      <c r="T15" s="533"/>
      <c r="U15" s="183">
        <f t="shared" si="5"/>
        <v>92686.372400000007</v>
      </c>
      <c r="V15" s="183"/>
      <c r="W15" s="183">
        <f t="shared" si="6"/>
        <v>349745.48960000003</v>
      </c>
      <c r="X15" s="308"/>
    </row>
    <row r="16" spans="1:24" ht="12.75" customHeight="1" x14ac:dyDescent="0.2">
      <c r="B16" s="486">
        <f>IF(ISBLANK('B8 Sch 8 CCA Bridge'!B16), "", 'B8 Sch 8 CCA Bridge'!B16)</f>
        <v>10</v>
      </c>
      <c r="C16" s="487" t="str">
        <f>IF(ISBLANK('B8 Sch 8 CCA Bridge'!C16), "", 'B8 Sch 8 CCA Bridge'!C16)</f>
        <v>Motor Vehicles, Fleet</v>
      </c>
      <c r="D16" s="531" t="s">
        <v>310</v>
      </c>
      <c r="E16" s="510">
        <f>IF(ISBLANK('B8 Sch 8 CCA Bridge'!W16), "", 'B8 Sch 8 CCA Bridge'!W16)</f>
        <v>474616.80000000005</v>
      </c>
      <c r="F16" s="495">
        <v>333741</v>
      </c>
      <c r="G16" s="495">
        <v>333741</v>
      </c>
      <c r="H16" s="495"/>
      <c r="I16" s="495"/>
      <c r="J16" s="495"/>
      <c r="K16" s="495"/>
      <c r="L16" s="183">
        <f t="shared" si="0"/>
        <v>808357.8</v>
      </c>
      <c r="M16" s="183">
        <f t="shared" si="1"/>
        <v>0</v>
      </c>
      <c r="N16" s="183">
        <f t="shared" si="2"/>
        <v>333741</v>
      </c>
      <c r="O16" s="504">
        <v>0.5</v>
      </c>
      <c r="P16" s="183">
        <f t="shared" si="3"/>
        <v>166870.5</v>
      </c>
      <c r="Q16" s="183">
        <f t="shared" si="4"/>
        <v>0</v>
      </c>
      <c r="R16" s="492">
        <v>0.3</v>
      </c>
      <c r="S16" s="533"/>
      <c r="T16" s="533"/>
      <c r="U16" s="183">
        <f t="shared" si="5"/>
        <v>292568.49</v>
      </c>
      <c r="V16" s="183"/>
      <c r="W16" s="183">
        <f t="shared" si="6"/>
        <v>515789.31000000006</v>
      </c>
      <c r="X16" s="308"/>
    </row>
    <row r="17" spans="2:24" ht="12.75" customHeight="1" x14ac:dyDescent="0.2">
      <c r="B17" s="486">
        <f>IF(ISBLANK('B8 Sch 8 CCA Bridge'!B17), "", 'B8 Sch 8 CCA Bridge'!B17)</f>
        <v>10.1</v>
      </c>
      <c r="C17" s="487" t="str">
        <f>IF(ISBLANK('B8 Sch 8 CCA Bridge'!C17), "", 'B8 Sch 8 CCA Bridge'!C17)</f>
        <v>Certain Automobiles</v>
      </c>
      <c r="D17" s="531" t="s">
        <v>310</v>
      </c>
      <c r="E17" s="510">
        <f>IF(ISBLANK('B8 Sch 8 CCA Bridge'!W17), "", 'B8 Sch 8 CCA Bridge'!W17)</f>
        <v>0</v>
      </c>
      <c r="F17" s="495"/>
      <c r="G17" s="495"/>
      <c r="H17" s="495"/>
      <c r="I17" s="495"/>
      <c r="J17" s="495"/>
      <c r="K17" s="495"/>
      <c r="L17" s="183">
        <f t="shared" si="0"/>
        <v>0</v>
      </c>
      <c r="M17" s="183">
        <f t="shared" si="1"/>
        <v>0</v>
      </c>
      <c r="N17" s="183">
        <f t="shared" si="2"/>
        <v>0</v>
      </c>
      <c r="O17" s="504">
        <v>0.5</v>
      </c>
      <c r="P17" s="183">
        <f t="shared" si="3"/>
        <v>0</v>
      </c>
      <c r="Q17" s="183">
        <f t="shared" si="4"/>
        <v>0</v>
      </c>
      <c r="R17" s="492">
        <v>0.3</v>
      </c>
      <c r="S17" s="533"/>
      <c r="T17" s="533"/>
      <c r="U17" s="183">
        <f t="shared" si="5"/>
        <v>0</v>
      </c>
      <c r="V17" s="183"/>
      <c r="W17" s="183">
        <f t="shared" si="6"/>
        <v>0</v>
      </c>
      <c r="X17" s="308"/>
    </row>
    <row r="18" spans="2:24" ht="12.75" customHeight="1" x14ac:dyDescent="0.2">
      <c r="B18" s="486">
        <f>IF(ISBLANK('B8 Sch 8 CCA Bridge'!B18), "", 'B8 Sch 8 CCA Bridge'!B18)</f>
        <v>12</v>
      </c>
      <c r="C18" s="487" t="str">
        <f>IF(ISBLANK('B8 Sch 8 CCA Bridge'!C18), "", 'B8 Sch 8 CCA Bridge'!C18)</f>
        <v>Computer Application Software (Non-Systems)</v>
      </c>
      <c r="D18" s="531" t="s">
        <v>310</v>
      </c>
      <c r="E18" s="510">
        <f>IF(ISBLANK('B8 Sch 8 CCA Bridge'!W18), "", 'B8 Sch 8 CCA Bridge'!W18)</f>
        <v>0</v>
      </c>
      <c r="F18" s="495"/>
      <c r="G18" s="495"/>
      <c r="H18" s="495"/>
      <c r="I18" s="495"/>
      <c r="J18" s="495"/>
      <c r="K18" s="495"/>
      <c r="L18" s="183">
        <f t="shared" si="0"/>
        <v>0</v>
      </c>
      <c r="M18" s="183">
        <f t="shared" si="1"/>
        <v>0</v>
      </c>
      <c r="N18" s="183">
        <f t="shared" si="2"/>
        <v>0</v>
      </c>
      <c r="O18" s="504">
        <v>0</v>
      </c>
      <c r="P18" s="183">
        <f t="shared" si="3"/>
        <v>0</v>
      </c>
      <c r="Q18" s="183">
        <f t="shared" si="4"/>
        <v>0</v>
      </c>
      <c r="R18" s="492">
        <v>1</v>
      </c>
      <c r="S18" s="533"/>
      <c r="T18" s="533"/>
      <c r="U18" s="183">
        <f t="shared" si="5"/>
        <v>0</v>
      </c>
      <c r="V18" s="183"/>
      <c r="W18" s="183">
        <f t="shared" si="6"/>
        <v>0</v>
      </c>
      <c r="X18" s="308"/>
    </row>
    <row r="19" spans="2:24" ht="12.75" customHeight="1" x14ac:dyDescent="0.25">
      <c r="B19" s="484" t="s">
        <v>400</v>
      </c>
      <c r="C19" s="487" t="str">
        <f>IF(ISBLANK('B8 Sch 8 CCA Bridge'!C19), "", 'B8 Sch 8 CCA Bridge'!C19)</f>
        <v>Lease # 1</v>
      </c>
      <c r="D19" s="531" t="s">
        <v>310</v>
      </c>
      <c r="E19" s="510">
        <f>IF(ISBLANK('B8 Sch 8 CCA Bridge'!W19), "", 'B8 Sch 8 CCA Bridge'!W19)</f>
        <v>0</v>
      </c>
      <c r="F19" s="495"/>
      <c r="G19" s="495"/>
      <c r="H19" s="495"/>
      <c r="I19" s="495"/>
      <c r="J19" s="495"/>
      <c r="K19" s="495"/>
      <c r="L19" s="183">
        <f t="shared" si="0"/>
        <v>0</v>
      </c>
      <c r="M19" s="183">
        <f t="shared" si="1"/>
        <v>0</v>
      </c>
      <c r="N19" s="183">
        <f t="shared" si="2"/>
        <v>0</v>
      </c>
      <c r="O19" s="504">
        <v>0</v>
      </c>
      <c r="P19" s="183">
        <f t="shared" si="3"/>
        <v>0</v>
      </c>
      <c r="Q19" s="183">
        <f t="shared" si="4"/>
        <v>0</v>
      </c>
      <c r="R19" s="496" t="s">
        <v>414</v>
      </c>
      <c r="S19" s="533"/>
      <c r="T19" s="533"/>
      <c r="U19" s="470"/>
      <c r="V19" s="183"/>
      <c r="W19" s="183">
        <f t="shared" si="6"/>
        <v>0</v>
      </c>
      <c r="X19" s="308"/>
    </row>
    <row r="20" spans="2:24" ht="12.75" customHeight="1" x14ac:dyDescent="0.25">
      <c r="B20" s="484" t="s">
        <v>401</v>
      </c>
      <c r="C20" s="487" t="str">
        <f>IF(ISBLANK('B8 Sch 8 CCA Bridge'!C20), "", 'B8 Sch 8 CCA Bridge'!C20)</f>
        <v>Lease # 2</v>
      </c>
      <c r="D20" s="531" t="s">
        <v>310</v>
      </c>
      <c r="E20" s="510">
        <f>IF(ISBLANK('B8 Sch 8 CCA Bridge'!W20), "", 'B8 Sch 8 CCA Bridge'!W20)</f>
        <v>0</v>
      </c>
      <c r="F20" s="495"/>
      <c r="G20" s="495"/>
      <c r="H20" s="495"/>
      <c r="I20" s="495"/>
      <c r="J20" s="495"/>
      <c r="K20" s="495"/>
      <c r="L20" s="183">
        <f t="shared" si="0"/>
        <v>0</v>
      </c>
      <c r="M20" s="183">
        <f t="shared" si="1"/>
        <v>0</v>
      </c>
      <c r="N20" s="183">
        <f t="shared" si="2"/>
        <v>0</v>
      </c>
      <c r="O20" s="504">
        <v>0</v>
      </c>
      <c r="P20" s="183">
        <f t="shared" si="3"/>
        <v>0</v>
      </c>
      <c r="Q20" s="183">
        <f t="shared" si="4"/>
        <v>0</v>
      </c>
      <c r="R20" s="496" t="s">
        <v>414</v>
      </c>
      <c r="S20" s="533"/>
      <c r="T20" s="533"/>
      <c r="U20" s="470"/>
      <c r="V20" s="183"/>
      <c r="W20" s="183">
        <f t="shared" si="6"/>
        <v>0</v>
      </c>
      <c r="X20" s="308"/>
    </row>
    <row r="21" spans="2:24" ht="12.75" customHeight="1" x14ac:dyDescent="0.25">
      <c r="B21" s="484" t="s">
        <v>402</v>
      </c>
      <c r="C21" s="487" t="str">
        <f>IF(ISBLANK('B8 Sch 8 CCA Bridge'!C21), "", 'B8 Sch 8 CCA Bridge'!C21)</f>
        <v>Lease # 3</v>
      </c>
      <c r="D21" s="531" t="s">
        <v>310</v>
      </c>
      <c r="E21" s="510">
        <f>IF(ISBLANK('B8 Sch 8 CCA Bridge'!W21), "", 'B8 Sch 8 CCA Bridge'!W21)</f>
        <v>0</v>
      </c>
      <c r="F21" s="495"/>
      <c r="G21" s="495"/>
      <c r="H21" s="495"/>
      <c r="I21" s="495"/>
      <c r="J21" s="495"/>
      <c r="K21" s="495"/>
      <c r="L21" s="183">
        <f t="shared" si="0"/>
        <v>0</v>
      </c>
      <c r="M21" s="183">
        <f t="shared" si="1"/>
        <v>0</v>
      </c>
      <c r="N21" s="183">
        <f t="shared" si="2"/>
        <v>0</v>
      </c>
      <c r="O21" s="504">
        <v>0</v>
      </c>
      <c r="P21" s="183">
        <f t="shared" si="3"/>
        <v>0</v>
      </c>
      <c r="Q21" s="183">
        <f t="shared" si="4"/>
        <v>0</v>
      </c>
      <c r="R21" s="496" t="s">
        <v>414</v>
      </c>
      <c r="S21" s="533"/>
      <c r="T21" s="533"/>
      <c r="U21" s="470"/>
      <c r="V21" s="183"/>
      <c r="W21" s="183">
        <f t="shared" si="6"/>
        <v>0</v>
      </c>
      <c r="X21" s="308"/>
    </row>
    <row r="22" spans="2:24" ht="12.75" customHeight="1" x14ac:dyDescent="0.25">
      <c r="B22" s="484" t="s">
        <v>403</v>
      </c>
      <c r="C22" s="487" t="str">
        <f>IF(ISBLANK('B8 Sch 8 CCA Bridge'!C22), "", 'B8 Sch 8 CCA Bridge'!C22)</f>
        <v>Lease # 4</v>
      </c>
      <c r="D22" s="531" t="s">
        <v>310</v>
      </c>
      <c r="E22" s="510">
        <f>IF(ISBLANK('B8 Sch 8 CCA Bridge'!W22), "", 'B8 Sch 8 CCA Bridge'!W22)</f>
        <v>0</v>
      </c>
      <c r="F22" s="495"/>
      <c r="G22" s="495"/>
      <c r="H22" s="495"/>
      <c r="I22" s="495"/>
      <c r="J22" s="495"/>
      <c r="K22" s="495"/>
      <c r="L22" s="183">
        <f t="shared" si="0"/>
        <v>0</v>
      </c>
      <c r="M22" s="183">
        <f t="shared" si="1"/>
        <v>0</v>
      </c>
      <c r="N22" s="183">
        <f t="shared" si="2"/>
        <v>0</v>
      </c>
      <c r="O22" s="504">
        <v>0</v>
      </c>
      <c r="P22" s="183">
        <f t="shared" si="3"/>
        <v>0</v>
      </c>
      <c r="Q22" s="183">
        <f t="shared" si="4"/>
        <v>0</v>
      </c>
      <c r="R22" s="496" t="s">
        <v>414</v>
      </c>
      <c r="S22" s="533"/>
      <c r="T22" s="533"/>
      <c r="U22" s="470"/>
      <c r="V22" s="183"/>
      <c r="W22" s="183">
        <f t="shared" si="6"/>
        <v>0</v>
      </c>
      <c r="X22" s="308"/>
    </row>
    <row r="23" spans="2:24" ht="12.75" customHeight="1" x14ac:dyDescent="0.2">
      <c r="B23" s="486">
        <f>IF(ISBLANK('B8 Sch 8 CCA Bridge'!B23), "", 'B8 Sch 8 CCA Bridge'!B23)</f>
        <v>14</v>
      </c>
      <c r="C23" s="487" t="str">
        <f>IF(ISBLANK('B8 Sch 8 CCA Bridge'!C23), "", 'B8 Sch 8 CCA Bridge'!C23)</f>
        <v>Limited Period Patents, Franchises, Concessions or Licences</v>
      </c>
      <c r="D23" s="531" t="s">
        <v>310</v>
      </c>
      <c r="E23" s="510">
        <f>IF(ISBLANK('B8 Sch 8 CCA Bridge'!W23), "", 'B8 Sch 8 CCA Bridge'!W23)</f>
        <v>0</v>
      </c>
      <c r="F23" s="495"/>
      <c r="G23" s="495"/>
      <c r="H23" s="495"/>
      <c r="I23" s="495"/>
      <c r="J23" s="495"/>
      <c r="K23" s="495"/>
      <c r="L23" s="183">
        <f t="shared" si="0"/>
        <v>0</v>
      </c>
      <c r="M23" s="183">
        <f t="shared" si="1"/>
        <v>0</v>
      </c>
      <c r="N23" s="183">
        <f t="shared" si="2"/>
        <v>0</v>
      </c>
      <c r="O23" s="504">
        <v>0</v>
      </c>
      <c r="P23" s="183">
        <f t="shared" si="3"/>
        <v>0</v>
      </c>
      <c r="Q23" s="183">
        <f t="shared" si="4"/>
        <v>0</v>
      </c>
      <c r="R23" s="496" t="s">
        <v>414</v>
      </c>
      <c r="S23" s="533"/>
      <c r="T23" s="533"/>
      <c r="U23" s="470"/>
      <c r="V23" s="183"/>
      <c r="W23" s="183">
        <f t="shared" si="6"/>
        <v>0</v>
      </c>
      <c r="X23" s="308"/>
    </row>
    <row r="24" spans="2:24" ht="12.75" customHeight="1" x14ac:dyDescent="0.2">
      <c r="B24" s="486">
        <f>IF(ISBLANK('B8 Sch 8 CCA Bridge'!B24), "", 'B8 Sch 8 CCA Bridge'!B24)</f>
        <v>14.1</v>
      </c>
      <c r="C24" s="489" t="s">
        <v>415</v>
      </c>
      <c r="D24" s="531" t="s">
        <v>310</v>
      </c>
      <c r="E24" s="510">
        <f>IF(ISBLANK('B8 Sch 8 CCA Bridge'!W24), "", 'B8 Sch 8 CCA Bridge'!W24)</f>
        <v>0</v>
      </c>
      <c r="F24" s="491"/>
      <c r="G24" s="491"/>
      <c r="H24" s="495"/>
      <c r="I24" s="495"/>
      <c r="J24" s="495"/>
      <c r="K24" s="495"/>
      <c r="L24" s="183">
        <f t="shared" si="0"/>
        <v>0</v>
      </c>
      <c r="M24" s="183">
        <f t="shared" si="1"/>
        <v>0</v>
      </c>
      <c r="N24" s="183">
        <f t="shared" si="2"/>
        <v>0</v>
      </c>
      <c r="O24" s="504"/>
      <c r="P24" s="183">
        <f t="shared" si="3"/>
        <v>0</v>
      </c>
      <c r="Q24" s="183">
        <f t="shared" si="4"/>
        <v>0</v>
      </c>
      <c r="R24" s="492">
        <v>7.0000000000000007E-2</v>
      </c>
      <c r="S24" s="533"/>
      <c r="T24" s="533"/>
      <c r="U24" s="183">
        <f t="shared" ref="U24:U34" si="7">IF(OR(L24&lt;0,T24&gt;0),0,(L24+P24-Q24)*R24)</f>
        <v>0</v>
      </c>
      <c r="V24" s="183"/>
      <c r="W24" s="183">
        <f t="shared" si="6"/>
        <v>0</v>
      </c>
      <c r="X24" s="308"/>
    </row>
    <row r="25" spans="2:24" ht="12.75" customHeight="1" x14ac:dyDescent="0.2">
      <c r="B25" s="486">
        <f>IF(ISBLANK('B8 Sch 8 CCA Bridge'!B25), "", 'B8 Sch 8 CCA Bridge'!B25)</f>
        <v>14.1</v>
      </c>
      <c r="C25" s="489" t="s">
        <v>416</v>
      </c>
      <c r="D25" s="531" t="s">
        <v>310</v>
      </c>
      <c r="E25" s="510">
        <f>IF(ISBLANK('B8 Sch 8 CCA Bridge'!W25), "", 'B8 Sch 8 CCA Bridge'!W25)</f>
        <v>0</v>
      </c>
      <c r="F25" s="495"/>
      <c r="G25" s="495"/>
      <c r="H25" s="495"/>
      <c r="I25" s="495"/>
      <c r="J25" s="495"/>
      <c r="K25" s="495"/>
      <c r="L25" s="183">
        <f t="shared" si="0"/>
        <v>0</v>
      </c>
      <c r="M25" s="183">
        <f t="shared" si="1"/>
        <v>0</v>
      </c>
      <c r="N25" s="183">
        <f t="shared" si="2"/>
        <v>0</v>
      </c>
      <c r="O25" s="504">
        <v>0.5</v>
      </c>
      <c r="P25" s="183">
        <f t="shared" si="3"/>
        <v>0</v>
      </c>
      <c r="Q25" s="183">
        <f t="shared" si="4"/>
        <v>0</v>
      </c>
      <c r="R25" s="492">
        <v>0.05</v>
      </c>
      <c r="S25" s="533"/>
      <c r="T25" s="533"/>
      <c r="U25" s="183">
        <f t="shared" si="7"/>
        <v>0</v>
      </c>
      <c r="V25" s="183"/>
      <c r="W25" s="183">
        <f t="shared" si="6"/>
        <v>0</v>
      </c>
      <c r="X25" s="308"/>
    </row>
    <row r="26" spans="2:24" ht="12.75" customHeight="1" x14ac:dyDescent="0.2">
      <c r="B26" s="486">
        <f>IF(ISBLANK('B8 Sch 8 CCA Bridge'!B26), "", 'B8 Sch 8 CCA Bridge'!B26)</f>
        <v>17</v>
      </c>
      <c r="C26" s="487" t="str">
        <f>IF(ISBLANK('B8 Sch 8 CCA Bridge'!C26), "", 'B8 Sch 8 CCA Bridge'!C26)</f>
        <v>Elec. Generation Equip. (Non-Bldng, acq'd post Feb 27/00); Roads, Lots, Storage</v>
      </c>
      <c r="D26" s="531" t="s">
        <v>310</v>
      </c>
      <c r="E26" s="510">
        <f>IF(ISBLANK('B8 Sch 8 CCA Bridge'!W26), "", 'B8 Sch 8 CCA Bridge'!W26)</f>
        <v>251766.28</v>
      </c>
      <c r="F26" s="495">
        <v>0</v>
      </c>
      <c r="G26" s="495"/>
      <c r="H26" s="495"/>
      <c r="I26" s="495"/>
      <c r="J26" s="495"/>
      <c r="K26" s="495"/>
      <c r="L26" s="183">
        <f t="shared" si="0"/>
        <v>251766.28</v>
      </c>
      <c r="M26" s="183">
        <f t="shared" si="1"/>
        <v>0</v>
      </c>
      <c r="N26" s="183">
        <f t="shared" si="2"/>
        <v>0</v>
      </c>
      <c r="O26" s="504">
        <v>0.5</v>
      </c>
      <c r="P26" s="183">
        <f t="shared" si="3"/>
        <v>0</v>
      </c>
      <c r="Q26" s="183">
        <f t="shared" si="4"/>
        <v>0</v>
      </c>
      <c r="R26" s="492">
        <v>0.08</v>
      </c>
      <c r="S26" s="533"/>
      <c r="T26" s="533"/>
      <c r="U26" s="183">
        <f t="shared" si="7"/>
        <v>20141.3024</v>
      </c>
      <c r="V26" s="183"/>
      <c r="W26" s="183">
        <f t="shared" si="6"/>
        <v>231624.97759999998</v>
      </c>
      <c r="X26" s="308"/>
    </row>
    <row r="27" spans="2:24" ht="12.75" customHeight="1" x14ac:dyDescent="0.2">
      <c r="B27" s="486">
        <f>IF(ISBLANK('B8 Sch 8 CCA Bridge'!B27), "", 'B8 Sch 8 CCA Bridge'!B27)</f>
        <v>42</v>
      </c>
      <c r="C27" s="487" t="str">
        <f>IF(ISBLANK('B8 Sch 8 CCA Bridge'!C27), "", 'B8 Sch 8 CCA Bridge'!C27)</f>
        <v>Fibre Optic Cable</v>
      </c>
      <c r="D27" s="531" t="s">
        <v>310</v>
      </c>
      <c r="E27" s="510">
        <f>IF(ISBLANK('B8 Sch 8 CCA Bridge'!W27), "", 'B8 Sch 8 CCA Bridge'!W27)</f>
        <v>0</v>
      </c>
      <c r="F27" s="495"/>
      <c r="G27" s="495"/>
      <c r="H27" s="495"/>
      <c r="I27" s="495"/>
      <c r="J27" s="495"/>
      <c r="K27" s="495"/>
      <c r="L27" s="183">
        <f t="shared" si="0"/>
        <v>0</v>
      </c>
      <c r="M27" s="183">
        <f t="shared" si="1"/>
        <v>0</v>
      </c>
      <c r="N27" s="183">
        <f t="shared" si="2"/>
        <v>0</v>
      </c>
      <c r="O27" s="504">
        <v>0.5</v>
      </c>
      <c r="P27" s="183">
        <f t="shared" si="3"/>
        <v>0</v>
      </c>
      <c r="Q27" s="183">
        <f t="shared" si="4"/>
        <v>0</v>
      </c>
      <c r="R27" s="492">
        <v>0.12</v>
      </c>
      <c r="S27" s="533"/>
      <c r="T27" s="533"/>
      <c r="U27" s="183">
        <f t="shared" si="7"/>
        <v>0</v>
      </c>
      <c r="V27" s="183"/>
      <c r="W27" s="183">
        <f t="shared" si="6"/>
        <v>0</v>
      </c>
      <c r="X27" s="308"/>
    </row>
    <row r="28" spans="2:24" ht="12.75" customHeight="1" x14ac:dyDescent="0.2">
      <c r="B28" s="486">
        <f>IF(ISBLANK('B8 Sch 8 CCA Bridge'!B28), "", 'B8 Sch 8 CCA Bridge'!B28)</f>
        <v>43.1</v>
      </c>
      <c r="C28" s="487" t="str">
        <f>IF(ISBLANK('B8 Sch 8 CCA Bridge'!C28), "", 'B8 Sch 8 CCA Bridge'!C28)</f>
        <v>Certain Clean Energy/Energy-Efficient Generation Equipment</v>
      </c>
      <c r="D28" s="531" t="s">
        <v>310</v>
      </c>
      <c r="E28" s="510">
        <f>IF(ISBLANK('B8 Sch 8 CCA Bridge'!W28), "", 'B8 Sch 8 CCA Bridge'!W28)</f>
        <v>0</v>
      </c>
      <c r="F28" s="495"/>
      <c r="G28" s="495"/>
      <c r="H28" s="495"/>
      <c r="I28" s="495"/>
      <c r="J28" s="495"/>
      <c r="K28" s="495"/>
      <c r="L28" s="183">
        <f t="shared" si="0"/>
        <v>0</v>
      </c>
      <c r="M28" s="183">
        <f t="shared" si="1"/>
        <v>0</v>
      </c>
      <c r="N28" s="183">
        <f t="shared" si="2"/>
        <v>0</v>
      </c>
      <c r="O28" s="504">
        <f>(2+(1/3))</f>
        <v>2.3333333333333335</v>
      </c>
      <c r="P28" s="183">
        <f t="shared" si="3"/>
        <v>0</v>
      </c>
      <c r="Q28" s="183">
        <f t="shared" si="4"/>
        <v>0</v>
      </c>
      <c r="R28" s="492">
        <v>0.3</v>
      </c>
      <c r="S28" s="533"/>
      <c r="T28" s="533"/>
      <c r="U28" s="183">
        <f t="shared" si="7"/>
        <v>0</v>
      </c>
      <c r="V28" s="183"/>
      <c r="W28" s="183">
        <f t="shared" si="6"/>
        <v>0</v>
      </c>
      <c r="X28" s="308"/>
    </row>
    <row r="29" spans="2:24" ht="12.75" customHeight="1" x14ac:dyDescent="0.2">
      <c r="B29" s="486">
        <f>IF(ISBLANK('B8 Sch 8 CCA Bridge'!B29), "", 'B8 Sch 8 CCA Bridge'!B29)</f>
        <v>43.2</v>
      </c>
      <c r="C29" s="487" t="str">
        <f>IF(ISBLANK('B8 Sch 8 CCA Bridge'!C29), "", 'B8 Sch 8 CCA Bridge'!C29)</f>
        <v>Certain Clean Energy/Energy-Efficient Generation Equipment</v>
      </c>
      <c r="D29" s="531" t="s">
        <v>310</v>
      </c>
      <c r="E29" s="510">
        <f>IF(ISBLANK('B8 Sch 8 CCA Bridge'!W29), "", 'B8 Sch 8 CCA Bridge'!W29)</f>
        <v>0</v>
      </c>
      <c r="F29" s="495"/>
      <c r="G29" s="495"/>
      <c r="H29" s="495"/>
      <c r="I29" s="495"/>
      <c r="J29" s="495"/>
      <c r="K29" s="495"/>
      <c r="L29" s="183">
        <f t="shared" si="0"/>
        <v>0</v>
      </c>
      <c r="M29" s="183">
        <f t="shared" si="1"/>
        <v>0</v>
      </c>
      <c r="N29" s="183">
        <f t="shared" si="2"/>
        <v>0</v>
      </c>
      <c r="O29" s="504">
        <v>1</v>
      </c>
      <c r="P29" s="183">
        <f t="shared" si="3"/>
        <v>0</v>
      </c>
      <c r="Q29" s="183">
        <f t="shared" si="4"/>
        <v>0</v>
      </c>
      <c r="R29" s="492">
        <v>0.5</v>
      </c>
      <c r="S29" s="533"/>
      <c r="T29" s="533"/>
      <c r="U29" s="183">
        <f t="shared" si="7"/>
        <v>0</v>
      </c>
      <c r="V29" s="183"/>
      <c r="W29" s="183">
        <f t="shared" si="6"/>
        <v>0</v>
      </c>
      <c r="X29" s="308"/>
    </row>
    <row r="30" spans="2:24" ht="12.75" customHeight="1" x14ac:dyDescent="0.2">
      <c r="B30" s="486">
        <f>IF(ISBLANK('B8 Sch 8 CCA Bridge'!B30), "", 'B8 Sch 8 CCA Bridge'!B30)</f>
        <v>45</v>
      </c>
      <c r="C30" s="487" t="str">
        <f>IF(ISBLANK('B8 Sch 8 CCA Bridge'!C30), "", 'B8 Sch 8 CCA Bridge'!C30)</f>
        <v>Computers &amp; System Software (acq'd post Mar 22/04 and pre Mar 19/07)</v>
      </c>
      <c r="D30" s="531" t="s">
        <v>310</v>
      </c>
      <c r="E30" s="510">
        <f>IF(ISBLANK('B8 Sch 8 CCA Bridge'!W30), "", 'B8 Sch 8 CCA Bridge'!W30)</f>
        <v>58.3</v>
      </c>
      <c r="F30" s="491"/>
      <c r="G30" s="491"/>
      <c r="H30" s="495"/>
      <c r="I30" s="495"/>
      <c r="J30" s="495"/>
      <c r="K30" s="495"/>
      <c r="L30" s="183">
        <f t="shared" si="0"/>
        <v>58.3</v>
      </c>
      <c r="M30" s="183">
        <f t="shared" si="1"/>
        <v>0</v>
      </c>
      <c r="N30" s="183">
        <f t="shared" si="2"/>
        <v>0</v>
      </c>
      <c r="O30" s="504"/>
      <c r="P30" s="183">
        <f t="shared" si="3"/>
        <v>0</v>
      </c>
      <c r="Q30" s="183">
        <f t="shared" si="4"/>
        <v>0</v>
      </c>
      <c r="R30" s="492">
        <v>0.45</v>
      </c>
      <c r="S30" s="533"/>
      <c r="T30" s="533"/>
      <c r="U30" s="183">
        <f t="shared" si="7"/>
        <v>26.234999999999999</v>
      </c>
      <c r="V30" s="183"/>
      <c r="W30" s="183">
        <f t="shared" si="6"/>
        <v>32.064999999999998</v>
      </c>
      <c r="X30" s="308"/>
    </row>
    <row r="31" spans="2:24" ht="12.75" customHeight="1" x14ac:dyDescent="0.2">
      <c r="B31" s="486">
        <f>IF(ISBLANK('B8 Sch 8 CCA Bridge'!B31), "", 'B8 Sch 8 CCA Bridge'!B31)</f>
        <v>46</v>
      </c>
      <c r="C31" s="487" t="str">
        <f>IF(ISBLANK('B8 Sch 8 CCA Bridge'!C31), "", 'B8 Sch 8 CCA Bridge'!C31)</f>
        <v>Data Network Infrastructure Equipment (acq'd post Mar 22/04)</v>
      </c>
      <c r="D31" s="531" t="s">
        <v>310</v>
      </c>
      <c r="E31" s="510">
        <f>IF(ISBLANK('B8 Sch 8 CCA Bridge'!W31), "", 'B8 Sch 8 CCA Bridge'!W31)</f>
        <v>0</v>
      </c>
      <c r="F31" s="495"/>
      <c r="G31" s="495"/>
      <c r="H31" s="495"/>
      <c r="I31" s="495"/>
      <c r="J31" s="495"/>
      <c r="K31" s="495"/>
      <c r="L31" s="183">
        <f t="shared" si="0"/>
        <v>0</v>
      </c>
      <c r="M31" s="183">
        <f t="shared" si="1"/>
        <v>0</v>
      </c>
      <c r="N31" s="183">
        <f t="shared" si="2"/>
        <v>0</v>
      </c>
      <c r="O31" s="504">
        <v>0.5</v>
      </c>
      <c r="P31" s="183">
        <f t="shared" si="3"/>
        <v>0</v>
      </c>
      <c r="Q31" s="183">
        <f t="shared" si="4"/>
        <v>0</v>
      </c>
      <c r="R31" s="492">
        <v>0.3</v>
      </c>
      <c r="S31" s="533"/>
      <c r="T31" s="533"/>
      <c r="U31" s="183">
        <f t="shared" si="7"/>
        <v>0</v>
      </c>
      <c r="V31" s="183"/>
      <c r="W31" s="183">
        <f t="shared" si="6"/>
        <v>0</v>
      </c>
      <c r="X31" s="308"/>
    </row>
    <row r="32" spans="2:24" x14ac:dyDescent="0.2">
      <c r="B32" s="486">
        <f>IF(ISBLANK('B8 Sch 8 CCA Bridge'!B32), "", 'B8 Sch 8 CCA Bridge'!B32)</f>
        <v>47</v>
      </c>
      <c r="C32" s="487" t="str">
        <f>IF(ISBLANK('B8 Sch 8 CCA Bridge'!C32), "", 'B8 Sch 8 CCA Bridge'!C32)</f>
        <v>Distribution System (acq'd post Feb 22/05)</v>
      </c>
      <c r="D32" s="531" t="s">
        <v>310</v>
      </c>
      <c r="E32" s="510">
        <f>IF(ISBLANK('B8 Sch 8 CCA Bridge'!W32), "", 'B8 Sch 8 CCA Bridge'!W32)</f>
        <v>42533368.970399998</v>
      </c>
      <c r="F32" s="495">
        <v>4552288</v>
      </c>
      <c r="G32" s="495">
        <v>4552288</v>
      </c>
      <c r="H32" s="495"/>
      <c r="I32" s="495"/>
      <c r="J32" s="495"/>
      <c r="K32" s="495"/>
      <c r="L32" s="183">
        <f t="shared" si="0"/>
        <v>47085656.970399998</v>
      </c>
      <c r="M32" s="183">
        <f t="shared" si="1"/>
        <v>0</v>
      </c>
      <c r="N32" s="183">
        <f t="shared" si="2"/>
        <v>4552288</v>
      </c>
      <c r="O32" s="504">
        <v>0.5</v>
      </c>
      <c r="P32" s="183">
        <f t="shared" si="3"/>
        <v>2276144</v>
      </c>
      <c r="Q32" s="183">
        <f t="shared" si="4"/>
        <v>0</v>
      </c>
      <c r="R32" s="492">
        <v>0.08</v>
      </c>
      <c r="S32" s="533"/>
      <c r="T32" s="533"/>
      <c r="U32" s="183">
        <f t="shared" si="7"/>
        <v>3948944.0776319997</v>
      </c>
      <c r="V32" s="183"/>
      <c r="W32" s="183">
        <f t="shared" si="6"/>
        <v>43136712.892767996</v>
      </c>
      <c r="X32" s="308"/>
    </row>
    <row r="33" spans="2:31" x14ac:dyDescent="0.2">
      <c r="B33" s="486">
        <f>IF(ISBLANK('B8 Sch 8 CCA Bridge'!B33), "", 'B8 Sch 8 CCA Bridge'!B33)</f>
        <v>50</v>
      </c>
      <c r="C33" s="487" t="str">
        <f>IF(ISBLANK('B8 Sch 8 CCA Bridge'!C33), "", 'B8 Sch 8 CCA Bridge'!C33)</f>
        <v>General Purpose Computer Hardware &amp; Software (acq'd post Mar 18/07)</v>
      </c>
      <c r="D33" s="531" t="s">
        <v>310</v>
      </c>
      <c r="E33" s="510">
        <f>IF(ISBLANK('B8 Sch 8 CCA Bridge'!W33), "", 'B8 Sch 8 CCA Bridge'!W33)</f>
        <v>140351.01675000001</v>
      </c>
      <c r="F33" s="495">
        <v>233150</v>
      </c>
      <c r="G33" s="495">
        <v>233150</v>
      </c>
      <c r="H33" s="495"/>
      <c r="I33" s="495"/>
      <c r="J33" s="495"/>
      <c r="K33" s="495"/>
      <c r="L33" s="183">
        <f t="shared" si="0"/>
        <v>373501.01675000001</v>
      </c>
      <c r="M33" s="183">
        <f t="shared" si="1"/>
        <v>0</v>
      </c>
      <c r="N33" s="183">
        <f t="shared" si="2"/>
        <v>233150</v>
      </c>
      <c r="O33" s="504">
        <v>0.5</v>
      </c>
      <c r="P33" s="183">
        <f t="shared" si="3"/>
        <v>116575</v>
      </c>
      <c r="Q33" s="183">
        <f t="shared" si="4"/>
        <v>0</v>
      </c>
      <c r="R33" s="492">
        <v>0.55000000000000004</v>
      </c>
      <c r="S33" s="533"/>
      <c r="T33" s="533"/>
      <c r="U33" s="183">
        <f t="shared" si="7"/>
        <v>269541.80921250005</v>
      </c>
      <c r="V33" s="183"/>
      <c r="W33" s="183">
        <f t="shared" si="6"/>
        <v>103959.20753749995</v>
      </c>
      <c r="X33" s="308"/>
    </row>
    <row r="34" spans="2:31" x14ac:dyDescent="0.2">
      <c r="B34" s="486">
        <f>IF(ISBLANK('B8 Sch 8 CCA Bridge'!B34), "", 'B8 Sch 8 CCA Bridge'!B34)</f>
        <v>95</v>
      </c>
      <c r="C34" s="487" t="str">
        <f>IF(ISBLANK('B8 Sch 8 CCA Bridge'!C34), "", 'B8 Sch 8 CCA Bridge'!C34)</f>
        <v>CWIP</v>
      </c>
      <c r="D34" s="531" t="s">
        <v>310</v>
      </c>
      <c r="E34" s="510">
        <f>IF(ISBLANK('B8 Sch 8 CCA Bridge'!W34), "", 'B8 Sch 8 CCA Bridge'!W34)</f>
        <v>2927195.76</v>
      </c>
      <c r="F34" s="495">
        <v>229450</v>
      </c>
      <c r="G34" s="495">
        <v>229450</v>
      </c>
      <c r="H34" s="495"/>
      <c r="I34" s="495"/>
      <c r="J34" s="495"/>
      <c r="K34" s="495"/>
      <c r="L34" s="183">
        <f t="shared" si="0"/>
        <v>3156645.76</v>
      </c>
      <c r="M34" s="183">
        <f t="shared" si="1"/>
        <v>0</v>
      </c>
      <c r="N34" s="183">
        <f t="shared" si="2"/>
        <v>229450</v>
      </c>
      <c r="O34" s="504">
        <v>0</v>
      </c>
      <c r="P34" s="183">
        <f t="shared" si="3"/>
        <v>0</v>
      </c>
      <c r="Q34" s="183">
        <f t="shared" si="4"/>
        <v>0</v>
      </c>
      <c r="R34" s="492">
        <v>0</v>
      </c>
      <c r="S34" s="533"/>
      <c r="T34" s="533"/>
      <c r="U34" s="183">
        <f t="shared" si="7"/>
        <v>0</v>
      </c>
      <c r="V34" s="183"/>
      <c r="W34" s="183">
        <f t="shared" si="6"/>
        <v>3156645.76</v>
      </c>
      <c r="X34" s="308"/>
    </row>
    <row r="35" spans="2:31" x14ac:dyDescent="0.2">
      <c r="B35" s="488"/>
      <c r="C35" s="489"/>
      <c r="D35" s="531" t="s">
        <v>310</v>
      </c>
      <c r="E35" s="510">
        <f>IF(ISBLANK('B8 Sch 8 CCA Bridge'!W35), "", 'B8 Sch 8 CCA Bridge'!W35)</f>
        <v>0</v>
      </c>
      <c r="F35" s="495"/>
      <c r="G35" s="495"/>
      <c r="H35" s="495"/>
      <c r="I35" s="495"/>
      <c r="J35" s="495"/>
      <c r="K35" s="495"/>
      <c r="L35" s="183">
        <f t="shared" si="0"/>
        <v>0</v>
      </c>
      <c r="M35" s="183">
        <f t="shared" si="1"/>
        <v>0</v>
      </c>
      <c r="N35" s="183">
        <f t="shared" si="2"/>
        <v>0</v>
      </c>
      <c r="O35" s="504"/>
      <c r="P35" s="502">
        <f t="shared" si="3"/>
        <v>0</v>
      </c>
      <c r="Q35" s="183">
        <f t="shared" si="4"/>
        <v>0</v>
      </c>
      <c r="R35" s="493">
        <v>0.04</v>
      </c>
      <c r="S35" s="533"/>
      <c r="T35" s="533"/>
      <c r="U35" s="470">
        <f>(L35+Q35)*R35</f>
        <v>0</v>
      </c>
      <c r="V35" s="183"/>
      <c r="W35" s="183">
        <f t="shared" si="6"/>
        <v>0</v>
      </c>
    </row>
    <row r="36" spans="2:31" x14ac:dyDescent="0.2">
      <c r="B36" s="488"/>
      <c r="C36" s="489"/>
      <c r="D36" s="531" t="s">
        <v>310</v>
      </c>
      <c r="E36" s="510">
        <f>IF(ISBLANK('B8 Sch 8 CCA Bridge'!W36), "", 'B8 Sch 8 CCA Bridge'!W36)</f>
        <v>0</v>
      </c>
      <c r="F36" s="495"/>
      <c r="G36" s="495"/>
      <c r="H36" s="495"/>
      <c r="I36" s="495"/>
      <c r="J36" s="495"/>
      <c r="K36" s="495"/>
      <c r="L36" s="183">
        <f t="shared" si="0"/>
        <v>0</v>
      </c>
      <c r="M36" s="183">
        <f t="shared" si="1"/>
        <v>0</v>
      </c>
      <c r="N36" s="183">
        <f t="shared" si="2"/>
        <v>0</v>
      </c>
      <c r="O36" s="504"/>
      <c r="P36" s="502">
        <f t="shared" si="3"/>
        <v>0</v>
      </c>
      <c r="Q36" s="183">
        <f t="shared" si="4"/>
        <v>0</v>
      </c>
      <c r="R36" s="493">
        <v>0.06</v>
      </c>
      <c r="S36" s="533"/>
      <c r="T36" s="533"/>
      <c r="U36" s="470">
        <f t="shared" ref="U36:U41" si="8">(L36+Q36)*R36</f>
        <v>0</v>
      </c>
      <c r="V36" s="183"/>
      <c r="W36" s="183">
        <f t="shared" si="6"/>
        <v>0</v>
      </c>
    </row>
    <row r="37" spans="2:31" x14ac:dyDescent="0.2">
      <c r="B37" s="488"/>
      <c r="C37" s="489"/>
      <c r="D37" s="531" t="s">
        <v>310</v>
      </c>
      <c r="E37" s="510">
        <f>IF(ISBLANK('B8 Sch 8 CCA Bridge'!W37), "", 'B8 Sch 8 CCA Bridge'!W37)</f>
        <v>0</v>
      </c>
      <c r="F37" s="495"/>
      <c r="G37" s="495"/>
      <c r="H37" s="495"/>
      <c r="I37" s="495"/>
      <c r="J37" s="495"/>
      <c r="K37" s="495"/>
      <c r="L37" s="183">
        <f t="shared" si="0"/>
        <v>0</v>
      </c>
      <c r="M37" s="183">
        <f t="shared" si="1"/>
        <v>0</v>
      </c>
      <c r="N37" s="183">
        <f t="shared" si="2"/>
        <v>0</v>
      </c>
      <c r="O37" s="504"/>
      <c r="P37" s="502">
        <f t="shared" si="3"/>
        <v>0</v>
      </c>
      <c r="Q37" s="183">
        <f t="shared" si="4"/>
        <v>0</v>
      </c>
      <c r="R37" s="493">
        <v>0.2</v>
      </c>
      <c r="S37" s="533"/>
      <c r="T37" s="533"/>
      <c r="U37" s="470">
        <f t="shared" si="8"/>
        <v>0</v>
      </c>
      <c r="V37" s="183"/>
      <c r="W37" s="183">
        <f t="shared" si="6"/>
        <v>0</v>
      </c>
    </row>
    <row r="38" spans="2:31" x14ac:dyDescent="0.2">
      <c r="B38" s="488"/>
      <c r="C38" s="489"/>
      <c r="D38" s="531" t="s">
        <v>310</v>
      </c>
      <c r="E38" s="510">
        <f>IF(ISBLANK('B8 Sch 8 CCA Bridge'!W38), "", 'B8 Sch 8 CCA Bridge'!W38)</f>
        <v>0</v>
      </c>
      <c r="F38" s="495"/>
      <c r="G38" s="495"/>
      <c r="H38" s="495"/>
      <c r="I38" s="495"/>
      <c r="J38" s="495"/>
      <c r="K38" s="495"/>
      <c r="L38" s="183">
        <f t="shared" si="0"/>
        <v>0</v>
      </c>
      <c r="M38" s="183">
        <f t="shared" si="1"/>
        <v>0</v>
      </c>
      <c r="N38" s="183">
        <f t="shared" si="2"/>
        <v>0</v>
      </c>
      <c r="O38" s="504"/>
      <c r="P38" s="502">
        <f t="shared" si="3"/>
        <v>0</v>
      </c>
      <c r="Q38" s="183">
        <f t="shared" si="4"/>
        <v>0</v>
      </c>
      <c r="R38" s="493">
        <v>0.3</v>
      </c>
      <c r="S38" s="533"/>
      <c r="T38" s="533"/>
      <c r="U38" s="470">
        <f t="shared" si="8"/>
        <v>0</v>
      </c>
      <c r="V38" s="183"/>
      <c r="W38" s="183">
        <f t="shared" si="6"/>
        <v>0</v>
      </c>
    </row>
    <row r="39" spans="2:31" x14ac:dyDescent="0.2">
      <c r="B39" s="488"/>
      <c r="C39" s="489"/>
      <c r="D39" s="531" t="s">
        <v>310</v>
      </c>
      <c r="E39" s="510">
        <f>IF(ISBLANK('B8 Sch 8 CCA Bridge'!W39), "", 'B8 Sch 8 CCA Bridge'!W39)</f>
        <v>0</v>
      </c>
      <c r="F39" s="495"/>
      <c r="G39" s="495"/>
      <c r="H39" s="495"/>
      <c r="I39" s="495"/>
      <c r="J39" s="495"/>
      <c r="K39" s="495"/>
      <c r="L39" s="183">
        <f t="shared" si="0"/>
        <v>0</v>
      </c>
      <c r="M39" s="183">
        <f t="shared" si="1"/>
        <v>0</v>
      </c>
      <c r="N39" s="183">
        <f t="shared" si="2"/>
        <v>0</v>
      </c>
      <c r="O39" s="504"/>
      <c r="P39" s="502">
        <f t="shared" si="3"/>
        <v>0</v>
      </c>
      <c r="Q39" s="183">
        <f t="shared" si="4"/>
        <v>0</v>
      </c>
      <c r="R39" s="493">
        <v>0.45</v>
      </c>
      <c r="S39" s="533"/>
      <c r="T39" s="533"/>
      <c r="U39" s="470">
        <f t="shared" si="8"/>
        <v>0</v>
      </c>
      <c r="V39" s="183"/>
      <c r="W39" s="183">
        <f t="shared" si="6"/>
        <v>0</v>
      </c>
    </row>
    <row r="40" spans="2:31" x14ac:dyDescent="0.2">
      <c r="B40" s="488"/>
      <c r="C40" s="489"/>
      <c r="D40" s="531" t="s">
        <v>310</v>
      </c>
      <c r="E40" s="510">
        <f>IF(ISBLANK('B8 Sch 8 CCA Bridge'!W40), "", 'B8 Sch 8 CCA Bridge'!W40)</f>
        <v>0</v>
      </c>
      <c r="F40" s="495"/>
      <c r="G40" s="495"/>
      <c r="H40" s="495"/>
      <c r="I40" s="495"/>
      <c r="J40" s="495"/>
      <c r="K40" s="495"/>
      <c r="L40" s="183">
        <f t="shared" si="0"/>
        <v>0</v>
      </c>
      <c r="M40" s="183">
        <f t="shared" si="1"/>
        <v>0</v>
      </c>
      <c r="N40" s="183">
        <f t="shared" si="2"/>
        <v>0</v>
      </c>
      <c r="O40" s="504"/>
      <c r="P40" s="502">
        <f t="shared" si="3"/>
        <v>0</v>
      </c>
      <c r="Q40" s="183">
        <f t="shared" si="4"/>
        <v>0</v>
      </c>
      <c r="R40" s="493">
        <v>0.08</v>
      </c>
      <c r="S40" s="533"/>
      <c r="T40" s="533"/>
      <c r="U40" s="470">
        <f>(L40+Q40)*R40</f>
        <v>0</v>
      </c>
      <c r="V40" s="183"/>
      <c r="W40" s="183">
        <f t="shared" si="6"/>
        <v>0</v>
      </c>
    </row>
    <row r="41" spans="2:31" x14ac:dyDescent="0.2">
      <c r="B41" s="488"/>
      <c r="C41" s="489"/>
      <c r="D41" s="531" t="s">
        <v>310</v>
      </c>
      <c r="E41" s="510">
        <f>IF(ISBLANK('B8 Sch 8 CCA Bridge'!W41), "", 'B8 Sch 8 CCA Bridge'!W41)</f>
        <v>0</v>
      </c>
      <c r="F41" s="495"/>
      <c r="G41" s="495"/>
      <c r="H41" s="495"/>
      <c r="I41" s="495"/>
      <c r="J41" s="495"/>
      <c r="K41" s="495"/>
      <c r="L41" s="183">
        <f t="shared" si="0"/>
        <v>0</v>
      </c>
      <c r="M41" s="183">
        <f t="shared" si="1"/>
        <v>0</v>
      </c>
      <c r="N41" s="183">
        <f t="shared" si="2"/>
        <v>0</v>
      </c>
      <c r="O41" s="504"/>
      <c r="P41" s="502">
        <f t="shared" si="3"/>
        <v>0</v>
      </c>
      <c r="Q41" s="183">
        <f t="shared" si="4"/>
        <v>0</v>
      </c>
      <c r="R41" s="493">
        <v>0.55000000000000004</v>
      </c>
      <c r="S41" s="533"/>
      <c r="T41" s="533"/>
      <c r="U41" s="470">
        <f t="shared" si="8"/>
        <v>0</v>
      </c>
      <c r="V41" s="183"/>
      <c r="W41" s="183">
        <f t="shared" si="6"/>
        <v>0</v>
      </c>
    </row>
    <row r="42" spans="2:31" ht="13.5" thickBot="1" x14ac:dyDescent="0.25">
      <c r="B42" s="488"/>
      <c r="C42" s="489"/>
      <c r="D42" s="531" t="s">
        <v>310</v>
      </c>
      <c r="E42" s="510">
        <f>IF(ISBLANK('B8 Sch 8 CCA Bridge'!W42), "", 'B8 Sch 8 CCA Bridge'!W42)</f>
        <v>0</v>
      </c>
      <c r="F42" s="495"/>
      <c r="G42" s="495"/>
      <c r="H42" s="495"/>
      <c r="I42" s="495"/>
      <c r="J42" s="495"/>
      <c r="K42" s="495"/>
      <c r="L42" s="183">
        <f>IFERROR(E42+F42+H42-K42,"")</f>
        <v>0</v>
      </c>
      <c r="M42" s="183">
        <f t="shared" si="1"/>
        <v>0</v>
      </c>
      <c r="N42" s="183">
        <f t="shared" si="2"/>
        <v>0</v>
      </c>
      <c r="O42" s="504"/>
      <c r="P42" s="502">
        <f t="shared" si="3"/>
        <v>0</v>
      </c>
      <c r="Q42" s="183">
        <f t="shared" si="4"/>
        <v>0</v>
      </c>
      <c r="R42" s="493"/>
      <c r="S42" s="533"/>
      <c r="T42" s="533"/>
      <c r="U42" s="470"/>
      <c r="V42" s="183"/>
      <c r="W42" s="183">
        <f t="shared" si="6"/>
        <v>0</v>
      </c>
    </row>
    <row r="43" spans="2:31" ht="13.5" thickBot="1" x14ac:dyDescent="0.25">
      <c r="B43" s="490"/>
      <c r="C43" s="33" t="s">
        <v>420</v>
      </c>
      <c r="D43" s="291"/>
      <c r="E43" s="273">
        <f>SUM(E10:E42)</f>
        <v>69556586.109150007</v>
      </c>
      <c r="F43" s="273">
        <f>SUM(F10:F42)</f>
        <v>5390629</v>
      </c>
      <c r="G43" s="273">
        <f>SUM(G10:G42)</f>
        <v>5390629</v>
      </c>
      <c r="H43" s="273">
        <f>SUM(H10:H42)</f>
        <v>0</v>
      </c>
      <c r="I43" s="273">
        <f t="shared" ref="I43:J43" si="9">SUM(I10:I42)</f>
        <v>0</v>
      </c>
      <c r="J43" s="273">
        <f t="shared" si="9"/>
        <v>0</v>
      </c>
      <c r="K43" s="273">
        <f>SUM(K10:K42)</f>
        <v>0</v>
      </c>
      <c r="L43" s="273">
        <f t="shared" ref="L43:N43" si="10">SUM(L10:L42)</f>
        <v>74947215.109149992</v>
      </c>
      <c r="M43" s="273">
        <f t="shared" si="10"/>
        <v>0</v>
      </c>
      <c r="N43" s="273">
        <f t="shared" si="10"/>
        <v>5390629</v>
      </c>
      <c r="O43" s="273"/>
      <c r="P43" s="273">
        <f t="shared" ref="P43:Q43" si="11">SUM(P10:P42)</f>
        <v>2580589.5</v>
      </c>
      <c r="Q43" s="273">
        <f t="shared" si="11"/>
        <v>0</v>
      </c>
      <c r="R43" s="274"/>
      <c r="S43" s="503">
        <f>SUM(S10:S42)</f>
        <v>0</v>
      </c>
      <c r="T43" s="503">
        <f>SUM(T10:T42)</f>
        <v>0</v>
      </c>
      <c r="U43" s="503">
        <f>SUM(U10:U42)</f>
        <v>5537060.1714444999</v>
      </c>
      <c r="V43" s="548" t="s">
        <v>303</v>
      </c>
      <c r="W43" s="275">
        <f>SUM(W10:W42)</f>
        <v>69410154.937705502</v>
      </c>
    </row>
    <row r="44" spans="2:31" x14ac:dyDescent="0.2">
      <c r="D44" s="249"/>
    </row>
    <row r="45" spans="2:31" x14ac:dyDescent="0.2">
      <c r="B45" s="610" t="s">
        <v>473</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row>
    <row r="46" spans="2:31" x14ac:dyDescent="0.2">
      <c r="B46" s="611" t="s">
        <v>439</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row>
  </sheetData>
  <sheetProtection algorithmName="SHA-512" hashValue="+aJO9VjJ21nNOGDUH2G/J5Ys6lE8s6AsyBXyX/u9Zij+rR2EWYnV6PslU/eoApQk674uVYfsXGuHhKx+FWL5pw==" saltValue="YirAQmtPEV5Pmtda2nK9Ag==" spinCount="100000" sheet="1" objects="1" scenarios="1"/>
  <mergeCells count="6">
    <mergeCell ref="B1:E1"/>
    <mergeCell ref="B45:AE45"/>
    <mergeCell ref="B46:AE46"/>
    <mergeCell ref="B2:Q2"/>
    <mergeCell ref="B3:Q3"/>
    <mergeCell ref="B4:Q4"/>
  </mergeCells>
  <phoneticPr fontId="3" type="noConversion"/>
  <conditionalFormatting sqref="B15:C18 B23:C23 C19:C22 B10:K10 B26:C42 B11:C12 E11:K11 E30 E12 E26:G29 E15:K23 E31:K42">
    <cfRule type="expression" dxfId="0" priority="20" stopIfTrue="1">
      <formula>LEN(B10)&gt;0</formula>
    </cfRule>
  </conditionalFormatting>
  <conditionalFormatting sqref="B14:C14 E14:K14">
    <cfRule type="expression" dxfId="19" priority="19" stopIfTrue="1">
      <formula>LEN(B14)&gt;0</formula>
    </cfRule>
  </conditionalFormatting>
  <conditionalFormatting sqref="B13:C13 E13">
    <cfRule type="expression" dxfId="18" priority="18" stopIfTrue="1">
      <formula>LEN(B13)&gt;0</formula>
    </cfRule>
  </conditionalFormatting>
  <conditionalFormatting sqref="B24 E24">
    <cfRule type="expression" dxfId="17" priority="17" stopIfTrue="1">
      <formula>LEN(B24)&gt;0</formula>
    </cfRule>
  </conditionalFormatting>
  <conditionalFormatting sqref="B25 E25:G25">
    <cfRule type="expression" dxfId="16" priority="16" stopIfTrue="1">
      <formula>LEN(B25)&gt;0</formula>
    </cfRule>
  </conditionalFormatting>
  <conditionalFormatting sqref="C24:C25">
    <cfRule type="expression" dxfId="15" priority="15" stopIfTrue="1">
      <formula>LEN(C24)&gt;0</formula>
    </cfRule>
  </conditionalFormatting>
  <conditionalFormatting sqref="F12:F13">
    <cfRule type="expression" dxfId="14" priority="14" stopIfTrue="1">
      <formula>LEN(F12)&gt;0</formula>
    </cfRule>
  </conditionalFormatting>
  <conditionalFormatting sqref="G12:G13">
    <cfRule type="expression" dxfId="13" priority="13" stopIfTrue="1">
      <formula>LEN(G12)&gt;0</formula>
    </cfRule>
  </conditionalFormatting>
  <conditionalFormatting sqref="F24:G24">
    <cfRule type="expression" dxfId="12" priority="12" stopIfTrue="1">
      <formula>LEN(F24)&gt;0</formula>
    </cfRule>
  </conditionalFormatting>
  <conditionalFormatting sqref="F30:G30">
    <cfRule type="expression" dxfId="11" priority="11" stopIfTrue="1">
      <formula>LEN(F30)&gt;0</formula>
    </cfRule>
  </conditionalFormatting>
  <conditionalFormatting sqref="H12:K13">
    <cfRule type="expression" dxfId="10" priority="10" stopIfTrue="1">
      <formula>LEN(H12)&gt;0</formula>
    </cfRule>
  </conditionalFormatting>
  <conditionalFormatting sqref="H24:K30">
    <cfRule type="expression" dxfId="9" priority="9" stopIfTrue="1">
      <formula>LEN(H24)&gt;0</formula>
    </cfRule>
  </conditionalFormatting>
  <conditionalFormatting sqref="O35:O42">
    <cfRule type="expression" dxfId="8" priority="7" stopIfTrue="1">
      <formula>ISBLANK(O35)</formula>
    </cfRule>
  </conditionalFormatting>
  <conditionalFormatting sqref="R24:R25 R34:R42 T35:T42">
    <cfRule type="expression" dxfId="7" priority="5" stopIfTrue="1">
      <formula>ISBLANK(R24)</formula>
    </cfRule>
  </conditionalFormatting>
  <conditionalFormatting sqref="P35:P42">
    <cfRule type="expression" dxfId="6" priority="4" stopIfTrue="1">
      <formula>ISBLANK(P35)</formula>
    </cfRule>
  </conditionalFormatting>
  <conditionalFormatting sqref="D11:D42">
    <cfRule type="expression" dxfId="5" priority="2" stopIfTrue="1">
      <formula>LEN(D11)&gt;0</formula>
    </cfRule>
  </conditionalFormatting>
  <conditionalFormatting sqref="S35:S42">
    <cfRule type="expression" dxfId="4" priority="1" stopIfTrue="1">
      <formula>ISBLANK(S35)</formula>
    </cfRule>
  </conditionalFormatting>
  <hyperlinks>
    <hyperlink ref="D10" location="'B8 Sch 8 CCA Bridge'!A1" display="B8" xr:uid="{00000000-0004-0000-1300-000000000000}"/>
    <hyperlink ref="V43" location="'T1 Sch 1 Taxable Income Test'!A1" display="T1" xr:uid="{00000000-0004-0000-1300-000001000000}"/>
    <hyperlink ref="B46" r:id="rId1" xr:uid="{00000000-0004-0000-1300-000002000000}"/>
    <hyperlink ref="D11:D42" location="'B8 Sch 8 CCA Bridge'!A1" display="B8" xr:uid="{00000000-0004-0000-1300-000003000000}"/>
  </hyperlinks>
  <pageMargins left="0.35433070866141703" right="0.15748031496063" top="0.39370078740157499" bottom="0.39370078740157499" header="0.511811023622047" footer="0.511811023622047"/>
  <pageSetup scale="80" orientation="landscape" r:id="rId2"/>
  <headerFooter alignWithMargins="0"/>
  <ignoredErrors>
    <ignoredError sqref="P35:P42" unlockedFormula="1"/>
    <ignoredError sqref="E10 W43" evalError="1"/>
  </ignoredErrors>
  <drawing r:id="rId3"/>
  <legacy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N44"/>
  <sheetViews>
    <sheetView tabSelected="1" topLeftCell="B4" zoomScale="96" zoomScaleNormal="96" workbookViewId="0">
      <selection activeCell="M31" sqref="M31"/>
    </sheetView>
  </sheetViews>
  <sheetFormatPr defaultColWidth="9.140625" defaultRowHeight="12.75" x14ac:dyDescent="0.2"/>
  <cols>
    <col min="1" max="1" width="3.42578125" style="9" customWidth="1"/>
    <col min="2" max="2" width="3.85546875" style="9" customWidth="1"/>
    <col min="3" max="3" width="56.42578125" style="9" customWidth="1"/>
    <col min="4" max="4" width="17.140625" style="9" customWidth="1"/>
    <col min="5" max="7" width="18.140625" style="9" customWidth="1"/>
    <col min="8" max="8" width="5.85546875" style="9" customWidth="1"/>
    <col min="9" max="11" width="18.140625" style="9" customWidth="1"/>
    <col min="12" max="12" width="5.85546875" style="9" customWidth="1"/>
    <col min="13" max="14" width="18.140625" style="9" customWidth="1"/>
    <col min="15" max="16384" width="9.140625" style="9"/>
  </cols>
  <sheetData>
    <row r="1" spans="1:14" ht="21.75" x14ac:dyDescent="0.2">
      <c r="A1" s="218"/>
      <c r="C1" s="440"/>
      <c r="D1" s="440"/>
    </row>
    <row r="2" spans="1:14" ht="30" customHeight="1" x14ac:dyDescent="0.25">
      <c r="C2" s="566"/>
      <c r="D2" s="566"/>
      <c r="E2" s="566"/>
      <c r="F2" s="566"/>
      <c r="G2" s="566"/>
      <c r="H2" s="566"/>
      <c r="I2" s="566"/>
      <c r="J2" s="566"/>
      <c r="K2" s="566"/>
      <c r="L2" s="441"/>
    </row>
    <row r="3" spans="1:14" ht="30" customHeight="1" x14ac:dyDescent="0.25">
      <c r="C3" s="566"/>
      <c r="D3" s="566"/>
      <c r="E3" s="566"/>
      <c r="F3" s="566"/>
      <c r="G3" s="566"/>
      <c r="H3" s="566"/>
      <c r="I3" s="566"/>
      <c r="J3" s="566"/>
      <c r="K3" s="566"/>
      <c r="L3" s="441"/>
    </row>
    <row r="4" spans="1:14" ht="18" x14ac:dyDescent="0.25">
      <c r="C4" s="566"/>
      <c r="D4" s="566"/>
      <c r="E4" s="566"/>
      <c r="F4" s="566"/>
      <c r="G4" s="566"/>
      <c r="H4" s="566"/>
      <c r="I4" s="566"/>
      <c r="J4" s="566"/>
      <c r="K4" s="566"/>
      <c r="L4" s="441"/>
    </row>
    <row r="5" spans="1:14" ht="40.5" customHeight="1" x14ac:dyDescent="0.2"/>
    <row r="7" spans="1:14" ht="20.25" x14ac:dyDescent="0.3">
      <c r="C7" s="266" t="s">
        <v>270</v>
      </c>
      <c r="D7" s="266"/>
    </row>
    <row r="8" spans="1:14" ht="23.25" x14ac:dyDescent="0.35">
      <c r="C8" s="198"/>
      <c r="D8" s="198"/>
    </row>
    <row r="9" spans="1:14" ht="18.75" thickBot="1" x14ac:dyDescent="0.25">
      <c r="C9" s="277" t="s">
        <v>262</v>
      </c>
      <c r="D9" s="277"/>
      <c r="F9" s="40"/>
      <c r="G9" s="40"/>
      <c r="H9" s="40"/>
      <c r="I9" s="40"/>
      <c r="J9" s="40"/>
      <c r="K9" s="41"/>
      <c r="L9" s="41"/>
      <c r="M9" s="41"/>
      <c r="N9" s="41"/>
    </row>
    <row r="10" spans="1:14" ht="13.5" thickBot="1" x14ac:dyDescent="0.25">
      <c r="C10" s="42"/>
      <c r="D10" s="42"/>
      <c r="E10" s="40"/>
      <c r="F10" s="40"/>
      <c r="G10" s="40"/>
      <c r="H10" s="40"/>
      <c r="I10" s="613" t="s">
        <v>229</v>
      </c>
      <c r="J10" s="614"/>
      <c r="K10" s="41"/>
      <c r="L10" s="41"/>
      <c r="M10" s="41"/>
      <c r="N10" s="41"/>
    </row>
    <row r="11" spans="1:14" ht="27.75" thickBot="1" x14ac:dyDescent="0.25">
      <c r="C11" s="43" t="s">
        <v>79</v>
      </c>
      <c r="D11" s="310" t="s">
        <v>311</v>
      </c>
      <c r="E11" s="44" t="s">
        <v>228</v>
      </c>
      <c r="F11" s="45" t="s">
        <v>474</v>
      </c>
      <c r="G11" s="46" t="s">
        <v>166</v>
      </c>
      <c r="H11" s="331"/>
      <c r="I11" s="44" t="s">
        <v>77</v>
      </c>
      <c r="J11" s="44" t="s">
        <v>81</v>
      </c>
      <c r="K11" s="46" t="s">
        <v>230</v>
      </c>
      <c r="L11" s="329"/>
      <c r="M11" s="43" t="s">
        <v>82</v>
      </c>
      <c r="N11" s="46" t="s">
        <v>83</v>
      </c>
    </row>
    <row r="12" spans="1:14" x14ac:dyDescent="0.2">
      <c r="C12" s="155"/>
      <c r="D12" s="311"/>
      <c r="E12" s="156"/>
      <c r="F12" s="47"/>
      <c r="G12" s="47"/>
      <c r="H12" s="47"/>
      <c r="I12" s="47"/>
      <c r="J12" s="48"/>
      <c r="K12" s="156"/>
      <c r="L12" s="156"/>
      <c r="M12" s="156"/>
      <c r="N12" s="157"/>
    </row>
    <row r="13" spans="1:14" x14ac:dyDescent="0.2">
      <c r="C13" s="118" t="s">
        <v>84</v>
      </c>
      <c r="D13" s="318" t="s">
        <v>312</v>
      </c>
      <c r="E13" s="49">
        <f>'B13 Sch 13 Reserves Bridge'!K13</f>
        <v>0</v>
      </c>
      <c r="F13" s="281"/>
      <c r="G13" s="50">
        <f>SUM(E13:F13)</f>
        <v>0</v>
      </c>
      <c r="H13" s="50"/>
      <c r="I13" s="281"/>
      <c r="J13" s="281"/>
      <c r="K13" s="49">
        <f>G13+I13-J13</f>
        <v>0</v>
      </c>
      <c r="L13" s="49"/>
      <c r="M13" s="49">
        <f>+K13-G13</f>
        <v>0</v>
      </c>
      <c r="N13" s="281"/>
    </row>
    <row r="14" spans="1:14" x14ac:dyDescent="0.2">
      <c r="C14" s="158" t="s">
        <v>85</v>
      </c>
      <c r="D14" s="445"/>
      <c r="E14" s="615"/>
      <c r="F14" s="616"/>
      <c r="G14" s="616"/>
      <c r="H14" s="616"/>
      <c r="I14" s="616"/>
      <c r="J14" s="616"/>
      <c r="K14" s="616"/>
      <c r="L14" s="616"/>
      <c r="M14" s="616"/>
      <c r="N14" s="617"/>
    </row>
    <row r="15" spans="1:14" x14ac:dyDescent="0.2">
      <c r="C15" s="120" t="s">
        <v>86</v>
      </c>
      <c r="D15" s="318" t="s">
        <v>312</v>
      </c>
      <c r="E15" s="49">
        <f>'B13 Sch 13 Reserves Bridge'!K15</f>
        <v>186376.28000000003</v>
      </c>
      <c r="F15" s="281"/>
      <c r="G15" s="51">
        <f t="shared" ref="G15:G21" si="0">SUM(E15:F15)</f>
        <v>186376.28000000003</v>
      </c>
      <c r="H15" s="51"/>
      <c r="I15" s="281">
        <v>200000</v>
      </c>
      <c r="J15" s="281">
        <v>201842</v>
      </c>
      <c r="K15" s="49">
        <f t="shared" ref="K15:K21" si="1">G15+I15-J15</f>
        <v>184534.28000000003</v>
      </c>
      <c r="L15" s="49"/>
      <c r="M15" s="49">
        <f t="shared" ref="M15:M21" si="2">+K15-G15</f>
        <v>-1842</v>
      </c>
      <c r="N15" s="281"/>
    </row>
    <row r="16" spans="1:14" x14ac:dyDescent="0.2">
      <c r="C16" s="118" t="s">
        <v>87</v>
      </c>
      <c r="D16" s="318" t="s">
        <v>312</v>
      </c>
      <c r="E16" s="49">
        <f>'B13 Sch 13 Reserves Bridge'!K16</f>
        <v>0</v>
      </c>
      <c r="F16" s="281"/>
      <c r="G16" s="50">
        <f t="shared" si="0"/>
        <v>0</v>
      </c>
      <c r="H16" s="50"/>
      <c r="I16" s="281"/>
      <c r="J16" s="281"/>
      <c r="K16" s="49">
        <f t="shared" si="1"/>
        <v>0</v>
      </c>
      <c r="L16" s="49"/>
      <c r="M16" s="49">
        <f t="shared" si="2"/>
        <v>0</v>
      </c>
      <c r="N16" s="281"/>
    </row>
    <row r="17" spans="3:14" x14ac:dyDescent="0.2">
      <c r="C17" s="118" t="s">
        <v>88</v>
      </c>
      <c r="D17" s="318" t="s">
        <v>312</v>
      </c>
      <c r="E17" s="49">
        <f>'B13 Sch 13 Reserves Bridge'!K17</f>
        <v>0</v>
      </c>
      <c r="F17" s="281"/>
      <c r="G17" s="50">
        <f t="shared" si="0"/>
        <v>0</v>
      </c>
      <c r="H17" s="50"/>
      <c r="I17" s="281"/>
      <c r="J17" s="281"/>
      <c r="K17" s="49">
        <f t="shared" si="1"/>
        <v>0</v>
      </c>
      <c r="L17" s="49"/>
      <c r="M17" s="49">
        <f t="shared" si="2"/>
        <v>0</v>
      </c>
      <c r="N17" s="281"/>
    </row>
    <row r="18" spans="3:14" x14ac:dyDescent="0.2">
      <c r="C18" s="118" t="s">
        <v>89</v>
      </c>
      <c r="D18" s="318" t="s">
        <v>312</v>
      </c>
      <c r="E18" s="49">
        <f>'B13 Sch 13 Reserves Bridge'!K18</f>
        <v>0</v>
      </c>
      <c r="F18" s="281"/>
      <c r="G18" s="50">
        <f t="shared" si="0"/>
        <v>0</v>
      </c>
      <c r="H18" s="50"/>
      <c r="I18" s="281"/>
      <c r="J18" s="281"/>
      <c r="K18" s="49">
        <f t="shared" si="1"/>
        <v>0</v>
      </c>
      <c r="L18" s="49"/>
      <c r="M18" s="49">
        <f t="shared" si="2"/>
        <v>0</v>
      </c>
      <c r="N18" s="281"/>
    </row>
    <row r="19" spans="3:14" x14ac:dyDescent="0.2">
      <c r="C19" s="118" t="s">
        <v>90</v>
      </c>
      <c r="D19" s="318" t="s">
        <v>312</v>
      </c>
      <c r="E19" s="49">
        <f>'B13 Sch 13 Reserves Bridge'!K19</f>
        <v>0</v>
      </c>
      <c r="F19" s="281"/>
      <c r="G19" s="50">
        <f t="shared" si="0"/>
        <v>0</v>
      </c>
      <c r="H19" s="50"/>
      <c r="I19" s="281"/>
      <c r="J19" s="281"/>
      <c r="K19" s="49">
        <f t="shared" si="1"/>
        <v>0</v>
      </c>
      <c r="L19" s="49"/>
      <c r="M19" s="49">
        <f t="shared" si="2"/>
        <v>0</v>
      </c>
      <c r="N19" s="281"/>
    </row>
    <row r="20" spans="3:14" x14ac:dyDescent="0.2">
      <c r="C20" s="278" t="s">
        <v>510</v>
      </c>
      <c r="D20" s="313"/>
      <c r="E20" s="49">
        <f>'B13 Sch 13 Reserves Bridge'!K20</f>
        <v>4590171</v>
      </c>
      <c r="F20" s="281"/>
      <c r="G20" s="50">
        <f t="shared" si="0"/>
        <v>4590171</v>
      </c>
      <c r="H20" s="50"/>
      <c r="I20" s="281">
        <v>-28735.277499999997</v>
      </c>
      <c r="J20" s="281"/>
      <c r="K20" s="49">
        <f t="shared" si="1"/>
        <v>4561435.7225000001</v>
      </c>
      <c r="L20" s="49"/>
      <c r="M20" s="49">
        <f t="shared" si="2"/>
        <v>-28735.277499999851</v>
      </c>
      <c r="N20" s="281"/>
    </row>
    <row r="21" spans="3:14" ht="16.5" thickBot="1" x14ac:dyDescent="0.25">
      <c r="C21" s="279" t="s">
        <v>511</v>
      </c>
      <c r="D21" s="314"/>
      <c r="E21" s="49">
        <f>'B13 Sch 13 Reserves Bridge'!K21</f>
        <v>237900</v>
      </c>
      <c r="F21" s="281"/>
      <c r="G21" s="50">
        <f t="shared" si="0"/>
        <v>237900</v>
      </c>
      <c r="H21" s="50"/>
      <c r="I21" s="281">
        <v>4700</v>
      </c>
      <c r="J21" s="281"/>
      <c r="K21" s="49">
        <f t="shared" si="1"/>
        <v>242600</v>
      </c>
      <c r="L21" s="49"/>
      <c r="M21" s="49">
        <f t="shared" si="2"/>
        <v>4700</v>
      </c>
      <c r="N21" s="281"/>
    </row>
    <row r="22" spans="3:14" ht="19.5" thickBot="1" x14ac:dyDescent="0.25">
      <c r="C22" s="54" t="s">
        <v>3</v>
      </c>
      <c r="D22" s="315"/>
      <c r="E22" s="55">
        <f t="shared" ref="E22:M22" si="3">SUM(E15:E21)</f>
        <v>5014447.28</v>
      </c>
      <c r="F22" s="55">
        <f t="shared" si="3"/>
        <v>0</v>
      </c>
      <c r="G22" s="55">
        <f t="shared" si="3"/>
        <v>5014447.28</v>
      </c>
      <c r="H22" s="332" t="s">
        <v>303</v>
      </c>
      <c r="I22" s="55">
        <f t="shared" si="3"/>
        <v>175964.7225</v>
      </c>
      <c r="J22" s="55">
        <f t="shared" si="3"/>
        <v>201842</v>
      </c>
      <c r="K22" s="55">
        <f t="shared" si="3"/>
        <v>4988570.0025000004</v>
      </c>
      <c r="L22" s="332" t="s">
        <v>303</v>
      </c>
      <c r="M22" s="55">
        <f t="shared" si="3"/>
        <v>-25877.277499999851</v>
      </c>
      <c r="N22" s="56">
        <f>SUM(N15:N21)</f>
        <v>0</v>
      </c>
    </row>
    <row r="23" spans="3:14" x14ac:dyDescent="0.2">
      <c r="C23" s="534"/>
      <c r="D23" s="535"/>
      <c r="E23" s="536">
        <v>0</v>
      </c>
      <c r="F23" s="537"/>
      <c r="G23" s="537"/>
      <c r="H23" s="537"/>
      <c r="I23" s="537"/>
      <c r="J23" s="538"/>
      <c r="K23" s="539"/>
      <c r="L23" s="539"/>
      <c r="M23" s="539"/>
      <c r="N23" s="540"/>
    </row>
    <row r="24" spans="3:14" x14ac:dyDescent="0.2">
      <c r="C24" s="158" t="s">
        <v>91</v>
      </c>
      <c r="D24" s="312"/>
      <c r="E24" s="49"/>
      <c r="F24" s="51"/>
      <c r="G24" s="51"/>
      <c r="H24" s="51"/>
      <c r="I24" s="51"/>
      <c r="J24" s="52"/>
      <c r="K24" s="53"/>
      <c r="L24" s="53"/>
      <c r="M24" s="49"/>
      <c r="N24" s="119"/>
    </row>
    <row r="25" spans="3:14" x14ac:dyDescent="0.2">
      <c r="C25" s="118" t="s">
        <v>92</v>
      </c>
      <c r="D25" s="318" t="s">
        <v>312</v>
      </c>
      <c r="E25" s="49">
        <f>'B13 Sch 13 Reserves Bridge'!K25</f>
        <v>0</v>
      </c>
      <c r="F25" s="281"/>
      <c r="G25" s="50">
        <f t="shared" ref="G25:G42" si="4">SUM(E25:F25)</f>
        <v>0</v>
      </c>
      <c r="H25" s="50"/>
      <c r="I25" s="281"/>
      <c r="J25" s="281"/>
      <c r="K25" s="49">
        <f t="shared" ref="K25:K42" si="5">G25+I25-J25</f>
        <v>0</v>
      </c>
      <c r="L25" s="49"/>
      <c r="M25" s="49">
        <f t="shared" ref="M25:M42" si="6">+K25-G25</f>
        <v>0</v>
      </c>
      <c r="N25" s="541"/>
    </row>
    <row r="26" spans="3:14" x14ac:dyDescent="0.2">
      <c r="C26" s="118" t="s">
        <v>93</v>
      </c>
      <c r="D26" s="318" t="s">
        <v>312</v>
      </c>
      <c r="E26" s="49">
        <f>'B13 Sch 13 Reserves Bridge'!K26</f>
        <v>186376.28000000003</v>
      </c>
      <c r="F26" s="281"/>
      <c r="G26" s="50">
        <f t="shared" si="4"/>
        <v>186376.28000000003</v>
      </c>
      <c r="H26" s="50"/>
      <c r="I26" s="281">
        <v>200000</v>
      </c>
      <c r="J26" s="281">
        <v>201842</v>
      </c>
      <c r="K26" s="49">
        <f t="shared" si="5"/>
        <v>184534.28000000003</v>
      </c>
      <c r="L26" s="49"/>
      <c r="M26" s="49">
        <f t="shared" si="6"/>
        <v>-1842</v>
      </c>
      <c r="N26" s="541"/>
    </row>
    <row r="27" spans="3:14" x14ac:dyDescent="0.2">
      <c r="C27" s="118" t="s">
        <v>94</v>
      </c>
      <c r="D27" s="318" t="s">
        <v>312</v>
      </c>
      <c r="E27" s="49">
        <f>'B13 Sch 13 Reserves Bridge'!K27</f>
        <v>0</v>
      </c>
      <c r="F27" s="281"/>
      <c r="G27" s="50">
        <f t="shared" si="4"/>
        <v>0</v>
      </c>
      <c r="H27" s="50"/>
      <c r="I27" s="281"/>
      <c r="J27" s="281"/>
      <c r="K27" s="49">
        <f t="shared" si="5"/>
        <v>0</v>
      </c>
      <c r="L27" s="49"/>
      <c r="M27" s="49">
        <f t="shared" si="6"/>
        <v>0</v>
      </c>
      <c r="N27" s="541"/>
    </row>
    <row r="28" spans="3:14" x14ac:dyDescent="0.2">
      <c r="C28" s="160" t="s">
        <v>95</v>
      </c>
      <c r="D28" s="318" t="s">
        <v>312</v>
      </c>
      <c r="E28" s="49">
        <f>'B13 Sch 13 Reserves Bridge'!K28</f>
        <v>0</v>
      </c>
      <c r="F28" s="281"/>
      <c r="G28" s="50">
        <f t="shared" si="4"/>
        <v>0</v>
      </c>
      <c r="H28" s="50"/>
      <c r="I28" s="281"/>
      <c r="J28" s="281"/>
      <c r="K28" s="49">
        <f t="shared" si="5"/>
        <v>0</v>
      </c>
      <c r="L28" s="49"/>
      <c r="M28" s="49">
        <f t="shared" si="6"/>
        <v>0</v>
      </c>
      <c r="N28" s="541"/>
    </row>
    <row r="29" spans="3:14" x14ac:dyDescent="0.2">
      <c r="C29" s="160" t="s">
        <v>96</v>
      </c>
      <c r="D29" s="318" t="s">
        <v>312</v>
      </c>
      <c r="E29" s="49">
        <f>'B13 Sch 13 Reserves Bridge'!K29</f>
        <v>0</v>
      </c>
      <c r="F29" s="281"/>
      <c r="G29" s="50">
        <f t="shared" si="4"/>
        <v>0</v>
      </c>
      <c r="H29" s="50"/>
      <c r="I29" s="281"/>
      <c r="J29" s="281"/>
      <c r="K29" s="49">
        <f t="shared" si="5"/>
        <v>0</v>
      </c>
      <c r="L29" s="49"/>
      <c r="M29" s="49">
        <f t="shared" si="6"/>
        <v>0</v>
      </c>
      <c r="N29" s="541"/>
    </row>
    <row r="30" spans="3:14" x14ac:dyDescent="0.2">
      <c r="C30" s="160" t="s">
        <v>97</v>
      </c>
      <c r="D30" s="318" t="s">
        <v>312</v>
      </c>
      <c r="E30" s="49">
        <f>'B13 Sch 13 Reserves Bridge'!K30</f>
        <v>0</v>
      </c>
      <c r="F30" s="281"/>
      <c r="G30" s="50">
        <f t="shared" si="4"/>
        <v>0</v>
      </c>
      <c r="H30" s="50"/>
      <c r="I30" s="281"/>
      <c r="J30" s="281"/>
      <c r="K30" s="49">
        <f t="shared" si="5"/>
        <v>0</v>
      </c>
      <c r="L30" s="49"/>
      <c r="M30" s="49">
        <f t="shared" si="6"/>
        <v>0</v>
      </c>
      <c r="N30" s="541"/>
    </row>
    <row r="31" spans="3:14" x14ac:dyDescent="0.2">
      <c r="C31" s="160" t="s">
        <v>98</v>
      </c>
      <c r="D31" s="318" t="s">
        <v>312</v>
      </c>
      <c r="E31" s="49">
        <f>'B13 Sch 13 Reserves Bridge'!K31</f>
        <v>0</v>
      </c>
      <c r="F31" s="281"/>
      <c r="G31" s="50">
        <f t="shared" si="4"/>
        <v>0</v>
      </c>
      <c r="H31" s="50"/>
      <c r="I31" s="281"/>
      <c r="J31" s="281"/>
      <c r="K31" s="49">
        <f t="shared" si="5"/>
        <v>0</v>
      </c>
      <c r="L31" s="49"/>
      <c r="M31" s="49">
        <f t="shared" si="6"/>
        <v>0</v>
      </c>
      <c r="N31" s="541"/>
    </row>
    <row r="32" spans="3:14" x14ac:dyDescent="0.2">
      <c r="C32" s="160" t="s">
        <v>99</v>
      </c>
      <c r="D32" s="318" t="s">
        <v>312</v>
      </c>
      <c r="E32" s="49">
        <f>'B13 Sch 13 Reserves Bridge'!K32</f>
        <v>0</v>
      </c>
      <c r="F32" s="281"/>
      <c r="G32" s="50">
        <f t="shared" si="4"/>
        <v>0</v>
      </c>
      <c r="H32" s="50"/>
      <c r="I32" s="281"/>
      <c r="J32" s="281"/>
      <c r="K32" s="49">
        <f t="shared" si="5"/>
        <v>0</v>
      </c>
      <c r="L32" s="49"/>
      <c r="M32" s="49">
        <f t="shared" si="6"/>
        <v>0</v>
      </c>
      <c r="N32" s="541"/>
    </row>
    <row r="33" spans="3:14" x14ac:dyDescent="0.2">
      <c r="C33" s="118" t="s">
        <v>100</v>
      </c>
      <c r="D33" s="318" t="s">
        <v>312</v>
      </c>
      <c r="E33" s="49">
        <f>'B13 Sch 13 Reserves Bridge'!K33</f>
        <v>0</v>
      </c>
      <c r="F33" s="281"/>
      <c r="G33" s="50">
        <f t="shared" si="4"/>
        <v>0</v>
      </c>
      <c r="H33" s="50"/>
      <c r="I33" s="281"/>
      <c r="J33" s="281"/>
      <c r="K33" s="49">
        <f t="shared" si="5"/>
        <v>0</v>
      </c>
      <c r="L33" s="49"/>
      <c r="M33" s="49">
        <f t="shared" si="6"/>
        <v>0</v>
      </c>
      <c r="N33" s="541"/>
    </row>
    <row r="34" spans="3:14" x14ac:dyDescent="0.2">
      <c r="C34" s="118" t="s">
        <v>101</v>
      </c>
      <c r="D34" s="318" t="s">
        <v>312</v>
      </c>
      <c r="E34" s="49">
        <f>'B13 Sch 13 Reserves Bridge'!K34</f>
        <v>0</v>
      </c>
      <c r="F34" s="281"/>
      <c r="G34" s="50">
        <f t="shared" si="4"/>
        <v>0</v>
      </c>
      <c r="H34" s="50"/>
      <c r="I34" s="281"/>
      <c r="J34" s="281"/>
      <c r="K34" s="49">
        <f t="shared" si="5"/>
        <v>0</v>
      </c>
      <c r="L34" s="49"/>
      <c r="M34" s="49">
        <f t="shared" si="6"/>
        <v>0</v>
      </c>
      <c r="N34" s="541"/>
    </row>
    <row r="35" spans="3:14" x14ac:dyDescent="0.2">
      <c r="C35" s="118" t="s">
        <v>102</v>
      </c>
      <c r="D35" s="318" t="s">
        <v>312</v>
      </c>
      <c r="E35" s="49">
        <f>'B13 Sch 13 Reserves Bridge'!K35</f>
        <v>0</v>
      </c>
      <c r="F35" s="281"/>
      <c r="G35" s="50">
        <f t="shared" si="4"/>
        <v>0</v>
      </c>
      <c r="H35" s="50"/>
      <c r="I35" s="281"/>
      <c r="J35" s="281"/>
      <c r="K35" s="49">
        <f t="shared" si="5"/>
        <v>0</v>
      </c>
      <c r="L35" s="49"/>
      <c r="M35" s="49">
        <f t="shared" si="6"/>
        <v>0</v>
      </c>
      <c r="N35" s="541"/>
    </row>
    <row r="36" spans="3:14" x14ac:dyDescent="0.2">
      <c r="C36" s="118" t="s">
        <v>103</v>
      </c>
      <c r="D36" s="318" t="s">
        <v>312</v>
      </c>
      <c r="E36" s="49">
        <f>'B13 Sch 13 Reserves Bridge'!K36</f>
        <v>0</v>
      </c>
      <c r="F36" s="281"/>
      <c r="G36" s="50">
        <f t="shared" si="4"/>
        <v>0</v>
      </c>
      <c r="H36" s="50"/>
      <c r="I36" s="281"/>
      <c r="J36" s="281"/>
      <c r="K36" s="49">
        <f t="shared" si="5"/>
        <v>0</v>
      </c>
      <c r="L36" s="49"/>
      <c r="M36" s="49">
        <f t="shared" si="6"/>
        <v>0</v>
      </c>
      <c r="N36" s="541"/>
    </row>
    <row r="37" spans="3:14" x14ac:dyDescent="0.2">
      <c r="C37" s="118" t="s">
        <v>104</v>
      </c>
      <c r="D37" s="318" t="s">
        <v>312</v>
      </c>
      <c r="E37" s="49">
        <f>'B13 Sch 13 Reserves Bridge'!K37</f>
        <v>0</v>
      </c>
      <c r="F37" s="281"/>
      <c r="G37" s="50">
        <f t="shared" si="4"/>
        <v>0</v>
      </c>
      <c r="H37" s="50"/>
      <c r="I37" s="281"/>
      <c r="J37" s="281"/>
      <c r="K37" s="49">
        <f t="shared" si="5"/>
        <v>0</v>
      </c>
      <c r="L37" s="49"/>
      <c r="M37" s="49">
        <f t="shared" si="6"/>
        <v>0</v>
      </c>
      <c r="N37" s="541"/>
    </row>
    <row r="38" spans="3:14" ht="15.75" customHeight="1" x14ac:dyDescent="0.2">
      <c r="C38" s="118" t="s">
        <v>105</v>
      </c>
      <c r="D38" s="318" t="s">
        <v>312</v>
      </c>
      <c r="E38" s="49">
        <f>'B13 Sch 13 Reserves Bridge'!K38</f>
        <v>0</v>
      </c>
      <c r="F38" s="281"/>
      <c r="G38" s="50">
        <f t="shared" si="4"/>
        <v>0</v>
      </c>
      <c r="H38" s="50"/>
      <c r="I38" s="281"/>
      <c r="J38" s="281"/>
      <c r="K38" s="49">
        <f t="shared" si="5"/>
        <v>0</v>
      </c>
      <c r="L38" s="49"/>
      <c r="M38" s="49">
        <f t="shared" si="6"/>
        <v>0</v>
      </c>
      <c r="N38" s="541"/>
    </row>
    <row r="39" spans="3:14" ht="24" x14ac:dyDescent="0.2">
      <c r="C39" s="118" t="s">
        <v>106</v>
      </c>
      <c r="D39" s="318" t="s">
        <v>312</v>
      </c>
      <c r="E39" s="49">
        <f>'B13 Sch 13 Reserves Bridge'!K39</f>
        <v>0</v>
      </c>
      <c r="F39" s="281"/>
      <c r="G39" s="50">
        <f t="shared" si="4"/>
        <v>0</v>
      </c>
      <c r="H39" s="50"/>
      <c r="I39" s="281"/>
      <c r="J39" s="281"/>
      <c r="K39" s="49">
        <f t="shared" si="5"/>
        <v>0</v>
      </c>
      <c r="L39" s="49"/>
      <c r="M39" s="49">
        <f t="shared" si="6"/>
        <v>0</v>
      </c>
      <c r="N39" s="541"/>
    </row>
    <row r="40" spans="3:14" x14ac:dyDescent="0.2">
      <c r="C40" s="118" t="s">
        <v>107</v>
      </c>
      <c r="D40" s="318" t="s">
        <v>312</v>
      </c>
      <c r="E40" s="49">
        <f>'B13 Sch 13 Reserves Bridge'!K40</f>
        <v>0</v>
      </c>
      <c r="F40" s="281"/>
      <c r="G40" s="50">
        <f t="shared" si="4"/>
        <v>0</v>
      </c>
      <c r="H40" s="50"/>
      <c r="I40" s="281"/>
      <c r="J40" s="281"/>
      <c r="K40" s="49">
        <f t="shared" si="5"/>
        <v>0</v>
      </c>
      <c r="L40" s="49"/>
      <c r="M40" s="49">
        <f t="shared" si="6"/>
        <v>0</v>
      </c>
      <c r="N40" s="541"/>
    </row>
    <row r="41" spans="3:14" x14ac:dyDescent="0.2">
      <c r="C41" s="278" t="s">
        <v>510</v>
      </c>
      <c r="D41" s="313"/>
      <c r="E41" s="49">
        <f>'B13 Sch 13 Reserves Bridge'!K41</f>
        <v>4590171</v>
      </c>
      <c r="F41" s="281"/>
      <c r="G41" s="50">
        <f t="shared" si="4"/>
        <v>4590171</v>
      </c>
      <c r="H41" s="50"/>
      <c r="I41" s="281">
        <v>-28735.277499999997</v>
      </c>
      <c r="J41" s="281"/>
      <c r="K41" s="49">
        <f t="shared" si="5"/>
        <v>4561435.7225000001</v>
      </c>
      <c r="L41" s="49"/>
      <c r="M41" s="49">
        <f t="shared" si="6"/>
        <v>-28735.277499999851</v>
      </c>
      <c r="N41" s="541"/>
    </row>
    <row r="42" spans="3:14" ht="13.5" thickBot="1" x14ac:dyDescent="0.25">
      <c r="C42" s="542" t="s">
        <v>511</v>
      </c>
      <c r="D42" s="543"/>
      <c r="E42" s="544">
        <f>'B13 Sch 13 Reserves Bridge'!K42</f>
        <v>237900</v>
      </c>
      <c r="F42" s="546"/>
      <c r="G42" s="545">
        <f t="shared" si="4"/>
        <v>237900</v>
      </c>
      <c r="H42" s="545"/>
      <c r="I42" s="546">
        <v>4700</v>
      </c>
      <c r="J42" s="546"/>
      <c r="K42" s="544">
        <f t="shared" si="5"/>
        <v>242600</v>
      </c>
      <c r="L42" s="544"/>
      <c r="M42" s="544">
        <f t="shared" si="6"/>
        <v>4700</v>
      </c>
      <c r="N42" s="547"/>
    </row>
    <row r="43" spans="3:14" ht="19.5" thickBot="1" x14ac:dyDescent="0.25">
      <c r="C43" s="54" t="s">
        <v>108</v>
      </c>
      <c r="D43" s="315"/>
      <c r="E43" s="61">
        <f t="shared" ref="E43:N43" si="7">SUM(E25:E42)</f>
        <v>5014447.28</v>
      </c>
      <c r="F43" s="61">
        <f t="shared" si="7"/>
        <v>0</v>
      </c>
      <c r="G43" s="61">
        <f t="shared" si="7"/>
        <v>5014447.28</v>
      </c>
      <c r="H43" s="332" t="s">
        <v>303</v>
      </c>
      <c r="I43" s="61">
        <f t="shared" si="7"/>
        <v>175964.7225</v>
      </c>
      <c r="J43" s="61">
        <f t="shared" si="7"/>
        <v>201842</v>
      </c>
      <c r="K43" s="61">
        <f t="shared" si="7"/>
        <v>4988570.0025000004</v>
      </c>
      <c r="L43" s="332" t="s">
        <v>303</v>
      </c>
      <c r="M43" s="61">
        <f t="shared" si="7"/>
        <v>-25877.277499999851</v>
      </c>
      <c r="N43" s="62">
        <f t="shared" si="7"/>
        <v>0</v>
      </c>
    </row>
    <row r="44" spans="3:14" ht="15.75" x14ac:dyDescent="0.2">
      <c r="C44" s="63"/>
      <c r="D44" s="63"/>
      <c r="E44" s="64">
        <v>0</v>
      </c>
      <c r="F44" s="65"/>
      <c r="G44" s="65"/>
      <c r="H44" s="65"/>
      <c r="I44" s="65"/>
      <c r="J44" s="66"/>
      <c r="K44" s="67"/>
      <c r="L44" s="67"/>
      <c r="M44" s="67"/>
      <c r="N44" s="67"/>
    </row>
  </sheetData>
  <sheetProtection algorithmName="SHA-512" hashValue="d0E/Jjc4HvhIePZqtPuriscgWEW3YT5UXgQvH3UAWU6KA4rRzE1/qKhiza1oBpu/r1eMZBWNHIoacgJdPhMWMA==" saltValue="ENY5muWAXflsq+qtZARTKw==" spinCount="100000" sheet="1" objects="1" scenarios="1"/>
  <mergeCells count="5">
    <mergeCell ref="E14:N14"/>
    <mergeCell ref="I10:J10"/>
    <mergeCell ref="C2:K2"/>
    <mergeCell ref="C3:K3"/>
    <mergeCell ref="C4:K4"/>
  </mergeCells>
  <phoneticPr fontId="3" type="noConversion"/>
  <conditionalFormatting sqref="E22">
    <cfRule type="cellIs" dxfId="3" priority="1" stopIfTrue="1" operator="notEqual">
      <formula>#REF!</formula>
    </cfRule>
  </conditionalFormatting>
  <conditionalFormatting sqref="E43">
    <cfRule type="cellIs" dxfId="2" priority="2" stopIfTrue="1" operator="notEqual">
      <formula>#REF!</formula>
    </cfRule>
  </conditionalFormatting>
  <conditionalFormatting sqref="E15:E21 E13 E25:E42">
    <cfRule type="cellIs" dxfId="1" priority="3" stopIfTrue="1" operator="lessThan">
      <formula>0</formula>
    </cfRule>
  </conditionalFormatting>
  <hyperlinks>
    <hyperlink ref="D13" location="'B13 Sch 13 Reserves Bridge'!A1" display="B13" xr:uid="{00000000-0004-0000-1400-000000000000}"/>
    <hyperlink ref="H22" location="'T1 Sch 1 Taxable Income Test'!A1" display="T1" xr:uid="{00000000-0004-0000-1400-000001000000}"/>
    <hyperlink ref="D15:D19" location="'B13 Sch 13 Reserves Bridge'!A1" display="B13" xr:uid="{00000000-0004-0000-1400-000002000000}"/>
    <hyperlink ref="D25:D40" location="'B13 Sch 13 Reserves Bridge'!A1" display="B13" xr:uid="{00000000-0004-0000-1400-000003000000}"/>
    <hyperlink ref="L22" location="'T1 Sch 1 Taxable Income Test'!A1" display="T1" xr:uid="{00000000-0004-0000-1400-000004000000}"/>
    <hyperlink ref="H43" location="'T1 Sch 1 Taxable Income Test'!A1" display="T1" xr:uid="{00000000-0004-0000-1400-000005000000}"/>
    <hyperlink ref="L43" location="'T1 Sch 1 Taxable Income Test'!A1" display="T1" xr:uid="{00000000-0004-0000-1400-000006000000}"/>
  </hyperlinks>
  <pageMargins left="0.35433070866141736" right="0.35433070866141736" top="0.39370078740157483" bottom="0.39370078740157483" header="0.51181102362204722" footer="0.51181102362204722"/>
  <pageSetup scale="63"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FE40017-D1F7-42F3-85E5-889A79B1DFC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42</vt:i4>
      </vt:variant>
    </vt:vector>
  </HeadingPairs>
  <TitlesOfParts>
    <vt:vector size="63" baseType="lpstr">
      <vt:lpstr>1. Info and Instructions</vt:lpstr>
      <vt:lpstr>Table of Contents</vt:lpstr>
      <vt:lpstr>S. Summary </vt:lpstr>
      <vt:lpstr>S1. Integrity Checks</vt:lpstr>
      <vt:lpstr>A. Data Input Sheet</vt:lpstr>
      <vt:lpstr>B. Tax Rates &amp; Exemptions</vt:lpstr>
      <vt:lpstr>H0 PILs,Tax Provision Hist</vt:lpstr>
      <vt:lpstr>H1 Sch 1 Taxable Income Hist</vt:lpstr>
      <vt:lpstr>H4 Sch 4 Loss Cfwd Hist</vt:lpstr>
      <vt:lpstr>H8 Sch 8 CCA Hist</vt:lpstr>
      <vt:lpstr>H13 Sch 13 Reserves Hist</vt:lpstr>
      <vt:lpstr>B0 PILs,Tax Provision Bridge</vt:lpstr>
      <vt:lpstr>B1 Sch 1 Taxable Income Bridge</vt:lpstr>
      <vt:lpstr>B4 Sch 4 Loss Cfwd Bridge</vt:lpstr>
      <vt:lpstr>B8 Sch 8 CCA Bridge</vt:lpstr>
      <vt:lpstr>B13 Sch 13 Reserves Bridge</vt:lpstr>
      <vt:lpstr>T0 PILs,Tax Provision Test</vt:lpstr>
      <vt:lpstr>T1 Sch 1 Taxable Income Test</vt:lpstr>
      <vt:lpstr>T4 Sch 4 Loss Cfwd Test</vt:lpstr>
      <vt:lpstr>T8 Sch 8 CCA Test</vt:lpstr>
      <vt:lpstr>T13 Sch 13 Reserves Test</vt:lpstr>
      <vt:lpstr>Fed_SB_Bridge</vt:lpstr>
      <vt:lpstr>Fed_SB_Test</vt:lpstr>
      <vt:lpstr>FedTax</vt:lpstr>
      <vt:lpstr>ontario_SB</vt:lpstr>
      <vt:lpstr>ontariotax</vt:lpstr>
      <vt:lpstr>'A. Data Input Sheet'!Print_Area</vt:lpstr>
      <vt:lpstr>'B. Tax Rates &amp; Exemptions'!Print_Area</vt:lpstr>
      <vt:lpstr>'B0 PILs,Tax Provision Bridge'!Print_Area</vt:lpstr>
      <vt:lpstr>'B1 Sch 1 Taxable Income Bridge'!Print_Area</vt:lpstr>
      <vt:lpstr>'B4 Sch 4 Loss Cfwd Bridge'!Print_Area</vt:lpstr>
      <vt:lpstr>'B8 Sch 8 CCA Bridge'!Print_Area</vt:lpstr>
      <vt:lpstr>'H0 PILs,Tax Provision Hist'!Print_Area</vt:lpstr>
      <vt:lpstr>'H1 Sch 1 Taxable Income Hist'!Print_Area</vt:lpstr>
      <vt:lpstr>'H13 Sch 13 Reserves Hist'!Print_Area</vt:lpstr>
      <vt:lpstr>'H4 Sch 4 Loss Cfwd Hist'!Print_Area</vt:lpstr>
      <vt:lpstr>'H8 Sch 8 CCA Hist'!Print_Area</vt:lpstr>
      <vt:lpstr>'S. Summary '!Print_Area</vt:lpstr>
      <vt:lpstr>'T0 PILs,Tax Provision Test'!Print_Area</vt:lpstr>
      <vt:lpstr>'T4 Sch 4 Loss Cfwd Test'!Print_Area</vt:lpstr>
      <vt:lpstr>'T8 Sch 8 CCA Test'!Print_Area</vt:lpstr>
      <vt:lpstr>'Table of Contents'!Print_Area</vt:lpstr>
      <vt:lpstr>'B1 Sch 1 Taxable Income Bridge'!Print_Titles</vt:lpstr>
      <vt:lpstr>ratebase</vt:lpstr>
      <vt:lpstr>Start_1</vt:lpstr>
      <vt:lpstr>Start_10</vt:lpstr>
      <vt:lpstr>Start_11</vt:lpstr>
      <vt:lpstr>Start_12</vt:lpstr>
      <vt:lpstr>Start_14</vt:lpstr>
      <vt:lpstr>Start_15</vt:lpstr>
      <vt:lpstr>Start_16</vt:lpstr>
      <vt:lpstr>Start_17</vt:lpstr>
      <vt:lpstr>Start_18</vt:lpstr>
      <vt:lpstr>Start_20</vt:lpstr>
      <vt:lpstr>Start_21</vt:lpstr>
      <vt:lpstr>Start_23</vt:lpstr>
      <vt:lpstr>Start_3</vt:lpstr>
      <vt:lpstr>'S. Summary '!Start_4</vt:lpstr>
      <vt:lpstr>Start_4</vt:lpstr>
      <vt:lpstr>Start_5</vt:lpstr>
      <vt:lpstr>Start_6</vt:lpstr>
      <vt:lpstr>Start_8</vt:lpstr>
      <vt:lpstr>Start_9</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Micheal Roth</cp:lastModifiedBy>
  <cp:lastPrinted>2019-05-22T20:19:48Z</cp:lastPrinted>
  <dcterms:created xsi:type="dcterms:W3CDTF">2009-04-07T15:39:48Z</dcterms:created>
  <dcterms:modified xsi:type="dcterms:W3CDTF">2021-05-04T14:06:26Z</dcterms:modified>
</cp:coreProperties>
</file>