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it\Dropbox\__OEB - OPG Capital Thickness\Project Work\_IRs re LEI Evidence\_Requested documents within IRs\"/>
    </mc:Choice>
  </mc:AlternateContent>
  <xr:revisionPtr revIDLastSave="0" documentId="13_ncr:1_{619F7FE6-8489-4EFD-A937-641F62E36824}" xr6:coauthVersionLast="47" xr6:coauthVersionMax="47" xr10:uidLastSave="{00000000-0000-0000-0000-000000000000}"/>
  <bookViews>
    <workbookView xWindow="-110" yWindow="-110" windowWidth="19420" windowHeight="10420" xr2:uid="{E7DF6114-0329-4DB2-B3B1-4CE26996F82A}"/>
  </bookViews>
  <sheets>
    <sheet name="1. Key financial information" sheetId="1" r:id="rId1"/>
    <sheet name="2. Estimated credit metrics" sheetId="2" r:id="rId2"/>
    <sheet name="3. Outputs" sheetId="20" r:id="rId3"/>
  </sheets>
  <externalReferences>
    <externalReference r:id="rId4"/>
  </externalReference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44349.4967939815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Model_Title">[1]Cover!$B$10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" i="1" l="1"/>
  <c r="K4" i="20"/>
  <c r="L4" i="20"/>
  <c r="M4" i="20"/>
  <c r="P4" i="20" s="1"/>
  <c r="N4" i="20"/>
  <c r="O4" i="20"/>
  <c r="U4" i="20"/>
  <c r="V4" i="20"/>
  <c r="W4" i="20"/>
  <c r="X4" i="20"/>
  <c r="Y4" i="20"/>
  <c r="Z4" i="20"/>
  <c r="K5" i="20"/>
  <c r="P5" i="20" s="1"/>
  <c r="L5" i="20"/>
  <c r="M5" i="20"/>
  <c r="N5" i="20"/>
  <c r="O5" i="20"/>
  <c r="U5" i="20"/>
  <c r="V5" i="20"/>
  <c r="W5" i="20"/>
  <c r="X5" i="20"/>
  <c r="Y5" i="20"/>
  <c r="Z5" i="20"/>
  <c r="K6" i="20"/>
  <c r="L6" i="20"/>
  <c r="M6" i="20"/>
  <c r="P6" i="20" s="1"/>
  <c r="N6" i="20"/>
  <c r="O6" i="20"/>
  <c r="U6" i="20"/>
  <c r="V6" i="20"/>
  <c r="W6" i="20"/>
  <c r="X6" i="20"/>
  <c r="Y6" i="20"/>
  <c r="Z6" i="20"/>
  <c r="K7" i="20"/>
  <c r="P7" i="20" s="1"/>
  <c r="L7" i="20"/>
  <c r="M7" i="20"/>
  <c r="N7" i="20"/>
  <c r="O7" i="20"/>
  <c r="U7" i="20"/>
  <c r="V7" i="20"/>
  <c r="W7" i="20"/>
  <c r="X7" i="20"/>
  <c r="Y7" i="20"/>
  <c r="Z7" i="20"/>
  <c r="K8" i="20"/>
  <c r="L8" i="20"/>
  <c r="M8" i="20"/>
  <c r="P8" i="20" s="1"/>
  <c r="N8" i="20"/>
  <c r="O8" i="20"/>
  <c r="U8" i="20"/>
  <c r="V8" i="20"/>
  <c r="W8" i="20"/>
  <c r="X8" i="20"/>
  <c r="Y8" i="20"/>
  <c r="Z8" i="20"/>
  <c r="K10" i="20"/>
  <c r="L10" i="20"/>
  <c r="P10" i="20" s="1"/>
  <c r="M10" i="20"/>
  <c r="N10" i="20"/>
  <c r="O10" i="20"/>
  <c r="U10" i="20"/>
  <c r="V10" i="20"/>
  <c r="W10" i="20"/>
  <c r="X10" i="20"/>
  <c r="Y10" i="20"/>
  <c r="Z10" i="20"/>
  <c r="K11" i="20"/>
  <c r="L11" i="20"/>
  <c r="M11" i="20"/>
  <c r="P11" i="20" s="1"/>
  <c r="N11" i="20"/>
  <c r="O11" i="20"/>
  <c r="U11" i="20"/>
  <c r="V11" i="20"/>
  <c r="W11" i="20"/>
  <c r="X11" i="20"/>
  <c r="Y11" i="20"/>
  <c r="Z11" i="20"/>
  <c r="K12" i="20"/>
  <c r="L12" i="20"/>
  <c r="P12" i="20" s="1"/>
  <c r="M12" i="20"/>
  <c r="N12" i="20"/>
  <c r="O12" i="20"/>
  <c r="U12" i="20"/>
  <c r="V12" i="20"/>
  <c r="W12" i="20"/>
  <c r="X12" i="20"/>
  <c r="Y12" i="20"/>
  <c r="Z12" i="20"/>
  <c r="K13" i="20"/>
  <c r="L13" i="20"/>
  <c r="M13" i="20"/>
  <c r="P13" i="20" s="1"/>
  <c r="N13" i="20"/>
  <c r="O13" i="20"/>
  <c r="U13" i="20"/>
  <c r="V13" i="20"/>
  <c r="W13" i="20"/>
  <c r="X13" i="20"/>
  <c r="Y13" i="20"/>
  <c r="Z13" i="20"/>
  <c r="K14" i="20"/>
  <c r="L14" i="20"/>
  <c r="P14" i="20" s="1"/>
  <c r="M14" i="20"/>
  <c r="N14" i="20"/>
  <c r="O14" i="20"/>
  <c r="U14" i="20"/>
  <c r="V14" i="20"/>
  <c r="W14" i="20"/>
  <c r="X14" i="20"/>
  <c r="Y14" i="20"/>
  <c r="Z14" i="20"/>
  <c r="K16" i="20"/>
  <c r="P16" i="20" s="1"/>
  <c r="P21" i="20" s="1"/>
  <c r="L16" i="20"/>
  <c r="M16" i="20"/>
  <c r="N16" i="20"/>
  <c r="O16" i="20"/>
  <c r="U16" i="20"/>
  <c r="V16" i="20"/>
  <c r="W16" i="20"/>
  <c r="X16" i="20"/>
  <c r="Y16" i="20"/>
  <c r="Z16" i="20"/>
  <c r="K17" i="20"/>
  <c r="L17" i="20"/>
  <c r="M17" i="20"/>
  <c r="N17" i="20"/>
  <c r="O17" i="20"/>
  <c r="P17" i="20"/>
  <c r="U17" i="20"/>
  <c r="V17" i="20"/>
  <c r="W17" i="20"/>
  <c r="X17" i="20"/>
  <c r="Y17" i="20"/>
  <c r="Z17" i="20"/>
  <c r="K18" i="20"/>
  <c r="P18" i="20" s="1"/>
  <c r="L18" i="20"/>
  <c r="M18" i="20"/>
  <c r="N18" i="20"/>
  <c r="O18" i="20"/>
  <c r="U18" i="20"/>
  <c r="V18" i="20"/>
  <c r="W18" i="20"/>
  <c r="X18" i="20"/>
  <c r="Y18" i="20"/>
  <c r="Z18" i="20"/>
  <c r="K19" i="20"/>
  <c r="L19" i="20"/>
  <c r="M19" i="20"/>
  <c r="N19" i="20"/>
  <c r="O19" i="20"/>
  <c r="P19" i="20"/>
  <c r="U19" i="20"/>
  <c r="V19" i="20"/>
  <c r="W19" i="20"/>
  <c r="X19" i="20"/>
  <c r="Y19" i="20"/>
  <c r="Z19" i="20"/>
  <c r="K20" i="20"/>
  <c r="P20" i="20" s="1"/>
  <c r="L20" i="20"/>
  <c r="M20" i="20"/>
  <c r="N20" i="20"/>
  <c r="O20" i="20"/>
  <c r="U20" i="20"/>
  <c r="V20" i="20"/>
  <c r="W20" i="20"/>
  <c r="X20" i="20"/>
  <c r="Y20" i="20"/>
  <c r="Z20" i="20"/>
  <c r="K22" i="20"/>
  <c r="L22" i="20"/>
  <c r="M22" i="20"/>
  <c r="N22" i="20"/>
  <c r="P22" i="20" s="1"/>
  <c r="O22" i="20"/>
  <c r="U22" i="20"/>
  <c r="V22" i="20"/>
  <c r="W22" i="20"/>
  <c r="X22" i="20"/>
  <c r="Y22" i="20"/>
  <c r="Z22" i="20"/>
  <c r="K23" i="20"/>
  <c r="P23" i="20" s="1"/>
  <c r="L23" i="20"/>
  <c r="M23" i="20"/>
  <c r="N23" i="20"/>
  <c r="O23" i="20"/>
  <c r="U23" i="20"/>
  <c r="V23" i="20"/>
  <c r="W23" i="20"/>
  <c r="X23" i="20"/>
  <c r="Y23" i="20"/>
  <c r="Z23" i="20"/>
  <c r="K24" i="20"/>
  <c r="L24" i="20"/>
  <c r="M24" i="20"/>
  <c r="N24" i="20"/>
  <c r="P24" i="20" s="1"/>
  <c r="O24" i="20"/>
  <c r="U24" i="20"/>
  <c r="V24" i="20"/>
  <c r="W24" i="20"/>
  <c r="X24" i="20"/>
  <c r="Y24" i="20"/>
  <c r="Z24" i="20"/>
  <c r="K25" i="20"/>
  <c r="P25" i="20" s="1"/>
  <c r="L25" i="20"/>
  <c r="M25" i="20"/>
  <c r="N25" i="20"/>
  <c r="O25" i="20"/>
  <c r="U25" i="20"/>
  <c r="V25" i="20"/>
  <c r="W25" i="20"/>
  <c r="X25" i="20"/>
  <c r="Y25" i="20"/>
  <c r="Z25" i="20"/>
  <c r="K26" i="20"/>
  <c r="L26" i="20"/>
  <c r="M26" i="20"/>
  <c r="N26" i="20"/>
  <c r="P26" i="20" s="1"/>
  <c r="O26" i="20"/>
  <c r="U26" i="20"/>
  <c r="V26" i="20"/>
  <c r="W26" i="20"/>
  <c r="X26" i="20"/>
  <c r="Y26" i="20"/>
  <c r="Z26" i="20"/>
  <c r="K28" i="20"/>
  <c r="P28" i="20" s="1"/>
  <c r="P33" i="20" s="1"/>
  <c r="L28" i="20"/>
  <c r="M28" i="20"/>
  <c r="N28" i="20"/>
  <c r="O28" i="20"/>
  <c r="U28" i="20"/>
  <c r="V28" i="20"/>
  <c r="W28" i="20"/>
  <c r="X28" i="20"/>
  <c r="Y28" i="20"/>
  <c r="Z28" i="20"/>
  <c r="K29" i="20"/>
  <c r="L29" i="20"/>
  <c r="M29" i="20"/>
  <c r="P29" i="20" s="1"/>
  <c r="N29" i="20"/>
  <c r="O29" i="20"/>
  <c r="U29" i="20"/>
  <c r="V29" i="20"/>
  <c r="W29" i="20"/>
  <c r="X29" i="20"/>
  <c r="Y29" i="20"/>
  <c r="Z29" i="20"/>
  <c r="K30" i="20"/>
  <c r="P30" i="20" s="1"/>
  <c r="L30" i="20"/>
  <c r="M30" i="20"/>
  <c r="N30" i="20"/>
  <c r="O30" i="20"/>
  <c r="U30" i="20"/>
  <c r="V30" i="20"/>
  <c r="W30" i="20"/>
  <c r="X30" i="20"/>
  <c r="Y30" i="20"/>
  <c r="Z30" i="20"/>
  <c r="K31" i="20"/>
  <c r="L31" i="20"/>
  <c r="M31" i="20"/>
  <c r="P31" i="20" s="1"/>
  <c r="N31" i="20"/>
  <c r="O31" i="20"/>
  <c r="U31" i="20"/>
  <c r="V31" i="20"/>
  <c r="W31" i="20"/>
  <c r="X31" i="20"/>
  <c r="Y31" i="20"/>
  <c r="Z31" i="20"/>
  <c r="K32" i="20"/>
  <c r="P32" i="20" s="1"/>
  <c r="L32" i="20"/>
  <c r="M32" i="20"/>
  <c r="N32" i="20"/>
  <c r="O32" i="20"/>
  <c r="U32" i="20"/>
  <c r="V32" i="20"/>
  <c r="W32" i="20"/>
  <c r="X32" i="20"/>
  <c r="Y32" i="20"/>
  <c r="Z32" i="20"/>
  <c r="G3" i="2"/>
  <c r="H3" i="2"/>
  <c r="I3" i="2"/>
  <c r="J3" i="2" s="1"/>
  <c r="F5" i="2"/>
  <c r="G5" i="2"/>
  <c r="H5" i="2"/>
  <c r="I5" i="2"/>
  <c r="J5" i="2"/>
  <c r="F7" i="2"/>
  <c r="F8" i="2" s="1"/>
  <c r="F16" i="2"/>
  <c r="G16" i="2"/>
  <c r="H16" i="2" s="1"/>
  <c r="I16" i="2" s="1"/>
  <c r="J16" i="2" s="1"/>
  <c r="L3" i="1"/>
  <c r="M3" i="1"/>
  <c r="N3" i="1"/>
  <c r="O3" i="1"/>
  <c r="P3" i="1" s="1"/>
  <c r="Q3" i="1" s="1"/>
  <c r="M5" i="1"/>
  <c r="M7" i="1" s="1"/>
  <c r="N6" i="1"/>
  <c r="G7" i="2" s="1"/>
  <c r="G8" i="2" s="1"/>
  <c r="L7" i="1"/>
  <c r="G36" i="1"/>
  <c r="H36" i="1"/>
  <c r="I36" i="1" s="1"/>
  <c r="G52" i="1"/>
  <c r="H52" i="1"/>
  <c r="I52" i="1"/>
  <c r="J52" i="1"/>
  <c r="L38" i="1"/>
  <c r="L40" i="1" s="1"/>
  <c r="L22" i="1" s="1"/>
  <c r="K25" i="1"/>
  <c r="K26" i="1" s="1"/>
  <c r="L25" i="1"/>
  <c r="M38" i="1"/>
  <c r="M39" i="1"/>
  <c r="M40" i="1"/>
  <c r="M22" i="1" s="1"/>
  <c r="M25" i="1"/>
  <c r="N38" i="1"/>
  <c r="N39" i="1"/>
  <c r="N40" i="1"/>
  <c r="N22" i="1" s="1"/>
  <c r="N25" i="1"/>
  <c r="O38" i="1"/>
  <c r="O39" i="1"/>
  <c r="O40" i="1"/>
  <c r="O22" i="1" s="1"/>
  <c r="O25" i="1"/>
  <c r="P38" i="1"/>
  <c r="P39" i="1"/>
  <c r="P40" i="1"/>
  <c r="P22" i="1" s="1"/>
  <c r="Q38" i="1"/>
  <c r="Q40" i="1" s="1"/>
  <c r="Q22" i="1" s="1"/>
  <c r="Q39" i="1"/>
  <c r="Q25" i="1"/>
  <c r="L20" i="1"/>
  <c r="L10" i="1" s="1"/>
  <c r="J46" i="1"/>
  <c r="K46" i="1" s="1"/>
  <c r="K15" i="1"/>
  <c r="L15" i="1"/>
  <c r="M15" i="1"/>
  <c r="N15" i="1" s="1"/>
  <c r="O15" i="1" s="1"/>
  <c r="P15" i="1" s="1"/>
  <c r="Q15" i="1" s="1"/>
  <c r="J30" i="1"/>
  <c r="J47" i="1"/>
  <c r="L26" i="1" l="1"/>
  <c r="K30" i="1"/>
  <c r="K29" i="1" s="1"/>
  <c r="L46" i="1"/>
  <c r="K47" i="1"/>
  <c r="P27" i="20"/>
  <c r="P9" i="20"/>
  <c r="J36" i="1"/>
  <c r="K36" i="1" s="1"/>
  <c r="L36" i="1" s="1"/>
  <c r="M36" i="1" s="1"/>
  <c r="N36" i="1" s="1"/>
  <c r="O36" i="1" s="1"/>
  <c r="P36" i="1" s="1"/>
  <c r="Q36" i="1" s="1"/>
  <c r="K52" i="1" a="1"/>
  <c r="K52" i="1" s="1"/>
  <c r="K51" i="1" s="1"/>
  <c r="L51" i="1" s="1"/>
  <c r="P15" i="20"/>
  <c r="N5" i="1"/>
  <c r="M20" i="1"/>
  <c r="O6" i="1"/>
  <c r="F6" i="2"/>
  <c r="N20" i="1" l="1"/>
  <c r="M10" i="1"/>
  <c r="O5" i="1"/>
  <c r="N7" i="1"/>
  <c r="G6" i="2"/>
  <c r="M26" i="1"/>
  <c r="L30" i="1"/>
  <c r="L17" i="1"/>
  <c r="M51" i="1"/>
  <c r="H7" i="2"/>
  <c r="H8" i="2" s="1"/>
  <c r="P6" i="1"/>
  <c r="M46" i="1"/>
  <c r="L47" i="1"/>
  <c r="L11" i="1" s="1"/>
  <c r="N26" i="1" l="1"/>
  <c r="M30" i="1"/>
  <c r="F19" i="2"/>
  <c r="F21" i="2" s="1"/>
  <c r="M47" i="1"/>
  <c r="M11" i="1" s="1"/>
  <c r="N46" i="1"/>
  <c r="P5" i="1"/>
  <c r="O7" i="1"/>
  <c r="H6" i="2"/>
  <c r="L29" i="1"/>
  <c r="L9" i="1"/>
  <c r="L14" i="1" s="1"/>
  <c r="I7" i="2"/>
  <c r="I8" i="2" s="1"/>
  <c r="Q6" i="1"/>
  <c r="J7" i="2" s="1"/>
  <c r="J8" i="2" s="1"/>
  <c r="M17" i="1"/>
  <c r="M8" i="1" s="1"/>
  <c r="N51" i="1"/>
  <c r="N10" i="1"/>
  <c r="O20" i="1"/>
  <c r="N47" i="1" l="1"/>
  <c r="N11" i="1" s="1"/>
  <c r="O46" i="1"/>
  <c r="P20" i="1"/>
  <c r="O10" i="1"/>
  <c r="L18" i="1"/>
  <c r="Q5" i="1"/>
  <c r="I6" i="2"/>
  <c r="P7" i="1"/>
  <c r="F15" i="2"/>
  <c r="M29" i="1"/>
  <c r="M9" i="1"/>
  <c r="F18" i="2" s="1"/>
  <c r="N17" i="1"/>
  <c r="N8" i="1" s="1"/>
  <c r="O51" i="1"/>
  <c r="L12" i="1"/>
  <c r="L13" i="1" s="1"/>
  <c r="O26" i="1"/>
  <c r="N30" i="1"/>
  <c r="G19" i="2"/>
  <c r="G21" i="2" s="1"/>
  <c r="M12" i="1" l="1"/>
  <c r="F9" i="2" s="1"/>
  <c r="F24" i="2" s="1"/>
  <c r="F25" i="2" s="1"/>
  <c r="Q7" i="1"/>
  <c r="J6" i="2"/>
  <c r="P10" i="1"/>
  <c r="Q20" i="1"/>
  <c r="N29" i="1"/>
  <c r="G15" i="2"/>
  <c r="N9" i="1"/>
  <c r="G18" i="2" s="1"/>
  <c r="P46" i="1"/>
  <c r="O47" i="1"/>
  <c r="O11" i="1" s="1"/>
  <c r="P51" i="1"/>
  <c r="O17" i="1"/>
  <c r="O8" i="1" s="1"/>
  <c r="P26" i="1"/>
  <c r="O30" i="1"/>
  <c r="H19" i="2"/>
  <c r="H21" i="2" s="1"/>
  <c r="M14" i="1"/>
  <c r="F14" i="2" s="1"/>
  <c r="F33" i="2" s="1"/>
  <c r="F34" i="2" s="1"/>
  <c r="M18" i="1"/>
  <c r="F10" i="2" s="1"/>
  <c r="F36" i="2" s="1"/>
  <c r="F37" i="2" s="1"/>
  <c r="N14" i="1" l="1"/>
  <c r="G14" i="2" s="1"/>
  <c r="G33" i="2" s="1"/>
  <c r="G34" i="2" s="1"/>
  <c r="M13" i="1"/>
  <c r="F13" i="2" s="1"/>
  <c r="F30" i="2" s="1"/>
  <c r="F31" i="2" s="1"/>
  <c r="N12" i="1"/>
  <c r="N13" i="1" s="1"/>
  <c r="G13" i="2" s="1"/>
  <c r="N18" i="1"/>
  <c r="G10" i="2" s="1"/>
  <c r="G36" i="2" s="1"/>
  <c r="G37" i="2" s="1"/>
  <c r="H15" i="2"/>
  <c r="O29" i="1"/>
  <c r="O9" i="1"/>
  <c r="H18" i="2" s="1"/>
  <c r="Q51" i="1"/>
  <c r="Q17" i="1" s="1"/>
  <c r="P17" i="1"/>
  <c r="P8" i="1" s="1"/>
  <c r="Q8" i="1"/>
  <c r="Q26" i="1"/>
  <c r="P30" i="1"/>
  <c r="I19" i="2"/>
  <c r="I21" i="2" s="1"/>
  <c r="Q46" i="1"/>
  <c r="Q47" i="1" s="1"/>
  <c r="Q11" i="1" s="1"/>
  <c r="P47" i="1"/>
  <c r="P11" i="1" s="1"/>
  <c r="Q10" i="1"/>
  <c r="F27" i="2" l="1"/>
  <c r="F28" i="2" s="1"/>
  <c r="G9" i="2"/>
  <c r="G24" i="2" s="1"/>
  <c r="G25" i="2" s="1"/>
  <c r="O14" i="1"/>
  <c r="H14" i="2" s="1"/>
  <c r="H33" i="2" s="1"/>
  <c r="H34" i="2" s="1"/>
  <c r="O12" i="1"/>
  <c r="H9" i="2" s="1"/>
  <c r="H24" i="2" s="1"/>
  <c r="H25" i="2" s="1"/>
  <c r="O18" i="1"/>
  <c r="H10" i="2" s="1"/>
  <c r="H36" i="2" s="1"/>
  <c r="H37" i="2" s="1"/>
  <c r="I15" i="2"/>
  <c r="P29" i="1"/>
  <c r="P9" i="1"/>
  <c r="I18" i="2" s="1"/>
  <c r="G27" i="2"/>
  <c r="G28" i="2" s="1"/>
  <c r="G30" i="2"/>
  <c r="G31" i="2" s="1"/>
  <c r="Q30" i="1"/>
  <c r="J19" i="2"/>
  <c r="J21" i="2" s="1"/>
  <c r="P12" i="1" l="1"/>
  <c r="I9" i="2" s="1"/>
  <c r="I24" i="2" s="1"/>
  <c r="I25" i="2" s="1"/>
  <c r="O13" i="1"/>
  <c r="H13" i="2" s="1"/>
  <c r="H27" i="2" s="1"/>
  <c r="H28" i="2" s="1"/>
  <c r="J15" i="2"/>
  <c r="Q29" i="1"/>
  <c r="Q9" i="1"/>
  <c r="P14" i="1"/>
  <c r="I14" i="2" s="1"/>
  <c r="I33" i="2" s="1"/>
  <c r="I34" i="2" s="1"/>
  <c r="P18" i="1"/>
  <c r="I10" i="2" s="1"/>
  <c r="I36" i="2" s="1"/>
  <c r="I37" i="2" s="1"/>
  <c r="P13" i="1" l="1"/>
  <c r="I13" i="2" s="1"/>
  <c r="I30" i="2" s="1"/>
  <c r="I31" i="2" s="1"/>
  <c r="H30" i="2"/>
  <c r="H31" i="2" s="1"/>
  <c r="J18" i="2"/>
  <c r="Q12" i="1"/>
  <c r="Q14" i="1"/>
  <c r="J14" i="2" s="1"/>
  <c r="J33" i="2" s="1"/>
  <c r="J34" i="2" s="1"/>
  <c r="Q18" i="1"/>
  <c r="J10" i="2" s="1"/>
  <c r="I27" i="2" l="1"/>
  <c r="I28" i="2" s="1"/>
  <c r="J36" i="2"/>
  <c r="J37" i="2" s="1"/>
  <c r="J9" i="2"/>
  <c r="J24" i="2" s="1"/>
  <c r="J25" i="2" s="1"/>
  <c r="Q13" i="1"/>
  <c r="J13" i="2" s="1"/>
  <c r="J27" i="2" l="1"/>
  <c r="J28" i="2" s="1"/>
  <c r="J30" i="2"/>
  <c r="J31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tc={41ED3F48-C999-4F13-B799-CC27CAF5F44B}</author>
    <author>tc={6B797AD6-2A72-464D-8A09-07217D239C84}</author>
    <author>tc={57DC1C5A-7AE6-4504-9AAB-62927BB62033}</author>
    <author>tc={3412BBC2-F068-4ECD-BBB2-E02F46B33F9D}</author>
    <author>tc={97B19500-BA8E-4690-931D-1082289685CA}</author>
    <author>tc={87DCA880-7CAF-471A-B71E-1C4790F08B30}</author>
    <author>tc={CA7A7573-FC40-4EEE-BA57-24B4BE85B250}</author>
  </authors>
  <commentList>
    <comment ref="B16" authorId="0" shapeId="0" xr:uid="{41ED3F48-C999-4F13-B799-CC27CAF5F44B}">
      <text>
        <t>[Threaded comment]
Your version of Excel allows you to read this threaded comment; however, any edits to it will get removed if the file is opened in a newer version of Excel. Learn more: https://go.microsoft.com/fwlink/?linkid=870924
Comment:
    To remove these</t>
      </text>
    </comment>
    <comment ref="F20" authorId="1" shapeId="0" xr:uid="{6B797AD6-2A72-464D-8A09-07217D239C84}">
      <text>
        <t>[Threaded comment]
Your version of Excel allows you to read this threaded comment; however, any edits to it will get removed if the file is opened in a newer version of Excel. Learn more: https://go.microsoft.com/fwlink/?linkid=870924
Comment:
    Ex.C1-01-03, Table 2 (EB-2020-0290)</t>
      </text>
    </comment>
    <comment ref="G20" authorId="2" shapeId="0" xr:uid="{57DC1C5A-7AE6-4504-9AAB-62927BB62033}">
      <text>
        <t>[Threaded comment]
Your version of Excel allows you to read this threaded comment; however, any edits to it will get removed if the file is opened in a newer version of Excel. Learn more: https://go.microsoft.com/fwlink/?linkid=870924
Comment:
    Ex.C1-01-03, Table 2 (EB-2020-0290)</t>
      </text>
    </comment>
    <comment ref="H20" authorId="3" shapeId="0" xr:uid="{3412BBC2-F068-4ECD-BBB2-E02F46B33F9D}">
      <text>
        <t>[Threaded comment]
Your version of Excel allows you to read this threaded comment; however, any edits to it will get removed if the file is opened in a newer version of Excel. Learn more: https://go.microsoft.com/fwlink/?linkid=870924
Comment:
    Ex.C1-01-03, Table 2 (EB-2020-0290)</t>
      </text>
    </comment>
    <comment ref="I20" authorId="4" shapeId="0" xr:uid="{97B19500-BA8E-4690-931D-1082289685CA}">
      <text>
        <t>[Threaded comment]
Your version of Excel allows you to read this threaded comment; however, any edits to it will get removed if the file is opened in a newer version of Excel. Learn more: https://go.microsoft.com/fwlink/?linkid=870924
Comment:
    Ex.C1-01-03, Table 2 (EB-2020-0290)</t>
      </text>
    </comment>
    <comment ref="J20" authorId="5" shapeId="0" xr:uid="{87DCA880-7CAF-471A-B71E-1C4790F08B30}">
      <text>
        <t>[Threaded comment]
Your version of Excel allows you to read this threaded comment; however, any edits to it will get removed if the file is opened in a newer version of Excel. Learn more: https://go.microsoft.com/fwlink/?linkid=870924
Comment:
    Ex.C1-01-03, Table 2 (EB-2020-0290)</t>
      </text>
    </comment>
    <comment ref="C21" authorId="6" shapeId="0" xr:uid="{CA7A7573-FC40-4EEE-BA57-24B4BE85B250}">
      <text>
        <t>[Threaded comment]
Your version of Excel allows you to read this threaded comment; however, any edits to it will get removed if the file is opened in a newer version of Excel. Learn more: https://go.microsoft.com/fwlink/?linkid=870924
Comment:
    I don't think we need this for the model/report; not being used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<sst xmlns="http://schemas.openxmlformats.org/spreadsheetml/2006/main" count="238" uniqueCount="141">
  <si>
    <t>Item</t>
  </si>
  <si>
    <t>Label</t>
  </si>
  <si>
    <t>Units</t>
  </si>
  <si>
    <t>[a]</t>
  </si>
  <si>
    <t>[b]</t>
  </si>
  <si>
    <t>[c]</t>
  </si>
  <si>
    <t>[d]</t>
  </si>
  <si>
    <t>[e]</t>
  </si>
  <si>
    <t>$ Millions</t>
  </si>
  <si>
    <t>Return on Equity</t>
  </si>
  <si>
    <t>%</t>
  </si>
  <si>
    <t>Equity portion</t>
  </si>
  <si>
    <t>Net income</t>
  </si>
  <si>
    <t>[f]</t>
  </si>
  <si>
    <t>[g]</t>
  </si>
  <si>
    <t>[h]</t>
  </si>
  <si>
    <t>[i]</t>
  </si>
  <si>
    <t>EBITDA</t>
  </si>
  <si>
    <t>[j]</t>
  </si>
  <si>
    <t>Funds from Operations</t>
  </si>
  <si>
    <t>[k]</t>
  </si>
  <si>
    <t>Cashflow from Operations</t>
  </si>
  <si>
    <t>Revenue Requirement Metrics</t>
  </si>
  <si>
    <t>Total Rate Base</t>
  </si>
  <si>
    <t>Debt share of Capital Structure</t>
  </si>
  <si>
    <t>Equity portion of Capital Structure</t>
  </si>
  <si>
    <t>1 - [c]</t>
  </si>
  <si>
    <t>Key Financial Metrics</t>
  </si>
  <si>
    <t>Debt/EBITDA</t>
  </si>
  <si>
    <t>x</t>
  </si>
  <si>
    <t>Assessed/Predicted Risk based on Debt/EBITDA</t>
  </si>
  <si>
    <t>[l]</t>
  </si>
  <si>
    <t>FFO/Interest</t>
  </si>
  <si>
    <t>Assessed/Predicted Risk based on FFO/Interest</t>
  </si>
  <si>
    <t>[m]</t>
  </si>
  <si>
    <t>FFO/Debt</t>
  </si>
  <si>
    <t>[n]</t>
  </si>
  <si>
    <t>CFO/Debt</t>
  </si>
  <si>
    <t>Assessed/Predicted Risk based on FFO/Debt</t>
  </si>
  <si>
    <t>Assessed/Predicted Risk based on CFO/Debt</t>
  </si>
  <si>
    <t>EBIT</t>
  </si>
  <si>
    <t>Interest expense on long-term debt</t>
  </si>
  <si>
    <t>Interest expense on short-term debt</t>
  </si>
  <si>
    <t>Gross interest expense</t>
  </si>
  <si>
    <t>[o]</t>
  </si>
  <si>
    <t>[p]</t>
  </si>
  <si>
    <t>[q]</t>
  </si>
  <si>
    <t>[r]</t>
  </si>
  <si>
    <t>[s]</t>
  </si>
  <si>
    <t>[i]/[e]</t>
  </si>
  <si>
    <t>[g]/[i]</t>
  </si>
  <si>
    <t>[h]/[i]</t>
  </si>
  <si>
    <t>Short-term Debt</t>
  </si>
  <si>
    <t>Operating Lease Obligations</t>
  </si>
  <si>
    <t>[e]+[f]+[g]+[h]</t>
  </si>
  <si>
    <t>Earnings on nuclear fixed asset removal and nuclear waste management funds</t>
  </si>
  <si>
    <t>Deferred income taxes</t>
  </si>
  <si>
    <t>[e]+[f]+[g]</t>
  </si>
  <si>
    <t>Income Tax Rate</t>
  </si>
  <si>
    <t>10-year Government of Canada bond yield</t>
  </si>
  <si>
    <t>Credit Spread</t>
  </si>
  <si>
    <t>Year</t>
  </si>
  <si>
    <t>OPG long-term debt interest rate</t>
  </si>
  <si>
    <t>Interest rate</t>
  </si>
  <si>
    <t>Nuclear depreciation and amortization</t>
  </si>
  <si>
    <t>Formula/Source</t>
  </si>
  <si>
    <t>OPG Prescribed Assets Financial Statements</t>
  </si>
  <si>
    <t>Total depreciation and amortization</t>
  </si>
  <si>
    <t>Difference between total and nuclear depreciation</t>
  </si>
  <si>
    <t>Derived total depreciation</t>
  </si>
  <si>
    <t>Source/Formula</t>
  </si>
  <si>
    <t>[  ]</t>
  </si>
  <si>
    <t>Total Equity (Consolidated)</t>
  </si>
  <si>
    <t>Total Equity (Prescribed - same as Net Capital; i.e. Excss of Assets over Liabilities from Prescribed FS)</t>
  </si>
  <si>
    <t>[j] v2</t>
  </si>
  <si>
    <t>Planned/Historical New Debt Issue (net of debt issues maturing)</t>
  </si>
  <si>
    <t>Credit Metric</t>
  </si>
  <si>
    <t>Equity thickness</t>
  </si>
  <si>
    <t>CapitalIQ data</t>
  </si>
  <si>
    <t>Exhibit C1-01-03, Table 2 (both EB-2016-0152 and EB-2020-0290)</t>
  </si>
  <si>
    <t>46% vs 45%</t>
  </si>
  <si>
    <t>Avg (1% change)</t>
  </si>
  <si>
    <t>Interest expense</t>
  </si>
  <si>
    <t>Ex C1-01-01 Schedule 1 (Tables 1-8)</t>
  </si>
  <si>
    <t>2019: Ex. A2-02-01 Attachment 2 (Page 8 of 69)
2020 onwards: [a] + prior year long-term debt</t>
  </si>
  <si>
    <t>Exhibit C1-01-03 Table 2</t>
  </si>
  <si>
    <t>Exhibit A2-01-01, Attachment 3, Page 63</t>
  </si>
  <si>
    <t>Interest Expense</t>
  </si>
  <si>
    <t>EBIT/Interest</t>
  </si>
  <si>
    <t>Assessed/Predicted Risk based on EBIT/Interest</t>
  </si>
  <si>
    <t>Estimated</t>
  </si>
  <si>
    <t>Tax liability</t>
  </si>
  <si>
    <t>Depreciation</t>
  </si>
  <si>
    <t>[a]*[b]*[c]</t>
  </si>
  <si>
    <t>Debt information</t>
  </si>
  <si>
    <t>[t]</t>
  </si>
  <si>
    <t>[u]</t>
  </si>
  <si>
    <t>[v]</t>
  </si>
  <si>
    <t>[v] - ([r]+[s]+[t])</t>
  </si>
  <si>
    <t>Additional debt required (to be consistent with capital structure)</t>
  </si>
  <si>
    <t>2020 onwards: Greater of:
(i) Planned total debt, i.e., [r]+[s]+[t]; and 
(ii) [Ratebase x (1 - equity thickness)], i.e., [a]*[1-c]</t>
  </si>
  <si>
    <t>[p]*[v]</t>
  </si>
  <si>
    <t>Net income, net of earnings from nuclear fixed asset removal and nuclear waste management funds</t>
  </si>
  <si>
    <t>Rate Base (financed by capital structure)</t>
  </si>
  <si>
    <t>[i]-[f]-[g]</t>
  </si>
  <si>
    <t>[e]+[f]+[g]+[h]+[l]</t>
  </si>
  <si>
    <t>Historical (until 2019) from OPG Prescribed Assets Financial Statements (Ex. A2-01-01 Attachment 2); assumed an increasing trend going forward</t>
  </si>
  <si>
    <t>2019: Exhibit A2-01-01 Attachment 2 (Page 6 of 69)
2020 onwards:  Assumed to be same as 2019</t>
  </si>
  <si>
    <t>Total Debt</t>
  </si>
  <si>
    <t>47% vs 46%</t>
  </si>
  <si>
    <t>48% vs 47%</t>
  </si>
  <si>
    <t>49% vs 48%</t>
  </si>
  <si>
    <t>50% vs 49%</t>
  </si>
  <si>
    <t>Cash Flow from Operations</t>
  </si>
  <si>
    <t>Technical Conference - Transcript (May-7-2021)</t>
  </si>
  <si>
    <t>[o]*([d]/(1-[o]))</t>
  </si>
  <si>
    <t>10-year Government of Canada bond yield plus Credit Spread (Ex. C1-01-02)</t>
  </si>
  <si>
    <t>2019: Exhibit A2-01-01 Attachment 2 (Page 4 of 69)
2020 onwards:  Nuclear depreciation data from Exhibit F4-01-01 Table 2; Additional depreciation, (i.e., total depreciation minus nuclear depreciation) assumed to be the same as 2019, assuming the straight line method</t>
  </si>
  <si>
    <t>[g]/[j]</t>
  </si>
  <si>
    <t>Key Financial Ratios</t>
  </si>
  <si>
    <t>[f]/[j]</t>
  </si>
  <si>
    <t>2019-2026 from Ex.F4-01-01 Tables (EB2020-0290)</t>
  </si>
  <si>
    <t>Planned Long-term Debt (net of debt issues maturing)</t>
  </si>
  <si>
    <t>2021-2026 forecast from Ex C-01-02 Chart 1 (Page 4 of 6)</t>
  </si>
  <si>
    <t>2021-2026 from EB 2020-0290, Ex C-01-02 (Page 5 of 6)</t>
  </si>
  <si>
    <t>Few additional inputs:</t>
  </si>
  <si>
    <t>[1]</t>
  </si>
  <si>
    <t>[2]</t>
  </si>
  <si>
    <t>[3]</t>
  </si>
  <si>
    <t>[4]</t>
  </si>
  <si>
    <t>[5]</t>
  </si>
  <si>
    <t>[6]</t>
  </si>
  <si>
    <t>[7]</t>
  </si>
  <si>
    <t>[8]</t>
  </si>
  <si>
    <t>[1]+[2]</t>
  </si>
  <si>
    <t>[5]-[4] for 2019</t>
  </si>
  <si>
    <t>[4]+[6]</t>
  </si>
  <si>
    <t>2019-2021: Approved ROE
2022 onwards: Assumed to be same as 2021 ROE</t>
  </si>
  <si>
    <t>2019-2021: Approved equity thickness
2022 onwards: Input (toggle)</t>
  </si>
  <si>
    <t>[d]-[m]</t>
  </si>
  <si>
    <t>2020: Exhibit C1, Tab 1, Schedule 2, Chart 3 for EB-2016-0152; 2021-2026: Exhibit C1, Tab 1, Schedule 2, Chart 3 for EB-2020-0290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</si>
</sst>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_);[Red]\(&quot;$&quot;#,##0\)"/>
    <numFmt numFmtId="44" formatCode="_(&quot;$&quot;* #,##0.00_);_(&quot;$&quot;* \(#,##0.00\);_(&quot;$&quot;* &quot;-&quot;??_);_(@_)"/>
    <numFmt numFmtId="164" formatCode="0.0%"/>
    <numFmt numFmtId="165" formatCode="&quot;$&quot;#,##0.00"/>
    <numFmt numFmtId="166" formatCode="&quot;$&quot;#,##0.0"/>
    <numFmt numFmtId="167" formatCode="0.0\x"/>
    <numFmt numFmtId="168" formatCode="_(&quot;$&quot;* #,##0.0_);_(&quot;$&quot;* \(#,##0.0\);_(&quot;$&quot;* &quot;-&quot;??_);_(@_)"/>
    <numFmt numFmtId="169" formatCode="_(&quot;$&quot;* #,##0.0_);_(&quot;$&quot;* \(#,##0.0\);_(&quot;$&quot;* &quot;-&quot;?_);_(@_)"/>
    <numFmt numFmtId="170" formatCode="0.00\x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"/>
      <color indexed="9"/>
      <name val="Symbol"/>
      <family val="1"/>
      <charset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0" fontId="9" fillId="0" borderId="0" applyAlignment="0"/>
  </cellStyleXfs>
  <cellXfs count="15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1" xfId="0" applyBorder="1"/>
    <xf numFmtId="0" fontId="2" fillId="0" borderId="0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center"/>
    </xf>
    <xf numFmtId="0" fontId="2" fillId="2" borderId="1" xfId="0" applyFont="1" applyFill="1" applyBorder="1" applyAlignment="1">
      <alignment horizontal="left" vertical="center"/>
    </xf>
    <xf numFmtId="166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4" fontId="3" fillId="0" borderId="0" xfId="1" applyNumberFormat="1" applyFont="1" applyAlignment="1">
      <alignment horizontal="center" vertical="center"/>
    </xf>
    <xf numFmtId="165" fontId="5" fillId="0" borderId="0" xfId="0" applyNumberFormat="1" applyFont="1" applyBorder="1" applyAlignment="1">
      <alignment horizontal="center" vertical="center"/>
    </xf>
    <xf numFmtId="166" fontId="4" fillId="0" borderId="0" xfId="0" applyNumberFormat="1" applyFont="1" applyAlignment="1">
      <alignment vertical="center"/>
    </xf>
    <xf numFmtId="166" fontId="5" fillId="0" borderId="0" xfId="0" applyNumberFormat="1" applyFont="1" applyAlignment="1">
      <alignment vertical="center"/>
    </xf>
    <xf numFmtId="9" fontId="0" fillId="0" borderId="0" xfId="1" applyFont="1"/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166" fontId="4" fillId="0" borderId="0" xfId="0" applyNumberFormat="1" applyFont="1" applyAlignment="1">
      <alignment horizontal="center" vertical="center"/>
    </xf>
    <xf numFmtId="167" fontId="3" fillId="0" borderId="0" xfId="0" applyNumberFormat="1" applyFont="1" applyAlignment="1">
      <alignment horizontal="center" vertical="center"/>
    </xf>
    <xf numFmtId="166" fontId="4" fillId="0" borderId="0" xfId="0" applyNumberFormat="1" applyFont="1" applyFill="1" applyAlignment="1">
      <alignment vertical="center"/>
    </xf>
    <xf numFmtId="9" fontId="4" fillId="0" borderId="0" xfId="1" applyFont="1" applyBorder="1" applyAlignment="1">
      <alignment horizontal="center" vertical="center"/>
    </xf>
    <xf numFmtId="6" fontId="0" fillId="0" borderId="0" xfId="0" applyNumberFormat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166" fontId="5" fillId="0" borderId="0" xfId="0" applyNumberFormat="1" applyFont="1" applyBorder="1" applyAlignment="1">
      <alignment horizontal="center" vertical="center"/>
    </xf>
    <xf numFmtId="166" fontId="5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68" fontId="4" fillId="0" borderId="0" xfId="2" applyNumberFormat="1" applyFont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0" fontId="4" fillId="0" borderId="0" xfId="1" applyNumberFormat="1" applyFont="1" applyFill="1" applyBorder="1" applyAlignment="1">
      <alignment horizontal="center" vertical="center"/>
    </xf>
    <xf numFmtId="169" fontId="0" fillId="0" borderId="0" xfId="0" applyNumberFormat="1" applyAlignment="1">
      <alignment vertical="center"/>
    </xf>
    <xf numFmtId="166" fontId="4" fillId="0" borderId="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0" fontId="0" fillId="0" borderId="0" xfId="0" applyNumberFormat="1" applyFill="1" applyAlignment="1">
      <alignment horizontal="center" vertical="center"/>
    </xf>
    <xf numFmtId="10" fontId="0" fillId="0" borderId="0" xfId="1" applyNumberFormat="1" applyFont="1" applyFill="1" applyAlignment="1">
      <alignment horizontal="center" vertical="center"/>
    </xf>
    <xf numFmtId="10" fontId="6" fillId="0" borderId="0" xfId="1" applyNumberFormat="1" applyFont="1" applyFill="1" applyAlignment="1">
      <alignment horizontal="center" vertical="center"/>
    </xf>
    <xf numFmtId="10" fontId="5" fillId="0" borderId="0" xfId="1" applyNumberFormat="1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2" fillId="0" borderId="4" xfId="0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167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167" fontId="0" fillId="0" borderId="4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64" fontId="5" fillId="0" borderId="0" xfId="1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9" fontId="0" fillId="0" borderId="0" xfId="0" applyNumberFormat="1" applyAlignment="1">
      <alignment vertical="center"/>
    </xf>
    <xf numFmtId="0" fontId="0" fillId="0" borderId="4" xfId="0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0" fillId="4" borderId="0" xfId="0" applyFill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170" fontId="0" fillId="0" borderId="0" xfId="0" applyNumberFormat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0" xfId="0" applyFill="1"/>
    <xf numFmtId="0" fontId="0" fillId="6" borderId="0" xfId="0" applyFill="1" applyAlignment="1">
      <alignment horizontal="center"/>
    </xf>
    <xf numFmtId="166" fontId="5" fillId="6" borderId="0" xfId="0" applyNumberFormat="1" applyFont="1" applyFill="1" applyAlignment="1">
      <alignment horizontal="center" vertical="center"/>
    </xf>
    <xf numFmtId="166" fontId="0" fillId="6" borderId="0" xfId="0" applyNumberFormat="1" applyFill="1" applyAlignment="1">
      <alignment horizontal="center" vertical="center"/>
    </xf>
    <xf numFmtId="9" fontId="4" fillId="0" borderId="0" xfId="1" applyNumberFormat="1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horizontal="center" vertical="center"/>
    </xf>
    <xf numFmtId="10" fontId="5" fillId="0" borderId="0" xfId="1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166" fontId="5" fillId="0" borderId="2" xfId="0" applyNumberFormat="1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164" fontId="6" fillId="0" borderId="0" xfId="1" applyNumberFormat="1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166" fontId="4" fillId="7" borderId="3" xfId="0" applyNumberFormat="1" applyFont="1" applyFill="1" applyBorder="1" applyAlignment="1">
      <alignment horizontal="center" vertical="center"/>
    </xf>
    <xf numFmtId="10" fontId="4" fillId="7" borderId="0" xfId="1" applyNumberFormat="1" applyFont="1" applyFill="1" applyBorder="1" applyAlignment="1">
      <alignment horizontal="center" vertical="center"/>
    </xf>
    <xf numFmtId="9" fontId="4" fillId="7" borderId="0" xfId="1" applyNumberFormat="1" applyFont="1" applyFill="1" applyBorder="1" applyAlignment="1">
      <alignment horizontal="center" vertical="center"/>
    </xf>
    <xf numFmtId="166" fontId="4" fillId="7" borderId="0" xfId="0" applyNumberFormat="1" applyFont="1" applyFill="1" applyBorder="1" applyAlignment="1">
      <alignment horizontal="center" vertical="center"/>
    </xf>
    <xf numFmtId="166" fontId="5" fillId="7" borderId="0" xfId="0" applyNumberFormat="1" applyFont="1" applyFill="1" applyBorder="1" applyAlignment="1">
      <alignment horizontal="center" vertical="center"/>
    </xf>
    <xf numFmtId="166" fontId="5" fillId="7" borderId="1" xfId="0" applyNumberFormat="1" applyFont="1" applyFill="1" applyBorder="1" applyAlignment="1">
      <alignment horizontal="center" vertical="center"/>
    </xf>
    <xf numFmtId="164" fontId="5" fillId="7" borderId="0" xfId="1" applyNumberFormat="1" applyFont="1" applyFill="1" applyBorder="1" applyAlignment="1">
      <alignment horizontal="center" vertical="center"/>
    </xf>
    <xf numFmtId="165" fontId="4" fillId="7" borderId="0" xfId="0" applyNumberFormat="1" applyFont="1" applyFill="1" applyBorder="1" applyAlignment="1">
      <alignment horizontal="center" vertical="center"/>
    </xf>
    <xf numFmtId="165" fontId="5" fillId="7" borderId="0" xfId="0" applyNumberFormat="1" applyFont="1" applyFill="1" applyBorder="1" applyAlignment="1">
      <alignment horizontal="center" vertical="center"/>
    </xf>
    <xf numFmtId="164" fontId="4" fillId="7" borderId="0" xfId="1" applyNumberFormat="1" applyFont="1" applyFill="1" applyBorder="1" applyAlignment="1">
      <alignment horizontal="center" vertical="center"/>
    </xf>
    <xf numFmtId="9" fontId="4" fillId="7" borderId="0" xfId="1" applyFont="1" applyFill="1" applyBorder="1" applyAlignment="1">
      <alignment horizontal="center" vertical="center"/>
    </xf>
    <xf numFmtId="10" fontId="5" fillId="7" borderId="0" xfId="1" applyNumberFormat="1" applyFont="1" applyFill="1" applyBorder="1" applyAlignment="1">
      <alignment horizontal="center" vertical="center"/>
    </xf>
    <xf numFmtId="166" fontId="4" fillId="7" borderId="0" xfId="1" applyNumberFormat="1" applyFont="1" applyFill="1" applyBorder="1" applyAlignment="1">
      <alignment horizontal="center" vertical="center"/>
    </xf>
    <xf numFmtId="166" fontId="4" fillId="7" borderId="0" xfId="0" applyNumberFormat="1" applyFont="1" applyFill="1" applyAlignment="1">
      <alignment vertical="center"/>
    </xf>
    <xf numFmtId="166" fontId="5" fillId="7" borderId="0" xfId="0" applyNumberFormat="1" applyFont="1" applyFill="1" applyAlignment="1">
      <alignment vertical="center"/>
    </xf>
    <xf numFmtId="166" fontId="5" fillId="7" borderId="2" xfId="0" applyNumberFormat="1" applyFont="1" applyFill="1" applyBorder="1" applyAlignment="1">
      <alignment vertical="center"/>
    </xf>
    <xf numFmtId="165" fontId="5" fillId="0" borderId="0" xfId="0" applyNumberFormat="1" applyFont="1" applyFill="1" applyBorder="1" applyAlignment="1">
      <alignment horizontal="center" vertical="center"/>
    </xf>
    <xf numFmtId="9" fontId="4" fillId="0" borderId="0" xfId="1" applyFont="1" applyFill="1" applyBorder="1" applyAlignment="1">
      <alignment horizontal="center" vertical="center"/>
    </xf>
    <xf numFmtId="166" fontId="5" fillId="0" borderId="0" xfId="0" applyNumberFormat="1" applyFont="1" applyFill="1" applyAlignment="1">
      <alignment vertical="center"/>
    </xf>
    <xf numFmtId="164" fontId="0" fillId="0" borderId="0" xfId="1" applyNumberFormat="1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69" fontId="0" fillId="0" borderId="0" xfId="0" applyNumberForma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0" fontId="0" fillId="0" borderId="0" xfId="1" applyNumberFormat="1" applyFont="1" applyAlignment="1">
      <alignment vertical="center"/>
    </xf>
    <xf numFmtId="10" fontId="0" fillId="0" borderId="0" xfId="1" applyNumberFormat="1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64" fontId="0" fillId="2" borderId="0" xfId="1" applyNumberFormat="1" applyFont="1" applyFill="1" applyAlignment="1">
      <alignment horizontal="center" vertical="center"/>
    </xf>
    <xf numFmtId="164" fontId="2" fillId="2" borderId="4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7" borderId="0" xfId="0" applyFill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10" fontId="0" fillId="7" borderId="0" xfId="0" applyNumberFormat="1" applyFill="1" applyAlignment="1">
      <alignment horizontal="center" vertical="center"/>
    </xf>
    <xf numFmtId="10" fontId="6" fillId="7" borderId="0" xfId="1" applyNumberFormat="1" applyFont="1" applyFill="1" applyAlignment="1">
      <alignment horizontal="center" vertical="center"/>
    </xf>
    <xf numFmtId="10" fontId="0" fillId="7" borderId="0" xfId="1" applyNumberFormat="1" applyFont="1" applyFill="1" applyAlignment="1">
      <alignment horizontal="center" vertical="center"/>
    </xf>
    <xf numFmtId="168" fontId="4" fillId="7" borderId="0" xfId="2" applyNumberFormat="1" applyFont="1" applyFill="1" applyAlignment="1">
      <alignment horizontal="center" vertical="center"/>
    </xf>
    <xf numFmtId="169" fontId="0" fillId="7" borderId="0" xfId="0" applyNumberFormat="1" applyFill="1" applyAlignment="1">
      <alignment horizontal="center" vertical="center"/>
    </xf>
    <xf numFmtId="169" fontId="0" fillId="7" borderId="0" xfId="0" applyNumberFormat="1" applyFill="1" applyAlignment="1">
      <alignment vertical="center"/>
    </xf>
    <xf numFmtId="0" fontId="0" fillId="7" borderId="0" xfId="0" applyFill="1" applyAlignment="1">
      <alignment vertical="center"/>
    </xf>
    <xf numFmtId="6" fontId="0" fillId="7" borderId="0" xfId="0" applyNumberFormat="1" applyFill="1" applyAlignment="1">
      <alignment horizontal="center" vertical="center"/>
    </xf>
    <xf numFmtId="10" fontId="5" fillId="7" borderId="4" xfId="1" applyNumberFormat="1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5">
    <cellStyle name="Currency" xfId="2" builtinId="4"/>
    <cellStyle name="Invisible" xfId="4" xr:uid="{A434F2C9-54E4-4AA7-8DA3-FAA7C61E54FF}"/>
    <cellStyle name="Normal" xfId="0" builtinId="0"/>
    <cellStyle name="Normal 2" xfId="3" xr:uid="{9D81CFBE-3B4C-4F79-A6D6-E533A973217A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_Continuous%20Modeling%20Initiative\v2020%20Q4\_Common%20Assumptions\Common%20Assumptions_Dec%202020_1231%20v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Log"/>
      <sheetName val="Assumptions"/>
      <sheetName val="Fossil Fuel"/>
      <sheetName val="LCOP gas price"/>
      <sheetName val="Emissions"/>
      <sheetName val="LCOE"/>
      <sheetName val="LCOE (dynamic)"/>
      <sheetName val="Learning rate"/>
      <sheetName val="Capacity factor"/>
      <sheetName val=" Map"/>
      <sheetName val="AEO-&gt;"/>
      <sheetName val="Macro"/>
      <sheetName val="Capital Costs"/>
      <sheetName val="Regional Multipliers"/>
      <sheetName val="Oil"/>
      <sheetName val="Natural Gas"/>
      <sheetName val="Coal"/>
      <sheetName val="Forwards"/>
      <sheetName val="Power FWD_SNL -&gt;"/>
      <sheetName val="ISONE"/>
      <sheetName val="PJM"/>
      <sheetName val="NYISO"/>
      <sheetName val="ERCOT"/>
      <sheetName val="CAISO-WECC"/>
      <sheetName val="MISO"/>
      <sheetName val="SPP"/>
      <sheetName val="Alberta"/>
      <sheetName val="Ontario"/>
      <sheetName val="DO NOT TOUCH"/>
    </sheetNames>
    <sheetDataSet>
      <sheetData sheetId="0">
        <row r="10">
          <cell r="B10" t="str">
            <v>Common Assumptions (Q1 2021)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Amit Pinjani" id="{0D57CCE6-5298-4088-AD11-157692B61758}" userId="S::Amit@londoneconomics.com::85a628a6-ea9a-4b10-bcce-a0be333e6a49" providerId="AD"/>
  <person displayName="Mugwe Kiragu" id="{EDC4FC9D-67D6-4BDB-88CD-AE1817A5C017}" userId="S::mugwe@londoneconomics.com::d03a1eaa-b102-4519-b62f-aa30d687c81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9BAFD0-1F0C-42A3-979E-F1ACCFA201AD}" name="Table1" displayName="Table1" ref="AJ5:AJ11" totalsRowShown="0" dataCellStyle="Percent">
  <autoFilter ref="AJ5:AJ11" xr:uid="{DA9EAC9C-71D9-422A-99CA-92EAC00159E2}"/>
  <tableColumns count="1">
    <tableColumn id="1" xr3:uid="{A1E2DB5C-B18E-4BD9-B165-A892067C1943}" name="Equity portion" dataCellStyle="Percent">
      <calculatedColumnFormula>AJ5+0.01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6" dT="2021-05-04T18:08:57.14" personId="{0D57CCE6-5298-4088-AD11-157692B61758}" id="{41ED3F48-C999-4F13-B799-CC27CAF5F44B}">
    <text>To remove these</text>
  </threadedComment>
  <threadedComment ref="F20" dT="2021-04-06T20:22:30.35" personId="{EDC4FC9D-67D6-4BDB-88CD-AE1817A5C017}" id="{6B797AD6-2A72-464D-8A09-07217D239C84}">
    <text>Ex.C1-01-03, Table 2 (EB-2020-0290)</text>
  </threadedComment>
  <threadedComment ref="G20" dT="2021-04-06T20:22:30.35" personId="{EDC4FC9D-67D6-4BDB-88CD-AE1817A5C017}" id="{57DC1C5A-7AE6-4504-9AAB-62927BB62033}">
    <text>Ex.C1-01-03, Table 2 (EB-2020-0290)</text>
  </threadedComment>
  <threadedComment ref="H20" dT="2021-04-06T20:22:30.35" personId="{EDC4FC9D-67D6-4BDB-88CD-AE1817A5C017}" id="{3412BBC2-F068-4ECD-BBB2-E02F46B33F9D}">
    <text>Ex.C1-01-03, Table 2 (EB-2020-0290)</text>
  </threadedComment>
  <threadedComment ref="I20" dT="2021-04-06T20:22:30.35" personId="{EDC4FC9D-67D6-4BDB-88CD-AE1817A5C017}" id="{97B19500-BA8E-4690-931D-1082289685CA}">
    <text>Ex.C1-01-03, Table 2 (EB-2020-0290)</text>
  </threadedComment>
  <threadedComment ref="J20" dT="2021-04-06T20:22:30.35" personId="{EDC4FC9D-67D6-4BDB-88CD-AE1817A5C017}" id="{87DCA880-7CAF-471A-B71E-1C4790F08B30}">
    <text>Ex.C1-01-03, Table 2 (EB-2020-0290)</text>
  </threadedComment>
  <threadedComment ref="C21" dT="2021-05-04T18:07:49.56" personId="{0D57CCE6-5298-4088-AD11-157692B61758}" id="{CA7A7573-FC40-4EEE-BA57-24B4BE85B250}">
    <text>I don't think we need this for the model/report; not being used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A853D-1EEF-4E39-9525-85CCD8733059}">
  <dimension ref="B1:AJ52"/>
  <sheetViews>
    <sheetView tabSelected="1" zoomScale="70" zoomScaleNormal="70" workbookViewId="0">
      <pane xSplit="4" ySplit="3" topLeftCell="E4" activePane="bottomRight" state="frozen"/>
      <selection activeCell="J18" sqref="J18"/>
      <selection pane="topRight" activeCell="J18" sqref="J18"/>
      <selection pane="bottomLeft" activeCell="J18" sqref="J18"/>
      <selection pane="bottomRight" activeCell="B3" sqref="B3"/>
    </sheetView>
  </sheetViews>
  <sheetFormatPr defaultColWidth="8.7265625" defaultRowHeight="14.5" x14ac:dyDescent="0.35"/>
  <cols>
    <col min="1" max="1" width="2" style="3" customWidth="1"/>
    <col min="2" max="2" width="6.7265625" style="2" customWidth="1"/>
    <col min="3" max="3" width="44.453125" style="3" customWidth="1"/>
    <col min="4" max="4" width="46.54296875" style="53" customWidth="1"/>
    <col min="5" max="5" width="10.08984375" style="2" customWidth="1"/>
    <col min="6" max="8" width="10.08984375" style="2" hidden="1" customWidth="1"/>
    <col min="9" max="9" width="7.6328125" style="2" hidden="1" customWidth="1"/>
    <col min="10" max="11" width="8.81640625" style="2" hidden="1" customWidth="1"/>
    <col min="12" max="12" width="8.81640625" style="2" bestFit="1" customWidth="1"/>
    <col min="13" max="17" width="10" style="2" bestFit="1" customWidth="1"/>
    <col min="18" max="18" width="20.81640625" style="3" customWidth="1"/>
    <col min="19" max="19" width="20.26953125" style="3" customWidth="1"/>
    <col min="20" max="35" width="8.7265625" style="3"/>
    <col min="36" max="36" width="15.6328125" style="3" bestFit="1" customWidth="1"/>
    <col min="37" max="16384" width="8.7265625" style="3"/>
  </cols>
  <sheetData>
    <row r="1" spans="2:36" ht="8.25" customHeight="1" x14ac:dyDescent="0.35"/>
    <row r="2" spans="2:36" x14ac:dyDescent="0.35">
      <c r="B2" s="4"/>
      <c r="C2" s="5"/>
      <c r="D2" s="5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spans="2:36" x14ac:dyDescent="0.35">
      <c r="B3" s="13" t="s">
        <v>1</v>
      </c>
      <c r="C3" s="14" t="s">
        <v>0</v>
      </c>
      <c r="D3" s="55" t="s">
        <v>65</v>
      </c>
      <c r="E3" s="13" t="s">
        <v>2</v>
      </c>
      <c r="F3" s="106">
        <v>2015</v>
      </c>
      <c r="G3" s="106">
        <v>2016</v>
      </c>
      <c r="H3" s="106">
        <v>2017</v>
      </c>
      <c r="I3" s="106">
        <v>2018</v>
      </c>
      <c r="J3" s="106">
        <v>2019</v>
      </c>
      <c r="K3" s="106">
        <v>2020</v>
      </c>
      <c r="L3" s="127">
        <f>K3+1</f>
        <v>2021</v>
      </c>
      <c r="M3" s="13">
        <f t="shared" ref="M3:Q3" si="0">L3+1</f>
        <v>2022</v>
      </c>
      <c r="N3" s="13">
        <f t="shared" si="0"/>
        <v>2023</v>
      </c>
      <c r="O3" s="13">
        <f t="shared" si="0"/>
        <v>2024</v>
      </c>
      <c r="P3" s="13">
        <f t="shared" si="0"/>
        <v>2025</v>
      </c>
      <c r="Q3" s="13">
        <f t="shared" si="0"/>
        <v>2026</v>
      </c>
    </row>
    <row r="4" spans="2:36" x14ac:dyDescent="0.35">
      <c r="B4" s="15" t="s">
        <v>3</v>
      </c>
      <c r="C4" s="104" t="s">
        <v>103</v>
      </c>
      <c r="D4" s="84" t="s">
        <v>83</v>
      </c>
      <c r="E4" s="15" t="s">
        <v>8</v>
      </c>
      <c r="F4" s="107"/>
      <c r="G4" s="107"/>
      <c r="H4" s="107"/>
      <c r="I4" s="107"/>
      <c r="J4" s="107">
        <v>10996.7</v>
      </c>
      <c r="K4" s="107">
        <v>14105.2</v>
      </c>
      <c r="L4" s="52">
        <v>16202.9</v>
      </c>
      <c r="M4" s="52">
        <v>16482</v>
      </c>
      <c r="N4" s="52">
        <v>16826.8</v>
      </c>
      <c r="O4" s="52">
        <v>19443</v>
      </c>
      <c r="P4" s="52">
        <v>20980.9</v>
      </c>
      <c r="Q4" s="52">
        <v>22189.599999999999</v>
      </c>
      <c r="AJ4"/>
    </row>
    <row r="5" spans="2:36" ht="29" x14ac:dyDescent="0.35">
      <c r="B5" s="16" t="s">
        <v>4</v>
      </c>
      <c r="C5" s="17" t="s">
        <v>9</v>
      </c>
      <c r="D5" s="56" t="s">
        <v>137</v>
      </c>
      <c r="E5" s="16" t="s">
        <v>10</v>
      </c>
      <c r="F5" s="108"/>
      <c r="G5" s="108"/>
      <c r="H5" s="108"/>
      <c r="I5" s="108"/>
      <c r="J5" s="108">
        <v>8.7800000000000003E-2</v>
      </c>
      <c r="K5" s="108">
        <v>8.7800000000000003E-2</v>
      </c>
      <c r="L5" s="50">
        <v>8.3400000000000002E-2</v>
      </c>
      <c r="M5" s="94">
        <f>L5</f>
        <v>8.3400000000000002E-2</v>
      </c>
      <c r="N5" s="94">
        <f t="shared" ref="N5:Q5" si="1">M5</f>
        <v>8.3400000000000002E-2</v>
      </c>
      <c r="O5" s="94">
        <f t="shared" si="1"/>
        <v>8.3400000000000002E-2</v>
      </c>
      <c r="P5" s="94">
        <f t="shared" si="1"/>
        <v>8.3400000000000002E-2</v>
      </c>
      <c r="Q5" s="94">
        <f t="shared" si="1"/>
        <v>8.3400000000000002E-2</v>
      </c>
      <c r="AJ5" t="s">
        <v>11</v>
      </c>
    </row>
    <row r="6" spans="2:36" ht="29" x14ac:dyDescent="0.35">
      <c r="B6" s="16" t="s">
        <v>5</v>
      </c>
      <c r="C6" s="82" t="s">
        <v>11</v>
      </c>
      <c r="D6" s="56" t="s">
        <v>138</v>
      </c>
      <c r="E6" s="16" t="s">
        <v>10</v>
      </c>
      <c r="F6" s="109"/>
      <c r="G6" s="109"/>
      <c r="H6" s="109"/>
      <c r="I6" s="109"/>
      <c r="J6" s="109">
        <v>0.45</v>
      </c>
      <c r="K6" s="109">
        <v>0.45</v>
      </c>
      <c r="L6" s="92">
        <v>0.45</v>
      </c>
      <c r="M6" s="105">
        <v>0.47</v>
      </c>
      <c r="N6" s="73">
        <f t="shared" ref="N6:Q6" si="2">M6</f>
        <v>0.47</v>
      </c>
      <c r="O6" s="73">
        <f t="shared" si="2"/>
        <v>0.47</v>
      </c>
      <c r="P6" s="73">
        <f t="shared" si="2"/>
        <v>0.47</v>
      </c>
      <c r="Q6" s="73">
        <f t="shared" si="2"/>
        <v>0.47</v>
      </c>
      <c r="AJ6" s="32">
        <v>0.45</v>
      </c>
    </row>
    <row r="7" spans="2:36" x14ac:dyDescent="0.35">
      <c r="B7" s="16" t="s">
        <v>6</v>
      </c>
      <c r="C7" s="82" t="s">
        <v>12</v>
      </c>
      <c r="D7" s="57" t="s">
        <v>93</v>
      </c>
      <c r="E7" s="16" t="s">
        <v>8</v>
      </c>
      <c r="F7" s="110"/>
      <c r="G7" s="111"/>
      <c r="H7" s="110"/>
      <c r="I7" s="111"/>
      <c r="J7" s="110"/>
      <c r="K7" s="111"/>
      <c r="L7" s="45">
        <f t="shared" ref="L7" si="3">L4*L5*L6</f>
        <v>608.09483699999998</v>
      </c>
      <c r="M7" s="45">
        <f t="shared" ref="M7:P7" si="4">M4*M5*M6</f>
        <v>646.06143599999996</v>
      </c>
      <c r="N7" s="45">
        <f t="shared" si="4"/>
        <v>659.57690639999998</v>
      </c>
      <c r="O7" s="45">
        <f t="shared" si="4"/>
        <v>762.12671399999999</v>
      </c>
      <c r="P7" s="45">
        <f t="shared" si="4"/>
        <v>822.40931820000003</v>
      </c>
      <c r="Q7" s="45">
        <f>Q4*Q5*Q6</f>
        <v>869.78794079999989</v>
      </c>
      <c r="AJ7" s="32">
        <v>0.46</v>
      </c>
    </row>
    <row r="8" spans="2:36" ht="43.5" x14ac:dyDescent="0.35">
      <c r="B8" s="16" t="s">
        <v>7</v>
      </c>
      <c r="C8" s="96" t="s">
        <v>102</v>
      </c>
      <c r="D8" s="58" t="s">
        <v>139</v>
      </c>
      <c r="E8" s="16" t="s">
        <v>8</v>
      </c>
      <c r="F8" s="111"/>
      <c r="G8" s="111"/>
      <c r="H8" s="111"/>
      <c r="I8" s="111"/>
      <c r="J8" s="111"/>
      <c r="K8" s="111"/>
      <c r="L8" s="45">
        <f>L7-L17</f>
        <v>99.205804173955528</v>
      </c>
      <c r="M8" s="44">
        <f t="shared" ref="M8:Q8" si="5">M7-M17</f>
        <v>120.98722458341933</v>
      </c>
      <c r="N8" s="44">
        <f t="shared" si="5"/>
        <v>117.80274796772608</v>
      </c>
      <c r="O8" s="44">
        <f t="shared" si="5"/>
        <v>203.12146795464082</v>
      </c>
      <c r="P8" s="44">
        <f t="shared" si="5"/>
        <v>245.62495105618416</v>
      </c>
      <c r="Q8" s="44">
        <f t="shared" si="5"/>
        <v>274.6589889073058</v>
      </c>
      <c r="AJ8" s="32">
        <v>0.47</v>
      </c>
    </row>
    <row r="9" spans="2:36" x14ac:dyDescent="0.35">
      <c r="B9" s="16" t="s">
        <v>13</v>
      </c>
      <c r="C9" s="33" t="s">
        <v>82</v>
      </c>
      <c r="D9" s="58" t="s">
        <v>101</v>
      </c>
      <c r="E9" s="16" t="s">
        <v>8</v>
      </c>
      <c r="F9" s="110"/>
      <c r="G9" s="111"/>
      <c r="H9" s="110"/>
      <c r="I9" s="111"/>
      <c r="J9" s="110"/>
      <c r="K9" s="111"/>
      <c r="L9" s="45">
        <f>L22*'1. Key financial information'!L30</f>
        <v>199.17414825000003</v>
      </c>
      <c r="M9" s="45">
        <f>M22*'1. Key financial information'!M30</f>
        <v>221.880684</v>
      </c>
      <c r="N9" s="45">
        <f>N22*'1. Key financial information'!N30</f>
        <v>242.12923860000001</v>
      </c>
      <c r="O9" s="45">
        <f>O22*'1. Key financial information'!O30</f>
        <v>295.23223350000006</v>
      </c>
      <c r="P9" s="45">
        <f>P22*'1. Key financial information'!P30</f>
        <v>345.55017777500007</v>
      </c>
      <c r="Q9" s="45">
        <f>Q22*'1. Key financial information'!Q30</f>
        <v>396.32844560000001</v>
      </c>
      <c r="AJ9" s="32">
        <v>0.48</v>
      </c>
    </row>
    <row r="10" spans="2:36" x14ac:dyDescent="0.35">
      <c r="B10" s="16" t="s">
        <v>14</v>
      </c>
      <c r="C10" s="33" t="s">
        <v>91</v>
      </c>
      <c r="D10" s="57" t="s">
        <v>115</v>
      </c>
      <c r="E10" s="16" t="s">
        <v>8</v>
      </c>
      <c r="F10" s="110"/>
      <c r="G10" s="111"/>
      <c r="H10" s="110"/>
      <c r="I10" s="111"/>
      <c r="J10" s="110"/>
      <c r="K10" s="111"/>
      <c r="L10" s="45">
        <f t="shared" ref="L10" si="6">L20*(L7/(1-L20))</f>
        <v>202.69827899999999</v>
      </c>
      <c r="M10" s="45">
        <f t="shared" ref="M10:Q10" si="7">M20*(M7/(1-M20))</f>
        <v>215.35381199999998</v>
      </c>
      <c r="N10" s="45">
        <f t="shared" si="7"/>
        <v>219.85896879999999</v>
      </c>
      <c r="O10" s="45">
        <f t="shared" si="7"/>
        <v>254.042238</v>
      </c>
      <c r="P10" s="45">
        <f t="shared" si="7"/>
        <v>274.13643940000003</v>
      </c>
      <c r="Q10" s="45">
        <f t="shared" si="7"/>
        <v>289.92931359999994</v>
      </c>
      <c r="AJ10" s="32">
        <v>0.49</v>
      </c>
    </row>
    <row r="11" spans="2:36" ht="87" x14ac:dyDescent="0.35">
      <c r="B11" s="16" t="s">
        <v>15</v>
      </c>
      <c r="C11" s="82" t="s">
        <v>92</v>
      </c>
      <c r="D11" s="83" t="s">
        <v>117</v>
      </c>
      <c r="E11" s="16" t="s">
        <v>8</v>
      </c>
      <c r="F11" s="110"/>
      <c r="G11" s="111"/>
      <c r="H11" s="110"/>
      <c r="I11" s="111"/>
      <c r="J11" s="110"/>
      <c r="K11" s="111"/>
      <c r="L11" s="45">
        <f>L47</f>
        <v>1041.2</v>
      </c>
      <c r="M11" s="45">
        <f t="shared" ref="M11:Q11" si="8">M47</f>
        <v>1049</v>
      </c>
      <c r="N11" s="45">
        <f t="shared" si="8"/>
        <v>967.5</v>
      </c>
      <c r="O11" s="45">
        <f t="shared" si="8"/>
        <v>1074.7</v>
      </c>
      <c r="P11" s="45">
        <f t="shared" si="8"/>
        <v>1017.6</v>
      </c>
      <c r="Q11" s="45">
        <f t="shared" si="8"/>
        <v>1064.5999999999999</v>
      </c>
      <c r="AJ11" s="32">
        <v>0.5</v>
      </c>
    </row>
    <row r="12" spans="2:36" x14ac:dyDescent="0.35">
      <c r="B12" s="16" t="s">
        <v>16</v>
      </c>
      <c r="C12" s="33" t="s">
        <v>17</v>
      </c>
      <c r="D12" s="58" t="s">
        <v>54</v>
      </c>
      <c r="E12" s="16" t="s">
        <v>8</v>
      </c>
      <c r="F12" s="111"/>
      <c r="G12" s="111"/>
      <c r="H12" s="111"/>
      <c r="I12" s="111"/>
      <c r="J12" s="111"/>
      <c r="K12" s="111"/>
      <c r="L12" s="45">
        <f t="shared" ref="L12" si="9">L8+L9+L10+L11</f>
        <v>1542.2782314239557</v>
      </c>
      <c r="M12" s="44">
        <f t="shared" ref="M12:P12" si="10">M8+M9+M10+M11</f>
        <v>1607.2217205834193</v>
      </c>
      <c r="N12" s="44">
        <f t="shared" si="10"/>
        <v>1547.2909553677259</v>
      </c>
      <c r="O12" s="44">
        <f t="shared" si="10"/>
        <v>1827.095939454641</v>
      </c>
      <c r="P12" s="44">
        <f t="shared" si="10"/>
        <v>1882.9115682311844</v>
      </c>
      <c r="Q12" s="44">
        <f>Q8+Q9+Q10+Q11</f>
        <v>2025.5167481073056</v>
      </c>
      <c r="AJ12"/>
    </row>
    <row r="13" spans="2:36" x14ac:dyDescent="0.35">
      <c r="B13" s="16" t="s">
        <v>18</v>
      </c>
      <c r="C13" s="33" t="s">
        <v>19</v>
      </c>
      <c r="D13" s="58" t="s">
        <v>104</v>
      </c>
      <c r="E13" s="16" t="s">
        <v>8</v>
      </c>
      <c r="F13" s="111"/>
      <c r="G13" s="111"/>
      <c r="H13" s="111"/>
      <c r="I13" s="111"/>
      <c r="J13" s="111"/>
      <c r="K13" s="111"/>
      <c r="L13" s="45">
        <f t="shared" ref="L13" si="11">L12-L9-L10</f>
        <v>1140.4058041739556</v>
      </c>
      <c r="M13" s="45">
        <f t="shared" ref="M13:Q13" si="12">M12-M9-M10</f>
        <v>1169.9872245834192</v>
      </c>
      <c r="N13" s="45">
        <f t="shared" si="12"/>
        <v>1085.302747967726</v>
      </c>
      <c r="O13" s="45">
        <f t="shared" si="12"/>
        <v>1277.8214679546409</v>
      </c>
      <c r="P13" s="45">
        <f t="shared" si="12"/>
        <v>1263.2249510561844</v>
      </c>
      <c r="Q13" s="45">
        <f t="shared" si="12"/>
        <v>1339.2589889073058</v>
      </c>
    </row>
    <row r="14" spans="2:36" x14ac:dyDescent="0.35">
      <c r="B14" s="43" t="s">
        <v>20</v>
      </c>
      <c r="C14" s="97" t="s">
        <v>21</v>
      </c>
      <c r="D14" s="59" t="s">
        <v>105</v>
      </c>
      <c r="E14" s="99" t="s">
        <v>8</v>
      </c>
      <c r="F14" s="112"/>
      <c r="G14" s="112"/>
      <c r="H14" s="112"/>
      <c r="I14" s="112"/>
      <c r="J14" s="112"/>
      <c r="K14" s="112"/>
      <c r="L14" s="93">
        <f t="shared" ref="L14" si="13">L8+L9+L10+L11+L15</f>
        <v>1532.2782314239557</v>
      </c>
      <c r="M14" s="93">
        <f t="shared" ref="M14:Q14" si="14">M8+M9+M10+M11+M15</f>
        <v>1597.2217205834193</v>
      </c>
      <c r="N14" s="93">
        <f t="shared" si="14"/>
        <v>1537.2909553677259</v>
      </c>
      <c r="O14" s="93">
        <f t="shared" si="14"/>
        <v>1817.095939454641</v>
      </c>
      <c r="P14" s="93">
        <f t="shared" si="14"/>
        <v>1872.9115682311844</v>
      </c>
      <c r="Q14" s="93">
        <f t="shared" si="14"/>
        <v>2015.5167481073056</v>
      </c>
    </row>
    <row r="15" spans="2:36" ht="29" x14ac:dyDescent="0.35">
      <c r="B15" s="16" t="s">
        <v>31</v>
      </c>
      <c r="C15" s="33" t="s">
        <v>56</v>
      </c>
      <c r="D15" s="84" t="s">
        <v>107</v>
      </c>
      <c r="E15" s="16" t="s">
        <v>8</v>
      </c>
      <c r="F15" s="110"/>
      <c r="G15" s="111"/>
      <c r="H15" s="110"/>
      <c r="I15" s="111"/>
      <c r="J15" s="110">
        <v>-10</v>
      </c>
      <c r="K15" s="111">
        <f>J15</f>
        <v>-10</v>
      </c>
      <c r="L15" s="45">
        <f>K15</f>
        <v>-10</v>
      </c>
      <c r="M15" s="45">
        <f t="shared" ref="M15:Q15" si="15">L15</f>
        <v>-10</v>
      </c>
      <c r="N15" s="45">
        <f t="shared" si="15"/>
        <v>-10</v>
      </c>
      <c r="O15" s="45">
        <f t="shared" si="15"/>
        <v>-10</v>
      </c>
      <c r="P15" s="45">
        <f t="shared" si="15"/>
        <v>-10</v>
      </c>
      <c r="Q15" s="45">
        <f t="shared" si="15"/>
        <v>-10</v>
      </c>
    </row>
    <row r="16" spans="2:36" x14ac:dyDescent="0.35">
      <c r="B16" s="16"/>
      <c r="C16" s="33"/>
      <c r="D16" s="84"/>
      <c r="E16" s="16"/>
      <c r="F16" s="113"/>
      <c r="G16" s="111"/>
      <c r="H16" s="113"/>
      <c r="I16" s="111"/>
      <c r="J16" s="113"/>
      <c r="K16" s="111"/>
      <c r="L16" s="45"/>
      <c r="M16" s="45"/>
      <c r="N16" s="45"/>
      <c r="O16" s="45"/>
      <c r="P16" s="45"/>
      <c r="Q16" s="45"/>
    </row>
    <row r="17" spans="2:18" ht="43.5" x14ac:dyDescent="0.35">
      <c r="B17" s="16" t="s">
        <v>34</v>
      </c>
      <c r="C17" s="82" t="s">
        <v>55</v>
      </c>
      <c r="D17" s="83" t="s">
        <v>106</v>
      </c>
      <c r="E17" s="46" t="s">
        <v>8</v>
      </c>
      <c r="F17" s="110"/>
      <c r="G17" s="111"/>
      <c r="H17" s="110"/>
      <c r="I17" s="111"/>
      <c r="J17" s="110"/>
      <c r="K17" s="111"/>
      <c r="L17" s="45">
        <f>L51</f>
        <v>508.88903282604446</v>
      </c>
      <c r="M17" s="45">
        <f t="shared" ref="M17:Q17" si="16">M51</f>
        <v>525.07421141658062</v>
      </c>
      <c r="N17" s="45">
        <f t="shared" si="16"/>
        <v>541.77415843227391</v>
      </c>
      <c r="O17" s="45">
        <f t="shared" si="16"/>
        <v>559.00524604535917</v>
      </c>
      <c r="P17" s="45">
        <f t="shared" si="16"/>
        <v>576.78436714381587</v>
      </c>
      <c r="Q17" s="45">
        <f t="shared" si="16"/>
        <v>595.12895189269409</v>
      </c>
    </row>
    <row r="18" spans="2:18" x14ac:dyDescent="0.35">
      <c r="B18" s="16" t="s">
        <v>36</v>
      </c>
      <c r="C18" s="33" t="s">
        <v>40</v>
      </c>
      <c r="D18" s="58" t="s">
        <v>57</v>
      </c>
      <c r="E18" s="16" t="s">
        <v>8</v>
      </c>
      <c r="F18" s="111"/>
      <c r="G18" s="111"/>
      <c r="H18" s="111"/>
      <c r="I18" s="111"/>
      <c r="J18" s="111"/>
      <c r="K18" s="111"/>
      <c r="L18" s="45">
        <f t="shared" ref="L18:Q18" si="17">L8+L9+L10</f>
        <v>501.07823142395557</v>
      </c>
      <c r="M18" s="44">
        <f t="shared" si="17"/>
        <v>558.22172058341926</v>
      </c>
      <c r="N18" s="44">
        <f t="shared" si="17"/>
        <v>579.79095536772604</v>
      </c>
      <c r="O18" s="44">
        <f t="shared" si="17"/>
        <v>752.39593945464094</v>
      </c>
      <c r="P18" s="44">
        <f t="shared" si="17"/>
        <v>865.31156823118431</v>
      </c>
      <c r="Q18" s="44">
        <f t="shared" si="17"/>
        <v>960.91674810730569</v>
      </c>
    </row>
    <row r="19" spans="2:18" x14ac:dyDescent="0.35">
      <c r="B19" s="16"/>
      <c r="C19" s="33"/>
      <c r="D19" s="58"/>
      <c r="E19" s="16"/>
      <c r="F19" s="114"/>
      <c r="G19" s="115"/>
      <c r="H19" s="114"/>
      <c r="I19" s="115"/>
      <c r="J19" s="114"/>
      <c r="K19" s="115"/>
      <c r="L19" s="123"/>
      <c r="M19" s="29"/>
      <c r="N19" s="29"/>
      <c r="O19" s="29"/>
      <c r="P19" s="29"/>
      <c r="Q19" s="29"/>
    </row>
    <row r="20" spans="2:18" x14ac:dyDescent="0.35">
      <c r="B20" s="16" t="s">
        <v>44</v>
      </c>
      <c r="C20" s="82" t="s">
        <v>58</v>
      </c>
      <c r="D20" s="84" t="s">
        <v>114</v>
      </c>
      <c r="E20" s="16" t="s">
        <v>10</v>
      </c>
      <c r="F20" s="116"/>
      <c r="G20" s="116"/>
      <c r="H20" s="116"/>
      <c r="I20" s="116"/>
      <c r="J20" s="116">
        <v>0.25</v>
      </c>
      <c r="K20" s="116">
        <v>0.25</v>
      </c>
      <c r="L20" s="49">
        <f>K20</f>
        <v>0.25</v>
      </c>
      <c r="M20" s="49">
        <f t="shared" ref="M20:Q20" si="18">L20</f>
        <v>0.25</v>
      </c>
      <c r="N20" s="49">
        <f t="shared" si="18"/>
        <v>0.25</v>
      </c>
      <c r="O20" s="49">
        <f t="shared" si="18"/>
        <v>0.25</v>
      </c>
      <c r="P20" s="49">
        <f t="shared" si="18"/>
        <v>0.25</v>
      </c>
      <c r="Q20" s="49">
        <f t="shared" si="18"/>
        <v>0.25</v>
      </c>
    </row>
    <row r="21" spans="2:18" x14ac:dyDescent="0.35">
      <c r="B21" s="16"/>
      <c r="C21" s="33"/>
      <c r="D21" s="58"/>
      <c r="E21" s="16"/>
      <c r="F21" s="114"/>
      <c r="G21" s="117"/>
      <c r="H21" s="114"/>
      <c r="I21" s="117"/>
      <c r="J21" s="114"/>
      <c r="K21" s="117"/>
      <c r="L21" s="124"/>
      <c r="M21" s="38"/>
      <c r="N21" s="38"/>
      <c r="O21" s="38"/>
      <c r="P21" s="38"/>
      <c r="Q21" s="38"/>
    </row>
    <row r="22" spans="2:18" ht="29" x14ac:dyDescent="0.35">
      <c r="B22" s="46" t="s">
        <v>45</v>
      </c>
      <c r="C22" s="33" t="s">
        <v>63</v>
      </c>
      <c r="D22" s="84" t="s">
        <v>116</v>
      </c>
      <c r="E22" s="16" t="s">
        <v>10</v>
      </c>
      <c r="F22" s="118"/>
      <c r="G22" s="118"/>
      <c r="H22" s="118"/>
      <c r="I22" s="118"/>
      <c r="J22" s="118"/>
      <c r="K22" s="118"/>
      <c r="L22" s="94">
        <f>L40</f>
        <v>2.2350000000000002E-2</v>
      </c>
      <c r="M22" s="94">
        <f t="shared" ref="M22:Q22" si="19">M40</f>
        <v>2.5399999999999999E-2</v>
      </c>
      <c r="N22" s="94">
        <f t="shared" si="19"/>
        <v>2.7150000000000001E-2</v>
      </c>
      <c r="O22" s="94">
        <f t="shared" si="19"/>
        <v>2.8650000000000002E-2</v>
      </c>
      <c r="P22" s="94">
        <f t="shared" si="19"/>
        <v>3.1074999999999998E-2</v>
      </c>
      <c r="Q22" s="94">
        <f t="shared" si="19"/>
        <v>3.3700000000000001E-2</v>
      </c>
    </row>
    <row r="23" spans="2:18" x14ac:dyDescent="0.35">
      <c r="B23" s="46"/>
      <c r="C23" s="33"/>
      <c r="D23" s="58"/>
      <c r="E23" s="16"/>
      <c r="F23" s="114"/>
      <c r="G23" s="119"/>
      <c r="H23" s="114"/>
      <c r="I23" s="119"/>
      <c r="J23" s="114"/>
      <c r="K23" s="119"/>
      <c r="L23" s="124"/>
      <c r="M23" s="38"/>
      <c r="N23" s="38"/>
      <c r="O23" s="38"/>
      <c r="P23" s="38"/>
      <c r="Q23" s="38"/>
    </row>
    <row r="24" spans="2:18" x14ac:dyDescent="0.35">
      <c r="B24" s="46"/>
      <c r="C24" s="95" t="s">
        <v>94</v>
      </c>
      <c r="D24" s="58"/>
      <c r="E24" s="16"/>
      <c r="F24" s="114"/>
      <c r="G24" s="119"/>
      <c r="H24" s="114"/>
      <c r="I24" s="119"/>
      <c r="J24" s="114"/>
      <c r="K24" s="119"/>
      <c r="L24" s="124"/>
      <c r="M24" s="38"/>
      <c r="N24" s="38"/>
      <c r="O24" s="38"/>
      <c r="P24" s="38"/>
      <c r="Q24" s="38"/>
    </row>
    <row r="25" spans="2:18" ht="43.5" x14ac:dyDescent="0.35">
      <c r="B25" s="2" t="s">
        <v>46</v>
      </c>
      <c r="C25" s="34" t="s">
        <v>75</v>
      </c>
      <c r="D25" s="53" t="s">
        <v>140</v>
      </c>
      <c r="E25" s="2" t="s">
        <v>8</v>
      </c>
      <c r="F25" s="120"/>
      <c r="G25" s="121"/>
      <c r="H25" s="120"/>
      <c r="I25" s="121"/>
      <c r="J25" s="120"/>
      <c r="K25" s="121">
        <f>550-660</f>
        <v>-110</v>
      </c>
      <c r="L25" s="125">
        <f>200-185</f>
        <v>15</v>
      </c>
      <c r="M25" s="31">
        <f>550-175</f>
        <v>375</v>
      </c>
      <c r="N25" s="31">
        <f>75-40</f>
        <v>35</v>
      </c>
      <c r="O25" s="31">
        <f>0-400</f>
        <v>-400</v>
      </c>
      <c r="P25" s="31">
        <v>0</v>
      </c>
      <c r="Q25" s="31">
        <f>0-50</f>
        <v>-50</v>
      </c>
    </row>
    <row r="26" spans="2:18" ht="29" x14ac:dyDescent="0.35">
      <c r="B26" s="2" t="s">
        <v>47</v>
      </c>
      <c r="C26" s="34" t="s">
        <v>122</v>
      </c>
      <c r="D26" s="53" t="s">
        <v>84</v>
      </c>
      <c r="E26" s="2" t="s">
        <v>8</v>
      </c>
      <c r="F26" s="120"/>
      <c r="G26" s="121"/>
      <c r="H26" s="120"/>
      <c r="I26" s="121"/>
      <c r="J26" s="120">
        <v>6220</v>
      </c>
      <c r="K26" s="121">
        <f t="shared" ref="K26:Q26" si="20">J26+K25</f>
        <v>6110</v>
      </c>
      <c r="L26" s="125">
        <f>K26+L25</f>
        <v>6125</v>
      </c>
      <c r="M26" s="31">
        <f t="shared" si="20"/>
        <v>6500</v>
      </c>
      <c r="N26" s="31">
        <f t="shared" si="20"/>
        <v>6535</v>
      </c>
      <c r="O26" s="31">
        <f t="shared" si="20"/>
        <v>6135</v>
      </c>
      <c r="P26" s="31">
        <f t="shared" si="20"/>
        <v>6135</v>
      </c>
      <c r="Q26" s="31">
        <f t="shared" si="20"/>
        <v>6085</v>
      </c>
    </row>
    <row r="27" spans="2:18" x14ac:dyDescent="0.35">
      <c r="B27" s="2" t="s">
        <v>48</v>
      </c>
      <c r="C27" s="34" t="s">
        <v>52</v>
      </c>
      <c r="D27" s="53" t="s">
        <v>85</v>
      </c>
      <c r="E27" s="2" t="s">
        <v>8</v>
      </c>
      <c r="F27" s="120"/>
      <c r="G27" s="120"/>
      <c r="H27" s="120"/>
      <c r="I27" s="120"/>
      <c r="J27" s="120">
        <v>139.9</v>
      </c>
      <c r="K27" s="120">
        <v>97.4</v>
      </c>
      <c r="L27" s="37">
        <v>97.4</v>
      </c>
      <c r="M27" s="30">
        <v>97.4</v>
      </c>
      <c r="N27" s="30">
        <v>97.4</v>
      </c>
      <c r="O27" s="30">
        <v>97.4</v>
      </c>
      <c r="P27" s="30">
        <v>97.4</v>
      </c>
      <c r="Q27" s="30">
        <v>97.4</v>
      </c>
      <c r="R27" s="130"/>
    </row>
    <row r="28" spans="2:18" x14ac:dyDescent="0.35">
      <c r="B28" s="2" t="s">
        <v>95</v>
      </c>
      <c r="C28" s="34" t="s">
        <v>53</v>
      </c>
      <c r="D28" s="53" t="s">
        <v>86</v>
      </c>
      <c r="E28" s="2" t="s">
        <v>8</v>
      </c>
      <c r="F28" s="120"/>
      <c r="G28" s="120"/>
      <c r="H28" s="120"/>
      <c r="I28" s="120"/>
      <c r="J28" s="120">
        <v>12</v>
      </c>
      <c r="K28" s="120">
        <v>7</v>
      </c>
      <c r="L28" s="37">
        <v>6</v>
      </c>
      <c r="M28" s="30">
        <v>5</v>
      </c>
      <c r="N28" s="30">
        <v>3</v>
      </c>
      <c r="O28" s="30">
        <v>0</v>
      </c>
      <c r="P28" s="30">
        <v>0</v>
      </c>
      <c r="Q28" s="30">
        <v>0</v>
      </c>
    </row>
    <row r="29" spans="2:18" ht="29" x14ac:dyDescent="0.35">
      <c r="B29" s="2" t="s">
        <v>96</v>
      </c>
      <c r="C29" s="34" t="s">
        <v>99</v>
      </c>
      <c r="D29" s="56" t="s">
        <v>98</v>
      </c>
      <c r="E29" s="2" t="s">
        <v>8</v>
      </c>
      <c r="F29" s="121"/>
      <c r="G29" s="121"/>
      <c r="H29" s="121"/>
      <c r="I29" s="121"/>
      <c r="J29" s="121"/>
      <c r="K29" s="121">
        <f t="shared" ref="K29:Q29" si="21">K30-SUM(K26:K28)</f>
        <v>1543.4600000000009</v>
      </c>
      <c r="L29" s="125">
        <f t="shared" si="21"/>
        <v>2683.1950000000015</v>
      </c>
      <c r="M29" s="31">
        <f t="shared" si="21"/>
        <v>2133.0600000000013</v>
      </c>
      <c r="N29" s="31">
        <f t="shared" si="21"/>
        <v>2282.8040000000001</v>
      </c>
      <c r="O29" s="31">
        <f t="shared" si="21"/>
        <v>4072.3900000000012</v>
      </c>
      <c r="P29" s="31">
        <f t="shared" si="21"/>
        <v>4887.4770000000026</v>
      </c>
      <c r="Q29" s="31">
        <f t="shared" si="21"/>
        <v>5578.0879999999997</v>
      </c>
    </row>
    <row r="30" spans="2:18" ht="43.5" x14ac:dyDescent="0.35">
      <c r="B30" s="100" t="s">
        <v>97</v>
      </c>
      <c r="C30" s="101" t="s">
        <v>108</v>
      </c>
      <c r="D30" s="102" t="s">
        <v>100</v>
      </c>
      <c r="E30" s="100" t="s">
        <v>8</v>
      </c>
      <c r="F30" s="122"/>
      <c r="G30" s="122"/>
      <c r="H30" s="122"/>
      <c r="I30" s="122"/>
      <c r="J30" s="122">
        <f>SUM(J26:J28)</f>
        <v>6371.9</v>
      </c>
      <c r="K30" s="122">
        <f t="shared" ref="K30:Q30" si="22">MAX(SUM(K26:K28),(K4*(1-K6)))</f>
        <v>7757.8600000000006</v>
      </c>
      <c r="L30" s="103">
        <f t="shared" si="22"/>
        <v>8911.5950000000012</v>
      </c>
      <c r="M30" s="103">
        <f t="shared" si="22"/>
        <v>8735.4600000000009</v>
      </c>
      <c r="N30" s="103">
        <f t="shared" si="22"/>
        <v>8918.2039999999997</v>
      </c>
      <c r="O30" s="103">
        <f t="shared" si="22"/>
        <v>10304.790000000001</v>
      </c>
      <c r="P30" s="103">
        <f t="shared" si="22"/>
        <v>11119.877000000002</v>
      </c>
      <c r="Q30" s="103">
        <f t="shared" si="22"/>
        <v>11760.487999999999</v>
      </c>
    </row>
    <row r="31" spans="2:18" x14ac:dyDescent="0.35">
      <c r="F31" s="136"/>
      <c r="G31" s="136"/>
      <c r="H31" s="136"/>
      <c r="I31" s="136"/>
      <c r="J31" s="136"/>
      <c r="K31" s="136"/>
      <c r="L31" s="126"/>
      <c r="M31" s="26"/>
      <c r="N31" s="26"/>
      <c r="O31" s="26"/>
      <c r="P31" s="26"/>
      <c r="Q31" s="26"/>
    </row>
    <row r="32" spans="2:18" x14ac:dyDescent="0.35">
      <c r="F32" s="136"/>
      <c r="G32" s="136"/>
      <c r="H32" s="136"/>
      <c r="I32" s="136"/>
      <c r="J32" s="136"/>
      <c r="K32" s="136"/>
      <c r="L32" s="26"/>
      <c r="M32" s="131"/>
      <c r="N32" s="131"/>
      <c r="O32" s="131"/>
      <c r="P32" s="131"/>
      <c r="Q32" s="131"/>
    </row>
    <row r="33" spans="2:17" x14ac:dyDescent="0.35">
      <c r="C33" s="34"/>
      <c r="F33" s="136"/>
      <c r="G33" s="136"/>
      <c r="H33" s="136"/>
      <c r="I33" s="136"/>
      <c r="J33" s="136"/>
      <c r="K33" s="136"/>
    </row>
    <row r="34" spans="2:17" x14ac:dyDescent="0.35">
      <c r="B34" s="135" t="s">
        <v>125</v>
      </c>
      <c r="C34" s="34"/>
      <c r="F34" s="136"/>
      <c r="G34" s="136"/>
      <c r="H34" s="136"/>
      <c r="I34" s="136"/>
      <c r="J34" s="136"/>
      <c r="K34" s="136"/>
    </row>
    <row r="35" spans="2:17" x14ac:dyDescent="0.35">
      <c r="B35" s="135"/>
      <c r="F35" s="136"/>
      <c r="G35" s="136"/>
      <c r="H35" s="136"/>
      <c r="I35" s="136"/>
      <c r="J35" s="136"/>
      <c r="K35" s="136"/>
    </row>
    <row r="36" spans="2:17" x14ac:dyDescent="0.35">
      <c r="B36" s="11" t="s">
        <v>1</v>
      </c>
      <c r="C36" s="11" t="s">
        <v>0</v>
      </c>
      <c r="D36" s="11" t="s">
        <v>65</v>
      </c>
      <c r="E36" s="11" t="s">
        <v>2</v>
      </c>
      <c r="F36" s="137">
        <v>2015</v>
      </c>
      <c r="G36" s="137">
        <f t="shared" ref="G36:Q36" si="23">F36+1</f>
        <v>2016</v>
      </c>
      <c r="H36" s="137">
        <f t="shared" si="23"/>
        <v>2017</v>
      </c>
      <c r="I36" s="137">
        <f t="shared" si="23"/>
        <v>2018</v>
      </c>
      <c r="J36" s="137">
        <f t="shared" si="23"/>
        <v>2019</v>
      </c>
      <c r="K36" s="137">
        <f t="shared" si="23"/>
        <v>2020</v>
      </c>
      <c r="L36" s="11">
        <f t="shared" si="23"/>
        <v>2021</v>
      </c>
      <c r="M36" s="11">
        <f t="shared" si="23"/>
        <v>2022</v>
      </c>
      <c r="N36" s="11">
        <f t="shared" si="23"/>
        <v>2023</v>
      </c>
      <c r="O36" s="11">
        <f t="shared" si="23"/>
        <v>2024</v>
      </c>
      <c r="P36" s="11">
        <f t="shared" si="23"/>
        <v>2025</v>
      </c>
      <c r="Q36" s="11">
        <f t="shared" si="23"/>
        <v>2026</v>
      </c>
    </row>
    <row r="37" spans="2:17" x14ac:dyDescent="0.35">
      <c r="B37" s="7"/>
      <c r="C37" s="10" t="s">
        <v>63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2:17" ht="29" x14ac:dyDescent="0.35">
      <c r="B38" s="2" t="s">
        <v>126</v>
      </c>
      <c r="C38" s="3" t="s">
        <v>59</v>
      </c>
      <c r="D38" s="84" t="s">
        <v>123</v>
      </c>
      <c r="E38" s="2" t="s">
        <v>10</v>
      </c>
      <c r="F38" s="138"/>
      <c r="G38" s="138"/>
      <c r="H38" s="138"/>
      <c r="I38" s="138"/>
      <c r="J38" s="138"/>
      <c r="K38" s="138"/>
      <c r="L38" s="61">
        <f>AVERAGE(0.64,0.71,0.79,0.88)/100</f>
        <v>7.5500000000000003E-3</v>
      </c>
      <c r="M38" s="61">
        <f>AVERAGE(0.95,1.03,1.1,1.16)/100</f>
        <v>1.06E-2</v>
      </c>
      <c r="N38" s="61">
        <f>AVERAGE(1.21,1.22,1.24,1.27)/100</f>
        <v>1.2349999999999998E-2</v>
      </c>
      <c r="O38" s="61">
        <f>AVERAGE(1.3,1.36,1.41,1.47)/100</f>
        <v>1.3849999999999999E-2</v>
      </c>
      <c r="P38" s="61">
        <f>AVERAGE(1.53,1.6,1.66,1.72)/100</f>
        <v>1.6274999999999998E-2</v>
      </c>
      <c r="Q38" s="61">
        <f>AVERAGE(1.79,1.86,1.92,1.99)/100</f>
        <v>1.89E-2</v>
      </c>
    </row>
    <row r="39" spans="2:17" ht="29" x14ac:dyDescent="0.35">
      <c r="B39" s="2" t="s">
        <v>127</v>
      </c>
      <c r="C39" s="3" t="s">
        <v>60</v>
      </c>
      <c r="D39" s="84" t="s">
        <v>124</v>
      </c>
      <c r="E39" s="2" t="s">
        <v>10</v>
      </c>
      <c r="F39" s="139"/>
      <c r="G39" s="140"/>
      <c r="H39" s="140"/>
      <c r="I39" s="140"/>
      <c r="J39" s="140"/>
      <c r="K39" s="140"/>
      <c r="L39" s="62">
        <v>1.4800000000000001E-2</v>
      </c>
      <c r="M39" s="63">
        <f>L39</f>
        <v>1.4800000000000001E-2</v>
      </c>
      <c r="N39" s="63">
        <f>M39</f>
        <v>1.4800000000000001E-2</v>
      </c>
      <c r="O39" s="63">
        <f>N39</f>
        <v>1.4800000000000001E-2</v>
      </c>
      <c r="P39" s="63">
        <f>O39</f>
        <v>1.4800000000000001E-2</v>
      </c>
      <c r="Q39" s="63">
        <f>P39</f>
        <v>1.4800000000000001E-2</v>
      </c>
    </row>
    <row r="40" spans="2:17" x14ac:dyDescent="0.35">
      <c r="B40" s="2" t="s">
        <v>128</v>
      </c>
      <c r="C40" s="3" t="s">
        <v>62</v>
      </c>
      <c r="D40" s="2" t="s">
        <v>134</v>
      </c>
      <c r="E40" s="2" t="s">
        <v>10</v>
      </c>
      <c r="F40" s="138"/>
      <c r="G40" s="138"/>
      <c r="H40" s="138"/>
      <c r="I40" s="138"/>
      <c r="J40" s="138"/>
      <c r="K40" s="138"/>
      <c r="L40" s="60">
        <f t="shared" ref="L40:Q40" si="24">L38+L39</f>
        <v>2.2350000000000002E-2</v>
      </c>
      <c r="M40" s="60">
        <f t="shared" si="24"/>
        <v>2.5399999999999999E-2</v>
      </c>
      <c r="N40" s="60">
        <f t="shared" si="24"/>
        <v>2.7150000000000001E-2</v>
      </c>
      <c r="O40" s="60">
        <f t="shared" si="24"/>
        <v>2.8650000000000002E-2</v>
      </c>
      <c r="P40" s="60">
        <f t="shared" si="24"/>
        <v>3.1074999999999998E-2</v>
      </c>
      <c r="Q40" s="60">
        <f t="shared" si="24"/>
        <v>3.3700000000000001E-2</v>
      </c>
    </row>
    <row r="41" spans="2:17" x14ac:dyDescent="0.35">
      <c r="D41" s="2"/>
      <c r="F41" s="136"/>
      <c r="G41" s="136"/>
      <c r="H41" s="136"/>
      <c r="I41" s="136"/>
      <c r="J41" s="136"/>
      <c r="K41" s="136"/>
    </row>
    <row r="42" spans="2:17" x14ac:dyDescent="0.35">
      <c r="D42" s="2"/>
      <c r="F42" s="136"/>
      <c r="G42" s="136"/>
      <c r="H42" s="136"/>
      <c r="I42" s="136"/>
      <c r="J42" s="136"/>
      <c r="K42" s="136"/>
    </row>
    <row r="43" spans="2:17" x14ac:dyDescent="0.35">
      <c r="B43" s="40"/>
      <c r="C43" s="41" t="s">
        <v>92</v>
      </c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</row>
    <row r="44" spans="2:17" x14ac:dyDescent="0.35">
      <c r="B44" s="2" t="s">
        <v>129</v>
      </c>
      <c r="C44" s="3" t="s">
        <v>64</v>
      </c>
      <c r="D44" s="84" t="s">
        <v>121</v>
      </c>
      <c r="E44" s="2" t="s">
        <v>8</v>
      </c>
      <c r="F44" s="141"/>
      <c r="G44" s="141"/>
      <c r="H44" s="141"/>
      <c r="I44" s="141"/>
      <c r="J44" s="141">
        <v>333</v>
      </c>
      <c r="K44" s="141">
        <v>452.1</v>
      </c>
      <c r="L44" s="48">
        <v>545.20000000000005</v>
      </c>
      <c r="M44" s="48">
        <v>553</v>
      </c>
      <c r="N44" s="48">
        <v>471.5</v>
      </c>
      <c r="O44" s="48">
        <v>578.70000000000005</v>
      </c>
      <c r="P44" s="48">
        <v>521.6</v>
      </c>
      <c r="Q44" s="48">
        <v>568.6</v>
      </c>
    </row>
    <row r="45" spans="2:17" x14ac:dyDescent="0.35">
      <c r="B45" s="2" t="s">
        <v>130</v>
      </c>
      <c r="C45" s="3" t="s">
        <v>67</v>
      </c>
      <c r="D45" s="47" t="s">
        <v>66</v>
      </c>
      <c r="E45" s="2" t="s">
        <v>8</v>
      </c>
      <c r="F45" s="141"/>
      <c r="G45" s="141"/>
      <c r="H45" s="141"/>
      <c r="I45" s="141"/>
      <c r="J45" s="141">
        <v>829</v>
      </c>
      <c r="K45" s="136"/>
    </row>
    <row r="46" spans="2:17" x14ac:dyDescent="0.35">
      <c r="B46" s="2" t="s">
        <v>131</v>
      </c>
      <c r="C46" s="3" t="s">
        <v>68</v>
      </c>
      <c r="D46" s="2" t="s">
        <v>135</v>
      </c>
      <c r="E46" s="2" t="s">
        <v>8</v>
      </c>
      <c r="F46" s="142"/>
      <c r="G46" s="142"/>
      <c r="H46" s="142"/>
      <c r="I46" s="142"/>
      <c r="J46" s="142">
        <f>J45-J44</f>
        <v>496</v>
      </c>
      <c r="K46" s="142">
        <f t="shared" ref="K46:Q46" si="25">J46</f>
        <v>496</v>
      </c>
      <c r="L46" s="128">
        <f t="shared" si="25"/>
        <v>496</v>
      </c>
      <c r="M46" s="128">
        <f t="shared" si="25"/>
        <v>496</v>
      </c>
      <c r="N46" s="128">
        <f t="shared" si="25"/>
        <v>496</v>
      </c>
      <c r="O46" s="128">
        <f t="shared" si="25"/>
        <v>496</v>
      </c>
      <c r="P46" s="128">
        <f t="shared" si="25"/>
        <v>496</v>
      </c>
      <c r="Q46" s="128">
        <f t="shared" si="25"/>
        <v>496</v>
      </c>
    </row>
    <row r="47" spans="2:17" x14ac:dyDescent="0.35">
      <c r="B47" s="2" t="s">
        <v>132</v>
      </c>
      <c r="C47" s="3" t="s">
        <v>69</v>
      </c>
      <c r="D47" s="2" t="s">
        <v>136</v>
      </c>
      <c r="E47" s="2" t="s">
        <v>8</v>
      </c>
      <c r="F47" s="143"/>
      <c r="G47" s="143"/>
      <c r="H47" s="143"/>
      <c r="I47" s="143"/>
      <c r="J47" s="143">
        <f t="shared" ref="J47:Q47" si="26">J46+J44</f>
        <v>829</v>
      </c>
      <c r="K47" s="143">
        <f t="shared" si="26"/>
        <v>948.1</v>
      </c>
      <c r="L47" s="51">
        <f t="shared" si="26"/>
        <v>1041.2</v>
      </c>
      <c r="M47" s="51">
        <f t="shared" si="26"/>
        <v>1049</v>
      </c>
      <c r="N47" s="51">
        <f t="shared" si="26"/>
        <v>967.5</v>
      </c>
      <c r="O47" s="51">
        <f t="shared" si="26"/>
        <v>1074.7</v>
      </c>
      <c r="P47" s="51">
        <f t="shared" si="26"/>
        <v>1017.6</v>
      </c>
      <c r="Q47" s="51">
        <f t="shared" si="26"/>
        <v>1064.5999999999999</v>
      </c>
    </row>
    <row r="48" spans="2:17" x14ac:dyDescent="0.35">
      <c r="D48" s="2"/>
      <c r="F48" s="144"/>
      <c r="G48" s="144"/>
      <c r="H48" s="144"/>
      <c r="I48" s="144"/>
      <c r="J48" s="144"/>
      <c r="K48" s="144"/>
      <c r="L48" s="3"/>
    </row>
    <row r="49" spans="2:17" x14ac:dyDescent="0.35">
      <c r="C49" s="42"/>
      <c r="D49" s="2"/>
      <c r="F49" s="145"/>
      <c r="G49" s="145"/>
      <c r="H49" s="145"/>
      <c r="I49" s="145"/>
      <c r="J49" s="145"/>
      <c r="K49" s="145"/>
      <c r="L49" s="39"/>
    </row>
    <row r="50" spans="2:17" x14ac:dyDescent="0.35">
      <c r="B50" s="40"/>
      <c r="C50" s="41" t="s">
        <v>55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</row>
    <row r="51" spans="2:17" ht="43.5" x14ac:dyDescent="0.35">
      <c r="B51" s="2" t="s">
        <v>133</v>
      </c>
      <c r="C51" s="82" t="s">
        <v>55</v>
      </c>
      <c r="D51" s="83" t="s">
        <v>106</v>
      </c>
      <c r="E51" s="46" t="s">
        <v>8</v>
      </c>
      <c r="F51" s="141">
        <v>351</v>
      </c>
      <c r="G51" s="141">
        <v>393</v>
      </c>
      <c r="H51" s="141">
        <v>425</v>
      </c>
      <c r="I51" s="141">
        <v>450</v>
      </c>
      <c r="J51" s="141">
        <v>478</v>
      </c>
      <c r="K51" s="111">
        <f>J51*(1+$K$52)</f>
        <v>493.20275515334384</v>
      </c>
      <c r="L51" s="45">
        <f>K51*(1+$K$52)</f>
        <v>508.88903282604446</v>
      </c>
      <c r="M51" s="45">
        <f t="shared" ref="M51:Q51" si="27">L51*(1+$K$52)</f>
        <v>525.07421141658062</v>
      </c>
      <c r="N51" s="45">
        <f t="shared" si="27"/>
        <v>541.77415843227391</v>
      </c>
      <c r="O51" s="45">
        <f t="shared" si="27"/>
        <v>559.00524604535917</v>
      </c>
      <c r="P51" s="45">
        <f t="shared" si="27"/>
        <v>576.78436714381587</v>
      </c>
      <c r="Q51" s="45">
        <f t="shared" si="27"/>
        <v>595.12895189269409</v>
      </c>
    </row>
    <row r="52" spans="2:17" x14ac:dyDescent="0.35">
      <c r="F52" s="136"/>
      <c r="G52" s="113">
        <f>G51/F51-1</f>
        <v>0.11965811965811968</v>
      </c>
      <c r="H52" s="113">
        <f t="shared" ref="H52:J52" si="28">H51/G51-1</f>
        <v>8.1424936386768509E-2</v>
      </c>
      <c r="I52" s="113">
        <f t="shared" si="28"/>
        <v>5.8823529411764719E-2</v>
      </c>
      <c r="J52" s="113">
        <f t="shared" si="28"/>
        <v>6.2222222222222179E-2</v>
      </c>
      <c r="K52" s="146" cm="1">
        <f t="array" ref="K52">TREND(G52:J52,G36:J36,K36,TRUE)</f>
        <v>3.1804927099045699E-2</v>
      </c>
    </row>
  </sheetData>
  <phoneticPr fontId="7" type="noConversion"/>
  <dataValidations count="1">
    <dataValidation type="list" allowBlank="1" showInputMessage="1" showErrorMessage="1" sqref="M6" xr:uid="{6EAA65FB-09B0-4D0A-B17F-A686A56BAA6D}">
      <formula1>$AJ$6:$AJ$11</formula1>
    </dataValidation>
  </dataValidations>
  <pageMargins left="0.7" right="0.7" top="0.75" bottom="0.75" header="0.3" footer="0.3"/>
  <pageSetup orientation="portrait" horizontalDpi="1200" verticalDpi="1200" r:id="rId1"/>
  <ignoredErrors>
    <ignoredError sqref="AJ6 AJ7:AJ11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2AB12-D190-4974-9695-03018B82DC36}">
  <dimension ref="B1:J75"/>
  <sheetViews>
    <sheetView zoomScale="70" zoomScaleNormal="70" workbookViewId="0">
      <pane xSplit="3" ySplit="3" topLeftCell="D13" activePane="bottomRight" state="frozen"/>
      <selection activeCell="D11" sqref="D11"/>
      <selection pane="topRight" activeCell="D11" sqref="D11"/>
      <selection pane="bottomLeft" activeCell="D11" sqref="D11"/>
      <selection pane="bottomRight" activeCell="F24" sqref="F24"/>
    </sheetView>
  </sheetViews>
  <sheetFormatPr defaultRowHeight="14.5" x14ac:dyDescent="0.35"/>
  <cols>
    <col min="1" max="1" width="2" customWidth="1"/>
    <col min="2" max="2" width="22.54296875" style="2" bestFit="1" customWidth="1"/>
    <col min="3" max="3" width="52.54296875" customWidth="1"/>
    <col min="4" max="4" width="15" style="1" customWidth="1"/>
    <col min="5" max="5" width="11.453125" style="2" customWidth="1"/>
    <col min="6" max="10" width="17.7265625" style="2" bestFit="1" customWidth="1"/>
  </cols>
  <sheetData>
    <row r="1" spans="2:10" ht="12" customHeight="1" x14ac:dyDescent="0.35"/>
    <row r="2" spans="2:10" x14ac:dyDescent="0.35">
      <c r="B2" s="19"/>
      <c r="C2" s="19"/>
      <c r="D2" s="19"/>
      <c r="E2" s="19"/>
      <c r="F2" s="147" t="s">
        <v>90</v>
      </c>
      <c r="G2" s="148"/>
      <c r="H2" s="148"/>
      <c r="I2" s="148"/>
      <c r="J2" s="149"/>
    </row>
    <row r="3" spans="2:10" x14ac:dyDescent="0.35">
      <c r="B3" s="129" t="s">
        <v>1</v>
      </c>
      <c r="C3" s="11" t="s">
        <v>0</v>
      </c>
      <c r="D3" s="11" t="s">
        <v>70</v>
      </c>
      <c r="E3" s="11" t="s">
        <v>2</v>
      </c>
      <c r="F3" s="74">
        <v>2022</v>
      </c>
      <c r="G3" s="74">
        <f t="shared" ref="G3:J3" si="0">F3+1</f>
        <v>2023</v>
      </c>
      <c r="H3" s="74">
        <f t="shared" si="0"/>
        <v>2024</v>
      </c>
      <c r="I3" s="74">
        <f t="shared" si="0"/>
        <v>2025</v>
      </c>
      <c r="J3" s="74">
        <f t="shared" si="0"/>
        <v>2026</v>
      </c>
    </row>
    <row r="4" spans="2:10" s="9" customFormat="1" x14ac:dyDescent="0.35">
      <c r="B4" s="7"/>
      <c r="C4" s="10" t="s">
        <v>22</v>
      </c>
      <c r="D4" s="8"/>
      <c r="E4" s="7"/>
      <c r="F4" s="7"/>
      <c r="G4" s="7"/>
      <c r="H4" s="7"/>
      <c r="I4" s="7"/>
      <c r="J4" s="7"/>
    </row>
    <row r="5" spans="2:10" x14ac:dyDescent="0.35">
      <c r="B5" s="2" t="s">
        <v>3</v>
      </c>
      <c r="C5" t="s">
        <v>23</v>
      </c>
      <c r="E5" s="2" t="s">
        <v>8</v>
      </c>
      <c r="F5" s="24">
        <f>'1. Key financial information'!M4</f>
        <v>16482</v>
      </c>
      <c r="G5" s="24">
        <f>'1. Key financial information'!N4</f>
        <v>16826.8</v>
      </c>
      <c r="H5" s="24">
        <f>'1. Key financial information'!O4</f>
        <v>19443</v>
      </c>
      <c r="I5" s="24">
        <f>'1. Key financial information'!P4</f>
        <v>20980.9</v>
      </c>
      <c r="J5" s="24">
        <f>'1. Key financial information'!Q4</f>
        <v>22189.599999999999</v>
      </c>
    </row>
    <row r="6" spans="2:10" x14ac:dyDescent="0.35">
      <c r="B6" s="6" t="s">
        <v>4</v>
      </c>
      <c r="C6" t="s">
        <v>9</v>
      </c>
      <c r="E6" s="2" t="s">
        <v>10</v>
      </c>
      <c r="F6" s="25">
        <f>'1. Key financial information'!M5</f>
        <v>8.3400000000000002E-2</v>
      </c>
      <c r="G6" s="25">
        <f>'1. Key financial information'!N5</f>
        <v>8.3400000000000002E-2</v>
      </c>
      <c r="H6" s="25">
        <f>'1. Key financial information'!O5</f>
        <v>8.3400000000000002E-2</v>
      </c>
      <c r="I6" s="25">
        <f>'1. Key financial information'!P5</f>
        <v>8.3400000000000002E-2</v>
      </c>
      <c r="J6" s="25">
        <f>'1. Key financial information'!Q5</f>
        <v>8.3400000000000002E-2</v>
      </c>
    </row>
    <row r="7" spans="2:10" x14ac:dyDescent="0.35">
      <c r="B7" s="6" t="s">
        <v>5</v>
      </c>
      <c r="C7" t="s">
        <v>25</v>
      </c>
      <c r="E7" s="2" t="s">
        <v>10</v>
      </c>
      <c r="F7" s="85">
        <f>'1. Key financial information'!M6</f>
        <v>0.47</v>
      </c>
      <c r="G7" s="85">
        <f>'1. Key financial information'!N6</f>
        <v>0.47</v>
      </c>
      <c r="H7" s="85">
        <f>'1. Key financial information'!O6</f>
        <v>0.47</v>
      </c>
      <c r="I7" s="85">
        <f>'1. Key financial information'!P6</f>
        <v>0.47</v>
      </c>
      <c r="J7" s="85">
        <f>'1. Key financial information'!Q6</f>
        <v>0.47</v>
      </c>
    </row>
    <row r="8" spans="2:10" x14ac:dyDescent="0.35">
      <c r="B8" s="6" t="s">
        <v>6</v>
      </c>
      <c r="C8" t="s">
        <v>24</v>
      </c>
      <c r="D8" s="1" t="s">
        <v>26</v>
      </c>
      <c r="E8" s="2" t="s">
        <v>10</v>
      </c>
      <c r="F8" s="26">
        <f t="shared" ref="F8:J8" si="1">1-F7</f>
        <v>0.53</v>
      </c>
      <c r="G8" s="26">
        <f t="shared" si="1"/>
        <v>0.53</v>
      </c>
      <c r="H8" s="26">
        <f t="shared" si="1"/>
        <v>0.53</v>
      </c>
      <c r="I8" s="26">
        <f t="shared" si="1"/>
        <v>0.53</v>
      </c>
      <c r="J8" s="26">
        <f t="shared" si="1"/>
        <v>0.53</v>
      </c>
    </row>
    <row r="9" spans="2:10" x14ac:dyDescent="0.35">
      <c r="B9" s="2" t="s">
        <v>7</v>
      </c>
      <c r="C9" t="s">
        <v>17</v>
      </c>
      <c r="E9" s="2" t="s">
        <v>8</v>
      </c>
      <c r="F9" s="27">
        <f>'1. Key financial information'!M12</f>
        <v>1607.2217205834193</v>
      </c>
      <c r="G9" s="27">
        <f>'1. Key financial information'!N12</f>
        <v>1547.2909553677259</v>
      </c>
      <c r="H9" s="27">
        <f>'1. Key financial information'!O12</f>
        <v>1827.095939454641</v>
      </c>
      <c r="I9" s="27">
        <f>'1. Key financial information'!P12</f>
        <v>1882.9115682311844</v>
      </c>
      <c r="J9" s="27">
        <f>'1. Key financial information'!Q12</f>
        <v>2025.5167481073056</v>
      </c>
    </row>
    <row r="10" spans="2:10" x14ac:dyDescent="0.35">
      <c r="B10" s="2" t="s">
        <v>13</v>
      </c>
      <c r="C10" t="s">
        <v>40</v>
      </c>
      <c r="E10" s="2" t="s">
        <v>8</v>
      </c>
      <c r="F10" s="27">
        <f>'1. Key financial information'!M18</f>
        <v>558.22172058341926</v>
      </c>
      <c r="G10" s="27">
        <f>'1. Key financial information'!N18</f>
        <v>579.79095536772604</v>
      </c>
      <c r="H10" s="27">
        <f>'1. Key financial information'!O18</f>
        <v>752.39593945464094</v>
      </c>
      <c r="I10" s="27">
        <f>'1. Key financial information'!P18</f>
        <v>865.31156823118431</v>
      </c>
      <c r="J10" s="27">
        <f>'1. Key financial information'!Q18</f>
        <v>960.91674810730569</v>
      </c>
    </row>
    <row r="12" spans="2:10" s="9" customFormat="1" x14ac:dyDescent="0.35">
      <c r="B12" s="20"/>
      <c r="C12" s="21" t="s">
        <v>27</v>
      </c>
      <c r="D12" s="22"/>
      <c r="E12" s="20"/>
      <c r="F12" s="20"/>
      <c r="G12" s="20"/>
      <c r="H12" s="20"/>
      <c r="I12" s="20"/>
      <c r="J12" s="20"/>
    </row>
    <row r="13" spans="2:10" x14ac:dyDescent="0.35">
      <c r="B13" s="2" t="s">
        <v>14</v>
      </c>
      <c r="C13" t="s">
        <v>19</v>
      </c>
      <c r="E13" s="2" t="s">
        <v>8</v>
      </c>
      <c r="F13" s="24">
        <f>'1. Key financial information'!M13</f>
        <v>1169.9872245834192</v>
      </c>
      <c r="G13" s="24">
        <f>'1. Key financial information'!N13</f>
        <v>1085.302747967726</v>
      </c>
      <c r="H13" s="24">
        <f>'1. Key financial information'!O13</f>
        <v>1277.8214679546409</v>
      </c>
      <c r="I13" s="24">
        <f>'1. Key financial information'!P13</f>
        <v>1263.2249510561844</v>
      </c>
      <c r="J13" s="24">
        <f>'1. Key financial information'!Q13</f>
        <v>1339.2589889073058</v>
      </c>
    </row>
    <row r="14" spans="2:10" x14ac:dyDescent="0.35">
      <c r="B14" s="2" t="s">
        <v>15</v>
      </c>
      <c r="C14" t="s">
        <v>113</v>
      </c>
      <c r="E14" s="2" t="s">
        <v>8</v>
      </c>
      <c r="F14" s="24">
        <f>'1. Key financial information'!M14</f>
        <v>1597.2217205834193</v>
      </c>
      <c r="G14" s="24">
        <f>'1. Key financial information'!N14</f>
        <v>1537.2909553677259</v>
      </c>
      <c r="H14" s="24">
        <f>'1. Key financial information'!O14</f>
        <v>1817.095939454641</v>
      </c>
      <c r="I14" s="24">
        <f>'1. Key financial information'!P14</f>
        <v>1872.9115682311844</v>
      </c>
      <c r="J14" s="24">
        <f>'1. Key financial information'!Q14</f>
        <v>2015.5167481073056</v>
      </c>
    </row>
    <row r="15" spans="2:10" x14ac:dyDescent="0.35">
      <c r="B15" s="2" t="s">
        <v>16</v>
      </c>
      <c r="C15" t="s">
        <v>108</v>
      </c>
      <c r="E15" s="2" t="s">
        <v>8</v>
      </c>
      <c r="F15" s="24">
        <f>'1. Key financial information'!M30</f>
        <v>8735.4600000000009</v>
      </c>
      <c r="G15" s="24">
        <f>'1. Key financial information'!N30</f>
        <v>8918.2039999999997</v>
      </c>
      <c r="H15" s="24">
        <f>'1. Key financial information'!O30</f>
        <v>10304.790000000001</v>
      </c>
      <c r="I15" s="24">
        <f>'1. Key financial information'!P30</f>
        <v>11119.877000000002</v>
      </c>
      <c r="J15" s="24">
        <f>'1. Key financial information'!Q30</f>
        <v>11760.487999999999</v>
      </c>
    </row>
    <row r="16" spans="2:10" hidden="1" x14ac:dyDescent="0.35">
      <c r="B16" s="87" t="s">
        <v>18</v>
      </c>
      <c r="C16" s="88" t="s">
        <v>72</v>
      </c>
      <c r="D16" s="89" t="s">
        <v>78</v>
      </c>
      <c r="E16" s="87" t="s">
        <v>8</v>
      </c>
      <c r="F16" s="91" t="e">
        <f>#REF!</f>
        <v>#REF!</v>
      </c>
      <c r="G16" s="91" t="e">
        <f t="shared" ref="G16:J16" si="2">F16</f>
        <v>#REF!</v>
      </c>
      <c r="H16" s="91" t="e">
        <f t="shared" si="2"/>
        <v>#REF!</v>
      </c>
      <c r="I16" s="91" t="e">
        <f t="shared" si="2"/>
        <v>#REF!</v>
      </c>
      <c r="J16" s="91" t="e">
        <f t="shared" si="2"/>
        <v>#REF!</v>
      </c>
    </row>
    <row r="17" spans="2:10" hidden="1" x14ac:dyDescent="0.35">
      <c r="B17" s="87" t="s">
        <v>74</v>
      </c>
      <c r="C17" s="88" t="s">
        <v>73</v>
      </c>
      <c r="D17" s="89" t="s">
        <v>71</v>
      </c>
      <c r="E17" s="87" t="s">
        <v>8</v>
      </c>
      <c r="F17" s="91"/>
      <c r="G17" s="91"/>
      <c r="H17" s="91"/>
      <c r="I17" s="91"/>
      <c r="J17" s="91"/>
    </row>
    <row r="18" spans="2:10" x14ac:dyDescent="0.35">
      <c r="B18" s="2" t="s">
        <v>18</v>
      </c>
      <c r="C18" t="s">
        <v>87</v>
      </c>
      <c r="E18" s="2" t="s">
        <v>8</v>
      </c>
      <c r="F18" s="24">
        <f>'1. Key financial information'!M9</f>
        <v>221.880684</v>
      </c>
      <c r="G18" s="24">
        <f>'1. Key financial information'!N9</f>
        <v>242.12923860000001</v>
      </c>
      <c r="H18" s="24">
        <f>'1. Key financial information'!O9</f>
        <v>295.23223350000006</v>
      </c>
      <c r="I18" s="24">
        <f>'1. Key financial information'!P9</f>
        <v>345.55017777500007</v>
      </c>
      <c r="J18" s="24">
        <f>'1. Key financial information'!Q9</f>
        <v>396.32844560000001</v>
      </c>
    </row>
    <row r="19" spans="2:10" hidden="1" x14ac:dyDescent="0.35">
      <c r="B19" s="2" t="s">
        <v>31</v>
      </c>
      <c r="C19" t="s">
        <v>41</v>
      </c>
      <c r="E19" s="2" t="s">
        <v>8</v>
      </c>
      <c r="F19" s="24">
        <f>'1. Key financial information'!M22*'1. Key financial information'!M26</f>
        <v>165.1</v>
      </c>
      <c r="G19" s="24">
        <f>'1. Key financial information'!N22*'1. Key financial information'!N26</f>
        <v>177.42525000000001</v>
      </c>
      <c r="H19" s="24">
        <f>'1. Key financial information'!O22*'1. Key financial information'!O26</f>
        <v>175.76775000000001</v>
      </c>
      <c r="I19" s="24">
        <f>'1. Key financial information'!P22*'1. Key financial information'!P26</f>
        <v>190.64512499999998</v>
      </c>
      <c r="J19" s="24">
        <f>'1. Key financial information'!Q22*'1. Key financial information'!Q26</f>
        <v>205.06450000000001</v>
      </c>
    </row>
    <row r="20" spans="2:10" hidden="1" x14ac:dyDescent="0.35">
      <c r="B20" s="2" t="s">
        <v>34</v>
      </c>
      <c r="C20" t="s">
        <v>42</v>
      </c>
      <c r="D20" s="64" t="s">
        <v>79</v>
      </c>
      <c r="E20" s="2" t="s">
        <v>8</v>
      </c>
      <c r="F20" s="35">
        <v>5.5</v>
      </c>
      <c r="G20" s="35">
        <v>5.8</v>
      </c>
      <c r="H20" s="35">
        <v>6.2</v>
      </c>
      <c r="I20" s="35">
        <v>6.7</v>
      </c>
      <c r="J20" s="35">
        <v>7.2</v>
      </c>
    </row>
    <row r="21" spans="2:10" hidden="1" x14ac:dyDescent="0.35">
      <c r="B21" s="87" t="s">
        <v>36</v>
      </c>
      <c r="C21" s="88" t="s">
        <v>43</v>
      </c>
      <c r="D21" s="89"/>
      <c r="E21" s="87" t="s">
        <v>8</v>
      </c>
      <c r="F21" s="90">
        <f t="shared" ref="F21:J21" si="3">F20+F19</f>
        <v>170.6</v>
      </c>
      <c r="G21" s="90">
        <f t="shared" si="3"/>
        <v>183.22525000000002</v>
      </c>
      <c r="H21" s="90">
        <f t="shared" si="3"/>
        <v>181.96775</v>
      </c>
      <c r="I21" s="90">
        <f t="shared" si="3"/>
        <v>197.34512499999997</v>
      </c>
      <c r="J21" s="90">
        <f t="shared" si="3"/>
        <v>212.2645</v>
      </c>
    </row>
    <row r="22" spans="2:10" x14ac:dyDescent="0.35">
      <c r="F22" s="35"/>
      <c r="G22" s="35"/>
      <c r="H22" s="35"/>
      <c r="I22" s="35"/>
      <c r="J22" s="35"/>
    </row>
    <row r="23" spans="2:10" s="9" customFormat="1" x14ac:dyDescent="0.35">
      <c r="B23" s="20"/>
      <c r="C23" s="23" t="s">
        <v>119</v>
      </c>
      <c r="D23" s="22"/>
      <c r="E23" s="20"/>
      <c r="F23" s="20"/>
      <c r="G23" s="20"/>
      <c r="H23" s="20"/>
      <c r="I23" s="20"/>
      <c r="J23" s="20"/>
    </row>
    <row r="24" spans="2:10" x14ac:dyDescent="0.35">
      <c r="B24" s="2" t="s">
        <v>20</v>
      </c>
      <c r="C24" t="s">
        <v>28</v>
      </c>
      <c r="D24" s="1" t="s">
        <v>49</v>
      </c>
      <c r="E24" s="2" t="s">
        <v>29</v>
      </c>
      <c r="F24" s="36">
        <f t="shared" ref="F24:J24" si="4">F15/F9</f>
        <v>5.4351306282925549</v>
      </c>
      <c r="G24" s="36">
        <f t="shared" si="4"/>
        <v>5.76375372004971</v>
      </c>
      <c r="H24" s="36">
        <f t="shared" si="4"/>
        <v>5.6399829792604192</v>
      </c>
      <c r="I24" s="36">
        <f t="shared" si="4"/>
        <v>5.9056820233177838</v>
      </c>
      <c r="J24" s="36">
        <f t="shared" si="4"/>
        <v>5.8061667527505261</v>
      </c>
    </row>
    <row r="25" spans="2:10" x14ac:dyDescent="0.35">
      <c r="C25" t="s">
        <v>30</v>
      </c>
      <c r="F25" s="81" t="str">
        <f t="shared" ref="F25:J25" si="5">IF(F24&lt;2,"Minimal",IF(F24&lt;=3,"Modest",IF(F24&lt;=4,"Intermediate",IF(F24&lt;=5,"Significant",IF(F24&lt;=6,"Aggressive","Highly Leveraged")))))</f>
        <v>Aggressive</v>
      </c>
      <c r="G25" s="81" t="str">
        <f t="shared" si="5"/>
        <v>Aggressive</v>
      </c>
      <c r="H25" s="81" t="str">
        <f t="shared" si="5"/>
        <v>Aggressive</v>
      </c>
      <c r="I25" s="81" t="str">
        <f t="shared" si="5"/>
        <v>Aggressive</v>
      </c>
      <c r="J25" s="81" t="str">
        <f t="shared" si="5"/>
        <v>Aggressive</v>
      </c>
    </row>
    <row r="27" spans="2:10" x14ac:dyDescent="0.35">
      <c r="B27" s="2" t="s">
        <v>31</v>
      </c>
      <c r="C27" t="s">
        <v>32</v>
      </c>
      <c r="D27" s="1" t="s">
        <v>118</v>
      </c>
      <c r="E27" s="2" t="s">
        <v>29</v>
      </c>
      <c r="F27" s="36">
        <f t="shared" ref="F27:J27" si="6">F13/F18</f>
        <v>5.2730467722166354</v>
      </c>
      <c r="G27" s="36">
        <f t="shared" si="6"/>
        <v>4.4823283393735744</v>
      </c>
      <c r="H27" s="36">
        <f t="shared" si="6"/>
        <v>4.3281909051934218</v>
      </c>
      <c r="I27" s="36">
        <f t="shared" si="6"/>
        <v>3.6556917990611333</v>
      </c>
      <c r="J27" s="36">
        <f t="shared" si="6"/>
        <v>3.3791644374145466</v>
      </c>
    </row>
    <row r="28" spans="2:10" x14ac:dyDescent="0.35">
      <c r="C28" t="s">
        <v>33</v>
      </c>
      <c r="F28" s="81" t="str">
        <f t="shared" ref="F28:J28" si="7">IF(F27&lt;1.5,"Highly Leveraged",IF(F27&lt;=2,"Aggressive",IF(F27&lt;=3,"Significant",IF(F27&lt;=5,"Intermediate",IF(F27&lt;=8,"Modest","Minimal")))))</f>
        <v>Modest</v>
      </c>
      <c r="G28" s="81" t="str">
        <f t="shared" si="7"/>
        <v>Intermediate</v>
      </c>
      <c r="H28" s="81" t="str">
        <f t="shared" si="7"/>
        <v>Intermediate</v>
      </c>
      <c r="I28" s="81" t="str">
        <f t="shared" si="7"/>
        <v>Intermediate</v>
      </c>
      <c r="J28" s="81" t="str">
        <f t="shared" si="7"/>
        <v>Intermediate</v>
      </c>
    </row>
    <row r="30" spans="2:10" x14ac:dyDescent="0.35">
      <c r="B30" s="2" t="s">
        <v>34</v>
      </c>
      <c r="C30" t="s">
        <v>35</v>
      </c>
      <c r="D30" s="1" t="s">
        <v>50</v>
      </c>
      <c r="E30" s="2" t="s">
        <v>10</v>
      </c>
      <c r="F30" s="28">
        <f t="shared" ref="F30:J30" si="8">F13/F15</f>
        <v>0.13393538801430252</v>
      </c>
      <c r="G30" s="28">
        <f t="shared" si="8"/>
        <v>0.12169521441399254</v>
      </c>
      <c r="H30" s="28">
        <f t="shared" si="8"/>
        <v>0.12400266943379154</v>
      </c>
      <c r="I30" s="28">
        <f t="shared" si="8"/>
        <v>0.11360062265582471</v>
      </c>
      <c r="J30" s="28">
        <f t="shared" si="8"/>
        <v>0.11387784154087023</v>
      </c>
    </row>
    <row r="31" spans="2:10" x14ac:dyDescent="0.35">
      <c r="C31" t="s">
        <v>38</v>
      </c>
      <c r="F31" s="81" t="str">
        <f t="shared" ref="F31:J31" si="9">IF(F30&lt;6%,"Highly Leveraged",IF(F30&lt;=9%,"Aggressive",IF(F30&lt;=13%,"Significant",IF(F30&lt;=23%,"Intermediate",IF(F30&lt;=35%,"Modest","Minimal")))))</f>
        <v>Intermediate</v>
      </c>
      <c r="G31" s="81" t="str">
        <f t="shared" si="9"/>
        <v>Significant</v>
      </c>
      <c r="H31" s="81" t="str">
        <f t="shared" si="9"/>
        <v>Significant</v>
      </c>
      <c r="I31" s="81" t="str">
        <f t="shared" si="9"/>
        <v>Significant</v>
      </c>
      <c r="J31" s="81" t="str">
        <f t="shared" si="9"/>
        <v>Significant</v>
      </c>
    </row>
    <row r="33" spans="2:10" x14ac:dyDescent="0.35">
      <c r="B33" s="2" t="s">
        <v>36</v>
      </c>
      <c r="C33" t="s">
        <v>37</v>
      </c>
      <c r="D33" s="1" t="s">
        <v>51</v>
      </c>
      <c r="E33" s="2" t="s">
        <v>10</v>
      </c>
      <c r="F33" s="28">
        <f t="shared" ref="F33:J33" si="10">F14/F15</f>
        <v>0.18284345879706609</v>
      </c>
      <c r="G33" s="28">
        <f t="shared" si="10"/>
        <v>0.17237674260060951</v>
      </c>
      <c r="H33" s="28">
        <f t="shared" si="10"/>
        <v>0.17633507712963009</v>
      </c>
      <c r="I33" s="28">
        <f t="shared" si="10"/>
        <v>0.16842916232177604</v>
      </c>
      <c r="J33" s="28">
        <f t="shared" si="10"/>
        <v>0.17138036687825417</v>
      </c>
    </row>
    <row r="34" spans="2:10" x14ac:dyDescent="0.35">
      <c r="C34" t="s">
        <v>39</v>
      </c>
      <c r="F34" s="81" t="str">
        <f t="shared" ref="F34:J34" si="11">IF(F33&lt;5%,"Highly Leveraged",IF(F33&lt;=8%,"Aggressive",IF(F33&lt;=12%,"Significant",IF(F33&lt;=20%,"Intermediate",IF(F33&lt;=30%,"Modest","Minimal")))))</f>
        <v>Intermediate</v>
      </c>
      <c r="G34" s="81" t="str">
        <f t="shared" si="11"/>
        <v>Intermediate</v>
      </c>
      <c r="H34" s="81" t="str">
        <f t="shared" si="11"/>
        <v>Intermediate</v>
      </c>
      <c r="I34" s="81" t="str">
        <f t="shared" si="11"/>
        <v>Intermediate</v>
      </c>
      <c r="J34" s="81" t="str">
        <f t="shared" si="11"/>
        <v>Intermediate</v>
      </c>
    </row>
    <row r="36" spans="2:10" x14ac:dyDescent="0.35">
      <c r="B36" s="2" t="s">
        <v>44</v>
      </c>
      <c r="C36" t="s">
        <v>88</v>
      </c>
      <c r="D36" s="1" t="s">
        <v>120</v>
      </c>
      <c r="E36" s="2" t="s">
        <v>29</v>
      </c>
      <c r="F36" s="36">
        <f>F10/F18</f>
        <v>2.5158644300168969</v>
      </c>
      <c r="G36" s="36">
        <f>G10/G18</f>
        <v>2.3945515986425194</v>
      </c>
      <c r="H36" s="36">
        <f>H10/H18</f>
        <v>2.548488457831759</v>
      </c>
      <c r="I36" s="36">
        <f>I10/I18</f>
        <v>2.5041560499344304</v>
      </c>
      <c r="J36" s="36">
        <f>J10/J18</f>
        <v>2.4245465062508389</v>
      </c>
    </row>
    <row r="37" spans="2:10" x14ac:dyDescent="0.35">
      <c r="C37" t="s">
        <v>89</v>
      </c>
      <c r="F37" s="81" t="str">
        <f t="shared" ref="F37:J37" si="12">IF(F36&lt;=1,"NA",IF(F36&lt;=1.5,"BB_B",IF(F36&lt;=1.8,"BBB",IF(F36&lt;=2.8,"A","AA"))))</f>
        <v>A</v>
      </c>
      <c r="G37" s="81" t="str">
        <f t="shared" si="12"/>
        <v>A</v>
      </c>
      <c r="H37" s="81" t="str">
        <f t="shared" si="12"/>
        <v>A</v>
      </c>
      <c r="I37" s="81" t="str">
        <f t="shared" si="12"/>
        <v>A</v>
      </c>
      <c r="J37" s="81" t="str">
        <f t="shared" si="12"/>
        <v>A</v>
      </c>
    </row>
    <row r="40" spans="2:10" x14ac:dyDescent="0.35">
      <c r="F40" s="86"/>
      <c r="G40" s="86"/>
      <c r="H40" s="86"/>
      <c r="I40" s="86"/>
      <c r="J40" s="86"/>
    </row>
    <row r="41" spans="2:10" x14ac:dyDescent="0.35">
      <c r="B41" s="12"/>
      <c r="C41" s="18"/>
      <c r="F41" s="77"/>
      <c r="G41" s="77"/>
      <c r="H41" s="77"/>
      <c r="I41" s="77"/>
      <c r="J41" s="77"/>
    </row>
    <row r="42" spans="2:10" x14ac:dyDescent="0.35">
      <c r="F42" s="85"/>
      <c r="G42" s="85"/>
      <c r="H42" s="85"/>
      <c r="I42" s="85"/>
      <c r="J42" s="85"/>
    </row>
    <row r="43" spans="2:10" x14ac:dyDescent="0.35">
      <c r="B43" s="6"/>
      <c r="F43" s="85"/>
      <c r="G43" s="85"/>
      <c r="H43" s="85"/>
      <c r="I43" s="85"/>
      <c r="J43" s="85"/>
    </row>
    <row r="44" spans="2:10" x14ac:dyDescent="0.35">
      <c r="B44" s="6"/>
      <c r="F44" s="77"/>
      <c r="G44" s="77"/>
      <c r="H44" s="77"/>
      <c r="I44" s="77"/>
      <c r="J44" s="77"/>
    </row>
    <row r="45" spans="2:10" x14ac:dyDescent="0.35">
      <c r="B45" s="6"/>
    </row>
    <row r="46" spans="2:10" x14ac:dyDescent="0.35">
      <c r="F46" s="86"/>
      <c r="G46" s="86"/>
      <c r="H46" s="86"/>
      <c r="I46" s="86"/>
      <c r="J46" s="86"/>
    </row>
    <row r="47" spans="2:10" x14ac:dyDescent="0.35">
      <c r="F47" s="77"/>
      <c r="G47" s="77"/>
      <c r="H47" s="77"/>
      <c r="I47" s="77"/>
      <c r="J47" s="77"/>
    </row>
    <row r="48" spans="2:10" x14ac:dyDescent="0.35">
      <c r="F48" s="85"/>
      <c r="G48" s="85"/>
      <c r="H48" s="85"/>
      <c r="I48" s="85"/>
      <c r="J48" s="85"/>
    </row>
    <row r="49" spans="6:10" x14ac:dyDescent="0.35">
      <c r="F49" s="85"/>
      <c r="G49" s="85"/>
      <c r="H49" s="85"/>
      <c r="I49" s="85"/>
      <c r="J49" s="85"/>
    </row>
    <row r="50" spans="6:10" x14ac:dyDescent="0.35">
      <c r="F50" s="77"/>
      <c r="G50" s="77"/>
      <c r="H50" s="77"/>
      <c r="I50" s="77"/>
      <c r="J50" s="77"/>
    </row>
    <row r="51" spans="6:10" hidden="1" x14ac:dyDescent="0.35">
      <c r="F51" s="77"/>
      <c r="G51" s="77"/>
      <c r="H51" s="77"/>
      <c r="I51" s="77"/>
      <c r="J51" s="77"/>
    </row>
    <row r="53" spans="6:10" x14ac:dyDescent="0.35">
      <c r="F53" s="86"/>
      <c r="G53" s="86"/>
      <c r="H53" s="86"/>
      <c r="I53" s="86"/>
      <c r="J53" s="86"/>
    </row>
    <row r="54" spans="6:10" x14ac:dyDescent="0.35">
      <c r="F54" s="77"/>
      <c r="G54" s="77"/>
      <c r="H54" s="77"/>
      <c r="I54" s="77"/>
      <c r="J54" s="77"/>
    </row>
    <row r="55" spans="6:10" x14ac:dyDescent="0.35">
      <c r="F55" s="85"/>
      <c r="G55" s="85"/>
      <c r="H55" s="85"/>
      <c r="I55" s="85"/>
      <c r="J55" s="85"/>
    </row>
    <row r="56" spans="6:10" x14ac:dyDescent="0.35">
      <c r="F56" s="85"/>
      <c r="G56" s="85"/>
      <c r="H56" s="85"/>
      <c r="I56" s="85"/>
      <c r="J56" s="85"/>
    </row>
    <row r="57" spans="6:10" x14ac:dyDescent="0.35">
      <c r="F57" s="77"/>
      <c r="G57" s="77"/>
      <c r="H57" s="77"/>
      <c r="I57" s="77"/>
      <c r="J57" s="77"/>
    </row>
    <row r="58" spans="6:10" x14ac:dyDescent="0.35">
      <c r="F58" s="77"/>
      <c r="G58" s="77"/>
      <c r="H58" s="77"/>
      <c r="I58" s="77"/>
      <c r="J58" s="77"/>
    </row>
    <row r="59" spans="6:10" x14ac:dyDescent="0.35">
      <c r="F59" s="86"/>
      <c r="G59" s="86"/>
      <c r="H59" s="86"/>
      <c r="I59" s="86"/>
      <c r="J59" s="86"/>
    </row>
    <row r="60" spans="6:10" x14ac:dyDescent="0.35">
      <c r="F60" s="77"/>
      <c r="G60" s="77"/>
      <c r="H60" s="77"/>
      <c r="I60" s="77"/>
      <c r="J60" s="77"/>
    </row>
    <row r="61" spans="6:10" x14ac:dyDescent="0.35">
      <c r="F61" s="85"/>
      <c r="G61" s="85"/>
      <c r="H61" s="85"/>
      <c r="I61" s="85"/>
      <c r="J61" s="85"/>
    </row>
    <row r="62" spans="6:10" x14ac:dyDescent="0.35">
      <c r="F62" s="85"/>
      <c r="G62" s="85"/>
      <c r="H62" s="85"/>
      <c r="I62" s="85"/>
      <c r="J62" s="85"/>
    </row>
    <row r="63" spans="6:10" x14ac:dyDescent="0.35">
      <c r="F63" s="77"/>
      <c r="G63" s="77"/>
      <c r="H63" s="77"/>
      <c r="I63" s="77"/>
      <c r="J63" s="77"/>
    </row>
    <row r="65" spans="6:10" x14ac:dyDescent="0.35">
      <c r="F65" s="86"/>
      <c r="G65" s="86"/>
      <c r="H65" s="86"/>
      <c r="I65" s="86"/>
      <c r="J65" s="86"/>
    </row>
    <row r="66" spans="6:10" x14ac:dyDescent="0.35">
      <c r="F66" s="77"/>
      <c r="G66" s="77"/>
      <c r="H66" s="77"/>
      <c r="I66" s="77"/>
      <c r="J66" s="77"/>
    </row>
    <row r="67" spans="6:10" x14ac:dyDescent="0.35">
      <c r="F67" s="85"/>
      <c r="G67" s="85"/>
      <c r="H67" s="85"/>
      <c r="I67" s="85"/>
      <c r="J67" s="85"/>
    </row>
    <row r="68" spans="6:10" x14ac:dyDescent="0.35">
      <c r="F68" s="85"/>
      <c r="G68" s="85"/>
      <c r="H68" s="85"/>
      <c r="I68" s="85"/>
      <c r="J68" s="85"/>
    </row>
    <row r="69" spans="6:10" x14ac:dyDescent="0.35">
      <c r="F69" s="77"/>
      <c r="G69" s="77"/>
      <c r="H69" s="77"/>
      <c r="I69" s="77"/>
      <c r="J69" s="77"/>
    </row>
    <row r="71" spans="6:10" x14ac:dyDescent="0.35">
      <c r="F71" s="86"/>
      <c r="G71" s="86"/>
      <c r="H71" s="86"/>
      <c r="I71" s="86"/>
      <c r="J71" s="86"/>
    </row>
    <row r="72" spans="6:10" x14ac:dyDescent="0.35">
      <c r="F72" s="77"/>
      <c r="G72" s="77"/>
      <c r="H72" s="77"/>
      <c r="I72" s="77"/>
      <c r="J72" s="77"/>
    </row>
    <row r="73" spans="6:10" x14ac:dyDescent="0.35">
      <c r="F73" s="85"/>
      <c r="G73" s="85"/>
      <c r="H73" s="85"/>
      <c r="I73" s="85"/>
      <c r="J73" s="85"/>
    </row>
    <row r="74" spans="6:10" x14ac:dyDescent="0.35">
      <c r="F74" s="85"/>
      <c r="G74" s="85"/>
      <c r="H74" s="85"/>
      <c r="I74" s="85"/>
      <c r="J74" s="85"/>
    </row>
    <row r="75" spans="6:10" x14ac:dyDescent="0.35">
      <c r="F75" s="77"/>
      <c r="G75" s="77"/>
      <c r="H75" s="77"/>
      <c r="I75" s="77"/>
      <c r="J75" s="77"/>
    </row>
  </sheetData>
  <mergeCells count="1">
    <mergeCell ref="F2:J2"/>
  </mergeCells>
  <pageMargins left="0.7" right="0.7" top="0.75" bottom="0.75" header="0.3" footer="0.3"/>
  <pageSetup orientation="portrait" horizontalDpi="1200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5F791-842A-441A-9804-D0F24C3CE16D}">
  <dimension ref="B2:Z58"/>
  <sheetViews>
    <sheetView topLeftCell="C1" zoomScale="55" zoomScaleNormal="55" workbookViewId="0">
      <selection activeCell="P39" sqref="P39"/>
    </sheetView>
  </sheetViews>
  <sheetFormatPr defaultColWidth="9" defaultRowHeight="14.5" x14ac:dyDescent="0.35"/>
  <cols>
    <col min="1" max="1" width="9" style="3"/>
    <col min="2" max="2" width="24.26953125" style="2" bestFit="1" customWidth="1"/>
    <col min="3" max="3" width="14" style="2" bestFit="1" customWidth="1"/>
    <col min="4" max="10" width="9" style="3"/>
    <col min="11" max="15" width="12.81640625" style="2" customWidth="1"/>
    <col min="16" max="16" width="15" style="3" bestFit="1" customWidth="1"/>
    <col min="17" max="18" width="9" style="3"/>
    <col min="19" max="19" width="24.81640625" style="3" customWidth="1"/>
    <col min="20" max="20" width="9" style="3"/>
    <col min="21" max="22" width="16.453125" style="3" bestFit="1" customWidth="1"/>
    <col min="23" max="26" width="13.1796875" style="3" bestFit="1" customWidth="1"/>
    <col min="27" max="16384" width="9" style="3"/>
  </cols>
  <sheetData>
    <row r="2" spans="2:26" x14ac:dyDescent="0.35">
      <c r="B2" s="67"/>
      <c r="C2" s="67"/>
      <c r="D2" s="151" t="s">
        <v>77</v>
      </c>
      <c r="E2" s="151"/>
      <c r="F2" s="151"/>
      <c r="G2" s="151"/>
      <c r="H2" s="151"/>
      <c r="I2" s="151"/>
      <c r="S2" s="67"/>
      <c r="T2" s="67"/>
      <c r="U2" s="151" t="s">
        <v>77</v>
      </c>
      <c r="V2" s="151"/>
      <c r="W2" s="151"/>
      <c r="X2" s="151"/>
      <c r="Y2" s="151"/>
      <c r="Z2" s="151"/>
    </row>
    <row r="3" spans="2:26" x14ac:dyDescent="0.35">
      <c r="B3" s="65" t="s">
        <v>76</v>
      </c>
      <c r="C3" s="65" t="s">
        <v>61</v>
      </c>
      <c r="D3" s="66">
        <v>0.45</v>
      </c>
      <c r="E3" s="66">
        <v>0.46</v>
      </c>
      <c r="F3" s="66">
        <v>0.47</v>
      </c>
      <c r="G3" s="66">
        <v>0.48</v>
      </c>
      <c r="H3" s="66">
        <v>0.49</v>
      </c>
      <c r="I3" s="66">
        <v>0.5</v>
      </c>
      <c r="K3" s="78" t="s">
        <v>80</v>
      </c>
      <c r="L3" s="78" t="s">
        <v>109</v>
      </c>
      <c r="M3" s="78" t="s">
        <v>110</v>
      </c>
      <c r="N3" s="78" t="s">
        <v>111</v>
      </c>
      <c r="O3" s="78" t="s">
        <v>112</v>
      </c>
      <c r="P3" s="132" t="s">
        <v>81</v>
      </c>
      <c r="Q3" s="68"/>
      <c r="R3" s="68"/>
      <c r="S3" s="65" t="s">
        <v>76</v>
      </c>
      <c r="T3" s="65" t="s">
        <v>61</v>
      </c>
      <c r="U3" s="66">
        <v>0.45</v>
      </c>
      <c r="V3" s="66">
        <v>0.46</v>
      </c>
      <c r="W3" s="66">
        <v>0.47</v>
      </c>
      <c r="X3" s="66">
        <v>0.48</v>
      </c>
      <c r="Y3" s="66">
        <v>0.49</v>
      </c>
      <c r="Z3" s="66">
        <v>0.5</v>
      </c>
    </row>
    <row r="4" spans="2:26" x14ac:dyDescent="0.35">
      <c r="B4" s="150" t="s">
        <v>28</v>
      </c>
      <c r="C4" s="76">
        <v>2022</v>
      </c>
      <c r="D4" s="70">
        <v>5.7412618519303678</v>
      </c>
      <c r="E4" s="70">
        <v>5.5868374974886263</v>
      </c>
      <c r="F4" s="70">
        <v>5.4351306282925549</v>
      </c>
      <c r="G4" s="70">
        <v>5.2860701384949857</v>
      </c>
      <c r="H4" s="70">
        <v>5.1395873815440156</v>
      </c>
      <c r="I4" s="70">
        <v>4.9956160647717311</v>
      </c>
      <c r="K4" s="26">
        <f>E4/D4-1</f>
        <v>-2.6897284677900535E-2</v>
      </c>
      <c r="L4" s="26">
        <f>F4/E4-1</f>
        <v>-2.7154337183472044E-2</v>
      </c>
      <c r="M4" s="26">
        <f t="shared" ref="M4:M8" si="0">G4/F4-1</f>
        <v>-2.7425373922318474E-2</v>
      </c>
      <c r="N4" s="26">
        <f t="shared" ref="N4:N8" si="1">H4/G4-1</f>
        <v>-2.7711088410316775E-2</v>
      </c>
      <c r="O4" s="26">
        <f t="shared" ref="O4:O8" si="2">I4/H4-1</f>
        <v>-2.8012232516812063E-2</v>
      </c>
      <c r="P4" s="133">
        <f>AVERAGE(K4:O4)</f>
        <v>-2.7440063342163978E-2</v>
      </c>
      <c r="Q4" s="68"/>
      <c r="R4" s="69"/>
      <c r="S4" s="150" t="s">
        <v>28</v>
      </c>
      <c r="T4" s="76">
        <v>2022</v>
      </c>
      <c r="U4" s="98" t="str">
        <f>IF(D4&lt;2,"Minimal",IF(D4&lt;=3,"Modest",IF(D4&lt;=4,"Intermediate",IF(D4&lt;=5,"Significant",IF(D4&lt;=6,"Aggressive","Highly Leveraged")))))</f>
        <v>Aggressive</v>
      </c>
      <c r="V4" s="98" t="str">
        <f t="shared" ref="V4:V8" si="3">IF(E4&lt;2,"Minimal",IF(E4&lt;=3,"Modest",IF(E4&lt;=4,"Intermediate",IF(E4&lt;=5,"Significant",IF(E4&lt;=6,"Aggressive","Highly Leveraged")))))</f>
        <v>Aggressive</v>
      </c>
      <c r="W4" s="98" t="str">
        <f t="shared" ref="W4:W8" si="4">IF(F4&lt;2,"Minimal",IF(F4&lt;=3,"Modest",IF(F4&lt;=4,"Intermediate",IF(F4&lt;=5,"Significant",IF(F4&lt;=6,"Aggressive","Highly Leveraged")))))</f>
        <v>Aggressive</v>
      </c>
      <c r="X4" s="98" t="str">
        <f t="shared" ref="X4:X8" si="5">IF(G4&lt;2,"Minimal",IF(G4&lt;=3,"Modest",IF(G4&lt;=4,"Intermediate",IF(G4&lt;=5,"Significant",IF(G4&lt;=6,"Aggressive","Highly Leveraged")))))</f>
        <v>Aggressive</v>
      </c>
      <c r="Y4" s="98" t="str">
        <f t="shared" ref="Y4:Y8" si="6">IF(H4&lt;2,"Minimal",IF(H4&lt;=3,"Modest",IF(H4&lt;=4,"Intermediate",IF(H4&lt;=5,"Significant",IF(H4&lt;=6,"Aggressive","Highly Leveraged")))))</f>
        <v>Aggressive</v>
      </c>
      <c r="Z4" s="98" t="str">
        <f t="shared" ref="Z4:Z8" si="7">IF(I4&lt;2,"Minimal",IF(I4&lt;=3,"Modest",IF(I4&lt;=4,"Intermediate",IF(I4&lt;=5,"Significant",IF(I4&lt;=6,"Aggressive","Highly Leveraged")))))</f>
        <v>Significant</v>
      </c>
    </row>
    <row r="5" spans="2:26" x14ac:dyDescent="0.35">
      <c r="B5" s="150"/>
      <c r="C5" s="76">
        <v>2023</v>
      </c>
      <c r="D5" s="70">
        <v>6.092632587060125</v>
      </c>
      <c r="E5" s="70">
        <v>5.9266762389482235</v>
      </c>
      <c r="F5" s="70">
        <v>5.76375372004971</v>
      </c>
      <c r="G5" s="70">
        <v>5.6037825922528537</v>
      </c>
      <c r="H5" s="70">
        <v>5.4466833774185748</v>
      </c>
      <c r="I5" s="70">
        <v>5.2923794257136123</v>
      </c>
      <c r="K5" s="26">
        <f t="shared" ref="K5:K8" si="8">E5/D5-1</f>
        <v>-2.7238857052429011E-2</v>
      </c>
      <c r="L5" s="26">
        <f t="shared" ref="L5:L8" si="9">F5/E5-1</f>
        <v>-2.7489694447595858E-2</v>
      </c>
      <c r="M5" s="26">
        <f t="shared" si="0"/>
        <v>-2.7754677865638677E-2</v>
      </c>
      <c r="N5" s="26">
        <f t="shared" si="1"/>
        <v>-2.8034494959077505E-2</v>
      </c>
      <c r="O5" s="26">
        <f t="shared" si="2"/>
        <v>-2.8329891975122257E-2</v>
      </c>
      <c r="P5" s="133">
        <f t="shared" ref="P5:P8" si="10">AVERAGE(K5:O5)</f>
        <v>-2.7769523259972662E-2</v>
      </c>
      <c r="Q5" s="68"/>
      <c r="R5" s="68"/>
      <c r="S5" s="150"/>
      <c r="T5" s="76">
        <v>2023</v>
      </c>
      <c r="U5" s="98" t="str">
        <f t="shared" ref="U5:U8" si="11">IF(D5&lt;2,"Minimal",IF(D5&lt;=3,"Modest",IF(D5&lt;=4,"Intermediate",IF(D5&lt;=5,"Significant",IF(D5&lt;=6,"Aggressive","Highly Leveraged")))))</f>
        <v>Highly Leveraged</v>
      </c>
      <c r="V5" s="98" t="str">
        <f t="shared" si="3"/>
        <v>Aggressive</v>
      </c>
      <c r="W5" s="98" t="str">
        <f t="shared" si="4"/>
        <v>Aggressive</v>
      </c>
      <c r="X5" s="98" t="str">
        <f t="shared" si="5"/>
        <v>Aggressive</v>
      </c>
      <c r="Y5" s="98" t="str">
        <f t="shared" si="6"/>
        <v>Aggressive</v>
      </c>
      <c r="Z5" s="98" t="str">
        <f t="shared" si="7"/>
        <v>Aggressive</v>
      </c>
    </row>
    <row r="6" spans="2:26" x14ac:dyDescent="0.35">
      <c r="B6" s="150"/>
      <c r="C6" s="76">
        <v>2024</v>
      </c>
      <c r="D6" s="70">
        <v>5.9574799620653138</v>
      </c>
      <c r="E6" s="70">
        <v>5.7973245793731243</v>
      </c>
      <c r="F6" s="70">
        <v>5.6399829792604192</v>
      </c>
      <c r="G6" s="70">
        <v>5.4853816541049421</v>
      </c>
      <c r="H6" s="70">
        <v>5.3334496346108304</v>
      </c>
      <c r="I6" s="70">
        <v>5.1841183811812019</v>
      </c>
      <c r="K6" s="26">
        <f t="shared" si="8"/>
        <v>-2.6883075345950025E-2</v>
      </c>
      <c r="L6" s="26">
        <f t="shared" si="9"/>
        <v>-2.7140381387739887E-2</v>
      </c>
      <c r="M6" s="26">
        <f t="shared" si="0"/>
        <v>-2.7411665198987967E-2</v>
      </c>
      <c r="N6" s="26">
        <f t="shared" si="1"/>
        <v>-2.7697620525713895E-2</v>
      </c>
      <c r="O6" s="26">
        <f t="shared" si="2"/>
        <v>-2.7998999458166751E-2</v>
      </c>
      <c r="P6" s="133">
        <f t="shared" si="10"/>
        <v>-2.7426348383311705E-2</v>
      </c>
      <c r="Q6" s="68"/>
      <c r="S6" s="150"/>
      <c r="T6" s="76">
        <v>2024</v>
      </c>
      <c r="U6" s="98" t="str">
        <f t="shared" si="11"/>
        <v>Aggressive</v>
      </c>
      <c r="V6" s="98" t="str">
        <f t="shared" si="3"/>
        <v>Aggressive</v>
      </c>
      <c r="W6" s="98" t="str">
        <f t="shared" si="4"/>
        <v>Aggressive</v>
      </c>
      <c r="X6" s="98" t="str">
        <f t="shared" si="5"/>
        <v>Aggressive</v>
      </c>
      <c r="Y6" s="98" t="str">
        <f t="shared" si="6"/>
        <v>Aggressive</v>
      </c>
      <c r="Z6" s="98" t="str">
        <f t="shared" si="7"/>
        <v>Aggressive</v>
      </c>
    </row>
    <row r="7" spans="2:26" x14ac:dyDescent="0.35">
      <c r="B7" s="150"/>
      <c r="C7" s="76">
        <v>2025</v>
      </c>
      <c r="D7" s="70">
        <v>6.2399607535133468</v>
      </c>
      <c r="E7" s="70">
        <v>6.0713156974422375</v>
      </c>
      <c r="F7" s="70">
        <v>5.9056820233177838</v>
      </c>
      <c r="G7" s="70">
        <v>5.7429797865492072</v>
      </c>
      <c r="H7" s="70">
        <v>5.5831318474938012</v>
      </c>
      <c r="I7" s="70">
        <v>5.4260637495080664</v>
      </c>
      <c r="K7" s="26">
        <f t="shared" si="8"/>
        <v>-2.702662127741029E-2</v>
      </c>
      <c r="L7" s="26">
        <f t="shared" si="9"/>
        <v>-2.7281347631820996E-2</v>
      </c>
      <c r="M7" s="26">
        <f t="shared" si="0"/>
        <v>-2.7550118026363202E-2</v>
      </c>
      <c r="N7" s="26">
        <f t="shared" si="1"/>
        <v>-2.7833623832316134E-2</v>
      </c>
      <c r="O7" s="26">
        <f t="shared" si="2"/>
        <v>-2.8132614861359762E-2</v>
      </c>
      <c r="P7" s="133">
        <f t="shared" si="10"/>
        <v>-2.7564865125854078E-2</v>
      </c>
      <c r="Q7" s="68"/>
      <c r="S7" s="150"/>
      <c r="T7" s="76">
        <v>2025</v>
      </c>
      <c r="U7" s="98" t="str">
        <f t="shared" si="11"/>
        <v>Highly Leveraged</v>
      </c>
      <c r="V7" s="98" t="str">
        <f t="shared" si="3"/>
        <v>Highly Leveraged</v>
      </c>
      <c r="W7" s="98" t="str">
        <f t="shared" si="4"/>
        <v>Aggressive</v>
      </c>
      <c r="X7" s="98" t="str">
        <f t="shared" si="5"/>
        <v>Aggressive</v>
      </c>
      <c r="Y7" s="98" t="str">
        <f t="shared" si="6"/>
        <v>Aggressive</v>
      </c>
      <c r="Z7" s="98" t="str">
        <f t="shared" si="7"/>
        <v>Aggressive</v>
      </c>
    </row>
    <row r="8" spans="2:26" x14ac:dyDescent="0.35">
      <c r="B8" s="150"/>
      <c r="C8" s="76">
        <v>2026</v>
      </c>
      <c r="D8" s="70">
        <v>6.129345504228465</v>
      </c>
      <c r="E8" s="70">
        <v>5.9663724630055404</v>
      </c>
      <c r="F8" s="70">
        <v>5.8061667527505261</v>
      </c>
      <c r="G8" s="70">
        <v>5.648658481694115</v>
      </c>
      <c r="H8" s="70">
        <v>5.4937800920023632</v>
      </c>
      <c r="I8" s="70">
        <v>5.341466263160247</v>
      </c>
      <c r="K8" s="26">
        <f t="shared" si="8"/>
        <v>-2.6588979379689737E-2</v>
      </c>
      <c r="L8" s="26">
        <f t="shared" si="9"/>
        <v>-2.6851443024780819E-2</v>
      </c>
      <c r="M8" s="26">
        <f t="shared" si="0"/>
        <v>-2.712775532700562E-2</v>
      </c>
      <c r="N8" s="26">
        <f t="shared" si="1"/>
        <v>-2.7418614560195786E-2</v>
      </c>
      <c r="O8" s="26">
        <f t="shared" si="2"/>
        <v>-2.7724777164606418E-2</v>
      </c>
      <c r="P8" s="133">
        <f t="shared" si="10"/>
        <v>-2.7142313891255675E-2</v>
      </c>
      <c r="Q8" s="68"/>
      <c r="S8" s="150"/>
      <c r="T8" s="76">
        <v>2026</v>
      </c>
      <c r="U8" s="98" t="str">
        <f t="shared" si="11"/>
        <v>Highly Leveraged</v>
      </c>
      <c r="V8" s="98" t="str">
        <f t="shared" si="3"/>
        <v>Aggressive</v>
      </c>
      <c r="W8" s="98" t="str">
        <f t="shared" si="4"/>
        <v>Aggressive</v>
      </c>
      <c r="X8" s="98" t="str">
        <f t="shared" si="5"/>
        <v>Aggressive</v>
      </c>
      <c r="Y8" s="98" t="str">
        <f t="shared" si="6"/>
        <v>Aggressive</v>
      </c>
      <c r="Z8" s="98" t="str">
        <f t="shared" si="7"/>
        <v>Aggressive</v>
      </c>
    </row>
    <row r="9" spans="2:26" x14ac:dyDescent="0.35">
      <c r="B9" s="67"/>
      <c r="C9" s="67"/>
      <c r="D9" s="67"/>
      <c r="E9" s="67"/>
      <c r="F9" s="67"/>
      <c r="G9" s="67"/>
      <c r="H9" s="67"/>
      <c r="I9" s="67"/>
      <c r="J9" s="80"/>
      <c r="K9" s="79"/>
      <c r="L9" s="79"/>
      <c r="M9" s="79"/>
      <c r="N9" s="79"/>
      <c r="O9" s="79"/>
      <c r="P9" s="134">
        <f>AVERAGE(P4:P8)</f>
        <v>-2.746862280051162E-2</v>
      </c>
      <c r="S9" s="67"/>
      <c r="T9" s="67"/>
      <c r="U9" s="67"/>
      <c r="V9" s="67"/>
      <c r="W9" s="67"/>
      <c r="X9" s="67"/>
      <c r="Y9" s="67"/>
      <c r="Z9" s="67"/>
    </row>
    <row r="10" spans="2:26" x14ac:dyDescent="0.35">
      <c r="B10" s="152" t="s">
        <v>32</v>
      </c>
      <c r="C10" s="76">
        <v>2022</v>
      </c>
      <c r="D10" s="70">
        <v>4.9619009053386085</v>
      </c>
      <c r="E10" s="70">
        <v>5.1145928585287521</v>
      </c>
      <c r="F10" s="70">
        <v>5.2730467722166354</v>
      </c>
      <c r="G10" s="70">
        <v>5.4375950672002089</v>
      </c>
      <c r="H10" s="70">
        <v>5.6085962364968616</v>
      </c>
      <c r="I10" s="70">
        <v>5.7864374525653828</v>
      </c>
      <c r="J10" s="77"/>
      <c r="K10" s="26">
        <f t="shared" ref="K10:K14" si="12">E10/D10-1</f>
        <v>3.0772874368744318E-2</v>
      </c>
      <c r="L10" s="26">
        <f t="shared" ref="L10:L14" si="13">F10/E10-1</f>
        <v>3.0980748237595446E-2</v>
      </c>
      <c r="M10" s="26">
        <f t="shared" ref="M10:M14" si="14">G10/F10-1</f>
        <v>3.1205544363946958E-2</v>
      </c>
      <c r="N10" s="26">
        <f t="shared" ref="N10:N14" si="15">H10/G10-1</f>
        <v>3.144794108118476E-2</v>
      </c>
      <c r="O10" s="26">
        <f t="shared" ref="O10:O14" si="16">I10/H10-1</f>
        <v>3.1708685840363016E-2</v>
      </c>
      <c r="P10" s="133">
        <f t="shared" ref="P10:P14" si="17">AVERAGE(K10:O10)</f>
        <v>3.12231587783669E-2</v>
      </c>
      <c r="Q10" s="68"/>
      <c r="S10" s="152" t="s">
        <v>32</v>
      </c>
      <c r="T10" s="76">
        <v>2022</v>
      </c>
      <c r="U10" s="98" t="str">
        <f>IF(D10&lt;1.5,"Highly Leveraged",IF(D10&lt;=2,"Aggressive",IF(D10&lt;=3,"Significant",IF(D10&lt;=5,"Intermediate",IF(D10&lt;=8,"Modest","Minimal")))))</f>
        <v>Intermediate</v>
      </c>
      <c r="V10" s="98" t="str">
        <f t="shared" ref="V10:V14" si="18">IF(E10&lt;1.5,"Highly Leveraged",IF(E10&lt;=2,"Aggressive",IF(E10&lt;=3,"Significant",IF(E10&lt;=5,"Intermediate",IF(E10&lt;=8,"Modest","Minimal")))))</f>
        <v>Modest</v>
      </c>
      <c r="W10" s="98" t="str">
        <f t="shared" ref="W10:W14" si="19">IF(F10&lt;1.5,"Highly Leveraged",IF(F10&lt;=2,"Aggressive",IF(F10&lt;=3,"Significant",IF(F10&lt;=5,"Intermediate",IF(F10&lt;=8,"Modest","Minimal")))))</f>
        <v>Modest</v>
      </c>
      <c r="X10" s="98" t="str">
        <f t="shared" ref="X10:X14" si="20">IF(G10&lt;1.5,"Highly Leveraged",IF(G10&lt;=2,"Aggressive",IF(G10&lt;=3,"Significant",IF(G10&lt;=5,"Intermediate",IF(G10&lt;=8,"Modest","Minimal")))))</f>
        <v>Modest</v>
      </c>
      <c r="Y10" s="98" t="str">
        <f t="shared" ref="Y10:Y14" si="21">IF(H10&lt;1.5,"Highly Leveraged",IF(H10&lt;=2,"Aggressive",IF(H10&lt;=3,"Significant",IF(H10&lt;=5,"Intermediate",IF(H10&lt;=8,"Modest","Minimal")))))</f>
        <v>Modest</v>
      </c>
      <c r="Z10" s="98" t="str">
        <f t="shared" ref="Z10:Z14" si="22">IF(I10&lt;1.5,"Highly Leveraged",IF(I10&lt;=2,"Aggressive",IF(I10&lt;=3,"Significant",IF(I10&lt;=5,"Intermediate",IF(I10&lt;=8,"Modest","Minimal")))))</f>
        <v>Modest</v>
      </c>
    </row>
    <row r="11" spans="2:26" x14ac:dyDescent="0.35">
      <c r="B11" s="153"/>
      <c r="C11" s="76">
        <v>2023</v>
      </c>
      <c r="D11" s="70">
        <v>4.2076319195992671</v>
      </c>
      <c r="E11" s="70">
        <v>4.3424366441181395</v>
      </c>
      <c r="F11" s="70">
        <v>4.4823283393735744</v>
      </c>
      <c r="G11" s="70">
        <v>4.6276004844465257</v>
      </c>
      <c r="H11" s="70">
        <v>4.778569576385082</v>
      </c>
      <c r="I11" s="70">
        <v>4.9355774320011827</v>
      </c>
      <c r="J11" s="77"/>
      <c r="K11" s="26">
        <f t="shared" si="12"/>
        <v>3.2038145706364762E-2</v>
      </c>
      <c r="L11" s="26">
        <f t="shared" si="13"/>
        <v>3.2215022744181976E-2</v>
      </c>
      <c r="M11" s="26">
        <f t="shared" si="14"/>
        <v>3.2409974029982358E-2</v>
      </c>
      <c r="N11" s="26">
        <f t="shared" si="15"/>
        <v>3.2623622641143379E-2</v>
      </c>
      <c r="O11" s="26">
        <f t="shared" si="16"/>
        <v>3.2856664134808922E-2</v>
      </c>
      <c r="P11" s="133">
        <f t="shared" si="17"/>
        <v>3.2428685851296282E-2</v>
      </c>
      <c r="Q11" s="68"/>
      <c r="S11" s="153"/>
      <c r="T11" s="76">
        <v>2023</v>
      </c>
      <c r="U11" s="98" t="str">
        <f t="shared" ref="U11:U14" si="23">IF(D11&lt;1.5,"Highly Leveraged",IF(D11&lt;=2,"Aggressive",IF(D11&lt;=3,"Significant",IF(D11&lt;=5,"Intermediate",IF(D11&lt;=8,"Modest","Minimal")))))</f>
        <v>Intermediate</v>
      </c>
      <c r="V11" s="98" t="str">
        <f t="shared" si="18"/>
        <v>Intermediate</v>
      </c>
      <c r="W11" s="98" t="str">
        <f t="shared" si="19"/>
        <v>Intermediate</v>
      </c>
      <c r="X11" s="98" t="str">
        <f t="shared" si="20"/>
        <v>Intermediate</v>
      </c>
      <c r="Y11" s="98" t="str">
        <f t="shared" si="21"/>
        <v>Intermediate</v>
      </c>
      <c r="Z11" s="98" t="str">
        <f t="shared" si="22"/>
        <v>Intermediate</v>
      </c>
    </row>
    <row r="12" spans="2:26" x14ac:dyDescent="0.35">
      <c r="B12" s="153"/>
      <c r="C12" s="76">
        <v>2024</v>
      </c>
      <c r="D12" s="70">
        <v>4.0649477899355562</v>
      </c>
      <c r="E12" s="70">
        <v>4.1941319113121001</v>
      </c>
      <c r="F12" s="70">
        <v>4.3281909051934218</v>
      </c>
      <c r="G12" s="70">
        <v>4.4674060142240242</v>
      </c>
      <c r="H12" s="70">
        <v>4.612080539295043</v>
      </c>
      <c r="I12" s="70">
        <v>4.7625420453689014</v>
      </c>
      <c r="J12" s="77"/>
      <c r="K12" s="26">
        <f t="shared" si="12"/>
        <v>3.1780019831101347E-2</v>
      </c>
      <c r="L12" s="26">
        <f t="shared" si="13"/>
        <v>3.1963466270516605E-2</v>
      </c>
      <c r="M12" s="26">
        <f t="shared" si="14"/>
        <v>3.2164733968540471E-2</v>
      </c>
      <c r="N12" s="26">
        <f t="shared" si="15"/>
        <v>3.2384458589700849E-2</v>
      </c>
      <c r="O12" s="26">
        <f t="shared" si="16"/>
        <v>3.2623347487521714E-2</v>
      </c>
      <c r="P12" s="133">
        <f t="shared" si="17"/>
        <v>3.2183205229476194E-2</v>
      </c>
      <c r="Q12" s="68"/>
      <c r="S12" s="153"/>
      <c r="T12" s="76">
        <v>2024</v>
      </c>
      <c r="U12" s="98" t="str">
        <f t="shared" si="23"/>
        <v>Intermediate</v>
      </c>
      <c r="V12" s="98" t="str">
        <f t="shared" si="18"/>
        <v>Intermediate</v>
      </c>
      <c r="W12" s="98" t="str">
        <f t="shared" si="19"/>
        <v>Intermediate</v>
      </c>
      <c r="X12" s="98" t="str">
        <f t="shared" si="20"/>
        <v>Intermediate</v>
      </c>
      <c r="Y12" s="98" t="str">
        <f t="shared" si="21"/>
        <v>Intermediate</v>
      </c>
      <c r="Z12" s="98" t="str">
        <f t="shared" si="22"/>
        <v>Intermediate</v>
      </c>
    </row>
    <row r="13" spans="2:26" x14ac:dyDescent="0.35">
      <c r="B13" s="153"/>
      <c r="C13" s="76">
        <v>2025</v>
      </c>
      <c r="D13" s="70">
        <v>3.4251637538264954</v>
      </c>
      <c r="E13" s="70">
        <v>3.538293257506457</v>
      </c>
      <c r="F13" s="70">
        <v>3.6556917990611333</v>
      </c>
      <c r="G13" s="70">
        <v>3.777605669137142</v>
      </c>
      <c r="H13" s="70">
        <v>3.9043004752945656</v>
      </c>
      <c r="I13" s="70">
        <v>4.0360630736982852</v>
      </c>
      <c r="J13" s="77"/>
      <c r="K13" s="26">
        <f t="shared" si="12"/>
        <v>3.3028932865932781E-2</v>
      </c>
      <c r="L13" s="26">
        <f t="shared" si="13"/>
        <v>3.3179426636166021E-2</v>
      </c>
      <c r="M13" s="26">
        <f t="shared" si="14"/>
        <v>3.3349055877007761E-2</v>
      </c>
      <c r="N13" s="26">
        <f t="shared" si="15"/>
        <v>3.3538388401021857E-2</v>
      </c>
      <c r="O13" s="26">
        <f t="shared" si="16"/>
        <v>3.3748068120648123E-2</v>
      </c>
      <c r="P13" s="133">
        <f t="shared" si="17"/>
        <v>3.3368774380155307E-2</v>
      </c>
      <c r="Q13" s="68"/>
      <c r="S13" s="153"/>
      <c r="T13" s="76">
        <v>2025</v>
      </c>
      <c r="U13" s="98" t="str">
        <f t="shared" si="23"/>
        <v>Intermediate</v>
      </c>
      <c r="V13" s="98" t="str">
        <f t="shared" si="18"/>
        <v>Intermediate</v>
      </c>
      <c r="W13" s="98" t="str">
        <f t="shared" si="19"/>
        <v>Intermediate</v>
      </c>
      <c r="X13" s="98" t="str">
        <f t="shared" si="20"/>
        <v>Intermediate</v>
      </c>
      <c r="Y13" s="98" t="str">
        <f t="shared" si="21"/>
        <v>Intermediate</v>
      </c>
      <c r="Z13" s="98" t="str">
        <f t="shared" si="22"/>
        <v>Intermediate</v>
      </c>
    </row>
    <row r="14" spans="2:26" x14ac:dyDescent="0.35">
      <c r="B14" s="154"/>
      <c r="C14" s="76">
        <v>2026</v>
      </c>
      <c r="D14" s="70">
        <v>3.1662938233968827</v>
      </c>
      <c r="E14" s="70">
        <v>3.2707581062018476</v>
      </c>
      <c r="F14" s="70">
        <v>3.3791644374145466</v>
      </c>
      <c r="G14" s="70">
        <v>3.4917402429046573</v>
      </c>
      <c r="H14" s="70">
        <v>3.6087307858649686</v>
      </c>
      <c r="I14" s="70">
        <v>3.730400950543693</v>
      </c>
      <c r="J14" s="77"/>
      <c r="K14" s="26">
        <f t="shared" si="12"/>
        <v>3.2992605434480238E-2</v>
      </c>
      <c r="L14" s="26">
        <f t="shared" si="13"/>
        <v>3.3144099224930335E-2</v>
      </c>
      <c r="M14" s="26">
        <f t="shared" si="14"/>
        <v>3.3314686981094077E-2</v>
      </c>
      <c r="N14" s="26">
        <f t="shared" si="15"/>
        <v>3.3504938747388247E-2</v>
      </c>
      <c r="O14" s="26">
        <f t="shared" si="16"/>
        <v>3.3715500517604191E-2</v>
      </c>
      <c r="P14" s="133">
        <f t="shared" si="17"/>
        <v>3.3334366181099417E-2</v>
      </c>
      <c r="Q14" s="68"/>
      <c r="S14" s="154"/>
      <c r="T14" s="76">
        <v>2026</v>
      </c>
      <c r="U14" s="98" t="str">
        <f t="shared" si="23"/>
        <v>Intermediate</v>
      </c>
      <c r="V14" s="98" t="str">
        <f t="shared" si="18"/>
        <v>Intermediate</v>
      </c>
      <c r="W14" s="98" t="str">
        <f t="shared" si="19"/>
        <v>Intermediate</v>
      </c>
      <c r="X14" s="98" t="str">
        <f t="shared" si="20"/>
        <v>Intermediate</v>
      </c>
      <c r="Y14" s="98" t="str">
        <f t="shared" si="21"/>
        <v>Intermediate</v>
      </c>
      <c r="Z14" s="98" t="str">
        <f t="shared" si="22"/>
        <v>Intermediate</v>
      </c>
    </row>
    <row r="15" spans="2:26" x14ac:dyDescent="0.35">
      <c r="B15" s="67"/>
      <c r="C15" s="67"/>
      <c r="D15" s="67"/>
      <c r="E15" s="67"/>
      <c r="F15" s="67"/>
      <c r="G15" s="67"/>
      <c r="H15" s="67"/>
      <c r="I15" s="67"/>
      <c r="J15" s="80"/>
      <c r="K15" s="79"/>
      <c r="L15" s="79"/>
      <c r="M15" s="79"/>
      <c r="N15" s="79"/>
      <c r="O15" s="79"/>
      <c r="P15" s="134">
        <f>AVERAGE(P10:P14)</f>
        <v>3.2507638084078819E-2</v>
      </c>
      <c r="S15" s="67"/>
      <c r="T15" s="67"/>
      <c r="U15" s="67"/>
      <c r="V15" s="67"/>
      <c r="W15" s="67"/>
      <c r="X15" s="67"/>
      <c r="Y15" s="67"/>
      <c r="Z15" s="67"/>
    </row>
    <row r="16" spans="2:26" x14ac:dyDescent="0.35">
      <c r="B16" s="150" t="s">
        <v>35</v>
      </c>
      <c r="C16" s="76">
        <v>2022</v>
      </c>
      <c r="D16" s="71">
        <v>0.12603228299560065</v>
      </c>
      <c r="E16" s="71">
        <v>0.12991065860663029</v>
      </c>
      <c r="F16" s="71">
        <v>0.13393538801430252</v>
      </c>
      <c r="G16" s="71">
        <v>0.13811491470688531</v>
      </c>
      <c r="H16" s="71">
        <v>0.14245834440702029</v>
      </c>
      <c r="I16" s="71">
        <v>0.1469755112951607</v>
      </c>
      <c r="K16" s="26">
        <f t="shared" ref="K16:K20" si="24">E16/D16-1</f>
        <v>3.0772874368744096E-2</v>
      </c>
      <c r="L16" s="26">
        <f t="shared" ref="L16:L20" si="25">F16/E16-1</f>
        <v>3.0980748237595446E-2</v>
      </c>
      <c r="M16" s="26">
        <f t="shared" ref="M16:M20" si="26">G16/F16-1</f>
        <v>3.120554436394718E-2</v>
      </c>
      <c r="N16" s="26">
        <f t="shared" ref="N16:N20" si="27">H16/G16-1</f>
        <v>3.144794108118476E-2</v>
      </c>
      <c r="O16" s="26">
        <f t="shared" ref="O16:O20" si="28">I16/H16-1</f>
        <v>3.1708685840362794E-2</v>
      </c>
      <c r="P16" s="133">
        <f t="shared" ref="P16:P20" si="29">AVERAGE(K16:O16)</f>
        <v>3.1223158778366854E-2</v>
      </c>
      <c r="Q16" s="69"/>
      <c r="S16" s="150" t="s">
        <v>35</v>
      </c>
      <c r="T16" s="76">
        <v>2022</v>
      </c>
      <c r="U16" s="98" t="str">
        <f>IF(D16&lt;6%,"Highly Leveraged",IF(D16&lt;=9%,"Aggressive",IF(D16&lt;=13%,"Significant",IF(D16&lt;=23%,"Intermediate",IF(D16&lt;=35%,"Modest","Minimal")))))</f>
        <v>Significant</v>
      </c>
      <c r="V16" s="98" t="str">
        <f t="shared" ref="V16:V20" si="30">IF(E16&lt;6%,"Highly Leveraged",IF(E16&lt;=9%,"Aggressive",IF(E16&lt;=13%,"Significant",IF(E16&lt;=23%,"Intermediate",IF(E16&lt;=35%,"Modest","Minimal")))))</f>
        <v>Significant</v>
      </c>
      <c r="W16" s="98" t="str">
        <f t="shared" ref="W16:W20" si="31">IF(F16&lt;6%,"Highly Leveraged",IF(F16&lt;=9%,"Aggressive",IF(F16&lt;=13%,"Significant",IF(F16&lt;=23%,"Intermediate",IF(F16&lt;=35%,"Modest","Minimal")))))</f>
        <v>Intermediate</v>
      </c>
      <c r="X16" s="98" t="str">
        <f t="shared" ref="X16:X20" si="32">IF(G16&lt;6%,"Highly Leveraged",IF(G16&lt;=9%,"Aggressive",IF(G16&lt;=13%,"Significant",IF(G16&lt;=23%,"Intermediate",IF(G16&lt;=35%,"Modest","Minimal")))))</f>
        <v>Intermediate</v>
      </c>
      <c r="Y16" s="98" t="str">
        <f t="shared" ref="Y16:Y20" si="33">IF(H16&lt;6%,"Highly Leveraged",IF(H16&lt;=9%,"Aggressive",IF(H16&lt;=13%,"Significant",IF(H16&lt;=23%,"Intermediate",IF(H16&lt;=35%,"Modest","Minimal")))))</f>
        <v>Intermediate</v>
      </c>
      <c r="Z16" s="98" t="str">
        <f t="shared" ref="Z16:Z20" si="34">IF(I16&lt;6%,"Highly Leveraged",IF(I16&lt;=9%,"Aggressive",IF(I16&lt;=13%,"Significant",IF(I16&lt;=23%,"Intermediate",IF(I16&lt;=35%,"Modest","Minimal")))))</f>
        <v>Intermediate</v>
      </c>
    </row>
    <row r="17" spans="2:26" x14ac:dyDescent="0.35">
      <c r="B17" s="150"/>
      <c r="C17" s="76">
        <v>2023</v>
      </c>
      <c r="D17" s="71">
        <v>0.11423720661712011</v>
      </c>
      <c r="E17" s="71">
        <v>0.11789715488780748</v>
      </c>
      <c r="F17" s="71">
        <v>0.12169521441399254</v>
      </c>
      <c r="G17" s="71">
        <v>0.12563935315272318</v>
      </c>
      <c r="H17" s="71">
        <v>0.12973816399885499</v>
      </c>
      <c r="I17" s="71">
        <v>0.13400092727883212</v>
      </c>
      <c r="K17" s="26">
        <f t="shared" si="24"/>
        <v>3.203814570636454E-2</v>
      </c>
      <c r="L17" s="26">
        <f t="shared" si="25"/>
        <v>3.2215022744181976E-2</v>
      </c>
      <c r="M17" s="26">
        <f t="shared" si="26"/>
        <v>3.2409974029982358E-2</v>
      </c>
      <c r="N17" s="26">
        <f t="shared" si="27"/>
        <v>3.2623622641143601E-2</v>
      </c>
      <c r="O17" s="26">
        <f t="shared" si="28"/>
        <v>3.2856664134808922E-2</v>
      </c>
      <c r="P17" s="133">
        <f t="shared" si="29"/>
        <v>3.2428685851296282E-2</v>
      </c>
      <c r="Q17" s="69"/>
      <c r="S17" s="150"/>
      <c r="T17" s="76">
        <v>2023</v>
      </c>
      <c r="U17" s="98" t="str">
        <f t="shared" ref="U17:U20" si="35">IF(D17&lt;6%,"Highly Leveraged",IF(D17&lt;=9%,"Aggressive",IF(D17&lt;=13%,"Significant",IF(D17&lt;=23%,"Intermediate",IF(D17&lt;=35%,"Modest","Minimal")))))</f>
        <v>Significant</v>
      </c>
      <c r="V17" s="98" t="str">
        <f t="shared" si="30"/>
        <v>Significant</v>
      </c>
      <c r="W17" s="98" t="str">
        <f t="shared" si="31"/>
        <v>Significant</v>
      </c>
      <c r="X17" s="98" t="str">
        <f t="shared" si="32"/>
        <v>Significant</v>
      </c>
      <c r="Y17" s="98" t="str">
        <f t="shared" si="33"/>
        <v>Significant</v>
      </c>
      <c r="Z17" s="98" t="str">
        <f t="shared" si="34"/>
        <v>Intermediate</v>
      </c>
    </row>
    <row r="18" spans="2:26" x14ac:dyDescent="0.35">
      <c r="B18" s="150"/>
      <c r="C18" s="76">
        <v>2024</v>
      </c>
      <c r="D18" s="71">
        <v>0.11646075418165368</v>
      </c>
      <c r="E18" s="71">
        <v>0.12016187925909169</v>
      </c>
      <c r="F18" s="71">
        <v>0.12400266943379154</v>
      </c>
      <c r="G18" s="71">
        <v>0.1279911823075183</v>
      </c>
      <c r="H18" s="71">
        <v>0.13213610745080298</v>
      </c>
      <c r="I18" s="71">
        <v>0.13644682959981905</v>
      </c>
      <c r="K18" s="26">
        <f t="shared" si="24"/>
        <v>3.1780019831101791E-2</v>
      </c>
      <c r="L18" s="26">
        <f t="shared" si="25"/>
        <v>3.1963466270516383E-2</v>
      </c>
      <c r="M18" s="26">
        <f t="shared" si="26"/>
        <v>3.2164733968540471E-2</v>
      </c>
      <c r="N18" s="26">
        <f t="shared" si="27"/>
        <v>3.2384458589700849E-2</v>
      </c>
      <c r="O18" s="26">
        <f t="shared" si="28"/>
        <v>3.2623347487521714E-2</v>
      </c>
      <c r="P18" s="133">
        <f t="shared" si="29"/>
        <v>3.2183205229476243E-2</v>
      </c>
      <c r="Q18" s="69"/>
      <c r="S18" s="150"/>
      <c r="T18" s="76">
        <v>2024</v>
      </c>
      <c r="U18" s="98" t="str">
        <f t="shared" si="35"/>
        <v>Significant</v>
      </c>
      <c r="V18" s="98" t="str">
        <f t="shared" si="30"/>
        <v>Significant</v>
      </c>
      <c r="W18" s="98" t="str">
        <f t="shared" si="31"/>
        <v>Significant</v>
      </c>
      <c r="X18" s="98" t="str">
        <f t="shared" si="32"/>
        <v>Significant</v>
      </c>
      <c r="Y18" s="98" t="str">
        <f t="shared" si="33"/>
        <v>Intermediate</v>
      </c>
      <c r="Z18" s="98" t="str">
        <f t="shared" si="34"/>
        <v>Intermediate</v>
      </c>
    </row>
    <row r="19" spans="2:26" x14ac:dyDescent="0.35">
      <c r="B19" s="150"/>
      <c r="C19" s="76">
        <v>2025</v>
      </c>
      <c r="D19" s="71">
        <v>0.10643696365015834</v>
      </c>
      <c r="E19" s="71">
        <v>0.10995246297701314</v>
      </c>
      <c r="F19" s="71">
        <v>0.11360062265582471</v>
      </c>
      <c r="G19" s="71">
        <v>0.11738909616843669</v>
      </c>
      <c r="H19" s="71">
        <v>0.1213261372697786</v>
      </c>
      <c r="I19" s="71">
        <v>0.12542066001517421</v>
      </c>
      <c r="K19" s="26">
        <f t="shared" si="24"/>
        <v>3.3028932865932781E-2</v>
      </c>
      <c r="L19" s="26">
        <f t="shared" si="25"/>
        <v>3.3179426636166021E-2</v>
      </c>
      <c r="M19" s="26">
        <f t="shared" si="26"/>
        <v>3.3349055877007761E-2</v>
      </c>
      <c r="N19" s="26">
        <f t="shared" si="27"/>
        <v>3.3538388401021635E-2</v>
      </c>
      <c r="O19" s="26">
        <f t="shared" si="28"/>
        <v>3.3748068120648345E-2</v>
      </c>
      <c r="P19" s="133">
        <f t="shared" si="29"/>
        <v>3.3368774380155307E-2</v>
      </c>
      <c r="Q19" s="69"/>
      <c r="S19" s="150"/>
      <c r="T19" s="76">
        <v>2025</v>
      </c>
      <c r="U19" s="98" t="str">
        <f t="shared" si="35"/>
        <v>Significant</v>
      </c>
      <c r="V19" s="98" t="str">
        <f t="shared" si="30"/>
        <v>Significant</v>
      </c>
      <c r="W19" s="98" t="str">
        <f t="shared" si="31"/>
        <v>Significant</v>
      </c>
      <c r="X19" s="98" t="str">
        <f t="shared" si="32"/>
        <v>Significant</v>
      </c>
      <c r="Y19" s="98" t="str">
        <f t="shared" si="33"/>
        <v>Significant</v>
      </c>
      <c r="Z19" s="98" t="str">
        <f t="shared" si="34"/>
        <v>Significant</v>
      </c>
    </row>
    <row r="20" spans="2:26" x14ac:dyDescent="0.35">
      <c r="B20" s="150"/>
      <c r="C20" s="76">
        <v>2026</v>
      </c>
      <c r="D20" s="71">
        <v>0.10670410184847494</v>
      </c>
      <c r="E20" s="71">
        <v>0.11022454817900225</v>
      </c>
      <c r="F20" s="71">
        <v>0.11387784154087023</v>
      </c>
      <c r="G20" s="71">
        <v>0.11767164618588696</v>
      </c>
      <c r="H20" s="71">
        <v>0.12161422748364945</v>
      </c>
      <c r="I20" s="71">
        <v>0.12571451203332246</v>
      </c>
      <c r="K20" s="26">
        <f t="shared" si="24"/>
        <v>3.2992605434480016E-2</v>
      </c>
      <c r="L20" s="26">
        <f t="shared" si="25"/>
        <v>3.3144099224930557E-2</v>
      </c>
      <c r="M20" s="26">
        <f t="shared" si="26"/>
        <v>3.3314686981094077E-2</v>
      </c>
      <c r="N20" s="26">
        <f t="shared" si="27"/>
        <v>3.3504938747388247E-2</v>
      </c>
      <c r="O20" s="26">
        <f t="shared" si="28"/>
        <v>3.3715500517604191E-2</v>
      </c>
      <c r="P20" s="133">
        <f t="shared" si="29"/>
        <v>3.3334366181099417E-2</v>
      </c>
      <c r="Q20" s="69"/>
      <c r="S20" s="150"/>
      <c r="T20" s="76">
        <v>2026</v>
      </c>
      <c r="U20" s="98" t="str">
        <f t="shared" si="35"/>
        <v>Significant</v>
      </c>
      <c r="V20" s="98" t="str">
        <f t="shared" si="30"/>
        <v>Significant</v>
      </c>
      <c r="W20" s="98" t="str">
        <f t="shared" si="31"/>
        <v>Significant</v>
      </c>
      <c r="X20" s="98" t="str">
        <f t="shared" si="32"/>
        <v>Significant</v>
      </c>
      <c r="Y20" s="98" t="str">
        <f t="shared" si="33"/>
        <v>Significant</v>
      </c>
      <c r="Z20" s="98" t="str">
        <f t="shared" si="34"/>
        <v>Significant</v>
      </c>
    </row>
    <row r="21" spans="2:26" x14ac:dyDescent="0.35">
      <c r="B21" s="67"/>
      <c r="C21" s="67"/>
      <c r="D21" s="67"/>
      <c r="E21" s="67"/>
      <c r="F21" s="67"/>
      <c r="G21" s="67"/>
      <c r="H21" s="67"/>
      <c r="I21" s="67"/>
      <c r="J21" s="80"/>
      <c r="K21" s="79"/>
      <c r="L21" s="79"/>
      <c r="M21" s="79"/>
      <c r="N21" s="79"/>
      <c r="O21" s="79"/>
      <c r="P21" s="134">
        <f>AVERAGE(P16:P20)</f>
        <v>3.2507638084078819E-2</v>
      </c>
      <c r="S21" s="67"/>
      <c r="T21" s="67"/>
      <c r="U21" s="67"/>
      <c r="V21" s="67"/>
      <c r="W21" s="67"/>
      <c r="X21" s="67"/>
      <c r="Y21" s="67"/>
      <c r="Z21" s="67"/>
    </row>
    <row r="22" spans="2:26" x14ac:dyDescent="0.35">
      <c r="B22" s="150" t="s">
        <v>37</v>
      </c>
      <c r="C22" s="76">
        <v>2022</v>
      </c>
      <c r="D22" s="71">
        <v>0.17307460574990011</v>
      </c>
      <c r="E22" s="71">
        <v>0.1778685799304538</v>
      </c>
      <c r="F22" s="71">
        <v>0.18284345879706609</v>
      </c>
      <c r="G22" s="71">
        <v>0.18800967915854819</v>
      </c>
      <c r="H22" s="71">
        <v>0.19337849639695109</v>
      </c>
      <c r="I22" s="71">
        <v>0.19896206632489011</v>
      </c>
      <c r="K22" s="26">
        <f t="shared" ref="K22:K26" si="36">E22/D22-1</f>
        <v>2.7698888348075545E-2</v>
      </c>
      <c r="L22" s="26">
        <f t="shared" ref="L22:L26" si="37">F22/E22-1</f>
        <v>2.7969407910927613E-2</v>
      </c>
      <c r="M22" s="26">
        <f t="shared" ref="M22:M26" si="38">G22/F22-1</f>
        <v>2.8254882047576979E-2</v>
      </c>
      <c r="N22" s="26">
        <f t="shared" ref="N22:N26" si="39">H22/G22-1</f>
        <v>2.8556068296225368E-2</v>
      </c>
      <c r="O22" s="26">
        <f t="shared" ref="O22:O26" si="40">I22/H22-1</f>
        <v>2.8873789133604166E-2</v>
      </c>
      <c r="P22" s="133">
        <f t="shared" ref="P22:P26" si="41">AVERAGE(K22:O22)</f>
        <v>2.8270607147281933E-2</v>
      </c>
      <c r="Q22" s="69"/>
      <c r="S22" s="150" t="s">
        <v>37</v>
      </c>
      <c r="T22" s="76">
        <v>2022</v>
      </c>
      <c r="U22" s="98" t="str">
        <f>IF(D22&lt;5%,"Highly Leveraged",IF(D22&lt;=8%,"Aggressive",IF(D22&lt;=12%,"Significant",IF(D22&lt;=20%,"Intermediate",IF(D22&lt;=30%,"Modest","Minimal")))))</f>
        <v>Intermediate</v>
      </c>
      <c r="V22" s="98" t="str">
        <f t="shared" ref="V22:V26" si="42">IF(E22&lt;5%,"Highly Leveraged",IF(E22&lt;=8%,"Aggressive",IF(E22&lt;=12%,"Significant",IF(E22&lt;=20%,"Intermediate",IF(E22&lt;=30%,"Modest","Minimal")))))</f>
        <v>Intermediate</v>
      </c>
      <c r="W22" s="98" t="str">
        <f t="shared" ref="W22:W26" si="43">IF(F22&lt;5%,"Highly Leveraged",IF(F22&lt;=8%,"Aggressive",IF(F22&lt;=12%,"Significant",IF(F22&lt;=20%,"Intermediate",IF(F22&lt;=30%,"Modest","Minimal")))))</f>
        <v>Intermediate</v>
      </c>
      <c r="X22" s="98" t="str">
        <f t="shared" ref="X22:X26" si="44">IF(G22&lt;5%,"Highly Leveraged",IF(G22&lt;=8%,"Aggressive",IF(G22&lt;=12%,"Significant",IF(G22&lt;=20%,"Intermediate",IF(G22&lt;=30%,"Modest","Minimal")))))</f>
        <v>Intermediate</v>
      </c>
      <c r="Y22" s="98" t="str">
        <f t="shared" ref="Y22:Y26" si="45">IF(H22&lt;5%,"Highly Leveraged",IF(H22&lt;=8%,"Aggressive",IF(H22&lt;=12%,"Significant",IF(H22&lt;=20%,"Intermediate",IF(H22&lt;=30%,"Modest","Minimal")))))</f>
        <v>Intermediate</v>
      </c>
      <c r="Z22" s="98" t="str">
        <f t="shared" ref="Z22:Z26" si="46">IF(I22&lt;5%,"Highly Leveraged",IF(I22&lt;=8%,"Aggressive",IF(I22&lt;=12%,"Significant",IF(I22&lt;=20%,"Intermediate",IF(I22&lt;=30%,"Modest","Minimal")))))</f>
        <v>Intermediate</v>
      </c>
    </row>
    <row r="23" spans="2:26" x14ac:dyDescent="0.35">
      <c r="B23" s="150"/>
      <c r="C23" s="76">
        <v>2023</v>
      </c>
      <c r="D23" s="71">
        <v>0.16305213377876915</v>
      </c>
      <c r="E23" s="71">
        <v>0.16762809921911673</v>
      </c>
      <c r="F23" s="71">
        <v>0.17237674260060951</v>
      </c>
      <c r="G23" s="71">
        <v>0.17730802611215968</v>
      </c>
      <c r="H23" s="71">
        <v>0.18243269329082948</v>
      </c>
      <c r="I23" s="71">
        <v>0.18776234715664608</v>
      </c>
      <c r="K23" s="26">
        <f t="shared" si="36"/>
        <v>2.8064431506037879E-2</v>
      </c>
      <c r="L23" s="26">
        <f t="shared" si="37"/>
        <v>2.8328444954121679E-2</v>
      </c>
      <c r="M23" s="26">
        <f t="shared" si="38"/>
        <v>2.8607591935855048E-2</v>
      </c>
      <c r="N23" s="26">
        <f t="shared" si="39"/>
        <v>2.8902623818213957E-2</v>
      </c>
      <c r="O23" s="26">
        <f t="shared" si="40"/>
        <v>2.9214357194848883E-2</v>
      </c>
      <c r="P23" s="133">
        <f t="shared" si="41"/>
        <v>2.8623489881815491E-2</v>
      </c>
      <c r="Q23" s="69"/>
      <c r="S23" s="150"/>
      <c r="T23" s="76">
        <v>2023</v>
      </c>
      <c r="U23" s="98" t="str">
        <f t="shared" ref="U23:U26" si="47">IF(D23&lt;5%,"Highly Leveraged",IF(D23&lt;=8%,"Aggressive",IF(D23&lt;=12%,"Significant",IF(D23&lt;=20%,"Intermediate",IF(D23&lt;=30%,"Modest","Minimal")))))</f>
        <v>Intermediate</v>
      </c>
      <c r="V23" s="98" t="str">
        <f t="shared" si="42"/>
        <v>Intermediate</v>
      </c>
      <c r="W23" s="98" t="str">
        <f t="shared" si="43"/>
        <v>Intermediate</v>
      </c>
      <c r="X23" s="98" t="str">
        <f t="shared" si="44"/>
        <v>Intermediate</v>
      </c>
      <c r="Y23" s="98" t="str">
        <f t="shared" si="45"/>
        <v>Intermediate</v>
      </c>
      <c r="Z23" s="98" t="str">
        <f t="shared" si="46"/>
        <v>Intermediate</v>
      </c>
    </row>
    <row r="24" spans="2:26" x14ac:dyDescent="0.35">
      <c r="B24" s="150"/>
      <c r="C24" s="76">
        <v>2024</v>
      </c>
      <c r="D24" s="71">
        <v>0.16692107432491626</v>
      </c>
      <c r="E24" s="71">
        <v>0.17154090903463692</v>
      </c>
      <c r="F24" s="71">
        <v>0.17633507712963009</v>
      </c>
      <c r="G24" s="71">
        <v>0.18131363630519989</v>
      </c>
      <c r="H24" s="71">
        <v>0.18648743309549795</v>
      </c>
      <c r="I24" s="71">
        <v>0.19186818175740789</v>
      </c>
      <c r="K24" s="26">
        <f t="shared" si="36"/>
        <v>2.767676117832818E-2</v>
      </c>
      <c r="L24" s="26">
        <f t="shared" si="37"/>
        <v>2.7947666372836633E-2</v>
      </c>
      <c r="M24" s="26">
        <f t="shared" si="38"/>
        <v>2.8233515739525261E-2</v>
      </c>
      <c r="N24" s="26">
        <f t="shared" si="39"/>
        <v>2.8535067167199557E-2</v>
      </c>
      <c r="O24" s="26">
        <f t="shared" si="40"/>
        <v>2.8853143467069575E-2</v>
      </c>
      <c r="P24" s="133">
        <f t="shared" si="41"/>
        <v>2.8249230784991843E-2</v>
      </c>
      <c r="Q24" s="69"/>
      <c r="S24" s="150"/>
      <c r="T24" s="76">
        <v>2024</v>
      </c>
      <c r="U24" s="98" t="str">
        <f t="shared" si="47"/>
        <v>Intermediate</v>
      </c>
      <c r="V24" s="98" t="str">
        <f t="shared" si="42"/>
        <v>Intermediate</v>
      </c>
      <c r="W24" s="98" t="str">
        <f t="shared" si="43"/>
        <v>Intermediate</v>
      </c>
      <c r="X24" s="98" t="str">
        <f t="shared" si="44"/>
        <v>Intermediate</v>
      </c>
      <c r="Y24" s="98" t="str">
        <f t="shared" si="45"/>
        <v>Intermediate</v>
      </c>
      <c r="Z24" s="98" t="str">
        <f t="shared" si="46"/>
        <v>Intermediate</v>
      </c>
    </row>
    <row r="25" spans="2:26" x14ac:dyDescent="0.35">
      <c r="B25" s="150"/>
      <c r="C25" s="76">
        <v>2025</v>
      </c>
      <c r="D25" s="71">
        <v>0.15939082914643871</v>
      </c>
      <c r="E25" s="71">
        <v>0.16382630746396537</v>
      </c>
      <c r="F25" s="71">
        <v>0.16842916232177604</v>
      </c>
      <c r="G25" s="71">
        <v>0.17320905005873327</v>
      </c>
      <c r="H25" s="71">
        <v>0.17817638437361039</v>
      </c>
      <c r="I25" s="71">
        <v>0.18334241206108262</v>
      </c>
      <c r="K25" s="26">
        <f t="shared" si="36"/>
        <v>2.7827688338653456E-2</v>
      </c>
      <c r="L25" s="26">
        <f t="shared" si="37"/>
        <v>2.809594459560838E-2</v>
      </c>
      <c r="M25" s="26">
        <f t="shared" si="38"/>
        <v>2.8379216942405083E-2</v>
      </c>
      <c r="N25" s="26">
        <f t="shared" si="39"/>
        <v>2.8678260825244051E-2</v>
      </c>
      <c r="O25" s="26">
        <f t="shared" si="40"/>
        <v>2.8993896725616697E-2</v>
      </c>
      <c r="P25" s="133">
        <f t="shared" si="41"/>
        <v>2.8395001485505535E-2</v>
      </c>
      <c r="Q25" s="69"/>
      <c r="S25" s="150"/>
      <c r="T25" s="76">
        <v>2025</v>
      </c>
      <c r="U25" s="98" t="str">
        <f t="shared" si="47"/>
        <v>Intermediate</v>
      </c>
      <c r="V25" s="98" t="str">
        <f t="shared" si="42"/>
        <v>Intermediate</v>
      </c>
      <c r="W25" s="98" t="str">
        <f t="shared" si="43"/>
        <v>Intermediate</v>
      </c>
      <c r="X25" s="98" t="str">
        <f t="shared" si="44"/>
        <v>Intermediate</v>
      </c>
      <c r="Y25" s="98" t="str">
        <f t="shared" si="45"/>
        <v>Intermediate</v>
      </c>
      <c r="Z25" s="98" t="str">
        <f t="shared" si="46"/>
        <v>Intermediate</v>
      </c>
    </row>
    <row r="26" spans="2:26" x14ac:dyDescent="0.35">
      <c r="B26" s="150"/>
      <c r="C26" s="76">
        <v>2026</v>
      </c>
      <c r="D26" s="71">
        <v>0.16233017171904493</v>
      </c>
      <c r="E26" s="71">
        <v>0.16677147119532354</v>
      </c>
      <c r="F26" s="71">
        <v>0.17138036687825417</v>
      </c>
      <c r="G26" s="71">
        <v>0.17616652777975908</v>
      </c>
      <c r="H26" s="71">
        <v>0.18114038126563672</v>
      </c>
      <c r="I26" s="71">
        <v>0.18631318889094944</v>
      </c>
      <c r="K26" s="26">
        <f t="shared" si="36"/>
        <v>2.7359667209404748E-2</v>
      </c>
      <c r="L26" s="26">
        <f t="shared" si="37"/>
        <v>2.7635995832480553E-2</v>
      </c>
      <c r="M26" s="26">
        <f t="shared" si="38"/>
        <v>2.7927124843331264E-2</v>
      </c>
      <c r="N26" s="26">
        <f t="shared" si="39"/>
        <v>2.8233816880899765E-2</v>
      </c>
      <c r="O26" s="26">
        <f t="shared" si="40"/>
        <v>2.8556899290870685E-2</v>
      </c>
      <c r="P26" s="133">
        <f t="shared" si="41"/>
        <v>2.7942700811397402E-2</v>
      </c>
      <c r="Q26" s="69"/>
      <c r="S26" s="150"/>
      <c r="T26" s="76">
        <v>2026</v>
      </c>
      <c r="U26" s="98" t="str">
        <f t="shared" si="47"/>
        <v>Intermediate</v>
      </c>
      <c r="V26" s="98" t="str">
        <f t="shared" si="42"/>
        <v>Intermediate</v>
      </c>
      <c r="W26" s="98" t="str">
        <f t="shared" si="43"/>
        <v>Intermediate</v>
      </c>
      <c r="X26" s="98" t="str">
        <f t="shared" si="44"/>
        <v>Intermediate</v>
      </c>
      <c r="Y26" s="98" t="str">
        <f t="shared" si="45"/>
        <v>Intermediate</v>
      </c>
      <c r="Z26" s="98" t="str">
        <f t="shared" si="46"/>
        <v>Intermediate</v>
      </c>
    </row>
    <row r="27" spans="2:26" x14ac:dyDescent="0.35">
      <c r="B27" s="67"/>
      <c r="C27" s="67"/>
      <c r="D27" s="67"/>
      <c r="E27" s="67"/>
      <c r="F27" s="67"/>
      <c r="G27" s="67"/>
      <c r="H27" s="67"/>
      <c r="I27" s="67"/>
      <c r="J27" s="80"/>
      <c r="K27" s="79"/>
      <c r="L27" s="79"/>
      <c r="M27" s="79"/>
      <c r="N27" s="79"/>
      <c r="O27" s="79"/>
      <c r="P27" s="134">
        <f>AVERAGE(P22:P26)</f>
        <v>2.8296206022198438E-2</v>
      </c>
      <c r="S27" s="67"/>
      <c r="T27" s="67"/>
      <c r="U27" s="67"/>
      <c r="V27" s="67"/>
      <c r="W27" s="67"/>
      <c r="X27" s="67"/>
      <c r="Y27" s="67"/>
      <c r="Z27" s="67"/>
    </row>
    <row r="28" spans="2:26" x14ac:dyDescent="0.35">
      <c r="B28" s="150" t="s">
        <v>88</v>
      </c>
      <c r="C28" s="76">
        <v>2022</v>
      </c>
      <c r="D28" s="70">
        <v>2.3015438050742647</v>
      </c>
      <c r="E28" s="70">
        <v>2.4067196673146309</v>
      </c>
      <c r="F28" s="70">
        <v>2.5158644300168969</v>
      </c>
      <c r="G28" s="70">
        <v>2.6292070682077133</v>
      </c>
      <c r="H28" s="70">
        <v>2.7469945157393449</v>
      </c>
      <c r="I28" s="70">
        <v>2.8694934611722425</v>
      </c>
      <c r="K28" s="26">
        <f t="shared" ref="K28:K32" si="48">E28/D28-1</f>
        <v>4.569796238875945E-2</v>
      </c>
      <c r="L28" s="26">
        <f t="shared" ref="L28:L32" si="49">F28/E28-1</f>
        <v>4.5350010715642375E-2</v>
      </c>
      <c r="M28" s="26">
        <f t="shared" ref="M28:M32" si="50">G28/F28-1</f>
        <v>4.5051170817679953E-2</v>
      </c>
      <c r="N28" s="26">
        <f t="shared" ref="N28:N32" si="51">H28/G28-1</f>
        <v>4.4799608580059491E-2</v>
      </c>
      <c r="O28" s="26">
        <f t="shared" ref="O28:O32" si="52">I28/H28-1</f>
        <v>4.4593807789211182E-2</v>
      </c>
      <c r="P28" s="133">
        <f t="shared" ref="P28:P32" si="53">AVERAGE(K28:O28)</f>
        <v>4.5098512058270493E-2</v>
      </c>
      <c r="Q28" s="68"/>
      <c r="R28" s="68"/>
      <c r="S28" s="150" t="s">
        <v>88</v>
      </c>
      <c r="T28" s="76">
        <v>2022</v>
      </c>
      <c r="U28" s="70" t="str">
        <f t="shared" ref="U28:U32" si="54">IF(D28&lt;=1,"NA",IF(D28&lt;=1.5,"BB_B",IF(D28&lt;=1.8,"BBB",IF(D28&lt;=2.8,"A","AA"))))</f>
        <v>A</v>
      </c>
      <c r="V28" s="70" t="str">
        <f t="shared" ref="V28:V32" si="55">IF(E28&lt;=1,"NA",IF(E28&lt;=1.5,"BB_B",IF(E28&lt;=1.8,"BBB",IF(E28&lt;=2.8,"A","AA"))))</f>
        <v>A</v>
      </c>
      <c r="W28" s="70" t="str">
        <f t="shared" ref="W28:W32" si="56">IF(F28&lt;=1,"NA",IF(F28&lt;=1.5,"BB_B",IF(F28&lt;=1.8,"BBB",IF(F28&lt;=2.8,"A","AA"))))</f>
        <v>A</v>
      </c>
      <c r="X28" s="70" t="str">
        <f t="shared" ref="X28:X32" si="57">IF(G28&lt;=1,"NA",IF(G28&lt;=1.5,"BB_B",IF(G28&lt;=1.8,"BBB",IF(G28&lt;=2.8,"A","AA"))))</f>
        <v>A</v>
      </c>
      <c r="Y28" s="70" t="str">
        <f t="shared" ref="Y28:Y32" si="58">IF(H28&lt;=1,"NA",IF(H28&lt;=1.5,"BB_B",IF(H28&lt;=1.8,"BBB",IF(H28&lt;=2.8,"A","AA"))))</f>
        <v>A</v>
      </c>
      <c r="Z28" s="70" t="str">
        <f t="shared" ref="Z28:Z32" si="59">IF(I28&lt;=1,"NA",IF(I28&lt;=1.5,"BB_B",IF(I28&lt;=1.8,"BBB",IF(I28&lt;=2.8,"A","AA"))))</f>
        <v>AA</v>
      </c>
    </row>
    <row r="29" spans="2:26" x14ac:dyDescent="0.35">
      <c r="B29" s="150"/>
      <c r="C29" s="76">
        <v>2023</v>
      </c>
      <c r="D29" s="70">
        <v>2.1949037487806153</v>
      </c>
      <c r="E29" s="70">
        <v>2.2928790825091419</v>
      </c>
      <c r="F29" s="70">
        <v>2.3945515986425194</v>
      </c>
      <c r="G29" s="70">
        <v>2.5001345961656414</v>
      </c>
      <c r="H29" s="70">
        <v>2.6098581033955535</v>
      </c>
      <c r="I29" s="70">
        <v>2.7239705509146619</v>
      </c>
      <c r="K29" s="26">
        <f t="shared" si="48"/>
        <v>4.4637644718114489E-2</v>
      </c>
      <c r="L29" s="26">
        <f t="shared" si="49"/>
        <v>4.4342729151733318E-2</v>
      </c>
      <c r="M29" s="26">
        <f t="shared" si="50"/>
        <v>4.4093014150531351E-2</v>
      </c>
      <c r="N29" s="26">
        <f t="shared" si="51"/>
        <v>4.3887040081038275E-2</v>
      </c>
      <c r="O29" s="26">
        <f t="shared" si="52"/>
        <v>4.3723621361116294E-2</v>
      </c>
      <c r="P29" s="133">
        <f t="shared" si="53"/>
        <v>4.4136809892506748E-2</v>
      </c>
      <c r="Q29" s="68"/>
      <c r="R29" s="69"/>
      <c r="S29" s="150"/>
      <c r="T29" s="76">
        <v>2023</v>
      </c>
      <c r="U29" s="70" t="str">
        <f t="shared" si="54"/>
        <v>A</v>
      </c>
      <c r="V29" s="70" t="str">
        <f t="shared" si="55"/>
        <v>A</v>
      </c>
      <c r="W29" s="70" t="str">
        <f t="shared" si="56"/>
        <v>A</v>
      </c>
      <c r="X29" s="70" t="str">
        <f t="shared" si="57"/>
        <v>A</v>
      </c>
      <c r="Y29" s="70" t="str">
        <f t="shared" si="58"/>
        <v>A</v>
      </c>
      <c r="Z29" s="70" t="str">
        <f t="shared" si="59"/>
        <v>A</v>
      </c>
    </row>
    <row r="30" spans="2:26" x14ac:dyDescent="0.35">
      <c r="B30" s="150"/>
      <c r="C30" s="76">
        <v>2024</v>
      </c>
      <c r="D30" s="70">
        <v>2.3510406465458571</v>
      </c>
      <c r="E30" s="70">
        <v>2.4479363317139384</v>
      </c>
      <c r="F30" s="70">
        <v>2.548488457831759</v>
      </c>
      <c r="G30" s="70">
        <v>2.6529079734156489</v>
      </c>
      <c r="H30" s="70">
        <v>2.7614223719636137</v>
      </c>
      <c r="I30" s="70">
        <v>2.8742773464534972</v>
      </c>
      <c r="K30" s="26">
        <f t="shared" si="48"/>
        <v>4.1213955747826159E-2</v>
      </c>
      <c r="L30" s="26">
        <f t="shared" si="49"/>
        <v>4.1076283241165079E-2</v>
      </c>
      <c r="M30" s="26">
        <f t="shared" si="50"/>
        <v>4.0973116932508935E-2</v>
      </c>
      <c r="N30" s="26">
        <f t="shared" si="51"/>
        <v>4.090394376109896E-2</v>
      </c>
      <c r="O30" s="26">
        <f t="shared" si="52"/>
        <v>4.0868421881305128E-2</v>
      </c>
      <c r="P30" s="133">
        <f t="shared" si="53"/>
        <v>4.1007144312780852E-2</v>
      </c>
      <c r="Q30" s="68"/>
      <c r="R30" s="69"/>
      <c r="S30" s="150"/>
      <c r="T30" s="76">
        <v>2024</v>
      </c>
      <c r="U30" s="70" t="str">
        <f t="shared" si="54"/>
        <v>A</v>
      </c>
      <c r="V30" s="70" t="str">
        <f t="shared" si="55"/>
        <v>A</v>
      </c>
      <c r="W30" s="70" t="str">
        <f t="shared" si="56"/>
        <v>A</v>
      </c>
      <c r="X30" s="70" t="str">
        <f t="shared" si="57"/>
        <v>A</v>
      </c>
      <c r="Y30" s="70" t="str">
        <f t="shared" si="58"/>
        <v>A</v>
      </c>
      <c r="Z30" s="70" t="str">
        <f t="shared" si="59"/>
        <v>AA</v>
      </c>
    </row>
    <row r="31" spans="2:26" x14ac:dyDescent="0.35">
      <c r="B31" s="150"/>
      <c r="C31" s="76">
        <v>2025</v>
      </c>
      <c r="D31" s="70">
        <v>2.3193344023057163</v>
      </c>
      <c r="E31" s="70">
        <v>2.4100339145679559</v>
      </c>
      <c r="F31" s="70">
        <v>2.5041560499344304</v>
      </c>
      <c r="G31" s="70">
        <v>2.6018982674303843</v>
      </c>
      <c r="H31" s="70">
        <v>2.7034735130634351</v>
      </c>
      <c r="I31" s="70">
        <v>2.8091117685218072</v>
      </c>
      <c r="K31" s="26">
        <f t="shared" si="48"/>
        <v>3.9105836645234371E-2</v>
      </c>
      <c r="L31" s="26">
        <f t="shared" si="49"/>
        <v>3.9054278364106576E-2</v>
      </c>
      <c r="M31" s="26">
        <f t="shared" si="50"/>
        <v>3.9031999422924679E-2</v>
      </c>
      <c r="N31" s="26">
        <f t="shared" si="51"/>
        <v>3.9038899754280543E-2</v>
      </c>
      <c r="O31" s="26">
        <f t="shared" si="52"/>
        <v>3.9075010333157856E-2</v>
      </c>
      <c r="P31" s="133">
        <f t="shared" si="53"/>
        <v>3.9061204903940806E-2</v>
      </c>
      <c r="Q31" s="68"/>
      <c r="R31" s="68"/>
      <c r="S31" s="150"/>
      <c r="T31" s="76">
        <v>2025</v>
      </c>
      <c r="U31" s="70" t="str">
        <f t="shared" si="54"/>
        <v>A</v>
      </c>
      <c r="V31" s="70" t="str">
        <f t="shared" si="55"/>
        <v>A</v>
      </c>
      <c r="W31" s="70" t="str">
        <f t="shared" si="56"/>
        <v>A</v>
      </c>
      <c r="X31" s="70" t="str">
        <f t="shared" si="57"/>
        <v>A</v>
      </c>
      <c r="Y31" s="70" t="str">
        <f t="shared" si="58"/>
        <v>A</v>
      </c>
      <c r="Z31" s="70" t="str">
        <f t="shared" si="59"/>
        <v>AA</v>
      </c>
    </row>
    <row r="32" spans="2:26" x14ac:dyDescent="0.35">
      <c r="B32" s="150"/>
      <c r="C32" s="76">
        <v>2026</v>
      </c>
      <c r="D32" s="70">
        <v>2.2527556055109921</v>
      </c>
      <c r="E32" s="70">
        <v>2.337060399392584</v>
      </c>
      <c r="F32" s="70">
        <v>2.4245465062508389</v>
      </c>
      <c r="G32" s="70">
        <v>2.515397463372874</v>
      </c>
      <c r="H32" s="70">
        <v>2.609811203127145</v>
      </c>
      <c r="I32" s="70">
        <v>2.7080014924715874</v>
      </c>
      <c r="K32" s="26">
        <f t="shared" si="48"/>
        <v>3.7422964868161657E-2</v>
      </c>
      <c r="L32" s="26">
        <f t="shared" si="49"/>
        <v>3.7434251541377694E-2</v>
      </c>
      <c r="M32" s="26">
        <f t="shared" si="50"/>
        <v>3.7471319641758871E-2</v>
      </c>
      <c r="N32" s="26">
        <f t="shared" si="51"/>
        <v>3.7534322558977484E-2</v>
      </c>
      <c r="O32" s="26">
        <f t="shared" si="52"/>
        <v>3.76235220489467E-2</v>
      </c>
      <c r="P32" s="133">
        <f t="shared" si="53"/>
        <v>3.7497276131844483E-2</v>
      </c>
      <c r="Q32" s="68"/>
      <c r="S32" s="150"/>
      <c r="T32" s="76">
        <v>2026</v>
      </c>
      <c r="U32" s="70" t="str">
        <f t="shared" si="54"/>
        <v>A</v>
      </c>
      <c r="V32" s="70" t="str">
        <f t="shared" si="55"/>
        <v>A</v>
      </c>
      <c r="W32" s="70" t="str">
        <f t="shared" si="56"/>
        <v>A</v>
      </c>
      <c r="X32" s="70" t="str">
        <f t="shared" si="57"/>
        <v>A</v>
      </c>
      <c r="Y32" s="70" t="str">
        <f t="shared" si="58"/>
        <v>A</v>
      </c>
      <c r="Z32" s="70" t="str">
        <f t="shared" si="59"/>
        <v>A</v>
      </c>
    </row>
    <row r="33" spans="2:26" x14ac:dyDescent="0.35">
      <c r="J33" s="80"/>
      <c r="K33" s="79"/>
      <c r="L33" s="79"/>
      <c r="M33" s="79"/>
      <c r="N33" s="79"/>
      <c r="O33" s="79"/>
      <c r="P33" s="134">
        <f>AVERAGE(P28:P32)</f>
        <v>4.1360189459868676E-2</v>
      </c>
      <c r="V33" s="68"/>
    </row>
    <row r="35" spans="2:26" x14ac:dyDescent="0.35">
      <c r="V35" s="75"/>
    </row>
    <row r="36" spans="2:26" x14ac:dyDescent="0.35">
      <c r="V36" s="68"/>
    </row>
    <row r="37" spans="2:26" x14ac:dyDescent="0.35">
      <c r="V37" s="68"/>
    </row>
    <row r="38" spans="2:26" x14ac:dyDescent="0.35">
      <c r="B38" s="46"/>
      <c r="C38" s="46"/>
      <c r="D38" s="72"/>
      <c r="E38" s="72"/>
      <c r="F38" s="72"/>
      <c r="G38" s="72"/>
      <c r="H38" s="72"/>
      <c r="I38" s="72"/>
      <c r="J38" s="72"/>
      <c r="K38" s="46"/>
      <c r="L38" s="46"/>
      <c r="M38" s="46"/>
      <c r="N38" s="46"/>
      <c r="O38" s="46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</row>
    <row r="39" spans="2:26" x14ac:dyDescent="0.35">
      <c r="B39" s="46"/>
      <c r="C39" s="46"/>
      <c r="D39" s="72"/>
      <c r="E39" s="72"/>
      <c r="F39" s="72"/>
      <c r="G39" s="72"/>
      <c r="H39" s="72"/>
      <c r="I39" s="72"/>
      <c r="J39" s="72"/>
      <c r="K39" s="46"/>
      <c r="L39" s="46"/>
      <c r="M39" s="46"/>
      <c r="N39" s="46"/>
      <c r="O39" s="46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</row>
    <row r="40" spans="2:26" x14ac:dyDescent="0.35">
      <c r="B40" s="46"/>
      <c r="C40" s="46"/>
      <c r="D40" s="72"/>
      <c r="E40" s="72"/>
      <c r="F40" s="72"/>
      <c r="G40" s="72"/>
      <c r="H40" s="72"/>
      <c r="I40" s="72"/>
      <c r="J40" s="72"/>
      <c r="K40" s="46"/>
      <c r="L40" s="46"/>
      <c r="M40" s="46"/>
      <c r="N40" s="46"/>
      <c r="O40" s="46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</row>
    <row r="41" spans="2:26" x14ac:dyDescent="0.35">
      <c r="B41" s="46"/>
      <c r="C41" s="46"/>
      <c r="D41" s="72"/>
      <c r="E41" s="72"/>
      <c r="F41" s="72"/>
      <c r="G41" s="72"/>
      <c r="H41" s="72"/>
      <c r="I41" s="72"/>
      <c r="J41" s="72"/>
      <c r="K41" s="46"/>
      <c r="L41" s="46"/>
      <c r="M41" s="46"/>
      <c r="N41" s="46"/>
      <c r="O41" s="46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</row>
    <row r="42" spans="2:26" x14ac:dyDescent="0.35">
      <c r="B42" s="46"/>
      <c r="C42" s="46"/>
      <c r="D42" s="72"/>
      <c r="E42" s="72"/>
      <c r="F42" s="72"/>
      <c r="G42" s="72"/>
      <c r="H42" s="72"/>
      <c r="I42" s="72"/>
      <c r="J42" s="72"/>
      <c r="K42" s="46"/>
      <c r="L42" s="46"/>
      <c r="M42" s="46"/>
      <c r="N42" s="46"/>
      <c r="O42" s="46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</row>
    <row r="43" spans="2:26" x14ac:dyDescent="0.35">
      <c r="B43" s="46"/>
      <c r="C43" s="46"/>
      <c r="D43" s="72"/>
      <c r="E43" s="72"/>
      <c r="F43" s="72"/>
      <c r="G43" s="72"/>
      <c r="H43" s="72"/>
      <c r="I43" s="72"/>
      <c r="J43" s="72"/>
      <c r="K43" s="46"/>
      <c r="L43" s="46"/>
      <c r="M43" s="46"/>
      <c r="N43" s="46"/>
      <c r="O43" s="46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</row>
    <row r="44" spans="2:26" x14ac:dyDescent="0.35">
      <c r="B44" s="46"/>
      <c r="C44" s="46"/>
      <c r="D44" s="72"/>
      <c r="E44" s="72"/>
      <c r="F44" s="72"/>
      <c r="G44" s="72"/>
      <c r="H44" s="72"/>
      <c r="I44" s="72"/>
      <c r="J44" s="72"/>
      <c r="K44" s="46"/>
      <c r="L44" s="46"/>
      <c r="M44" s="46"/>
      <c r="N44" s="46"/>
      <c r="O44" s="46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</row>
    <row r="45" spans="2:26" x14ac:dyDescent="0.35">
      <c r="B45" s="46"/>
      <c r="C45" s="46"/>
      <c r="D45" s="72"/>
      <c r="E45" s="72"/>
      <c r="F45" s="72"/>
      <c r="G45" s="72"/>
      <c r="H45" s="72"/>
      <c r="I45" s="72"/>
      <c r="J45" s="72"/>
      <c r="K45" s="46"/>
      <c r="L45" s="46"/>
      <c r="M45" s="46"/>
      <c r="N45" s="46"/>
      <c r="O45" s="46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</row>
    <row r="46" spans="2:26" x14ac:dyDescent="0.35">
      <c r="B46" s="46"/>
      <c r="C46" s="46"/>
      <c r="D46" s="72"/>
      <c r="E46" s="72"/>
      <c r="F46" s="72"/>
      <c r="G46" s="72"/>
      <c r="H46" s="72"/>
      <c r="I46" s="72"/>
      <c r="J46" s="72"/>
      <c r="K46" s="46"/>
      <c r="L46" s="46"/>
      <c r="M46" s="46"/>
      <c r="N46" s="46"/>
      <c r="O46" s="46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</row>
    <row r="47" spans="2:26" x14ac:dyDescent="0.35">
      <c r="B47" s="46"/>
      <c r="C47" s="46"/>
      <c r="D47" s="72"/>
      <c r="E47" s="72"/>
      <c r="F47" s="72"/>
      <c r="G47" s="72"/>
      <c r="H47" s="72"/>
      <c r="I47" s="72"/>
      <c r="J47" s="72"/>
      <c r="K47" s="46"/>
      <c r="L47" s="46"/>
      <c r="M47" s="46"/>
      <c r="N47" s="46"/>
      <c r="O47" s="46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</row>
    <row r="48" spans="2:26" x14ac:dyDescent="0.35">
      <c r="B48" s="46"/>
      <c r="C48" s="46"/>
      <c r="D48" s="72"/>
      <c r="E48" s="72"/>
      <c r="F48" s="72"/>
      <c r="G48" s="72"/>
      <c r="H48" s="72"/>
      <c r="I48" s="72"/>
      <c r="J48" s="72"/>
      <c r="K48" s="46"/>
      <c r="L48" s="46"/>
      <c r="M48" s="46"/>
      <c r="N48" s="46"/>
      <c r="O48" s="46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</row>
    <row r="49" spans="2:26" x14ac:dyDescent="0.35">
      <c r="B49" s="46"/>
      <c r="C49" s="46"/>
      <c r="D49" s="72"/>
      <c r="E49" s="72"/>
      <c r="F49" s="72"/>
      <c r="G49" s="72"/>
      <c r="H49" s="72"/>
      <c r="I49" s="72"/>
      <c r="J49" s="72"/>
      <c r="K49" s="46"/>
      <c r="L49" s="46"/>
      <c r="M49" s="46"/>
      <c r="N49" s="46"/>
      <c r="O49" s="46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 spans="2:26" x14ac:dyDescent="0.35">
      <c r="B50" s="46"/>
      <c r="C50" s="46"/>
      <c r="D50" s="72"/>
      <c r="E50" s="72"/>
      <c r="F50" s="72"/>
      <c r="G50" s="72"/>
      <c r="H50" s="72"/>
      <c r="I50" s="72"/>
      <c r="J50" s="72"/>
      <c r="K50" s="46"/>
      <c r="L50" s="46"/>
      <c r="M50" s="46"/>
      <c r="N50" s="46"/>
      <c r="O50" s="46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</row>
    <row r="51" spans="2:26" x14ac:dyDescent="0.35">
      <c r="B51" s="46"/>
      <c r="C51" s="46"/>
      <c r="D51" s="72"/>
      <c r="E51" s="72"/>
      <c r="F51" s="72"/>
      <c r="G51" s="72"/>
      <c r="H51" s="72"/>
      <c r="I51" s="72"/>
      <c r="J51" s="72"/>
      <c r="K51" s="46"/>
      <c r="L51" s="46"/>
      <c r="M51" s="46"/>
      <c r="N51" s="46"/>
      <c r="O51" s="46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</row>
    <row r="52" spans="2:26" x14ac:dyDescent="0.35">
      <c r="B52" s="46"/>
      <c r="C52" s="46"/>
      <c r="D52" s="72"/>
      <c r="E52" s="72"/>
      <c r="F52" s="72"/>
      <c r="G52" s="72"/>
      <c r="H52" s="72"/>
      <c r="I52" s="72"/>
      <c r="J52" s="72"/>
      <c r="K52" s="46"/>
      <c r="L52" s="46"/>
      <c r="M52" s="46"/>
      <c r="N52" s="46"/>
      <c r="O52" s="46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</row>
    <row r="53" spans="2:26" x14ac:dyDescent="0.35">
      <c r="B53" s="46"/>
      <c r="C53" s="46"/>
      <c r="D53" s="72"/>
      <c r="E53" s="72"/>
      <c r="F53" s="72"/>
      <c r="G53" s="72"/>
      <c r="H53" s="72"/>
      <c r="I53" s="72"/>
      <c r="J53" s="72"/>
      <c r="K53" s="46"/>
      <c r="L53" s="46"/>
      <c r="M53" s="46"/>
      <c r="N53" s="46"/>
      <c r="O53" s="46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spans="2:26" x14ac:dyDescent="0.35">
      <c r="B54" s="46"/>
      <c r="C54" s="46"/>
      <c r="D54" s="72"/>
      <c r="E54" s="72"/>
      <c r="F54" s="72"/>
      <c r="G54" s="72"/>
      <c r="H54" s="72"/>
      <c r="I54" s="72"/>
      <c r="J54" s="72"/>
      <c r="K54" s="46"/>
      <c r="L54" s="46"/>
      <c r="M54" s="46"/>
      <c r="N54" s="46"/>
      <c r="O54" s="46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 spans="2:26" x14ac:dyDescent="0.35">
      <c r="B55" s="46"/>
      <c r="C55" s="46"/>
      <c r="D55" s="72"/>
      <c r="E55" s="72"/>
      <c r="F55" s="72"/>
      <c r="G55" s="72"/>
      <c r="H55" s="72"/>
      <c r="I55" s="72"/>
      <c r="J55" s="72"/>
      <c r="K55" s="46"/>
      <c r="L55" s="46"/>
      <c r="M55" s="46"/>
      <c r="N55" s="46"/>
      <c r="O55" s="46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 spans="2:26" x14ac:dyDescent="0.35">
      <c r="B56" s="46"/>
      <c r="C56" s="46"/>
      <c r="D56" s="72"/>
      <c r="E56" s="72"/>
      <c r="F56" s="72"/>
      <c r="G56" s="72"/>
      <c r="H56" s="72"/>
      <c r="I56" s="72"/>
      <c r="J56" s="72"/>
      <c r="K56" s="46"/>
      <c r="L56" s="46"/>
      <c r="M56" s="46"/>
      <c r="N56" s="46"/>
      <c r="O56" s="46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 spans="2:26" x14ac:dyDescent="0.35">
      <c r="B57" s="46"/>
      <c r="C57" s="46"/>
      <c r="D57" s="72"/>
      <c r="E57" s="72"/>
      <c r="F57" s="72"/>
      <c r="G57" s="72"/>
      <c r="H57" s="72"/>
      <c r="I57" s="72"/>
      <c r="J57" s="72"/>
      <c r="K57" s="46"/>
      <c r="L57" s="46"/>
      <c r="M57" s="46"/>
      <c r="N57" s="46"/>
      <c r="O57" s="46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 spans="2:26" x14ac:dyDescent="0.35">
      <c r="B58" s="46"/>
      <c r="C58" s="46"/>
      <c r="D58" s="72"/>
      <c r="E58" s="72"/>
      <c r="F58" s="72"/>
      <c r="G58" s="72"/>
      <c r="H58" s="72"/>
      <c r="I58" s="72"/>
      <c r="J58" s="72"/>
      <c r="K58" s="46"/>
      <c r="L58" s="46"/>
      <c r="M58" s="46"/>
      <c r="N58" s="46"/>
      <c r="O58" s="46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</sheetData>
  <mergeCells count="12">
    <mergeCell ref="U2:Z2"/>
    <mergeCell ref="S4:S8"/>
    <mergeCell ref="S10:S14"/>
    <mergeCell ref="S16:S20"/>
    <mergeCell ref="S22:S26"/>
    <mergeCell ref="S28:S32"/>
    <mergeCell ref="D2:I2"/>
    <mergeCell ref="B4:B8"/>
    <mergeCell ref="B10:B14"/>
    <mergeCell ref="B16:B20"/>
    <mergeCell ref="B22:B26"/>
    <mergeCell ref="B28:B32"/>
  </mergeCells>
  <pageMargins left="0.7" right="0.7" top="0.75" bottom="0.75" header="0.3" footer="0.3"/>
  <pageSetup orientation="portrait" r:id="rId1"/>
  <ignoredErrors>
    <ignoredError sqref="P9:P2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1. Key financial information</vt:lpstr>
      <vt:lpstr>2. Estimated credit metrics</vt:lpstr>
      <vt:lpstr>3. Outputs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Mugwe Kiragu</dc:creator>
  <cp:lastModifiedBy>Amit Pinjani</cp:lastModifiedBy>
  <dcterms:created xsi:type="dcterms:W3CDTF">2021-03-30T20:04:24Z</dcterms:created>
  <dcterms:modified xsi:type="dcterms:W3CDTF">2021-06-03T17:14:26Z</dcterms:modified>
</cp:coreProperties>
</file>