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mc:AlternateContent xmlns:mc="http://schemas.openxmlformats.org/markup-compatibility/2006">
    <mc:Choice Requires="x15">
      <x15ac:absPath xmlns:x15ac="http://schemas.microsoft.com/office/spreadsheetml/2010/11/ac" url="V:\ACTIVE APPLICATIONS\CNP 2022 COS\Models\Filing Versions\"/>
    </mc:Choice>
  </mc:AlternateContent>
  <xr:revisionPtr revIDLastSave="0" documentId="13_ncr:1_{74DFCD29-FFDD-4546-A1EB-9463B3ED1242}" xr6:coauthVersionLast="36" xr6:coauthVersionMax="36" xr10:uidLastSave="{00000000-0000-0000-0000-000000000000}"/>
  <bookViews>
    <workbookView xWindow="0" yWindow="0" windowWidth="28800" windowHeight="13125" tabRatio="779" xr2:uid="{00000000-000D-0000-FFFF-FFFF00000000}"/>
  </bookViews>
  <sheets>
    <sheet name="Input - Customer Data" sheetId="16" r:id="rId1"/>
    <sheet name="Input - Adjustments &amp; Variables" sheetId="19" r:id="rId2"/>
    <sheet name="Input - CDM" sheetId="41" r:id="rId3"/>
    <sheet name="Input" sheetId="2" r:id="rId4"/>
    <sheet name="Output" sheetId="3" r:id="rId5"/>
    <sheet name="Forecast" sheetId="7" r:id="rId6"/>
    <sheet name="DW" sheetId="10" state="hidden" r:id="rId7"/>
    <sheet name="Bridge&amp;Test Year Class Forecast" sheetId="21" r:id="rId8"/>
    <sheet name="Final LF " sheetId="32" r:id="rId9"/>
    <sheet name="Wholesale Analysis" sheetId="35" r:id="rId10"/>
    <sheet name="Wholesale Analysis2" sheetId="37" r:id="rId11"/>
    <sheet name="Analysis_Distr Revenues" sheetId="39" r:id="rId12"/>
    <sheet name="Analysis_Weather adj LF" sheetId="27" r:id="rId13"/>
    <sheet name="HDD,CDD" sheetId="40" r:id="rId14"/>
    <sheet name="Regression" sheetId="4" state="veryHidden" r:id="rId15"/>
    <sheet name="Main" sheetId="5" state="veryHidden" r:id="rId16"/>
  </sheets>
  <externalReferences>
    <externalReference r:id="rId17"/>
    <externalReference r:id="rId18"/>
    <externalReference r:id="rId19"/>
    <externalReference r:id="rId20"/>
  </externalReferences>
  <definedNames>
    <definedName name="CASENUMBER" localSheetId="2">'[1]1. LDC Info'!$E$14</definedName>
    <definedName name="CASENUMBER">'[2]1. LDC Info'!$E$14</definedName>
    <definedName name="dwL">DW!$A$1:$U$101</definedName>
    <definedName name="dwU">DW!$W$1:$AQ$101</definedName>
    <definedName name="EBNUMBER" localSheetId="2">'[1]LDC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2">'[1]LDC Info'!$E$28</definedName>
    <definedName name="RebaseYear">'[4]LDC Info'!$E$28</definedName>
  </definedNames>
  <calcPr calcId="191029"/>
</workbook>
</file>

<file path=xl/calcChain.xml><?xml version="1.0" encoding="utf-8"?>
<calcChain xmlns="http://schemas.openxmlformats.org/spreadsheetml/2006/main">
  <c r="O65" i="39" l="1"/>
  <c r="M65" i="39"/>
  <c r="K65" i="39"/>
  <c r="I65" i="39"/>
  <c r="G65" i="39"/>
  <c r="E65" i="39"/>
  <c r="D65" i="39"/>
  <c r="J10" i="39" l="1"/>
  <c r="E13" i="39"/>
  <c r="H13" i="39" s="1"/>
  <c r="F13" i="39"/>
  <c r="J13" i="39"/>
  <c r="L13" i="39"/>
  <c r="N13" i="39"/>
  <c r="E14" i="39"/>
  <c r="F14" i="39" s="1"/>
  <c r="J14" i="39"/>
  <c r="L14" i="39"/>
  <c r="N14" i="39"/>
  <c r="D16" i="39"/>
  <c r="E16" i="39"/>
  <c r="G16" i="39"/>
  <c r="H16" i="39" s="1"/>
  <c r="I16" i="39"/>
  <c r="J16" i="39"/>
  <c r="K16" i="39"/>
  <c r="L16" i="39" s="1"/>
  <c r="M16" i="39"/>
  <c r="N16" i="39" s="1"/>
  <c r="O16" i="39"/>
  <c r="P16" i="39" s="1"/>
  <c r="D17" i="39"/>
  <c r="E17" i="39"/>
  <c r="H17" i="39" s="1"/>
  <c r="F17" i="39"/>
  <c r="G17" i="39"/>
  <c r="I17" i="39"/>
  <c r="J17" i="39"/>
  <c r="K17" i="39"/>
  <c r="L17" i="39"/>
  <c r="M17" i="39"/>
  <c r="P17" i="39" s="1"/>
  <c r="N17" i="39"/>
  <c r="O17" i="39"/>
  <c r="G18" i="39"/>
  <c r="I18" i="39"/>
  <c r="J18" i="39" s="1"/>
  <c r="D18" i="39" l="1"/>
  <c r="H14" i="39"/>
  <c r="F16" i="39"/>
  <c r="M18" i="39"/>
  <c r="E18" i="39"/>
  <c r="K18" i="39"/>
  <c r="L18" i="39" s="1"/>
  <c r="F18" i="39" l="1"/>
  <c r="H18" i="39"/>
  <c r="N18" i="39"/>
  <c r="K60" i="39" l="1"/>
  <c r="F114" i="27" l="1"/>
  <c r="F113" i="27"/>
  <c r="F112" i="27"/>
  <c r="F111" i="27"/>
  <c r="F110" i="27"/>
  <c r="F109" i="27"/>
  <c r="F108" i="27"/>
  <c r="F107" i="27"/>
  <c r="F106" i="27"/>
  <c r="F105" i="27"/>
  <c r="F104" i="27"/>
  <c r="F97" i="27"/>
  <c r="G97" i="27"/>
  <c r="F98" i="27"/>
  <c r="G98" i="27"/>
  <c r="F81" i="27"/>
  <c r="G81" i="27"/>
  <c r="F82" i="27"/>
  <c r="G82" i="27"/>
  <c r="E81" i="27"/>
  <c r="E82" i="27"/>
  <c r="E113" i="27"/>
  <c r="E114" i="27"/>
  <c r="E97" i="27"/>
  <c r="E98" i="27"/>
  <c r="E104" i="27"/>
  <c r="E105" i="27"/>
  <c r="E106" i="27"/>
  <c r="E107" i="27"/>
  <c r="E108" i="27"/>
  <c r="E109" i="27"/>
  <c r="E110" i="27"/>
  <c r="E111" i="27"/>
  <c r="E112" i="27"/>
  <c r="E103" i="27"/>
  <c r="E88" i="27"/>
  <c r="E89" i="27"/>
  <c r="F90" i="27" s="1"/>
  <c r="E90" i="27"/>
  <c r="E91" i="27"/>
  <c r="F91" i="27" s="1"/>
  <c r="E92" i="27"/>
  <c r="F92" i="27" s="1"/>
  <c r="E93" i="27"/>
  <c r="F93" i="27" s="1"/>
  <c r="E94" i="27"/>
  <c r="E95" i="27"/>
  <c r="E96" i="27"/>
  <c r="E87" i="27"/>
  <c r="F78" i="27"/>
  <c r="E72" i="27"/>
  <c r="F72" i="27" s="1"/>
  <c r="E73" i="27"/>
  <c r="E74" i="27"/>
  <c r="F74" i="27" s="1"/>
  <c r="E75" i="27"/>
  <c r="F75" i="27" s="1"/>
  <c r="E76" i="27"/>
  <c r="F76" i="27" s="1"/>
  <c r="E77" i="27"/>
  <c r="E78" i="27"/>
  <c r="E79" i="27"/>
  <c r="F79" i="27" s="1"/>
  <c r="E80" i="27"/>
  <c r="F80" i="27" s="1"/>
  <c r="E71" i="27"/>
  <c r="H66" i="27"/>
  <c r="H65" i="27"/>
  <c r="G56" i="27"/>
  <c r="G57" i="27"/>
  <c r="G58" i="27"/>
  <c r="G59" i="27"/>
  <c r="G60" i="27"/>
  <c r="G61" i="27"/>
  <c r="G62" i="27"/>
  <c r="G63" i="27"/>
  <c r="G64" i="27"/>
  <c r="G55" i="27"/>
  <c r="F96" i="27" l="1"/>
  <c r="F89" i="27"/>
  <c r="F77" i="27"/>
  <c r="I66" i="27"/>
  <c r="F73" i="27"/>
  <c r="F94" i="27"/>
  <c r="F95" i="27"/>
  <c r="F88" i="27"/>
  <c r="H63" i="27"/>
  <c r="I63" i="27" s="1"/>
  <c r="E64" i="27"/>
  <c r="E63" i="27"/>
  <c r="E62" i="27"/>
  <c r="H62" i="27" s="1"/>
  <c r="E61" i="27"/>
  <c r="F62" i="27" s="1"/>
  <c r="E60" i="27"/>
  <c r="H60" i="27" s="1"/>
  <c r="E59" i="27"/>
  <c r="E58" i="27"/>
  <c r="E57" i="27"/>
  <c r="H57" i="27" s="1"/>
  <c r="E56" i="27"/>
  <c r="H56" i="27" s="1"/>
  <c r="E55" i="27"/>
  <c r="H55" i="27" s="1"/>
  <c r="K50" i="27"/>
  <c r="K49" i="27"/>
  <c r="H40" i="27"/>
  <c r="H41" i="27"/>
  <c r="H42" i="27"/>
  <c r="H43" i="27"/>
  <c r="K43" i="27" s="1"/>
  <c r="H44" i="27"/>
  <c r="I44" i="27" s="1"/>
  <c r="H45" i="27"/>
  <c r="H46" i="27"/>
  <c r="H47" i="27"/>
  <c r="H48" i="27"/>
  <c r="H39" i="27"/>
  <c r="E48" i="27"/>
  <c r="E47" i="27"/>
  <c r="E46" i="27"/>
  <c r="E45" i="27"/>
  <c r="E44" i="27"/>
  <c r="E43" i="27"/>
  <c r="E42" i="27"/>
  <c r="E41" i="27"/>
  <c r="E40" i="27"/>
  <c r="E39" i="27"/>
  <c r="J40" i="27"/>
  <c r="K40" i="27" s="1"/>
  <c r="J41" i="27"/>
  <c r="K41" i="27" s="1"/>
  <c r="J42" i="27"/>
  <c r="K42" i="27" s="1"/>
  <c r="J43" i="27"/>
  <c r="J44" i="27"/>
  <c r="J45" i="27"/>
  <c r="J46" i="27"/>
  <c r="J47" i="27"/>
  <c r="J48" i="27"/>
  <c r="K48" i="27" s="1"/>
  <c r="J39" i="27"/>
  <c r="G24" i="27"/>
  <c r="G25" i="27"/>
  <c r="G26" i="27"/>
  <c r="G27" i="27"/>
  <c r="G28" i="27"/>
  <c r="G29" i="27"/>
  <c r="G30" i="27"/>
  <c r="G31" i="27"/>
  <c r="G32" i="27"/>
  <c r="G23" i="27"/>
  <c r="H34" i="27"/>
  <c r="H33" i="27"/>
  <c r="E24" i="27"/>
  <c r="E25" i="27"/>
  <c r="E26" i="27"/>
  <c r="E27" i="27"/>
  <c r="E28" i="27"/>
  <c r="E29" i="27"/>
  <c r="E30" i="27"/>
  <c r="E31" i="27"/>
  <c r="E32" i="27"/>
  <c r="H18" i="27"/>
  <c r="H17" i="27"/>
  <c r="E23" i="27"/>
  <c r="AG7" i="40"/>
  <c r="AH7" i="40"/>
  <c r="AG8" i="40"/>
  <c r="AH8" i="40"/>
  <c r="AG9" i="40"/>
  <c r="AH9" i="40"/>
  <c r="AG10" i="40"/>
  <c r="AH10" i="40"/>
  <c r="AG11" i="40"/>
  <c r="AH11" i="40"/>
  <c r="AG12" i="40"/>
  <c r="AH12" i="40"/>
  <c r="AG13" i="40"/>
  <c r="AH13" i="40"/>
  <c r="AG14" i="40"/>
  <c r="AH14" i="40"/>
  <c r="AG15" i="40"/>
  <c r="AH15" i="40"/>
  <c r="AH6" i="40"/>
  <c r="AG6" i="40"/>
  <c r="AF7" i="40"/>
  <c r="AJ7" i="40" s="1"/>
  <c r="AF11" i="40"/>
  <c r="AJ11" i="40" s="1"/>
  <c r="AF15" i="40"/>
  <c r="AJ15" i="40" s="1"/>
  <c r="AD7" i="40"/>
  <c r="AD8" i="40"/>
  <c r="AF8" i="40" s="1"/>
  <c r="AJ8" i="40" s="1"/>
  <c r="AD9" i="40"/>
  <c r="AF9" i="40" s="1"/>
  <c r="AJ9" i="40" s="1"/>
  <c r="AD10" i="40"/>
  <c r="AF10" i="40" s="1"/>
  <c r="AJ10" i="40" s="1"/>
  <c r="AD11" i="40"/>
  <c r="AD12" i="40"/>
  <c r="AF12" i="40" s="1"/>
  <c r="AJ12" i="40" s="1"/>
  <c r="AD13" i="40"/>
  <c r="AF13" i="40" s="1"/>
  <c r="AJ13" i="40" s="1"/>
  <c r="AD14" i="40"/>
  <c r="AF14" i="40" s="1"/>
  <c r="AJ14" i="40" s="1"/>
  <c r="AD15" i="40"/>
  <c r="AD6" i="40"/>
  <c r="AF6" i="40" s="1"/>
  <c r="AJ6" i="40" s="1"/>
  <c r="AC7" i="40"/>
  <c r="AE7" i="40" s="1"/>
  <c r="AI7" i="40" s="1"/>
  <c r="AK7" i="40" s="1"/>
  <c r="G8" i="27" s="1"/>
  <c r="AC8" i="40"/>
  <c r="AE8" i="40" s="1"/>
  <c r="AI8" i="40" s="1"/>
  <c r="AK8" i="40" s="1"/>
  <c r="G9" i="27" s="1"/>
  <c r="AC9" i="40"/>
  <c r="AE9" i="40" s="1"/>
  <c r="AI9" i="40" s="1"/>
  <c r="AK9" i="40" s="1"/>
  <c r="G10" i="27" s="1"/>
  <c r="AC10" i="40"/>
  <c r="AE10" i="40" s="1"/>
  <c r="AI10" i="40" s="1"/>
  <c r="AC11" i="40"/>
  <c r="AE11" i="40" s="1"/>
  <c r="AI11" i="40" s="1"/>
  <c r="AC12" i="40"/>
  <c r="AE12" i="40" s="1"/>
  <c r="AI12" i="40" s="1"/>
  <c r="AC13" i="40"/>
  <c r="AE13" i="40" s="1"/>
  <c r="AI13" i="40" s="1"/>
  <c r="AC14" i="40"/>
  <c r="AE14" i="40" s="1"/>
  <c r="AI14" i="40" s="1"/>
  <c r="AC15" i="40"/>
  <c r="AE15" i="40" s="1"/>
  <c r="AI15" i="40" s="1"/>
  <c r="AK15" i="40" s="1"/>
  <c r="G16" i="27" s="1"/>
  <c r="AC6" i="40"/>
  <c r="AE6" i="40" s="1"/>
  <c r="AI6" i="40" s="1"/>
  <c r="AK6" i="40" s="1"/>
  <c r="G7" i="27" s="1"/>
  <c r="E8" i="27"/>
  <c r="E9" i="27"/>
  <c r="E10" i="27"/>
  <c r="E11" i="27"/>
  <c r="E12" i="27"/>
  <c r="E13" i="27"/>
  <c r="E14" i="27"/>
  <c r="E15" i="27"/>
  <c r="E16" i="27"/>
  <c r="E7" i="27"/>
  <c r="I57" i="27" l="1"/>
  <c r="F16" i="27"/>
  <c r="K39" i="27"/>
  <c r="K46" i="27"/>
  <c r="F63" i="27"/>
  <c r="H61" i="27"/>
  <c r="I61" i="27" s="1"/>
  <c r="K45" i="27"/>
  <c r="I41" i="27"/>
  <c r="G48" i="27"/>
  <c r="F29" i="27"/>
  <c r="F44" i="27"/>
  <c r="K47" i="27"/>
  <c r="G39" i="27"/>
  <c r="F60" i="27"/>
  <c r="F31" i="27"/>
  <c r="K44" i="27"/>
  <c r="I56" i="27"/>
  <c r="F64" i="27"/>
  <c r="H64" i="27"/>
  <c r="F58" i="27"/>
  <c r="H58" i="27"/>
  <c r="I58" i="27" s="1"/>
  <c r="F26" i="27"/>
  <c r="F59" i="27"/>
  <c r="H59" i="27"/>
  <c r="F61" i="27"/>
  <c r="F56" i="27"/>
  <c r="F57" i="27"/>
  <c r="H27" i="27"/>
  <c r="I40" i="27"/>
  <c r="F10" i="27"/>
  <c r="G46" i="27"/>
  <c r="I48" i="27"/>
  <c r="H32" i="27"/>
  <c r="I33" i="27" s="1"/>
  <c r="H24" i="27"/>
  <c r="I45" i="27"/>
  <c r="G41" i="27"/>
  <c r="G40" i="27"/>
  <c r="G43" i="27"/>
  <c r="G42" i="27"/>
  <c r="F13" i="27"/>
  <c r="I46" i="27"/>
  <c r="I18" i="27"/>
  <c r="H30" i="27"/>
  <c r="G45" i="27"/>
  <c r="I42" i="27"/>
  <c r="I47" i="27"/>
  <c r="G47" i="27"/>
  <c r="G44" i="27"/>
  <c r="H28" i="27"/>
  <c r="H23" i="27"/>
  <c r="H29" i="27"/>
  <c r="I43" i="27"/>
  <c r="F30" i="27"/>
  <c r="H31" i="27"/>
  <c r="H25" i="27"/>
  <c r="L49" i="27"/>
  <c r="F48" i="27"/>
  <c r="F47" i="27"/>
  <c r="F45" i="27"/>
  <c r="F43" i="27"/>
  <c r="F42" i="27"/>
  <c r="F41" i="27"/>
  <c r="F40" i="27"/>
  <c r="F46" i="27"/>
  <c r="H7" i="27"/>
  <c r="H9" i="27"/>
  <c r="F24" i="27"/>
  <c r="F32" i="27"/>
  <c r="F25" i="27"/>
  <c r="F8" i="27"/>
  <c r="F27" i="27"/>
  <c r="H10" i="27"/>
  <c r="F11" i="27"/>
  <c r="F28" i="27"/>
  <c r="H26" i="27"/>
  <c r="L50" i="27"/>
  <c r="I34" i="27"/>
  <c r="AK12" i="40"/>
  <c r="G13" i="27" s="1"/>
  <c r="H13" i="27" s="1"/>
  <c r="AK14" i="40"/>
  <c r="G15" i="27" s="1"/>
  <c r="H15" i="27" s="1"/>
  <c r="AK13" i="40"/>
  <c r="G14" i="27" s="1"/>
  <c r="H14" i="27" s="1"/>
  <c r="AK11" i="40"/>
  <c r="G12" i="27" s="1"/>
  <c r="H12" i="27" s="1"/>
  <c r="AK10" i="40"/>
  <c r="G11" i="27" s="1"/>
  <c r="H11" i="27" s="1"/>
  <c r="H16" i="27"/>
  <c r="H8" i="27"/>
  <c r="F12" i="27"/>
  <c r="F15" i="27"/>
  <c r="F9" i="27"/>
  <c r="F14" i="27"/>
  <c r="F25" i="35"/>
  <c r="G25" i="35"/>
  <c r="F26" i="35"/>
  <c r="G26" i="35"/>
  <c r="F27" i="35"/>
  <c r="G27" i="35"/>
  <c r="F28" i="35"/>
  <c r="G28" i="35"/>
  <c r="F29" i="35"/>
  <c r="G29" i="35"/>
  <c r="F30" i="35"/>
  <c r="G30" i="35"/>
  <c r="F31" i="35"/>
  <c r="G31" i="35"/>
  <c r="F32" i="35"/>
  <c r="G32" i="35"/>
  <c r="F33" i="35"/>
  <c r="G33" i="35"/>
  <c r="G24" i="35"/>
  <c r="F24" i="35"/>
  <c r="I24" i="27" l="1"/>
  <c r="I62" i="27"/>
  <c r="I28" i="27"/>
  <c r="I10" i="27"/>
  <c r="I59" i="27"/>
  <c r="I31" i="27"/>
  <c r="I64" i="27"/>
  <c r="I65" i="27"/>
  <c r="I60" i="27"/>
  <c r="I32" i="27"/>
  <c r="L48" i="27"/>
  <c r="L44" i="27"/>
  <c r="I26" i="27"/>
  <c r="I25" i="27"/>
  <c r="L40" i="27"/>
  <c r="L43" i="27"/>
  <c r="I29" i="27"/>
  <c r="I30" i="27"/>
  <c r="I11" i="27"/>
  <c r="I27" i="27"/>
  <c r="L45" i="27"/>
  <c r="L42" i="27"/>
  <c r="L41" i="27"/>
  <c r="L46" i="27"/>
  <c r="I15" i="27"/>
  <c r="I8" i="27"/>
  <c r="L47" i="27"/>
  <c r="I12" i="27"/>
  <c r="I14" i="27"/>
  <c r="I9" i="27"/>
  <c r="I17" i="27"/>
  <c r="I16" i="27"/>
  <c r="I13" i="27"/>
  <c r="F55" i="35"/>
  <c r="G54" i="35"/>
  <c r="F54" i="35"/>
  <c r="E54" i="35"/>
  <c r="M60" i="39" l="1"/>
  <c r="I60" i="39"/>
  <c r="G60" i="39"/>
  <c r="M51" i="39"/>
  <c r="K51" i="39"/>
  <c r="I51" i="39"/>
  <c r="G51" i="39"/>
  <c r="M35" i="39"/>
  <c r="K35" i="39"/>
  <c r="I35" i="39"/>
  <c r="G35" i="39"/>
  <c r="M27" i="39"/>
  <c r="K27" i="39"/>
  <c r="I27" i="39"/>
  <c r="G27" i="39"/>
  <c r="Y33" i="40" l="1"/>
  <c r="Y35" i="40" s="1"/>
  <c r="Y36" i="40" s="1"/>
  <c r="X33" i="40"/>
  <c r="W33" i="40"/>
  <c r="V33" i="40"/>
  <c r="U33" i="40"/>
  <c r="T33" i="40"/>
  <c r="S33" i="40"/>
  <c r="R33" i="40"/>
  <c r="Q33" i="40"/>
  <c r="P33" i="40"/>
  <c r="O33" i="40"/>
  <c r="N33" i="40"/>
  <c r="M33" i="40"/>
  <c r="L33" i="40"/>
  <c r="K33" i="40"/>
  <c r="J33" i="40"/>
  <c r="I33" i="40"/>
  <c r="H33" i="40"/>
  <c r="G33" i="40"/>
  <c r="F33" i="40"/>
  <c r="E33" i="40"/>
  <c r="D33" i="40"/>
  <c r="C33" i="40"/>
  <c r="B33" i="40"/>
  <c r="Y22" i="40"/>
  <c r="Y23" i="40"/>
  <c r="Y24" i="40"/>
  <c r="Y25" i="40"/>
  <c r="Y26" i="40"/>
  <c r="Y27" i="40"/>
  <c r="Y28" i="40"/>
  <c r="Y29" i="40"/>
  <c r="Y30" i="40"/>
  <c r="Y31" i="40"/>
  <c r="Y32" i="40"/>
  <c r="Y21" i="40"/>
  <c r="X22" i="40"/>
  <c r="X23" i="40"/>
  <c r="X24" i="40"/>
  <c r="X25" i="40"/>
  <c r="X26" i="40"/>
  <c r="X27" i="40"/>
  <c r="X28" i="40"/>
  <c r="X29" i="40"/>
  <c r="X30" i="40"/>
  <c r="X31" i="40"/>
  <c r="X32" i="40"/>
  <c r="X21" i="40"/>
  <c r="C16" i="40"/>
  <c r="D16" i="40"/>
  <c r="E16" i="40"/>
  <c r="F16" i="40"/>
  <c r="G16" i="40"/>
  <c r="H16" i="40"/>
  <c r="I16" i="40"/>
  <c r="J16" i="40"/>
  <c r="K16" i="40"/>
  <c r="L16" i="40"/>
  <c r="M16" i="40"/>
  <c r="N16" i="40"/>
  <c r="O16" i="40"/>
  <c r="P16" i="40"/>
  <c r="Q16" i="40"/>
  <c r="R16" i="40"/>
  <c r="S16" i="40"/>
  <c r="T16" i="40"/>
  <c r="U16" i="40"/>
  <c r="V16" i="40"/>
  <c r="W16" i="40"/>
  <c r="X16" i="40"/>
  <c r="Y16" i="40"/>
  <c r="B16" i="40"/>
  <c r="Y5" i="40"/>
  <c r="Y6" i="40"/>
  <c r="Y7" i="40"/>
  <c r="Y8" i="40"/>
  <c r="Y9" i="40"/>
  <c r="Y10" i="40"/>
  <c r="Y11" i="40"/>
  <c r="Y12" i="40"/>
  <c r="Y13" i="40"/>
  <c r="Y14" i="40"/>
  <c r="Y15" i="40"/>
  <c r="Y4" i="40"/>
  <c r="X5" i="40"/>
  <c r="X6" i="40"/>
  <c r="X7" i="40"/>
  <c r="X8" i="40"/>
  <c r="X9" i="40"/>
  <c r="X10" i="40"/>
  <c r="X11" i="40"/>
  <c r="X12" i="40"/>
  <c r="X13" i="40"/>
  <c r="X14" i="40"/>
  <c r="X15" i="40"/>
  <c r="X4" i="40"/>
  <c r="M66" i="39" l="1"/>
  <c r="K66" i="39"/>
  <c r="I66" i="39"/>
  <c r="G66" i="39"/>
  <c r="G19" i="32" l="1"/>
  <c r="F19" i="32"/>
  <c r="E19" i="32"/>
  <c r="D19" i="32"/>
  <c r="C22" i="37" l="1"/>
  <c r="D22" i="37"/>
  <c r="E22" i="37"/>
  <c r="F22" i="37"/>
  <c r="G22" i="37"/>
  <c r="H22" i="37"/>
  <c r="I22" i="37"/>
  <c r="J22" i="37"/>
  <c r="B22" i="37"/>
  <c r="O59" i="39" l="1"/>
  <c r="O58" i="39"/>
  <c r="O57" i="39"/>
  <c r="O50" i="39"/>
  <c r="O49" i="39"/>
  <c r="O48" i="39"/>
  <c r="O41" i="39"/>
  <c r="O40" i="39"/>
  <c r="O34" i="39"/>
  <c r="O33" i="39"/>
  <c r="O32" i="39"/>
  <c r="O26" i="39"/>
  <c r="O25" i="39"/>
  <c r="O24" i="39"/>
  <c r="O9" i="39"/>
  <c r="O8" i="39"/>
  <c r="M59" i="39"/>
  <c r="M58" i="39"/>
  <c r="M57" i="39"/>
  <c r="M50" i="39"/>
  <c r="M49" i="39"/>
  <c r="M48" i="39"/>
  <c r="M41" i="39"/>
  <c r="M40" i="39"/>
  <c r="M34" i="39"/>
  <c r="M33" i="39"/>
  <c r="M32" i="39"/>
  <c r="M26" i="39"/>
  <c r="M25" i="39"/>
  <c r="M24" i="39"/>
  <c r="M9" i="39"/>
  <c r="M8" i="39"/>
  <c r="K59" i="39"/>
  <c r="K58" i="39"/>
  <c r="K57" i="39"/>
  <c r="K50" i="39"/>
  <c r="K49" i="39"/>
  <c r="K48" i="39"/>
  <c r="K41" i="39"/>
  <c r="K40" i="39"/>
  <c r="K34" i="39"/>
  <c r="K33" i="39"/>
  <c r="K32" i="39"/>
  <c r="K26" i="39"/>
  <c r="K25" i="39"/>
  <c r="K24" i="39"/>
  <c r="K9" i="39"/>
  <c r="K8" i="39"/>
  <c r="I59" i="39"/>
  <c r="I58" i="39"/>
  <c r="I57" i="39"/>
  <c r="I50" i="39"/>
  <c r="I49" i="39"/>
  <c r="I48" i="39"/>
  <c r="I41" i="39"/>
  <c r="I40" i="39"/>
  <c r="I34" i="39"/>
  <c r="I33" i="39"/>
  <c r="I32" i="39"/>
  <c r="I26" i="39"/>
  <c r="I25" i="39"/>
  <c r="I24" i="39"/>
  <c r="I9" i="39"/>
  <c r="I8" i="39"/>
  <c r="G59" i="39"/>
  <c r="G58" i="39"/>
  <c r="G57" i="39"/>
  <c r="G48" i="39"/>
  <c r="G50" i="39"/>
  <c r="G49" i="39"/>
  <c r="G41" i="39"/>
  <c r="G40" i="39"/>
  <c r="G34" i="39"/>
  <c r="G33" i="39"/>
  <c r="G32" i="39"/>
  <c r="G26" i="39"/>
  <c r="G25" i="39"/>
  <c r="G24" i="39"/>
  <c r="G9" i="39"/>
  <c r="G8" i="39"/>
  <c r="E59" i="39"/>
  <c r="F59" i="39" s="1"/>
  <c r="E58" i="39"/>
  <c r="F58" i="39" s="1"/>
  <c r="E57" i="39"/>
  <c r="E50" i="39"/>
  <c r="F50" i="39" s="1"/>
  <c r="E49" i="39"/>
  <c r="E48" i="39"/>
  <c r="E41" i="39"/>
  <c r="F41" i="39" s="1"/>
  <c r="E40" i="39"/>
  <c r="E34" i="39"/>
  <c r="F34" i="39" s="1"/>
  <c r="E33" i="39"/>
  <c r="F33" i="39" s="1"/>
  <c r="E32" i="39"/>
  <c r="E26" i="39"/>
  <c r="F26" i="39" s="1"/>
  <c r="E25" i="39"/>
  <c r="F25" i="39" s="1"/>
  <c r="E24" i="39"/>
  <c r="E9" i="39"/>
  <c r="F9" i="39" s="1"/>
  <c r="E8" i="39"/>
  <c r="F8" i="39" s="1"/>
  <c r="F54" i="39"/>
  <c r="F49" i="39"/>
  <c r="F45" i="39"/>
  <c r="F37" i="39"/>
  <c r="F29" i="39"/>
  <c r="F21" i="39"/>
  <c r="E55" i="39"/>
  <c r="E54" i="39"/>
  <c r="E46" i="39"/>
  <c r="E51" i="39" s="1"/>
  <c r="E45" i="39"/>
  <c r="E38" i="39"/>
  <c r="F38" i="39" s="1"/>
  <c r="E37" i="39"/>
  <c r="E30" i="39"/>
  <c r="E29" i="39"/>
  <c r="E22" i="39"/>
  <c r="E27" i="39" s="1"/>
  <c r="E21" i="39"/>
  <c r="E6" i="39"/>
  <c r="E5" i="39"/>
  <c r="F46" i="39" l="1"/>
  <c r="F55" i="39"/>
  <c r="E60" i="39"/>
  <c r="F30" i="39"/>
  <c r="E35" i="39"/>
  <c r="F22" i="39"/>
  <c r="D59" i="39"/>
  <c r="D58" i="39"/>
  <c r="D57" i="39"/>
  <c r="D41" i="39"/>
  <c r="D40" i="39"/>
  <c r="F40" i="39" s="1"/>
  <c r="D50" i="39"/>
  <c r="D49" i="39"/>
  <c r="D48" i="39"/>
  <c r="D34" i="39"/>
  <c r="D33" i="39"/>
  <c r="D32" i="39"/>
  <c r="D26" i="39"/>
  <c r="D25" i="39"/>
  <c r="D24" i="39"/>
  <c r="D27" i="39" s="1"/>
  <c r="D9" i="39"/>
  <c r="D8" i="39"/>
  <c r="F24" i="39" l="1"/>
  <c r="F48" i="39"/>
  <c r="D51" i="39"/>
  <c r="F32" i="39"/>
  <c r="D35" i="39"/>
  <c r="F57" i="39"/>
  <c r="D60" i="39"/>
  <c r="E15" i="32"/>
  <c r="F15" i="32"/>
  <c r="G15" i="32"/>
  <c r="D15" i="32"/>
  <c r="D100" i="21"/>
  <c r="J50" i="16" l="1"/>
  <c r="J51" i="16"/>
  <c r="J52" i="16"/>
  <c r="J53" i="16"/>
  <c r="J54" i="16"/>
  <c r="J55" i="16"/>
  <c r="J56" i="16"/>
  <c r="J57" i="16"/>
  <c r="J58" i="16"/>
  <c r="J59" i="16"/>
  <c r="J60" i="16"/>
  <c r="J49" i="16"/>
  <c r="J34" i="16" l="1"/>
  <c r="J35" i="16"/>
  <c r="J36" i="16"/>
  <c r="J37" i="16"/>
  <c r="J38" i="16"/>
  <c r="J39" i="16"/>
  <c r="J40" i="16"/>
  <c r="J41" i="16"/>
  <c r="J42" i="16"/>
  <c r="J43" i="16"/>
  <c r="J44" i="16"/>
  <c r="J33" i="16"/>
  <c r="K102" i="21" l="1"/>
  <c r="K101" i="21"/>
  <c r="K100" i="21"/>
  <c r="K99" i="21"/>
  <c r="K98" i="21"/>
  <c r="K97" i="21"/>
  <c r="K96" i="21"/>
  <c r="K95" i="21"/>
  <c r="K94" i="21"/>
  <c r="K93" i="21"/>
  <c r="K92" i="21"/>
  <c r="K91" i="21"/>
  <c r="K81" i="21"/>
  <c r="K80" i="21"/>
  <c r="K79" i="21"/>
  <c r="K78" i="21"/>
  <c r="K77" i="21"/>
  <c r="K76" i="21"/>
  <c r="K75" i="21"/>
  <c r="K74" i="21"/>
  <c r="K73" i="21"/>
  <c r="K72" i="21"/>
  <c r="K71" i="21"/>
  <c r="K70" i="21"/>
  <c r="K59" i="21"/>
  <c r="K58" i="21"/>
  <c r="K57" i="21"/>
  <c r="K56" i="21"/>
  <c r="K55" i="21"/>
  <c r="K54" i="21"/>
  <c r="K53" i="21"/>
  <c r="K52" i="21"/>
  <c r="K51" i="21"/>
  <c r="K50" i="21"/>
  <c r="K49" i="21"/>
  <c r="K48" i="21"/>
  <c r="K38" i="21"/>
  <c r="K37" i="21"/>
  <c r="K36" i="21"/>
  <c r="K35" i="21"/>
  <c r="K34" i="21"/>
  <c r="K33" i="21"/>
  <c r="K32" i="21"/>
  <c r="K31" i="21"/>
  <c r="K30" i="21"/>
  <c r="K29" i="21"/>
  <c r="K28" i="21"/>
  <c r="K27" i="21"/>
  <c r="H59" i="39" l="1"/>
  <c r="H58" i="39"/>
  <c r="H57" i="39"/>
  <c r="H55" i="39"/>
  <c r="H54" i="39"/>
  <c r="H50" i="39"/>
  <c r="H49" i="39"/>
  <c r="H48" i="39"/>
  <c r="H46" i="39"/>
  <c r="H45" i="39"/>
  <c r="H41" i="39"/>
  <c r="H40" i="39"/>
  <c r="H38" i="39"/>
  <c r="H37" i="39"/>
  <c r="H34" i="39"/>
  <c r="H33" i="39"/>
  <c r="H32" i="39"/>
  <c r="H30" i="39"/>
  <c r="H29" i="39"/>
  <c r="H26" i="39"/>
  <c r="H25" i="39"/>
  <c r="H24" i="39"/>
  <c r="H22" i="39"/>
  <c r="H21" i="39"/>
  <c r="H9" i="39"/>
  <c r="H8" i="39"/>
  <c r="H6" i="39"/>
  <c r="H5" i="39"/>
  <c r="J59" i="39"/>
  <c r="J58" i="39"/>
  <c r="J57" i="39"/>
  <c r="J55" i="39"/>
  <c r="J54" i="39"/>
  <c r="J50" i="39"/>
  <c r="J49" i="39"/>
  <c r="J48" i="39"/>
  <c r="J46" i="39"/>
  <c r="J45" i="39"/>
  <c r="J41" i="39"/>
  <c r="J40" i="39"/>
  <c r="J38" i="39"/>
  <c r="J37" i="39"/>
  <c r="J34" i="39"/>
  <c r="J33" i="39"/>
  <c r="J32" i="39"/>
  <c r="J30" i="39"/>
  <c r="J29" i="39"/>
  <c r="J26" i="39"/>
  <c r="J25" i="39"/>
  <c r="J24" i="39"/>
  <c r="J22" i="39"/>
  <c r="J21" i="39"/>
  <c r="J9" i="39"/>
  <c r="J8" i="39"/>
  <c r="J6" i="39"/>
  <c r="J5" i="39"/>
  <c r="G64" i="39"/>
  <c r="G63" i="39"/>
  <c r="G42" i="39"/>
  <c r="G10" i="39"/>
  <c r="B43" i="35"/>
  <c r="I46" i="41"/>
  <c r="J46" i="41"/>
  <c r="K46" i="41"/>
  <c r="L46" i="41"/>
  <c r="M46" i="41"/>
  <c r="N46" i="41"/>
  <c r="G60" i="41"/>
  <c r="H60" i="41"/>
  <c r="I60" i="41"/>
  <c r="J60" i="41"/>
  <c r="K60" i="41"/>
  <c r="L60" i="41"/>
  <c r="M60" i="41"/>
  <c r="N60" i="41"/>
  <c r="O60" i="41"/>
  <c r="I47" i="41"/>
  <c r="J47" i="41"/>
  <c r="K47" i="41"/>
  <c r="L47" i="41"/>
  <c r="M47" i="41"/>
  <c r="N47" i="41"/>
  <c r="G61" i="41"/>
  <c r="H61" i="41"/>
  <c r="I61" i="41"/>
  <c r="J61" i="41"/>
  <c r="K61" i="41"/>
  <c r="L61" i="41"/>
  <c r="M61" i="41"/>
  <c r="N61" i="41"/>
  <c r="O61" i="41"/>
  <c r="I48" i="41"/>
  <c r="J48" i="41"/>
  <c r="K48" i="41"/>
  <c r="L48" i="41"/>
  <c r="M48" i="41"/>
  <c r="N48" i="41"/>
  <c r="G62" i="41"/>
  <c r="H62" i="41"/>
  <c r="I62" i="41"/>
  <c r="J62" i="41"/>
  <c r="K62" i="41"/>
  <c r="L62" i="41"/>
  <c r="M62" i="41"/>
  <c r="N62" i="41"/>
  <c r="O62" i="41"/>
  <c r="I49" i="41"/>
  <c r="J49" i="41"/>
  <c r="K49" i="41"/>
  <c r="L49" i="41"/>
  <c r="M49" i="41"/>
  <c r="N49" i="41"/>
  <c r="G63" i="41"/>
  <c r="H63" i="41"/>
  <c r="I63" i="41"/>
  <c r="J63" i="41"/>
  <c r="K63" i="41"/>
  <c r="L63" i="41"/>
  <c r="M63" i="41"/>
  <c r="N63" i="41"/>
  <c r="O63" i="41"/>
  <c r="I50" i="41"/>
  <c r="J50" i="41"/>
  <c r="K50" i="41"/>
  <c r="L50" i="41"/>
  <c r="M50" i="41"/>
  <c r="N50" i="41"/>
  <c r="G64" i="41"/>
  <c r="H64" i="41"/>
  <c r="I64" i="41"/>
  <c r="J64" i="41"/>
  <c r="K64" i="41"/>
  <c r="L64" i="41"/>
  <c r="M64" i="41"/>
  <c r="N64" i="41"/>
  <c r="O64" i="41"/>
  <c r="I51" i="41"/>
  <c r="J51" i="41"/>
  <c r="K51" i="41"/>
  <c r="L51" i="41"/>
  <c r="M51" i="41"/>
  <c r="N51" i="41"/>
  <c r="G65" i="41"/>
  <c r="H65" i="41"/>
  <c r="I65" i="41"/>
  <c r="J65" i="41"/>
  <c r="K65" i="41"/>
  <c r="L65" i="41"/>
  <c r="M65" i="41"/>
  <c r="N65" i="41"/>
  <c r="O65" i="41"/>
  <c r="I52" i="41"/>
  <c r="J52" i="41"/>
  <c r="K52" i="41"/>
  <c r="L52" i="41"/>
  <c r="M52" i="41"/>
  <c r="N52" i="41"/>
  <c r="G66" i="41"/>
  <c r="H66" i="41"/>
  <c r="I66" i="41"/>
  <c r="J66" i="41"/>
  <c r="K66" i="41"/>
  <c r="L66" i="41"/>
  <c r="M66" i="41"/>
  <c r="N66" i="41"/>
  <c r="O66" i="41"/>
  <c r="I53" i="41"/>
  <c r="J53" i="41"/>
  <c r="K53" i="41"/>
  <c r="L53" i="41"/>
  <c r="M53" i="41"/>
  <c r="N53" i="41"/>
  <c r="G67" i="41"/>
  <c r="H67" i="41"/>
  <c r="I67" i="41"/>
  <c r="J67" i="41"/>
  <c r="K67" i="41"/>
  <c r="L67" i="41"/>
  <c r="M67" i="41"/>
  <c r="N67" i="41"/>
  <c r="O67" i="41"/>
  <c r="I54" i="41"/>
  <c r="J54" i="41"/>
  <c r="K54" i="41"/>
  <c r="L54" i="41"/>
  <c r="M54" i="41"/>
  <c r="N54" i="41"/>
  <c r="G68" i="41"/>
  <c r="H68" i="41"/>
  <c r="I68" i="41"/>
  <c r="J68" i="41"/>
  <c r="K68" i="41"/>
  <c r="L68" i="41"/>
  <c r="M68" i="41"/>
  <c r="N68" i="41"/>
  <c r="O68" i="41"/>
  <c r="I55" i="41"/>
  <c r="J55" i="41"/>
  <c r="K55" i="41"/>
  <c r="L55" i="41"/>
  <c r="M55" i="41"/>
  <c r="N55" i="41"/>
  <c r="G69" i="41"/>
  <c r="H69" i="41"/>
  <c r="I69" i="41"/>
  <c r="J69" i="41"/>
  <c r="K69" i="41"/>
  <c r="L69" i="41"/>
  <c r="M69" i="41"/>
  <c r="N69" i="41"/>
  <c r="O69" i="41"/>
  <c r="I56" i="41"/>
  <c r="J56" i="41"/>
  <c r="K56" i="41"/>
  <c r="L56" i="41"/>
  <c r="M56" i="41"/>
  <c r="N56" i="41"/>
  <c r="G70" i="41"/>
  <c r="H70" i="41"/>
  <c r="I70" i="41"/>
  <c r="J70" i="41"/>
  <c r="K70" i="41"/>
  <c r="L70" i="41"/>
  <c r="M70" i="41"/>
  <c r="N70" i="41"/>
  <c r="O70" i="41"/>
  <c r="O59" i="41"/>
  <c r="N59" i="41"/>
  <c r="M59" i="41"/>
  <c r="L59" i="41"/>
  <c r="K59" i="41"/>
  <c r="J59" i="41"/>
  <c r="I59" i="41"/>
  <c r="H59" i="41"/>
  <c r="G59" i="41"/>
  <c r="N45" i="41"/>
  <c r="M45" i="41"/>
  <c r="L45" i="41"/>
  <c r="K45" i="41"/>
  <c r="J45" i="41"/>
  <c r="I45" i="41"/>
  <c r="H46" i="41"/>
  <c r="H47" i="41"/>
  <c r="H48" i="41"/>
  <c r="H49" i="41"/>
  <c r="H50" i="41"/>
  <c r="H51" i="41"/>
  <c r="H52" i="41"/>
  <c r="H53" i="41"/>
  <c r="H54" i="41"/>
  <c r="H55" i="41"/>
  <c r="H56" i="41"/>
  <c r="H45" i="41"/>
  <c r="G55" i="41"/>
  <c r="G56" i="41"/>
  <c r="G46" i="41"/>
  <c r="G47" i="41"/>
  <c r="G48" i="41"/>
  <c r="G49" i="41"/>
  <c r="G50" i="41"/>
  <c r="G51" i="41"/>
  <c r="G52" i="41"/>
  <c r="G53" i="41"/>
  <c r="G54" i="41"/>
  <c r="G45" i="41"/>
  <c r="G53" i="35"/>
  <c r="L71" i="37"/>
  <c r="L70" i="37"/>
  <c r="L69" i="37"/>
  <c r="L68" i="37"/>
  <c r="L67" i="37"/>
  <c r="L66" i="37"/>
  <c r="L65" i="37"/>
  <c r="L64" i="37"/>
  <c r="L63" i="37"/>
  <c r="L62" i="37"/>
  <c r="L61" i="37"/>
  <c r="L60" i="37"/>
  <c r="L72" i="37" s="1"/>
  <c r="L53" i="37"/>
  <c r="L52" i="37"/>
  <c r="L51" i="37"/>
  <c r="L50" i="37"/>
  <c r="L49" i="37"/>
  <c r="L48" i="37"/>
  <c r="L47" i="37"/>
  <c r="L46" i="37"/>
  <c r="L45" i="37"/>
  <c r="L44" i="37"/>
  <c r="L43" i="37"/>
  <c r="L42" i="37"/>
  <c r="L54" i="37" s="1"/>
  <c r="L37" i="37"/>
  <c r="K37" i="37"/>
  <c r="J37" i="37"/>
  <c r="I37" i="37"/>
  <c r="H37" i="37"/>
  <c r="G37" i="37"/>
  <c r="F37" i="37"/>
  <c r="E37" i="37"/>
  <c r="D37" i="37"/>
  <c r="C37" i="37"/>
  <c r="B37" i="37"/>
  <c r="L26" i="37"/>
  <c r="L27" i="37"/>
  <c r="L28" i="37"/>
  <c r="L29" i="37"/>
  <c r="L30" i="37"/>
  <c r="L31" i="37"/>
  <c r="L32" i="37"/>
  <c r="L33" i="37"/>
  <c r="L34" i="37"/>
  <c r="L35" i="37"/>
  <c r="L36" i="37"/>
  <c r="L25" i="37"/>
  <c r="C24" i="37"/>
  <c r="D24" i="37"/>
  <c r="E24" i="37"/>
  <c r="F24" i="37"/>
  <c r="G24" i="37"/>
  <c r="H24" i="37"/>
  <c r="I24" i="37"/>
  <c r="J24" i="37"/>
  <c r="K24" i="37"/>
  <c r="B24" i="37"/>
  <c r="K2" i="37"/>
  <c r="J2" i="37"/>
  <c r="I2" i="37"/>
  <c r="H2" i="37"/>
  <c r="G2" i="37"/>
  <c r="F2" i="37"/>
  <c r="E2" i="37"/>
  <c r="D2" i="37"/>
  <c r="C2" i="37"/>
  <c r="B2" i="37"/>
  <c r="B3" i="37"/>
  <c r="C4" i="37"/>
  <c r="C5" i="37"/>
  <c r="C6" i="37"/>
  <c r="C7" i="37"/>
  <c r="C8" i="37"/>
  <c r="C9" i="37"/>
  <c r="C10" i="37"/>
  <c r="C11" i="37"/>
  <c r="C12" i="37"/>
  <c r="C13" i="37"/>
  <c r="C14" i="37"/>
  <c r="C3" i="37"/>
  <c r="D14" i="32"/>
  <c r="D21" i="32"/>
  <c r="D7" i="32"/>
  <c r="D4" i="32"/>
  <c r="E4" i="32"/>
  <c r="F4" i="32"/>
  <c r="G4" i="32"/>
  <c r="H4" i="32"/>
  <c r="I4" i="32"/>
  <c r="A111" i="21"/>
  <c r="A110" i="21"/>
  <c r="A55" i="21"/>
  <c r="A54" i="21"/>
  <c r="A27" i="21"/>
  <c r="A26" i="21"/>
  <c r="D101" i="16"/>
  <c r="E100" i="16" l="1"/>
  <c r="F100" i="16"/>
  <c r="G100" i="16"/>
  <c r="H100" i="16"/>
  <c r="I100" i="16"/>
  <c r="J100" i="16"/>
  <c r="K100" i="16"/>
  <c r="L100" i="16"/>
  <c r="M100" i="16"/>
  <c r="D100" i="16"/>
  <c r="D64" i="16"/>
  <c r="M64" i="16"/>
  <c r="L64" i="16"/>
  <c r="K64" i="16"/>
  <c r="J64" i="16"/>
  <c r="I64" i="16"/>
  <c r="H64" i="16"/>
  <c r="G64" i="16"/>
  <c r="F64" i="16"/>
  <c r="E64" i="16"/>
  <c r="E48" i="16"/>
  <c r="F48" i="16"/>
  <c r="G48" i="16"/>
  <c r="H48" i="16"/>
  <c r="I48" i="16"/>
  <c r="J48" i="16"/>
  <c r="K48" i="16"/>
  <c r="L48" i="16"/>
  <c r="M48" i="16"/>
  <c r="D48" i="16"/>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G125" i="7"/>
  <c r="G126" i="7"/>
  <c r="G127" i="7"/>
  <c r="G128" i="7"/>
  <c r="G129" i="7"/>
  <c r="G130" i="7"/>
  <c r="G131" i="7"/>
  <c r="G132" i="7"/>
  <c r="G133" i="7"/>
  <c r="G145" i="7" s="1"/>
  <c r="G134" i="7"/>
  <c r="G135" i="7"/>
  <c r="G147" i="7" s="1"/>
  <c r="G136" i="7"/>
  <c r="G137" i="7"/>
  <c r="G138" i="7"/>
  <c r="G139" i="7"/>
  <c r="G140" i="7"/>
  <c r="G141" i="7"/>
  <c r="C141" i="7" s="1"/>
  <c r="G142" i="7"/>
  <c r="G143" i="7"/>
  <c r="G144" i="7"/>
  <c r="G146" i="7"/>
  <c r="G124" i="7"/>
  <c r="F124" i="7"/>
  <c r="F125" i="7"/>
  <c r="F126" i="7"/>
  <c r="C126" i="7" s="1"/>
  <c r="F127" i="7"/>
  <c r="F128" i="7"/>
  <c r="F140" i="7" s="1"/>
  <c r="F129" i="7"/>
  <c r="F130" i="7"/>
  <c r="F131" i="7"/>
  <c r="F132" i="7"/>
  <c r="F133" i="7"/>
  <c r="F145" i="7" s="1"/>
  <c r="F134" i="7"/>
  <c r="F135" i="7"/>
  <c r="F136" i="7"/>
  <c r="F137" i="7"/>
  <c r="F138" i="7"/>
  <c r="C138" i="7" s="1"/>
  <c r="F139" i="7"/>
  <c r="F141" i="7"/>
  <c r="F142" i="7"/>
  <c r="F143" i="7"/>
  <c r="F144" i="7"/>
  <c r="F146" i="7"/>
  <c r="F147" i="7"/>
  <c r="E124" i="7"/>
  <c r="E136" i="7" s="1"/>
  <c r="E125" i="7"/>
  <c r="E126" i="7"/>
  <c r="E127" i="7"/>
  <c r="E128" i="7"/>
  <c r="E129" i="7"/>
  <c r="E130" i="7"/>
  <c r="E131" i="7"/>
  <c r="E143" i="7" s="1"/>
  <c r="E132" i="7"/>
  <c r="E133" i="7"/>
  <c r="E134" i="7"/>
  <c r="E146" i="7" s="1"/>
  <c r="E135" i="7"/>
  <c r="E147" i="7" s="1"/>
  <c r="E137" i="7"/>
  <c r="C137" i="7" s="1"/>
  <c r="E138" i="7"/>
  <c r="E139" i="7"/>
  <c r="E141" i="7"/>
  <c r="E142" i="7"/>
  <c r="E144" i="7"/>
  <c r="E145" i="7"/>
  <c r="D124" i="7"/>
  <c r="D125" i="7"/>
  <c r="D126" i="7"/>
  <c r="D127" i="7"/>
  <c r="D128" i="7"/>
  <c r="D129" i="7"/>
  <c r="D130" i="7"/>
  <c r="D131" i="7"/>
  <c r="C131" i="7" s="1"/>
  <c r="D132" i="7"/>
  <c r="D133" i="7"/>
  <c r="D134" i="7"/>
  <c r="D135" i="7"/>
  <c r="D136" i="7"/>
  <c r="D137" i="7"/>
  <c r="D138" i="7"/>
  <c r="D139" i="7"/>
  <c r="D140" i="7"/>
  <c r="D141" i="7"/>
  <c r="D142" i="7"/>
  <c r="D143" i="7"/>
  <c r="D144" i="7"/>
  <c r="C144" i="7" s="1"/>
  <c r="D145" i="7"/>
  <c r="D146" i="7"/>
  <c r="C142" i="7"/>
  <c r="C130" i="7"/>
  <c r="C129" i="7"/>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L32" i="16"/>
  <c r="K32" i="16"/>
  <c r="J32" i="16"/>
  <c r="I32" i="16"/>
  <c r="H32" i="16"/>
  <c r="G32" i="16"/>
  <c r="F32" i="16"/>
  <c r="E32" i="16"/>
  <c r="D32" i="16"/>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C125" i="7" l="1"/>
  <c r="C132" i="7"/>
  <c r="C127" i="7"/>
  <c r="C139" i="7"/>
  <c r="C134" i="7"/>
  <c r="C145" i="7"/>
  <c r="C133" i="7"/>
  <c r="C128" i="7"/>
  <c r="C124" i="7"/>
  <c r="C136" i="7"/>
  <c r="E140" i="7"/>
  <c r="C140" i="7" s="1"/>
  <c r="C135" i="7"/>
  <c r="C146" i="7"/>
  <c r="C143" i="7"/>
  <c r="D147" i="7"/>
  <c r="C147" i="7" s="1"/>
  <c r="D31" i="41"/>
  <c r="E31" i="41" s="1"/>
  <c r="F31" i="41" s="1"/>
  <c r="D36" i="41"/>
  <c r="E36" i="41" s="1"/>
  <c r="F36" i="41" s="1"/>
  <c r="F37" i="41"/>
  <c r="D37" i="41"/>
  <c r="E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c r="D40" i="41"/>
  <c r="E40" i="41" s="1"/>
  <c r="F40" i="41" s="1"/>
  <c r="F33" i="41"/>
  <c r="D33" i="41"/>
  <c r="E33" i="41" s="1"/>
  <c r="D29" i="41"/>
  <c r="E29" i="41" s="1"/>
  <c r="F29" i="41" s="1"/>
  <c r="D34" i="41"/>
  <c r="E34" i="41" s="1"/>
  <c r="F34" i="41" s="1"/>
  <c r="K40" i="41" l="1"/>
  <c r="K32" i="41"/>
  <c r="K31" i="41"/>
  <c r="K25" i="41"/>
  <c r="K39" i="41"/>
  <c r="K36" i="41"/>
  <c r="K27" i="41"/>
  <c r="K38" i="41"/>
  <c r="K34" i="41"/>
  <c r="K30" i="41"/>
  <c r="K29" i="41"/>
  <c r="K26" i="41"/>
  <c r="K24" i="41"/>
  <c r="G24" i="41"/>
  <c r="H24" i="41" s="1"/>
  <c r="C45" i="41" s="1"/>
  <c r="K33" i="41"/>
  <c r="K28" i="41"/>
  <c r="K37" i="41"/>
  <c r="K35" i="41"/>
  <c r="C46" i="41" l="1"/>
  <c r="C47" i="41" s="1"/>
  <c r="C48" i="41" s="1"/>
  <c r="C49" i="41" s="1"/>
  <c r="C50" i="41" s="1"/>
  <c r="C51" i="41" s="1"/>
  <c r="C52" i="41" s="1"/>
  <c r="C53" i="41" s="1"/>
  <c r="C54" i="41" s="1"/>
  <c r="C55" i="41" s="1"/>
  <c r="C56" i="41" s="1"/>
  <c r="D56" i="41" l="1"/>
  <c r="L24" i="41" s="1"/>
  <c r="M24" i="41" s="1"/>
  <c r="E56" i="41"/>
  <c r="G25" i="41" s="1"/>
  <c r="H25" i="41" s="1"/>
  <c r="C57" i="41" s="1"/>
  <c r="C58" i="41" l="1"/>
  <c r="C59" i="41" s="1"/>
  <c r="C60" i="41" s="1"/>
  <c r="C61" i="41" s="1"/>
  <c r="C62" i="41" s="1"/>
  <c r="C63" i="41" s="1"/>
  <c r="C64" i="41" s="1"/>
  <c r="C65" i="41" s="1"/>
  <c r="C66" i="41" s="1"/>
  <c r="C67" i="41" s="1"/>
  <c r="C68" i="41" s="1"/>
  <c r="E68" i="41" l="1"/>
  <c r="G26" i="41" s="1"/>
  <c r="H26" i="41" s="1"/>
  <c r="C69" i="41" s="1"/>
  <c r="D68" i="41"/>
  <c r="L25" i="41" s="1"/>
  <c r="M25" i="41" s="1"/>
  <c r="C70" i="41" l="1"/>
  <c r="C71" i="41" s="1"/>
  <c r="C72" i="41" s="1"/>
  <c r="C73" i="41" s="1"/>
  <c r="C74" i="41" s="1"/>
  <c r="C75" i="41" s="1"/>
  <c r="C76" i="41" s="1"/>
  <c r="C77" i="41" s="1"/>
  <c r="C78" i="41" s="1"/>
  <c r="C79" i="41" s="1"/>
  <c r="C80" i="41" s="1"/>
  <c r="D80" i="41" l="1"/>
  <c r="L26" i="41" s="1"/>
  <c r="M26" i="41" s="1"/>
  <c r="E80" i="41"/>
  <c r="G27" i="41" s="1"/>
  <c r="H27" i="41" s="1"/>
  <c r="C81" i="41"/>
  <c r="C82" i="41" l="1"/>
  <c r="C83" i="41" s="1"/>
  <c r="C84" i="41" s="1"/>
  <c r="C85" i="41" s="1"/>
  <c r="C86" i="41" s="1"/>
  <c r="C87" i="41" s="1"/>
  <c r="C88" i="41" s="1"/>
  <c r="C89" i="41" s="1"/>
  <c r="C90" i="41" s="1"/>
  <c r="C91" i="41" s="1"/>
  <c r="C92" i="41" s="1"/>
  <c r="D92" i="41"/>
  <c r="L27" i="41" s="1"/>
  <c r="M27" i="41" s="1"/>
  <c r="E92" i="41" l="1"/>
  <c r="G28" i="41" s="1"/>
  <c r="H28" i="41" s="1"/>
  <c r="C93" i="41" s="1"/>
  <c r="C94" i="41" l="1"/>
  <c r="C95" i="41" s="1"/>
  <c r="C96" i="41" s="1"/>
  <c r="C97" i="41" s="1"/>
  <c r="C98" i="41" s="1"/>
  <c r="C99" i="41" s="1"/>
  <c r="C100" i="41" s="1"/>
  <c r="C101" i="41" s="1"/>
  <c r="C102" i="41" s="1"/>
  <c r="C103" i="41" s="1"/>
  <c r="C104" i="41" s="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B25" i="37"/>
  <c r="K36" i="37"/>
  <c r="K35" i="37"/>
  <c r="K34" i="37"/>
  <c r="K33" i="37"/>
  <c r="K32" i="37"/>
  <c r="K31" i="37"/>
  <c r="K30" i="37"/>
  <c r="K29" i="37"/>
  <c r="K28" i="37"/>
  <c r="K27" i="37"/>
  <c r="K26" i="37"/>
  <c r="K25" i="37"/>
  <c r="J36" i="37"/>
  <c r="J35" i="37"/>
  <c r="J34" i="37"/>
  <c r="J33" i="37"/>
  <c r="J32" i="37"/>
  <c r="J31" i="37"/>
  <c r="J30" i="37"/>
  <c r="J29" i="37"/>
  <c r="J28" i="37"/>
  <c r="J27" i="37"/>
  <c r="J26" i="37"/>
  <c r="J25" i="37"/>
  <c r="I36" i="37"/>
  <c r="I35" i="37"/>
  <c r="I34" i="37"/>
  <c r="I33" i="37"/>
  <c r="I32" i="37"/>
  <c r="I31" i="37"/>
  <c r="I30" i="37"/>
  <c r="I29" i="37"/>
  <c r="I28" i="37"/>
  <c r="I27" i="37"/>
  <c r="I26" i="37"/>
  <c r="I25" i="37"/>
  <c r="H36" i="37"/>
  <c r="H35" i="37"/>
  <c r="H34" i="37"/>
  <c r="H33" i="37"/>
  <c r="H32" i="37"/>
  <c r="H31" i="37"/>
  <c r="H30" i="37"/>
  <c r="H29" i="37"/>
  <c r="H28" i="37"/>
  <c r="H27" i="37"/>
  <c r="H26" i="37"/>
  <c r="H25" i="37"/>
  <c r="G36" i="37"/>
  <c r="G35" i="37"/>
  <c r="G34" i="37"/>
  <c r="G33" i="37"/>
  <c r="G32" i="37"/>
  <c r="G31" i="37"/>
  <c r="G30" i="37"/>
  <c r="G29" i="37"/>
  <c r="G28" i="37"/>
  <c r="G27" i="37"/>
  <c r="G26" i="37"/>
  <c r="G25" i="37"/>
  <c r="F36" i="37"/>
  <c r="F35" i="37"/>
  <c r="F34" i="37"/>
  <c r="F33" i="37"/>
  <c r="F32" i="37"/>
  <c r="F31" i="37"/>
  <c r="F30" i="37"/>
  <c r="F29" i="37"/>
  <c r="F28" i="37"/>
  <c r="F27" i="37"/>
  <c r="F26" i="37"/>
  <c r="F25" i="37"/>
  <c r="E36" i="37"/>
  <c r="E35" i="37"/>
  <c r="E34" i="37"/>
  <c r="E33" i="37"/>
  <c r="E32" i="37"/>
  <c r="E31" i="37"/>
  <c r="E30" i="37"/>
  <c r="E29" i="37"/>
  <c r="E28" i="37"/>
  <c r="E27" i="37"/>
  <c r="E26" i="37"/>
  <c r="E25" i="37"/>
  <c r="D36" i="37"/>
  <c r="D35" i="37"/>
  <c r="D34" i="37"/>
  <c r="D33" i="37"/>
  <c r="D32" i="37"/>
  <c r="D31" i="37"/>
  <c r="D30" i="37"/>
  <c r="D29" i="37"/>
  <c r="D28" i="37"/>
  <c r="D27" i="37"/>
  <c r="D26" i="37"/>
  <c r="D25" i="37"/>
  <c r="C36" i="37"/>
  <c r="C35" i="37"/>
  <c r="C34" i="37"/>
  <c r="C33" i="37"/>
  <c r="C32" i="37"/>
  <c r="C31" i="37"/>
  <c r="C30" i="37"/>
  <c r="C29" i="37"/>
  <c r="C28" i="37"/>
  <c r="C27" i="37"/>
  <c r="C26" i="37"/>
  <c r="C25" i="37"/>
  <c r="B36" i="37"/>
  <c r="B35" i="37"/>
  <c r="B34" i="37"/>
  <c r="B33" i="37"/>
  <c r="B32" i="37"/>
  <c r="B31" i="37"/>
  <c r="B30" i="37"/>
  <c r="B29" i="37"/>
  <c r="B28" i="37"/>
  <c r="B27" i="37"/>
  <c r="B26" i="37"/>
  <c r="D104" i="41" l="1"/>
  <c r="L28" i="41" s="1"/>
  <c r="M28" i="41" s="1"/>
  <c r="E104" i="41"/>
  <c r="G29" i="41" s="1"/>
  <c r="H29" i="41" s="1"/>
  <c r="C105" i="41"/>
  <c r="E6" i="21"/>
  <c r="D25" i="35" s="1"/>
  <c r="E5" i="21"/>
  <c r="D24" i="35" s="1"/>
  <c r="C109" i="27"/>
  <c r="K4" i="37"/>
  <c r="K5" i="37"/>
  <c r="K6" i="37"/>
  <c r="K7" i="37"/>
  <c r="K8" i="37"/>
  <c r="K9" i="37"/>
  <c r="K10" i="37"/>
  <c r="K11" i="37"/>
  <c r="K12" i="37"/>
  <c r="K13" i="37"/>
  <c r="K14" i="37"/>
  <c r="K3" i="37"/>
  <c r="J4" i="37"/>
  <c r="J5" i="37"/>
  <c r="J6" i="37"/>
  <c r="J7" i="37"/>
  <c r="J8" i="37"/>
  <c r="J9" i="37"/>
  <c r="J10" i="37"/>
  <c r="J11" i="37"/>
  <c r="J12" i="37"/>
  <c r="J13" i="37"/>
  <c r="J14" i="37"/>
  <c r="J3" i="37"/>
  <c r="I4" i="37"/>
  <c r="I5" i="37"/>
  <c r="I6" i="37"/>
  <c r="I7" i="37"/>
  <c r="I8" i="37"/>
  <c r="I9" i="37"/>
  <c r="I10" i="37"/>
  <c r="I11" i="37"/>
  <c r="I12" i="37"/>
  <c r="I13" i="37"/>
  <c r="I14" i="37"/>
  <c r="I3" i="37"/>
  <c r="H4" i="37"/>
  <c r="H5" i="37"/>
  <c r="H6" i="37"/>
  <c r="H7" i="37"/>
  <c r="H8" i="37"/>
  <c r="H9" i="37"/>
  <c r="H10" i="37"/>
  <c r="H11" i="37"/>
  <c r="H12" i="37"/>
  <c r="H13" i="37"/>
  <c r="H14" i="37"/>
  <c r="H3" i="37"/>
  <c r="G4" i="37"/>
  <c r="G5" i="37"/>
  <c r="G6" i="37"/>
  <c r="G7" i="37"/>
  <c r="G8" i="37"/>
  <c r="G9" i="37"/>
  <c r="G10" i="37"/>
  <c r="G11" i="37"/>
  <c r="G12" i="37"/>
  <c r="G13" i="37"/>
  <c r="G14" i="37"/>
  <c r="G3" i="37"/>
  <c r="F4" i="37"/>
  <c r="F5" i="37"/>
  <c r="F6" i="37"/>
  <c r="F7" i="37"/>
  <c r="F8" i="37"/>
  <c r="F9" i="37"/>
  <c r="F10" i="37"/>
  <c r="F11" i="37"/>
  <c r="F12" i="37"/>
  <c r="F13" i="37"/>
  <c r="F14" i="37"/>
  <c r="F3" i="37"/>
  <c r="E4" i="37"/>
  <c r="E5" i="37"/>
  <c r="E6" i="37"/>
  <c r="E7" i="37"/>
  <c r="E8" i="37"/>
  <c r="E9" i="37"/>
  <c r="E10" i="37"/>
  <c r="E11" i="37"/>
  <c r="E12" i="37"/>
  <c r="E13" i="37"/>
  <c r="E14" i="37"/>
  <c r="E3" i="37"/>
  <c r="D4" i="37"/>
  <c r="D5" i="37"/>
  <c r="D6" i="37"/>
  <c r="D7" i="37"/>
  <c r="D8" i="37"/>
  <c r="D9" i="37"/>
  <c r="D10" i="37"/>
  <c r="D11" i="37"/>
  <c r="D12" i="37"/>
  <c r="D13" i="37"/>
  <c r="D14" i="37"/>
  <c r="D3" i="37"/>
  <c r="B4" i="37"/>
  <c r="B5" i="37"/>
  <c r="B6" i="37"/>
  <c r="B7" i="37"/>
  <c r="B8" i="37"/>
  <c r="B9" i="37"/>
  <c r="B10" i="37"/>
  <c r="B11" i="37"/>
  <c r="B12" i="37"/>
  <c r="B13" i="37"/>
  <c r="B14" i="37"/>
  <c r="G14" i="32"/>
  <c r="F14" i="32"/>
  <c r="E14" i="32"/>
  <c r="O6" i="21"/>
  <c r="M14" i="21"/>
  <c r="M48" i="27" s="1"/>
  <c r="M13" i="21"/>
  <c r="M47" i="27" s="1"/>
  <c r="M12" i="21"/>
  <c r="O12" i="21" s="1"/>
  <c r="M11" i="21"/>
  <c r="O11" i="21" s="1"/>
  <c r="M10" i="21"/>
  <c r="M44" i="27" s="1"/>
  <c r="M9" i="21"/>
  <c r="M43" i="27" s="1"/>
  <c r="M8" i="21"/>
  <c r="M42" i="27" s="1"/>
  <c r="N43" i="27" s="1"/>
  <c r="M7" i="21"/>
  <c r="M41" i="27" s="1"/>
  <c r="M6" i="21"/>
  <c r="M40" i="27" s="1"/>
  <c r="M5" i="21"/>
  <c r="M39" i="27" s="1"/>
  <c r="B68" i="21"/>
  <c r="L12" i="21" s="1"/>
  <c r="B67" i="21"/>
  <c r="L11" i="21" s="1"/>
  <c r="B66" i="21"/>
  <c r="B65" i="21"/>
  <c r="B64" i="21"/>
  <c r="B63" i="21"/>
  <c r="B62" i="21"/>
  <c r="B61" i="21"/>
  <c r="L5" i="21" s="1"/>
  <c r="D13" i="35"/>
  <c r="D9" i="35"/>
  <c r="D8" i="35"/>
  <c r="B26" i="35" s="1"/>
  <c r="D7" i="35"/>
  <c r="C5" i="21"/>
  <c r="C42" i="32"/>
  <c r="C41" i="32"/>
  <c r="C43" i="32"/>
  <c r="C44" i="32"/>
  <c r="J35" i="39"/>
  <c r="P34" i="39"/>
  <c r="N34" i="39"/>
  <c r="L34" i="39"/>
  <c r="P33" i="39"/>
  <c r="N33" i="39"/>
  <c r="L33" i="39"/>
  <c r="P32" i="39"/>
  <c r="N32" i="39"/>
  <c r="L32" i="39"/>
  <c r="N30" i="39"/>
  <c r="L30" i="39"/>
  <c r="N29" i="39"/>
  <c r="L29" i="39"/>
  <c r="P59" i="39"/>
  <c r="N59" i="39"/>
  <c r="L59" i="39"/>
  <c r="P26" i="39"/>
  <c r="N26" i="39"/>
  <c r="L26" i="39"/>
  <c r="P58" i="39"/>
  <c r="N58" i="39"/>
  <c r="L58" i="39"/>
  <c r="P57" i="39"/>
  <c r="N57" i="39"/>
  <c r="L57" i="39"/>
  <c r="P41" i="39"/>
  <c r="N41" i="39"/>
  <c r="L41" i="39"/>
  <c r="P40" i="39"/>
  <c r="N40" i="39"/>
  <c r="L40" i="39"/>
  <c r="P25" i="39"/>
  <c r="N25" i="39"/>
  <c r="L25" i="39"/>
  <c r="P24" i="39"/>
  <c r="N24" i="39"/>
  <c r="L24" i="39"/>
  <c r="F6" i="39"/>
  <c r="F5" i="39"/>
  <c r="N55" i="39"/>
  <c r="L55" i="39"/>
  <c r="N54" i="39"/>
  <c r="L54" i="39"/>
  <c r="N38" i="39"/>
  <c r="L38" i="39"/>
  <c r="N37" i="39"/>
  <c r="L37" i="39"/>
  <c r="N22" i="39"/>
  <c r="L22" i="39"/>
  <c r="N21" i="39"/>
  <c r="L21" i="39"/>
  <c r="G36"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c r="N91" i="21"/>
  <c r="P91" i="21" s="1"/>
  <c r="L100" i="21"/>
  <c r="G34" i="32"/>
  <c r="L99" i="21"/>
  <c r="F34" i="32" s="1"/>
  <c r="L98" i="21"/>
  <c r="Q98" i="21"/>
  <c r="L97" i="21"/>
  <c r="L96" i="21"/>
  <c r="L95" i="21"/>
  <c r="L94" i="21"/>
  <c r="L93" i="21"/>
  <c r="L92" i="21"/>
  <c r="L91" i="21"/>
  <c r="N79" i="21"/>
  <c r="N78" i="21"/>
  <c r="N77" i="21"/>
  <c r="N76" i="21"/>
  <c r="N75" i="21"/>
  <c r="N74" i="21"/>
  <c r="N73" i="21"/>
  <c r="N72" i="21"/>
  <c r="N71" i="21"/>
  <c r="N70" i="21"/>
  <c r="M79" i="21"/>
  <c r="G30" i="32" s="1"/>
  <c r="M78" i="21"/>
  <c r="F30" i="32" s="1"/>
  <c r="M77" i="21"/>
  <c r="E30" i="32" s="1"/>
  <c r="M76" i="21"/>
  <c r="D30" i="32" s="1"/>
  <c r="M75" i="21"/>
  <c r="M74" i="21"/>
  <c r="Q74" i="21" s="1"/>
  <c r="P74" i="21"/>
  <c r="M73" i="21"/>
  <c r="P73" i="21"/>
  <c r="M72" i="21"/>
  <c r="M71" i="21"/>
  <c r="M70" i="21"/>
  <c r="P70" i="21" s="1"/>
  <c r="L79" i="21"/>
  <c r="G29" i="32" s="1"/>
  <c r="L78" i="21"/>
  <c r="F29" i="32" s="1"/>
  <c r="L77" i="21"/>
  <c r="E29" i="32" s="1"/>
  <c r="L76" i="21"/>
  <c r="L75" i="21"/>
  <c r="L74" i="21"/>
  <c r="L73" i="21"/>
  <c r="O73" i="21" s="1"/>
  <c r="L72" i="21"/>
  <c r="L71" i="21"/>
  <c r="L70" i="21"/>
  <c r="N57" i="21"/>
  <c r="N56" i="21"/>
  <c r="N55" i="21"/>
  <c r="N54" i="21"/>
  <c r="N53" i="21"/>
  <c r="N52" i="21"/>
  <c r="N51" i="21"/>
  <c r="P51" i="21" s="1"/>
  <c r="N50" i="21"/>
  <c r="N49" i="21"/>
  <c r="N48" i="21"/>
  <c r="M48" i="21"/>
  <c r="G71" i="27" s="1"/>
  <c r="M49" i="21"/>
  <c r="G72" i="27" s="1"/>
  <c r="M50" i="21"/>
  <c r="M51" i="21"/>
  <c r="G74" i="27" s="1"/>
  <c r="M52" i="21"/>
  <c r="G75" i="27" s="1"/>
  <c r="M53" i="21"/>
  <c r="G76" i="27" s="1"/>
  <c r="M54" i="21"/>
  <c r="M55" i="21"/>
  <c r="G78" i="27" s="1"/>
  <c r="M56" i="21"/>
  <c r="P56" i="21" s="1"/>
  <c r="O95" i="21"/>
  <c r="Q73" i="21"/>
  <c r="G92" i="27"/>
  <c r="M57" i="21"/>
  <c r="P57" i="21" s="1"/>
  <c r="L57" i="21"/>
  <c r="L56" i="21"/>
  <c r="F24" i="32" s="1"/>
  <c r="L55" i="21"/>
  <c r="O55" i="21" s="1"/>
  <c r="L54" i="21"/>
  <c r="L53" i="21"/>
  <c r="L52" i="21"/>
  <c r="L51" i="21"/>
  <c r="L50" i="21"/>
  <c r="L49" i="21"/>
  <c r="L48" i="21"/>
  <c r="M36" i="21"/>
  <c r="G20" i="32" s="1"/>
  <c r="M35" i="21"/>
  <c r="F20" i="32" s="1"/>
  <c r="M34" i="21"/>
  <c r="J62" i="27" s="1"/>
  <c r="M33" i="21"/>
  <c r="D20" i="32" s="1"/>
  <c r="M32" i="21"/>
  <c r="M31" i="21"/>
  <c r="J59" i="27" s="1"/>
  <c r="M30" i="21"/>
  <c r="J58" i="27" s="1"/>
  <c r="M29" i="21"/>
  <c r="J57" i="27" s="1"/>
  <c r="M28" i="21"/>
  <c r="J56" i="27" s="1"/>
  <c r="M27" i="21"/>
  <c r="J55" i="27" s="1"/>
  <c r="K25" i="21"/>
  <c r="K39" i="21"/>
  <c r="B98" i="21"/>
  <c r="L36" i="21" s="1"/>
  <c r="B97" i="21"/>
  <c r="L35" i="21" s="1"/>
  <c r="N35" i="21" s="1"/>
  <c r="B96" i="21"/>
  <c r="L34" i="21" s="1"/>
  <c r="B95" i="21"/>
  <c r="L33" i="21"/>
  <c r="B94" i="21"/>
  <c r="L32" i="21" s="1"/>
  <c r="B93" i="21"/>
  <c r="B92" i="21"/>
  <c r="L30" i="21" s="1"/>
  <c r="B91" i="21"/>
  <c r="L29" i="21"/>
  <c r="B90" i="21"/>
  <c r="L28" i="21"/>
  <c r="B89" i="21"/>
  <c r="L27" i="21" s="1"/>
  <c r="N103" i="21"/>
  <c r="P95" i="21"/>
  <c r="Q92" i="21"/>
  <c r="B42" i="21"/>
  <c r="G10" i="32" s="1"/>
  <c r="B41" i="21"/>
  <c r="F10" i="32" s="1"/>
  <c r="B40" i="21"/>
  <c r="E10" i="32" s="1"/>
  <c r="B39" i="21"/>
  <c r="D10" i="32" s="1"/>
  <c r="B38" i="21"/>
  <c r="B37" i="21"/>
  <c r="B36" i="21"/>
  <c r="B35" i="21"/>
  <c r="B34" i="21"/>
  <c r="B33" i="21"/>
  <c r="O94" i="21"/>
  <c r="Q95" i="21"/>
  <c r="L58" i="37"/>
  <c r="L76" i="37" s="1"/>
  <c r="B14" i="21"/>
  <c r="B13" i="21"/>
  <c r="B12" i="21"/>
  <c r="E6" i="32" s="1"/>
  <c r="B11" i="21"/>
  <c r="D6" i="32" s="1"/>
  <c r="B10" i="21"/>
  <c r="B9" i="21"/>
  <c r="B8" i="21"/>
  <c r="B7" i="21"/>
  <c r="B6" i="21"/>
  <c r="B5" i="21"/>
  <c r="D5" i="21" s="1"/>
  <c r="Q15" i="16"/>
  <c r="C112" i="27" s="1"/>
  <c r="Q14" i="16"/>
  <c r="R14" i="16" s="1"/>
  <c r="Q13" i="16"/>
  <c r="C110" i="27" s="1"/>
  <c r="Q12" i="16"/>
  <c r="D36" i="32" s="1"/>
  <c r="Q11" i="16"/>
  <c r="R11" i="16" s="1"/>
  <c r="Q10" i="16"/>
  <c r="C107" i="27" s="1"/>
  <c r="Q9" i="16"/>
  <c r="Q8" i="16"/>
  <c r="C105" i="27" s="1"/>
  <c r="Q7" i="16"/>
  <c r="C104" i="27" s="1"/>
  <c r="Q6" i="16"/>
  <c r="C103" i="27" s="1"/>
  <c r="O15" i="16"/>
  <c r="G31" i="32" s="1"/>
  <c r="O14" i="16"/>
  <c r="F31" i="32" s="1"/>
  <c r="O13" i="16"/>
  <c r="E31" i="32" s="1"/>
  <c r="O12" i="16"/>
  <c r="D31" i="32" s="1"/>
  <c r="O11" i="16"/>
  <c r="P12" i="16" s="1"/>
  <c r="O10" i="16"/>
  <c r="O9" i="16"/>
  <c r="O8" i="16"/>
  <c r="O7" i="16"/>
  <c r="P8" i="16"/>
  <c r="O6" i="16"/>
  <c r="M15" i="16"/>
  <c r="N15" i="16" s="1"/>
  <c r="C80" i="27"/>
  <c r="M14" i="16"/>
  <c r="F26" i="32" s="1"/>
  <c r="M13" i="16"/>
  <c r="E26" i="32" s="1"/>
  <c r="M12" i="16"/>
  <c r="D26" i="32" s="1"/>
  <c r="D44" i="32" s="1"/>
  <c r="M11" i="16"/>
  <c r="M10" i="16"/>
  <c r="M9" i="16"/>
  <c r="M8" i="16"/>
  <c r="C73" i="27" s="1"/>
  <c r="M7" i="16"/>
  <c r="C72" i="27" s="1"/>
  <c r="M6" i="16"/>
  <c r="K15" i="16"/>
  <c r="G21" i="32" s="1"/>
  <c r="K14" i="16"/>
  <c r="F21" i="32" s="1"/>
  <c r="K13" i="16"/>
  <c r="E21" i="32" s="1"/>
  <c r="K12" i="16"/>
  <c r="K11" i="16"/>
  <c r="L11" i="16" s="1"/>
  <c r="K10" i="16"/>
  <c r="C59" i="27" s="1"/>
  <c r="K9" i="16"/>
  <c r="K8" i="16"/>
  <c r="C57" i="27" s="1"/>
  <c r="K7" i="16"/>
  <c r="C56" i="27" s="1"/>
  <c r="K6" i="16"/>
  <c r="I15" i="16"/>
  <c r="G16" i="32" s="1"/>
  <c r="I14" i="16"/>
  <c r="F16" i="32" s="1"/>
  <c r="I13" i="16"/>
  <c r="I12" i="16"/>
  <c r="D16" i="32" s="1"/>
  <c r="I11" i="16"/>
  <c r="I10" i="16"/>
  <c r="C43" i="27" s="1"/>
  <c r="I9" i="16"/>
  <c r="I8" i="16"/>
  <c r="J8" i="16" s="1"/>
  <c r="I7" i="16"/>
  <c r="J7" i="16"/>
  <c r="I6" i="16"/>
  <c r="R13" i="16"/>
  <c r="G15" i="16"/>
  <c r="G11" i="32" s="1"/>
  <c r="G14" i="16"/>
  <c r="F11" i="32" s="1"/>
  <c r="G13" i="16"/>
  <c r="E11" i="32" s="1"/>
  <c r="G12" i="16"/>
  <c r="D11" i="32" s="1"/>
  <c r="G11" i="16"/>
  <c r="G10" i="16"/>
  <c r="H11" i="16" s="1"/>
  <c r="G9" i="16"/>
  <c r="C26" i="27" s="1"/>
  <c r="G8" i="16"/>
  <c r="C25" i="27" s="1"/>
  <c r="G7" i="16"/>
  <c r="G6" i="16"/>
  <c r="E15" i="16"/>
  <c r="E14" i="16"/>
  <c r="E13" i="16"/>
  <c r="F14" i="16" s="1"/>
  <c r="E12" i="16"/>
  <c r="E11" i="16"/>
  <c r="E10" i="16"/>
  <c r="E9" i="16"/>
  <c r="E8" i="16"/>
  <c r="E7" i="16"/>
  <c r="C15" i="27"/>
  <c r="F15"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O45" i="16" s="1"/>
  <c r="I45" i="16"/>
  <c r="H45" i="16"/>
  <c r="G45" i="16"/>
  <c r="F45" i="16"/>
  <c r="E45" i="16"/>
  <c r="D45" i="16"/>
  <c r="C88" i="27"/>
  <c r="C87" i="27"/>
  <c r="C16" i="27"/>
  <c r="D16" i="27" s="1"/>
  <c r="C30" i="27"/>
  <c r="C13" i="27"/>
  <c r="C44" i="27"/>
  <c r="C58" i="27"/>
  <c r="C42" i="27"/>
  <c r="C10" i="27"/>
  <c r="C8" i="27"/>
  <c r="W32" i="40"/>
  <c r="W31" i="40"/>
  <c r="W30" i="40"/>
  <c r="W29" i="40"/>
  <c r="W28" i="40"/>
  <c r="W27" i="40"/>
  <c r="W26" i="40"/>
  <c r="W25" i="40"/>
  <c r="W24" i="40"/>
  <c r="W23" i="40"/>
  <c r="W22" i="40"/>
  <c r="W21" i="40"/>
  <c r="W5" i="40"/>
  <c r="W6" i="40"/>
  <c r="W7" i="40"/>
  <c r="W8" i="40"/>
  <c r="W9" i="40"/>
  <c r="W10" i="40"/>
  <c r="W11" i="40"/>
  <c r="W12" i="40"/>
  <c r="W13" i="40"/>
  <c r="W14" i="40"/>
  <c r="W15" i="40"/>
  <c r="W4" i="40"/>
  <c r="V32" i="40"/>
  <c r="V31" i="40"/>
  <c r="V30" i="40"/>
  <c r="V29" i="40"/>
  <c r="V28" i="40"/>
  <c r="V27" i="40"/>
  <c r="V26" i="40"/>
  <c r="V25" i="40"/>
  <c r="V24" i="40"/>
  <c r="V23" i="40"/>
  <c r="V22" i="40"/>
  <c r="V21" i="40"/>
  <c r="V5" i="40"/>
  <c r="V6" i="40"/>
  <c r="V7" i="40"/>
  <c r="V8" i="40"/>
  <c r="V9" i="40"/>
  <c r="V10" i="40"/>
  <c r="V11" i="40"/>
  <c r="V12" i="40"/>
  <c r="V13" i="40"/>
  <c r="V14" i="40"/>
  <c r="V15" i="40"/>
  <c r="V4" i="40"/>
  <c r="B15" i="35"/>
  <c r="P50" i="39"/>
  <c r="P49" i="39"/>
  <c r="P48" i="39"/>
  <c r="N50" i="39"/>
  <c r="N49" i="39"/>
  <c r="N48" i="39"/>
  <c r="N46" i="39"/>
  <c r="N45" i="39"/>
  <c r="N6" i="39"/>
  <c r="N5" i="39"/>
  <c r="I20" i="37"/>
  <c r="G93" i="27"/>
  <c r="L46" i="39"/>
  <c r="L45" i="39"/>
  <c r="L6" i="39"/>
  <c r="L5" i="39"/>
  <c r="K71" i="37"/>
  <c r="J71" i="37"/>
  <c r="I71" i="37"/>
  <c r="H71" i="37"/>
  <c r="G71" i="37"/>
  <c r="F71" i="37"/>
  <c r="E71" i="37"/>
  <c r="D71" i="37"/>
  <c r="C71" i="37"/>
  <c r="K70" i="37"/>
  <c r="J70" i="37"/>
  <c r="I70" i="37"/>
  <c r="H70" i="37"/>
  <c r="G70" i="37"/>
  <c r="F70" i="37"/>
  <c r="E70" i="37"/>
  <c r="D70" i="37"/>
  <c r="C70" i="37"/>
  <c r="K69" i="37"/>
  <c r="J69" i="37"/>
  <c r="I69" i="37"/>
  <c r="H69" i="37"/>
  <c r="G69" i="37"/>
  <c r="F69" i="37"/>
  <c r="E69" i="37"/>
  <c r="D69" i="37"/>
  <c r="C69" i="37"/>
  <c r="K68" i="37"/>
  <c r="J68" i="37"/>
  <c r="I68" i="37"/>
  <c r="H68" i="37"/>
  <c r="G68" i="37"/>
  <c r="F68" i="37"/>
  <c r="E68" i="37"/>
  <c r="D68" i="37"/>
  <c r="C68" i="37"/>
  <c r="K67" i="37"/>
  <c r="J67" i="37"/>
  <c r="I67" i="37"/>
  <c r="H67" i="37"/>
  <c r="G67" i="37"/>
  <c r="F67" i="37"/>
  <c r="E67" i="37"/>
  <c r="D67" i="37"/>
  <c r="C67" i="37"/>
  <c r="K66" i="37"/>
  <c r="J66" i="37"/>
  <c r="I66" i="37"/>
  <c r="H66" i="37"/>
  <c r="G66" i="37"/>
  <c r="F66" i="37"/>
  <c r="E66" i="37"/>
  <c r="D66" i="37"/>
  <c r="C66" i="37"/>
  <c r="K65" i="37"/>
  <c r="J65" i="37"/>
  <c r="I65" i="37"/>
  <c r="H65" i="37"/>
  <c r="G65" i="37"/>
  <c r="F65" i="37"/>
  <c r="E65" i="37"/>
  <c r="D65" i="37"/>
  <c r="C65" i="37"/>
  <c r="K64" i="37"/>
  <c r="J64" i="37"/>
  <c r="I64" i="37"/>
  <c r="H64" i="37"/>
  <c r="G64" i="37"/>
  <c r="F64" i="37"/>
  <c r="E64" i="37"/>
  <c r="D64" i="37"/>
  <c r="C64" i="37"/>
  <c r="K63" i="37"/>
  <c r="J63" i="37"/>
  <c r="I63" i="37"/>
  <c r="H63" i="37"/>
  <c r="G63" i="37"/>
  <c r="F63" i="37"/>
  <c r="E63" i="37"/>
  <c r="D63" i="37"/>
  <c r="C63" i="37"/>
  <c r="K62" i="37"/>
  <c r="J62" i="37"/>
  <c r="I62" i="37"/>
  <c r="H62" i="37"/>
  <c r="G62" i="37"/>
  <c r="F62" i="37"/>
  <c r="E62" i="37"/>
  <c r="D62" i="37"/>
  <c r="C62" i="37"/>
  <c r="K61" i="37"/>
  <c r="J61" i="37"/>
  <c r="I61" i="37"/>
  <c r="H61" i="37"/>
  <c r="G61" i="37"/>
  <c r="F61" i="37"/>
  <c r="E61" i="37"/>
  <c r="D61" i="37"/>
  <c r="C61" i="37"/>
  <c r="K60" i="37"/>
  <c r="J60" i="37"/>
  <c r="I60" i="37"/>
  <c r="H60" i="37"/>
  <c r="G60" i="37"/>
  <c r="F60" i="37"/>
  <c r="E60" i="37"/>
  <c r="D60" i="37"/>
  <c r="C60" i="37"/>
  <c r="B61" i="37"/>
  <c r="B62" i="37"/>
  <c r="B63" i="37"/>
  <c r="B64" i="37"/>
  <c r="B65" i="37"/>
  <c r="B66" i="37"/>
  <c r="B67" i="37"/>
  <c r="B68" i="37"/>
  <c r="B69" i="37"/>
  <c r="B70" i="37"/>
  <c r="B71" i="37"/>
  <c r="B60" i="37"/>
  <c r="K43" i="37"/>
  <c r="K44" i="37"/>
  <c r="K45" i="37"/>
  <c r="K46" i="37"/>
  <c r="K47" i="37"/>
  <c r="K48" i="37"/>
  <c r="K49" i="37"/>
  <c r="K50" i="37"/>
  <c r="K51" i="37"/>
  <c r="K52" i="37"/>
  <c r="K53" i="37"/>
  <c r="K42" i="37"/>
  <c r="J43" i="37"/>
  <c r="J44" i="37"/>
  <c r="J45" i="37"/>
  <c r="J46" i="37"/>
  <c r="J47" i="37"/>
  <c r="J48" i="37"/>
  <c r="J49" i="37"/>
  <c r="J50" i="37"/>
  <c r="J51" i="37"/>
  <c r="J52" i="37"/>
  <c r="J53" i="37"/>
  <c r="J42" i="37"/>
  <c r="I43" i="37"/>
  <c r="I44" i="37"/>
  <c r="I45" i="37"/>
  <c r="I46" i="37"/>
  <c r="I47" i="37"/>
  <c r="I48" i="37"/>
  <c r="I49" i="37"/>
  <c r="I50" i="37"/>
  <c r="I51" i="37"/>
  <c r="I52" i="37"/>
  <c r="I53" i="37"/>
  <c r="I42" i="37"/>
  <c r="H43" i="37"/>
  <c r="H44" i="37"/>
  <c r="H45" i="37"/>
  <c r="H46" i="37"/>
  <c r="H47" i="37"/>
  <c r="H48" i="37"/>
  <c r="H49" i="37"/>
  <c r="H50" i="37"/>
  <c r="H51" i="37"/>
  <c r="H52" i="37"/>
  <c r="H53" i="37"/>
  <c r="H42" i="37"/>
  <c r="G43" i="37"/>
  <c r="G44" i="37"/>
  <c r="G45" i="37"/>
  <c r="G46" i="37"/>
  <c r="G47" i="37"/>
  <c r="G48" i="37"/>
  <c r="G49" i="37"/>
  <c r="G50" i="37"/>
  <c r="G51" i="37"/>
  <c r="G52" i="37"/>
  <c r="G53" i="37"/>
  <c r="G42" i="37"/>
  <c r="F43" i="37"/>
  <c r="F44" i="37"/>
  <c r="F45" i="37"/>
  <c r="F46" i="37"/>
  <c r="F47" i="37"/>
  <c r="F48" i="37"/>
  <c r="F49" i="37"/>
  <c r="F50" i="37"/>
  <c r="F51" i="37"/>
  <c r="F52" i="37"/>
  <c r="F53" i="37"/>
  <c r="F42" i="37"/>
  <c r="E43" i="37"/>
  <c r="E44" i="37"/>
  <c r="E45" i="37"/>
  <c r="E46" i="37"/>
  <c r="E47" i="37"/>
  <c r="E48" i="37"/>
  <c r="E49" i="37"/>
  <c r="E50" i="37"/>
  <c r="E51" i="37"/>
  <c r="E52" i="37"/>
  <c r="E53" i="37"/>
  <c r="E42" i="37"/>
  <c r="D43" i="37"/>
  <c r="D44" i="37"/>
  <c r="D45" i="37"/>
  <c r="D46" i="37"/>
  <c r="D47" i="37"/>
  <c r="D48" i="37"/>
  <c r="D49" i="37"/>
  <c r="D50" i="37"/>
  <c r="D51" i="37"/>
  <c r="D52" i="37"/>
  <c r="D53" i="37"/>
  <c r="D42" i="37"/>
  <c r="C43" i="37"/>
  <c r="C44" i="37"/>
  <c r="C45" i="37"/>
  <c r="C46" i="37"/>
  <c r="C47" i="37"/>
  <c r="C48" i="37"/>
  <c r="C49" i="37"/>
  <c r="C50" i="37"/>
  <c r="C51" i="37"/>
  <c r="C52" i="37"/>
  <c r="C53" i="37"/>
  <c r="C42" i="37"/>
  <c r="B43" i="37"/>
  <c r="B44" i="37"/>
  <c r="B45" i="37"/>
  <c r="B46" i="37"/>
  <c r="B47" i="37"/>
  <c r="B48" i="37"/>
  <c r="B49" i="37"/>
  <c r="B50" i="37"/>
  <c r="B51" i="37"/>
  <c r="B52" i="37"/>
  <c r="B53" i="37"/>
  <c r="B42" i="37"/>
  <c r="C41" i="37"/>
  <c r="C58" i="37" s="1"/>
  <c r="C76" i="37" s="1"/>
  <c r="D41" i="37"/>
  <c r="D58" i="37" s="1"/>
  <c r="D76" i="37" s="1"/>
  <c r="E41" i="37"/>
  <c r="E58" i="37" s="1"/>
  <c r="E76" i="37" s="1"/>
  <c r="F41" i="37"/>
  <c r="F58" i="37" s="1"/>
  <c r="F76" i="37" s="1"/>
  <c r="G41" i="37"/>
  <c r="G58" i="37" s="1"/>
  <c r="G76" i="37" s="1"/>
  <c r="H41" i="37"/>
  <c r="H58" i="37" s="1"/>
  <c r="H76" i="37" s="1"/>
  <c r="I41" i="37"/>
  <c r="I58" i="37" s="1"/>
  <c r="I76" i="37" s="1"/>
  <c r="J41" i="37"/>
  <c r="J58" i="37" s="1"/>
  <c r="J76" i="37" s="1"/>
  <c r="K41" i="37"/>
  <c r="K58" i="37" s="1"/>
  <c r="K76" i="37" s="1"/>
  <c r="B41" i="37"/>
  <c r="B58" i="37" s="1"/>
  <c r="B76" i="37" s="1"/>
  <c r="E20" i="37"/>
  <c r="F20" i="37"/>
  <c r="G20" i="37"/>
  <c r="H20" i="37"/>
  <c r="Q77" i="21"/>
  <c r="L7" i="21"/>
  <c r="B7" i="35"/>
  <c r="C7" i="35" s="1"/>
  <c r="B9" i="35"/>
  <c r="C9" i="35" s="1"/>
  <c r="C3" i="3"/>
  <c r="D7" i="16"/>
  <c r="A7" i="35"/>
  <c r="D8" i="16"/>
  <c r="A8" i="35" s="1"/>
  <c r="D9" i="16"/>
  <c r="A8" i="21" s="1"/>
  <c r="D10" i="16"/>
  <c r="A28" i="35"/>
  <c r="D11" i="16"/>
  <c r="A10" i="21" s="1"/>
  <c r="D12" i="16"/>
  <c r="A30" i="35" s="1"/>
  <c r="D13" i="16"/>
  <c r="D14" i="16"/>
  <c r="K13" i="21" s="1"/>
  <c r="D15" i="16"/>
  <c r="D6" i="16"/>
  <c r="A24" i="35"/>
  <c r="A3" i="21"/>
  <c r="K3" i="21"/>
  <c r="A31" i="21"/>
  <c r="K46" i="21"/>
  <c r="A59" i="21"/>
  <c r="K68" i="21"/>
  <c r="B3" i="7"/>
  <c r="C3" i="7"/>
  <c r="BP2" i="3"/>
  <c r="L3" i="3"/>
  <c r="BP3" i="3"/>
  <c r="G5" i="3"/>
  <c r="C7" i="3"/>
  <c r="I10"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B17" i="27"/>
  <c r="B33" i="27" s="1"/>
  <c r="B49" i="27" s="1"/>
  <c r="D25" i="16"/>
  <c r="B18" i="27" s="1"/>
  <c r="B34" i="27" s="1"/>
  <c r="B50" i="27" s="1"/>
  <c r="A82" i="21"/>
  <c r="A83" i="21"/>
  <c r="C78" i="27"/>
  <c r="C29" i="27"/>
  <c r="N13" i="16"/>
  <c r="N12" i="16"/>
  <c r="C76" i="27"/>
  <c r="A11" i="35"/>
  <c r="C77" i="27"/>
  <c r="B6" i="35"/>
  <c r="G6" i="35" s="1"/>
  <c r="C71" i="27"/>
  <c r="N14" i="16"/>
  <c r="B10" i="35"/>
  <c r="C11" i="35" s="1"/>
  <c r="B13" i="35"/>
  <c r="G13" i="35" s="1"/>
  <c r="A13" i="35"/>
  <c r="A12" i="21"/>
  <c r="A31" i="35"/>
  <c r="B14" i="35"/>
  <c r="C15" i="35" s="1"/>
  <c r="B8" i="35"/>
  <c r="C8" i="35" s="1"/>
  <c r="B12" i="35"/>
  <c r="C12" i="35" s="1"/>
  <c r="B11" i="35"/>
  <c r="J51" i="39"/>
  <c r="B20" i="37"/>
  <c r="G89" i="27"/>
  <c r="J20" i="37"/>
  <c r="D20" i="37"/>
  <c r="L10" i="21"/>
  <c r="L49" i="39"/>
  <c r="L50" i="39"/>
  <c r="L48" i="39"/>
  <c r="A25" i="35"/>
  <c r="B8" i="27"/>
  <c r="B24" i="27" s="1"/>
  <c r="B40" i="27" s="1"/>
  <c r="K6" i="21"/>
  <c r="A6" i="21"/>
  <c r="A62" i="21" s="1"/>
  <c r="A14" i="35"/>
  <c r="C62" i="27"/>
  <c r="T11" i="16"/>
  <c r="J12" i="16"/>
  <c r="C20" i="37"/>
  <c r="A33" i="35"/>
  <c r="K103" i="21"/>
  <c r="A14" i="21"/>
  <c r="A42" i="21"/>
  <c r="A98" i="21" s="1"/>
  <c r="F9" i="16"/>
  <c r="B16" i="27"/>
  <c r="B32" i="27" s="1"/>
  <c r="B48" i="27" s="1"/>
  <c r="B80" i="27" s="1"/>
  <c r="K14" i="21"/>
  <c r="A15" i="35"/>
  <c r="A70" i="21"/>
  <c r="T13" i="16"/>
  <c r="V13" i="16"/>
  <c r="T8" i="16"/>
  <c r="B11" i="27"/>
  <c r="B27" i="27" s="1"/>
  <c r="B43" i="27" s="1"/>
  <c r="K9" i="21"/>
  <c r="A9" i="21"/>
  <c r="A37" i="21" s="1"/>
  <c r="A93" i="21"/>
  <c r="K12" i="21"/>
  <c r="B14" i="27"/>
  <c r="B30" i="27" s="1"/>
  <c r="B46" i="27" s="1"/>
  <c r="B62" i="27" s="1"/>
  <c r="B94" i="27" s="1"/>
  <c r="B110" i="27" s="1"/>
  <c r="C96" i="27"/>
  <c r="C12" i="27"/>
  <c r="J10" i="16"/>
  <c r="P15" i="16"/>
  <c r="F12" i="16"/>
  <c r="C40" i="27"/>
  <c r="C24" i="27"/>
  <c r="F11" i="16"/>
  <c r="C55" i="27"/>
  <c r="O70" i="21"/>
  <c r="F10" i="16"/>
  <c r="C64" i="27"/>
  <c r="L8" i="16"/>
  <c r="C60" i="27"/>
  <c r="C63" i="27"/>
  <c r="L12" i="16"/>
  <c r="L14" i="16"/>
  <c r="P13" i="16"/>
  <c r="C93" i="27"/>
  <c r="L15" i="16"/>
  <c r="P14" i="16"/>
  <c r="C94" i="27"/>
  <c r="C92" i="27"/>
  <c r="J9" i="16"/>
  <c r="P76" i="21"/>
  <c r="H13" i="16"/>
  <c r="F7" i="16"/>
  <c r="C7" i="27"/>
  <c r="L9" i="16"/>
  <c r="C23" i="27"/>
  <c r="C39" i="27"/>
  <c r="L10" i="16"/>
  <c r="C95" i="27"/>
  <c r="P7" i="16"/>
  <c r="N7" i="16"/>
  <c r="J15" i="16"/>
  <c r="C47" i="27"/>
  <c r="P77" i="21"/>
  <c r="O77" i="21"/>
  <c r="P11" i="16"/>
  <c r="O75" i="21"/>
  <c r="C89" i="27"/>
  <c r="C74" i="27"/>
  <c r="N9" i="16"/>
  <c r="N8" i="16"/>
  <c r="L13" i="16"/>
  <c r="C61" i="27"/>
  <c r="L7" i="16"/>
  <c r="L17" i="16" s="1"/>
  <c r="K19" i="16" s="1"/>
  <c r="H7" i="16"/>
  <c r="H12" i="16"/>
  <c r="C28" i="27"/>
  <c r="K11" i="21"/>
  <c r="A12" i="35"/>
  <c r="C11" i="27"/>
  <c r="C31" i="27"/>
  <c r="H14" i="16"/>
  <c r="H15" i="16"/>
  <c r="C91" i="27"/>
  <c r="L6" i="21"/>
  <c r="A7" i="21"/>
  <c r="A63" i="21" s="1"/>
  <c r="B9" i="27"/>
  <c r="B25" i="27" s="1"/>
  <c r="B41" i="27" s="1"/>
  <c r="K7" i="21"/>
  <c r="G95" i="27"/>
  <c r="G87" i="27"/>
  <c r="K5" i="21"/>
  <c r="G94" i="27"/>
  <c r="H94" i="27" s="1"/>
  <c r="A5" i="21"/>
  <c r="A33" i="21" s="1"/>
  <c r="A89" i="21" s="1"/>
  <c r="V12" i="16"/>
  <c r="A10" i="35"/>
  <c r="B13" i="27"/>
  <c r="B29" i="27" s="1"/>
  <c r="B45" i="27" s="1"/>
  <c r="B77" i="27" s="1"/>
  <c r="A11" i="21"/>
  <c r="A39" i="21" s="1"/>
  <c r="A95" i="21" s="1"/>
  <c r="R12" i="16"/>
  <c r="A6" i="35"/>
  <c r="Q70" i="21"/>
  <c r="Q75" i="21"/>
  <c r="N35" i="39"/>
  <c r="E42" i="39"/>
  <c r="D10" i="39"/>
  <c r="E64" i="39"/>
  <c r="E10" i="39"/>
  <c r="E63" i="39"/>
  <c r="C10" i="35"/>
  <c r="C14" i="35"/>
  <c r="D42" i="39"/>
  <c r="D64" i="39"/>
  <c r="K42" i="39"/>
  <c r="K10" i="39"/>
  <c r="N9" i="39"/>
  <c r="M10" i="39"/>
  <c r="N8" i="39"/>
  <c r="L9" i="39"/>
  <c r="D63" i="39"/>
  <c r="I42" i="39"/>
  <c r="J42" i="39" s="1"/>
  <c r="J27" i="39"/>
  <c r="M63" i="39"/>
  <c r="I63" i="39"/>
  <c r="J63" i="39" s="1"/>
  <c r="I10" i="39"/>
  <c r="K63" i="39"/>
  <c r="L8" i="39"/>
  <c r="P8" i="39"/>
  <c r="O63" i="39"/>
  <c r="O97" i="21"/>
  <c r="Q100" i="21"/>
  <c r="O100" i="21"/>
  <c r="P72" i="21"/>
  <c r="O92" i="21"/>
  <c r="P99" i="21"/>
  <c r="P98" i="21"/>
  <c r="Q91" i="21"/>
  <c r="Q99" i="21"/>
  <c r="G88" i="27"/>
  <c r="P75" i="21"/>
  <c r="G90" i="27"/>
  <c r="I64" i="39"/>
  <c r="J64" i="39" s="1"/>
  <c r="O74" i="21"/>
  <c r="M42" i="39"/>
  <c r="K64" i="39"/>
  <c r="P9" i="39"/>
  <c r="M64" i="39"/>
  <c r="O64" i="39"/>
  <c r="G96" i="27"/>
  <c r="E20" i="32"/>
  <c r="P105" i="21"/>
  <c r="G6" i="32"/>
  <c r="N29" i="21"/>
  <c r="Q54" i="21"/>
  <c r="P71" i="21"/>
  <c r="L31" i="21"/>
  <c r="N31" i="21" s="1"/>
  <c r="O98" i="21"/>
  <c r="O50" i="21"/>
  <c r="G25" i="32"/>
  <c r="Q48" i="21"/>
  <c r="F25" i="32"/>
  <c r="A67" i="21"/>
  <c r="E25" i="32"/>
  <c r="Q56" i="21"/>
  <c r="G24" i="32"/>
  <c r="E34" i="32"/>
  <c r="Q52" i="21"/>
  <c r="O56" i="21"/>
  <c r="L9" i="21"/>
  <c r="F6" i="32"/>
  <c r="L14" i="37"/>
  <c r="C33" i="21"/>
  <c r="B25" i="35"/>
  <c r="B27" i="35"/>
  <c r="B46" i="35" s="1"/>
  <c r="G9" i="35"/>
  <c r="F13" i="35"/>
  <c r="B31" i="35"/>
  <c r="B50" i="35" s="1"/>
  <c r="D11" i="35"/>
  <c r="L8" i="21"/>
  <c r="C7" i="21"/>
  <c r="C35" i="21" s="1"/>
  <c r="D6" i="35"/>
  <c r="E7" i="35" s="1"/>
  <c r="C8" i="21"/>
  <c r="D8" i="21" s="1"/>
  <c r="C11" i="21"/>
  <c r="D11" i="21" s="1"/>
  <c r="F11" i="35"/>
  <c r="B29" i="35"/>
  <c r="B48" i="35" s="1"/>
  <c r="G11" i="35"/>
  <c r="B24" i="35"/>
  <c r="D7" i="21"/>
  <c r="C14" i="21"/>
  <c r="B70" i="21"/>
  <c r="D15" i="35"/>
  <c r="B69" i="21"/>
  <c r="L13" i="21" s="1"/>
  <c r="C13" i="21"/>
  <c r="D31" i="27" l="1"/>
  <c r="H88" i="27"/>
  <c r="D94" i="27"/>
  <c r="D61" i="27"/>
  <c r="D40" i="27"/>
  <c r="H72" i="27"/>
  <c r="D64" i="27"/>
  <c r="D24" i="27"/>
  <c r="D89" i="27"/>
  <c r="K58" i="27"/>
  <c r="N44" i="27"/>
  <c r="D78" i="27"/>
  <c r="D88" i="27"/>
  <c r="H96" i="27"/>
  <c r="D59" i="27"/>
  <c r="D60" i="27"/>
  <c r="H95" i="27"/>
  <c r="D63" i="27"/>
  <c r="D58" i="27"/>
  <c r="D11" i="27"/>
  <c r="D73" i="27"/>
  <c r="D66" i="39"/>
  <c r="F42" i="39"/>
  <c r="E66" i="39"/>
  <c r="F60" i="39"/>
  <c r="F51" i="39"/>
  <c r="K56" i="27"/>
  <c r="N41" i="27"/>
  <c r="D12" i="27"/>
  <c r="D57" i="27"/>
  <c r="D30" i="27"/>
  <c r="H76" i="27"/>
  <c r="D93" i="27"/>
  <c r="D77" i="27"/>
  <c r="D62" i="27"/>
  <c r="D95" i="27"/>
  <c r="H89" i="27"/>
  <c r="D56" i="27"/>
  <c r="D104" i="27"/>
  <c r="P64" i="39"/>
  <c r="P63" i="39"/>
  <c r="L64" i="39"/>
  <c r="L63" i="39"/>
  <c r="H35" i="39"/>
  <c r="F35" i="39"/>
  <c r="H27" i="39"/>
  <c r="F27" i="39"/>
  <c r="F64" i="39"/>
  <c r="H64" i="39"/>
  <c r="H10" i="39"/>
  <c r="F10" i="39"/>
  <c r="F63" i="39"/>
  <c r="H63" i="39"/>
  <c r="N51" i="39"/>
  <c r="N27" i="39"/>
  <c r="N42" i="39"/>
  <c r="N10" i="39"/>
  <c r="L10" i="39"/>
  <c r="L60" i="39"/>
  <c r="J60" i="39"/>
  <c r="L51" i="39"/>
  <c r="L42" i="39"/>
  <c r="L35" i="39"/>
  <c r="L27" i="39"/>
  <c r="H60" i="39"/>
  <c r="H51" i="39"/>
  <c r="H42" i="39"/>
  <c r="U24" i="16"/>
  <c r="V24" i="16" s="1"/>
  <c r="Q79" i="21"/>
  <c r="O14" i="21"/>
  <c r="G42" i="32" s="1"/>
  <c r="Q105" i="21"/>
  <c r="O79" i="21"/>
  <c r="O57" i="21"/>
  <c r="D34" i="32"/>
  <c r="Q71" i="21"/>
  <c r="H90" i="27"/>
  <c r="O78" i="21"/>
  <c r="O71" i="21"/>
  <c r="G91" i="27"/>
  <c r="H91" i="27" s="1"/>
  <c r="Q72" i="21"/>
  <c r="H93" i="27"/>
  <c r="O72" i="21"/>
  <c r="D29" i="32"/>
  <c r="Q78" i="21"/>
  <c r="Q83" i="21" s="1"/>
  <c r="H75" i="27"/>
  <c r="P55" i="21"/>
  <c r="P48" i="21"/>
  <c r="Q51" i="21"/>
  <c r="G77" i="27"/>
  <c r="H77" i="27" s="1"/>
  <c r="D25" i="32"/>
  <c r="D42" i="32"/>
  <c r="J61" i="27"/>
  <c r="K62" i="27" s="1"/>
  <c r="O5" i="21"/>
  <c r="P5" i="21" s="1"/>
  <c r="P6" i="21"/>
  <c r="O13" i="21"/>
  <c r="F42" i="32" s="1"/>
  <c r="O10" i="21"/>
  <c r="P10" i="21" s="1"/>
  <c r="P9" i="21"/>
  <c r="O9" i="21"/>
  <c r="O48" i="21"/>
  <c r="D24" i="32"/>
  <c r="O51" i="21"/>
  <c r="N27" i="21"/>
  <c r="N34" i="21"/>
  <c r="N33" i="21"/>
  <c r="N32" i="21"/>
  <c r="D33" i="21"/>
  <c r="O93" i="21"/>
  <c r="D110" i="27"/>
  <c r="E36" i="32"/>
  <c r="E44" i="32" s="1"/>
  <c r="O83" i="21"/>
  <c r="P79" i="21"/>
  <c r="D92" i="27"/>
  <c r="D96" i="27"/>
  <c r="G26" i="32"/>
  <c r="G44" i="32" s="1"/>
  <c r="C79" i="27"/>
  <c r="D80" i="27" s="1"/>
  <c r="D74" i="27"/>
  <c r="O61" i="21"/>
  <c r="C48" i="27"/>
  <c r="D48" i="27" s="1"/>
  <c r="D43" i="27"/>
  <c r="D44" i="27"/>
  <c r="J11" i="16"/>
  <c r="C45" i="27"/>
  <c r="D45" i="27" s="1"/>
  <c r="D43" i="32"/>
  <c r="C41" i="27"/>
  <c r="C32" i="27"/>
  <c r="D32" i="27" s="1"/>
  <c r="C27" i="27"/>
  <c r="D27" i="27" s="1"/>
  <c r="H10" i="16"/>
  <c r="F13" i="16"/>
  <c r="D8" i="27"/>
  <c r="C14" i="27"/>
  <c r="D13" i="27"/>
  <c r="O61" i="16"/>
  <c r="C91" i="21"/>
  <c r="D91" i="21" s="1"/>
  <c r="D35" i="21"/>
  <c r="F6" i="35"/>
  <c r="F9" i="35"/>
  <c r="F7" i="35"/>
  <c r="P11" i="21"/>
  <c r="G7" i="35"/>
  <c r="C25" i="35"/>
  <c r="C13" i="35"/>
  <c r="A66" i="21"/>
  <c r="A38" i="21"/>
  <c r="A94" i="21" s="1"/>
  <c r="A64" i="21"/>
  <c r="A36" i="21"/>
  <c r="A92" i="21" s="1"/>
  <c r="A45" i="21"/>
  <c r="A73" i="21"/>
  <c r="A65" i="21"/>
  <c r="K16" i="21"/>
  <c r="A34" i="21"/>
  <c r="A90" i="21" s="1"/>
  <c r="A29" i="35"/>
  <c r="K17" i="21"/>
  <c r="K82" i="21" s="1"/>
  <c r="B61" i="27"/>
  <c r="B93" i="27" s="1"/>
  <c r="B109" i="27" s="1"/>
  <c r="A16" i="21"/>
  <c r="K10" i="21"/>
  <c r="B12" i="27"/>
  <c r="B28" i="27" s="1"/>
  <c r="B44" i="27" s="1"/>
  <c r="B60" i="27" s="1"/>
  <c r="B92" i="27" s="1"/>
  <c r="B108" i="27" s="1"/>
  <c r="B64" i="27"/>
  <c r="B96" i="27" s="1"/>
  <c r="B112" i="27" s="1"/>
  <c r="A26" i="35"/>
  <c r="B10" i="27"/>
  <c r="B26" i="27" s="1"/>
  <c r="B42" i="27" s="1"/>
  <c r="B58" i="27" s="1"/>
  <c r="B90" i="27" s="1"/>
  <c r="B106" i="27" s="1"/>
  <c r="C106" i="41"/>
  <c r="C107" i="41" s="1"/>
  <c r="C108" i="41" s="1"/>
  <c r="C109" i="41" s="1"/>
  <c r="C110" i="41" s="1"/>
  <c r="C111" i="41" s="1"/>
  <c r="C112" i="41" s="1"/>
  <c r="C113" i="41" s="1"/>
  <c r="C114" i="41" s="1"/>
  <c r="C115" i="41" s="1"/>
  <c r="C116" i="41" s="1"/>
  <c r="L13" i="37"/>
  <c r="L10" i="37"/>
  <c r="L4" i="37"/>
  <c r="L7" i="37"/>
  <c r="L6" i="37"/>
  <c r="L3" i="37"/>
  <c r="L11" i="37"/>
  <c r="J72" i="37"/>
  <c r="J79" i="37" s="1"/>
  <c r="L9" i="37"/>
  <c r="L5" i="37"/>
  <c r="D15" i="37"/>
  <c r="D21" i="37" s="1"/>
  <c r="L8" i="37"/>
  <c r="E54" i="37"/>
  <c r="C72" i="37"/>
  <c r="C79" i="37" s="1"/>
  <c r="I72" i="37"/>
  <c r="I79" i="37" s="1"/>
  <c r="B15" i="37"/>
  <c r="B77" i="37" s="1"/>
  <c r="C15" i="37"/>
  <c r="C77" i="37" s="1"/>
  <c r="E15" i="37"/>
  <c r="E77" i="37" s="1"/>
  <c r="G15" i="37"/>
  <c r="G77" i="37" s="1"/>
  <c r="H15" i="37"/>
  <c r="H77" i="37" s="1"/>
  <c r="I15" i="37"/>
  <c r="I21" i="37" s="1"/>
  <c r="J15" i="37"/>
  <c r="J77" i="37" s="1"/>
  <c r="K72" i="37"/>
  <c r="K79" i="37" s="1"/>
  <c r="C54" i="37"/>
  <c r="E78" i="37"/>
  <c r="F54" i="37"/>
  <c r="G78" i="37"/>
  <c r="I54" i="37"/>
  <c r="J78" i="37"/>
  <c r="K78" i="37"/>
  <c r="G72" i="37"/>
  <c r="G79" i="37" s="1"/>
  <c r="L12" i="37"/>
  <c r="K15" i="37"/>
  <c r="E72" i="37"/>
  <c r="E79" i="37" s="1"/>
  <c r="D72" i="37"/>
  <c r="D79" i="37" s="1"/>
  <c r="F72" i="37"/>
  <c r="F79" i="37" s="1"/>
  <c r="E34" i="21"/>
  <c r="E62" i="21" s="1"/>
  <c r="C43" i="35"/>
  <c r="D43" i="35" s="1"/>
  <c r="F43" i="35" s="1"/>
  <c r="F5" i="21"/>
  <c r="E33" i="21"/>
  <c r="F33" i="21" s="1"/>
  <c r="E7" i="21"/>
  <c r="F7" i="21" s="1"/>
  <c r="G7" i="21" s="1"/>
  <c r="E8" i="21"/>
  <c r="F8" i="21" s="1"/>
  <c r="E9" i="21"/>
  <c r="E10" i="21"/>
  <c r="E11" i="21"/>
  <c r="E12" i="21"/>
  <c r="E13" i="21"/>
  <c r="E14" i="21"/>
  <c r="D26" i="27"/>
  <c r="D25" i="27"/>
  <c r="K20" i="16"/>
  <c r="C65" i="27"/>
  <c r="D65" i="27" s="1"/>
  <c r="K24" i="16"/>
  <c r="B82" i="27"/>
  <c r="B66" i="27"/>
  <c r="B98" i="27" s="1"/>
  <c r="B114" i="27" s="1"/>
  <c r="B81" i="27"/>
  <c r="B65" i="27"/>
  <c r="B97" i="27" s="1"/>
  <c r="B113" i="27" s="1"/>
  <c r="D14" i="21"/>
  <c r="C42" i="21"/>
  <c r="C41" i="21"/>
  <c r="D13" i="21"/>
  <c r="B45" i="35"/>
  <c r="C26" i="35"/>
  <c r="C27" i="35"/>
  <c r="B59" i="27"/>
  <c r="B91" i="27" s="1"/>
  <c r="B107" i="27" s="1"/>
  <c r="B75" i="27"/>
  <c r="B73" i="27"/>
  <c r="B57" i="27"/>
  <c r="B89" i="27" s="1"/>
  <c r="B105" i="27" s="1"/>
  <c r="F15" i="35"/>
  <c r="B33" i="35"/>
  <c r="E15" i="35"/>
  <c r="G15" i="35"/>
  <c r="D14" i="35"/>
  <c r="C63" i="21"/>
  <c r="D63" i="21" s="1"/>
  <c r="E8" i="35"/>
  <c r="A15" i="21"/>
  <c r="O76" i="21"/>
  <c r="B78" i="27"/>
  <c r="J66" i="39"/>
  <c r="J65" i="39"/>
  <c r="A35" i="21"/>
  <c r="A91" i="21" s="1"/>
  <c r="D72" i="27"/>
  <c r="C106" i="27"/>
  <c r="D106" i="27" s="1"/>
  <c r="R10" i="16"/>
  <c r="O96" i="21"/>
  <c r="Q96" i="21"/>
  <c r="C10" i="21"/>
  <c r="C38" i="21" s="1"/>
  <c r="D12" i="35"/>
  <c r="C12" i="21"/>
  <c r="E17" i="21"/>
  <c r="F78" i="37"/>
  <c r="A68" i="21"/>
  <c r="A40" i="21"/>
  <c r="A96" i="21" s="1"/>
  <c r="P10" i="16"/>
  <c r="C90" i="27"/>
  <c r="Q55" i="21"/>
  <c r="E24" i="32"/>
  <c r="C89" i="21"/>
  <c r="D89" i="21" s="1"/>
  <c r="E9" i="35"/>
  <c r="I78" i="37"/>
  <c r="B7" i="27"/>
  <c r="B23" i="27" s="1"/>
  <c r="B39" i="27" s="1"/>
  <c r="A61" i="21"/>
  <c r="T9" i="16"/>
  <c r="C75" i="27"/>
  <c r="D75" i="27" s="1"/>
  <c r="N10" i="16"/>
  <c r="N11" i="16"/>
  <c r="N17" i="16" s="1"/>
  <c r="M19" i="16" s="1"/>
  <c r="O54" i="21"/>
  <c r="P54" i="21"/>
  <c r="G43" i="32"/>
  <c r="E42" i="32"/>
  <c r="P12" i="21"/>
  <c r="F15" i="37"/>
  <c r="G79" i="27"/>
  <c r="H79" i="27" s="1"/>
  <c r="B56" i="27"/>
  <c r="B88" i="27" s="1"/>
  <c r="B104" i="27" s="1"/>
  <c r="B72" i="27"/>
  <c r="B78" i="37"/>
  <c r="B54" i="37"/>
  <c r="H78" i="37"/>
  <c r="H54" i="37"/>
  <c r="C39" i="21"/>
  <c r="C44" i="35"/>
  <c r="N64" i="39"/>
  <c r="C78" i="37"/>
  <c r="A27" i="35"/>
  <c r="A9" i="35"/>
  <c r="K8" i="21"/>
  <c r="C9" i="27"/>
  <c r="F8" i="16"/>
  <c r="F17" i="16" s="1"/>
  <c r="E19" i="16" s="1"/>
  <c r="F43" i="32"/>
  <c r="K54" i="37"/>
  <c r="B44" i="35"/>
  <c r="E25" i="35"/>
  <c r="N63" i="39"/>
  <c r="R9" i="16"/>
  <c r="G73" i="27"/>
  <c r="H73" i="27" s="1"/>
  <c r="Q50" i="21"/>
  <c r="P50" i="21"/>
  <c r="N48" i="27"/>
  <c r="C9" i="21"/>
  <c r="D10" i="35"/>
  <c r="V10" i="16"/>
  <c r="V9" i="16"/>
  <c r="L14" i="21"/>
  <c r="P14" i="21" s="1"/>
  <c r="C36" i="21"/>
  <c r="P9" i="16"/>
  <c r="O49" i="21"/>
  <c r="N36" i="21"/>
  <c r="N41" i="21" s="1"/>
  <c r="H9" i="16"/>
  <c r="H8" i="16"/>
  <c r="H17" i="16" s="1"/>
  <c r="G19" i="16" s="1"/>
  <c r="C61" i="21"/>
  <c r="D61" i="21" s="1"/>
  <c r="G8" i="35"/>
  <c r="N60" i="39"/>
  <c r="J54" i="37"/>
  <c r="V25" i="16"/>
  <c r="E16" i="32"/>
  <c r="E43" i="32" s="1"/>
  <c r="J13" i="16"/>
  <c r="J17" i="16" s="1"/>
  <c r="I19" i="16" s="1"/>
  <c r="C46" i="27"/>
  <c r="M103" i="21"/>
  <c r="K57" i="27"/>
  <c r="N40" i="27"/>
  <c r="D54" i="37"/>
  <c r="D78" i="37"/>
  <c r="B72" i="37"/>
  <c r="B79" i="37" s="1"/>
  <c r="F8" i="35"/>
  <c r="Q76" i="21"/>
  <c r="G54" i="37"/>
  <c r="D29" i="27"/>
  <c r="B15" i="27"/>
  <c r="B31" i="27" s="1"/>
  <c r="B47" i="27" s="1"/>
  <c r="A32" i="35"/>
  <c r="A13" i="21"/>
  <c r="H72" i="37"/>
  <c r="H79" i="37" s="1"/>
  <c r="P17" i="16"/>
  <c r="O19" i="16" s="1"/>
  <c r="D105" i="27"/>
  <c r="K59" i="27"/>
  <c r="P61" i="21"/>
  <c r="N42" i="27"/>
  <c r="R8" i="16"/>
  <c r="Q94" i="21"/>
  <c r="N30" i="21"/>
  <c r="P53" i="21"/>
  <c r="P78" i="21"/>
  <c r="P83" i="21" s="1"/>
  <c r="O8" i="21"/>
  <c r="P8" i="21" s="1"/>
  <c r="C108" i="27"/>
  <c r="D108" i="27" s="1"/>
  <c r="Q93" i="21"/>
  <c r="O7" i="21"/>
  <c r="P7" i="21" s="1"/>
  <c r="J60" i="27"/>
  <c r="K60" i="27" s="1"/>
  <c r="J14" i="16"/>
  <c r="Q49" i="21"/>
  <c r="Q97" i="21"/>
  <c r="F36" i="32"/>
  <c r="F44" i="32" s="1"/>
  <c r="M46" i="27"/>
  <c r="G80" i="27"/>
  <c r="S19" i="16"/>
  <c r="M45" i="27"/>
  <c r="N45" i="27" s="1"/>
  <c r="J63" i="27"/>
  <c r="K63" i="27" s="1"/>
  <c r="R7" i="16"/>
  <c r="J64" i="27"/>
  <c r="C111" i="27"/>
  <c r="D111" i="27" s="1"/>
  <c r="P49" i="21"/>
  <c r="C6" i="21"/>
  <c r="O52" i="21"/>
  <c r="Q57" i="21"/>
  <c r="Q53" i="21"/>
  <c r="O91" i="21"/>
  <c r="O99" i="21"/>
  <c r="O105" i="21" s="1"/>
  <c r="L103" i="21" s="1"/>
  <c r="O103" i="21" s="1"/>
  <c r="N28" i="21"/>
  <c r="O53" i="21"/>
  <c r="P52" i="21"/>
  <c r="F65" i="39" l="1"/>
  <c r="K64" i="27"/>
  <c r="D79" i="27"/>
  <c r="B74" i="27"/>
  <c r="H92" i="27"/>
  <c r="F66" i="39"/>
  <c r="H78" i="27"/>
  <c r="L66" i="39"/>
  <c r="H65" i="39"/>
  <c r="H66" i="39"/>
  <c r="H74" i="27"/>
  <c r="H80" i="27"/>
  <c r="P13" i="21"/>
  <c r="D109" i="27"/>
  <c r="D41" i="27"/>
  <c r="D42" i="27"/>
  <c r="D28" i="27"/>
  <c r="D14" i="27"/>
  <c r="D15" i="27"/>
  <c r="P19" i="21"/>
  <c r="M39" i="21" s="1"/>
  <c r="N39" i="21" s="1"/>
  <c r="B76" i="27"/>
  <c r="A72" i="21"/>
  <c r="A44" i="21"/>
  <c r="A100" i="21" s="1"/>
  <c r="D116" i="41"/>
  <c r="L29" i="41" s="1"/>
  <c r="M29" i="41" s="1"/>
  <c r="E116" i="41"/>
  <c r="G30" i="41" s="1"/>
  <c r="H30" i="41" s="1"/>
  <c r="C117" i="41" s="1"/>
  <c r="D77" i="37"/>
  <c r="H21" i="37"/>
  <c r="G21" i="37"/>
  <c r="L15" i="37"/>
  <c r="J21" i="37"/>
  <c r="I77" i="37"/>
  <c r="E21" i="37"/>
  <c r="B21" i="37"/>
  <c r="C21" i="37"/>
  <c r="K77" i="37"/>
  <c r="E43" i="35"/>
  <c r="G43" i="35"/>
  <c r="E90" i="21"/>
  <c r="F13" i="21"/>
  <c r="G13" i="21" s="1"/>
  <c r="G8" i="21"/>
  <c r="E42" i="21"/>
  <c r="D33" i="35"/>
  <c r="D32" i="35"/>
  <c r="E41" i="21"/>
  <c r="E89" i="21"/>
  <c r="F89" i="21" s="1"/>
  <c r="G89" i="21" s="1"/>
  <c r="E61" i="21"/>
  <c r="F61" i="21" s="1"/>
  <c r="E40" i="21"/>
  <c r="D31" i="35"/>
  <c r="G5" i="21"/>
  <c r="D30" i="35"/>
  <c r="E39" i="21"/>
  <c r="F11" i="21"/>
  <c r="D29" i="35"/>
  <c r="E38" i="21"/>
  <c r="E15" i="21"/>
  <c r="D34" i="35" s="1"/>
  <c r="F14" i="21"/>
  <c r="D28" i="35"/>
  <c r="E37" i="21"/>
  <c r="G33" i="21"/>
  <c r="E36" i="21"/>
  <c r="D27" i="35"/>
  <c r="E35" i="21"/>
  <c r="D26" i="35"/>
  <c r="M20" i="16"/>
  <c r="C81" i="27"/>
  <c r="D81" i="27" s="1"/>
  <c r="M24" i="16"/>
  <c r="G20" i="16"/>
  <c r="G25" i="16" s="1"/>
  <c r="G24" i="16"/>
  <c r="H16" i="32"/>
  <c r="I20" i="16"/>
  <c r="I25" i="16" s="1"/>
  <c r="I24" i="16"/>
  <c r="K61" i="27"/>
  <c r="R17" i="16"/>
  <c r="Q19" i="16" s="1"/>
  <c r="B52" i="35"/>
  <c r="D42" i="21"/>
  <c r="C98" i="21"/>
  <c r="D98" i="21" s="1"/>
  <c r="D99" i="21" s="1"/>
  <c r="C70" i="21"/>
  <c r="D70" i="21" s="1"/>
  <c r="H21" i="32"/>
  <c r="L24" i="16"/>
  <c r="S20" i="16"/>
  <c r="S25" i="16" s="1"/>
  <c r="S24" i="16"/>
  <c r="T24" i="16" s="1"/>
  <c r="B79" i="27"/>
  <c r="B63" i="27"/>
  <c r="B95" i="27" s="1"/>
  <c r="B111" i="27" s="1"/>
  <c r="D107" i="27"/>
  <c r="C66" i="21"/>
  <c r="D66" i="21" s="1"/>
  <c r="C94" i="21"/>
  <c r="D94" i="21" s="1"/>
  <c r="D38" i="21"/>
  <c r="D41" i="21"/>
  <c r="C69" i="21"/>
  <c r="D69" i="21" s="1"/>
  <c r="C97" i="21"/>
  <c r="D97" i="21" s="1"/>
  <c r="E44" i="35"/>
  <c r="D44" i="35"/>
  <c r="G44" i="35"/>
  <c r="O20" i="16"/>
  <c r="O25" i="16" s="1"/>
  <c r="O24" i="16"/>
  <c r="F12" i="35"/>
  <c r="G12" i="35"/>
  <c r="E13" i="35"/>
  <c r="E12" i="35"/>
  <c r="B30" i="35"/>
  <c r="Q61" i="21"/>
  <c r="D10" i="21"/>
  <c r="A69" i="21"/>
  <c r="A41" i="21"/>
  <c r="A97" i="21" s="1"/>
  <c r="D112" i="27"/>
  <c r="C40" i="21"/>
  <c r="D12" i="21"/>
  <c r="F12" i="21" s="1"/>
  <c r="C66" i="27"/>
  <c r="D66" i="27" s="1"/>
  <c r="K25" i="16"/>
  <c r="F21" i="37"/>
  <c r="F77" i="37"/>
  <c r="B71" i="27"/>
  <c r="B55" i="27"/>
  <c r="B87" i="27" s="1"/>
  <c r="B103" i="27" s="1"/>
  <c r="F14" i="35"/>
  <c r="E14" i="35"/>
  <c r="B32" i="35"/>
  <c r="C33" i="35" s="1"/>
  <c r="G14" i="35"/>
  <c r="N65" i="39"/>
  <c r="C95" i="21"/>
  <c r="D95" i="21" s="1"/>
  <c r="C67" i="21"/>
  <c r="D67" i="21" s="1"/>
  <c r="D39" i="21"/>
  <c r="D46" i="27"/>
  <c r="D47" i="27"/>
  <c r="N46" i="27"/>
  <c r="N47" i="27"/>
  <c r="D91" i="27"/>
  <c r="D90" i="27"/>
  <c r="L65" i="39"/>
  <c r="N66" i="39"/>
  <c r="D76" i="27"/>
  <c r="C34" i="21"/>
  <c r="D6" i="21"/>
  <c r="F6" i="21" s="1"/>
  <c r="P103" i="21"/>
  <c r="Q103" i="21"/>
  <c r="G10" i="35"/>
  <c r="F10" i="35"/>
  <c r="B28" i="35"/>
  <c r="E10" i="35"/>
  <c r="E11" i="35"/>
  <c r="E24" i="16"/>
  <c r="E20" i="16"/>
  <c r="E25" i="16" s="1"/>
  <c r="E16" i="21"/>
  <c r="C92" i="21"/>
  <c r="D92" i="21" s="1"/>
  <c r="C64" i="21"/>
  <c r="D64" i="21" s="1"/>
  <c r="D36" i="21"/>
  <c r="C37" i="21"/>
  <c r="D9" i="21"/>
  <c r="F9" i="21" s="1"/>
  <c r="D9" i="27"/>
  <c r="D10" i="27"/>
  <c r="A43" i="21"/>
  <c r="A99" i="21" s="1"/>
  <c r="A71" i="21"/>
  <c r="E45" i="21"/>
  <c r="C118" i="41" l="1"/>
  <c r="C119" i="41" s="1"/>
  <c r="C120" i="41" s="1"/>
  <c r="C121" i="41" s="1"/>
  <c r="C122" i="41" s="1"/>
  <c r="C123" i="41" s="1"/>
  <c r="C124" i="41" s="1"/>
  <c r="C125" i="41" s="1"/>
  <c r="C126" i="41" s="1"/>
  <c r="C127" i="41" s="1"/>
  <c r="C128" i="41" s="1"/>
  <c r="D128" i="41" s="1"/>
  <c r="L30" i="41" s="1"/>
  <c r="M30" i="41" s="1"/>
  <c r="F42" i="21"/>
  <c r="E34" i="35"/>
  <c r="F36" i="21"/>
  <c r="G36" i="21" s="1"/>
  <c r="E43" i="21"/>
  <c r="E71" i="21" s="1"/>
  <c r="E99" i="21" s="1"/>
  <c r="G61" i="21"/>
  <c r="E31" i="35"/>
  <c r="C50" i="35"/>
  <c r="C47" i="35"/>
  <c r="E28" i="35"/>
  <c r="E68" i="21"/>
  <c r="E96" i="21"/>
  <c r="E94" i="21"/>
  <c r="F94" i="21" s="1"/>
  <c r="G94" i="21" s="1"/>
  <c r="E66" i="21"/>
  <c r="F66" i="21" s="1"/>
  <c r="E97" i="21"/>
  <c r="F97" i="21" s="1"/>
  <c r="E69" i="21"/>
  <c r="F69" i="21" s="1"/>
  <c r="E65" i="21"/>
  <c r="E93" i="21"/>
  <c r="E32" i="35"/>
  <c r="C51" i="35"/>
  <c r="E33" i="35"/>
  <c r="C52" i="35"/>
  <c r="E52" i="35" s="1"/>
  <c r="E30" i="35"/>
  <c r="C49" i="35"/>
  <c r="E70" i="21"/>
  <c r="F70" i="21" s="1"/>
  <c r="G70" i="21" s="1"/>
  <c r="E98" i="21"/>
  <c r="F98" i="21" s="1"/>
  <c r="G98" i="21" s="1"/>
  <c r="C48" i="35"/>
  <c r="E29" i="35"/>
  <c r="G11" i="21"/>
  <c r="E64" i="21"/>
  <c r="F64" i="21" s="1"/>
  <c r="E92" i="21"/>
  <c r="F92" i="21" s="1"/>
  <c r="G92" i="21" s="1"/>
  <c r="G14" i="21"/>
  <c r="C45" i="35"/>
  <c r="E26" i="35"/>
  <c r="E63" i="21"/>
  <c r="F63" i="21" s="1"/>
  <c r="F35" i="21"/>
  <c r="E91" i="21"/>
  <c r="F91" i="21" s="1"/>
  <c r="G91" i="21" s="1"/>
  <c r="E27" i="35"/>
  <c r="C46" i="35"/>
  <c r="E67" i="21"/>
  <c r="F67" i="21" s="1"/>
  <c r="G67" i="21" s="1"/>
  <c r="E95" i="21"/>
  <c r="F95" i="21" s="1"/>
  <c r="F39" i="21"/>
  <c r="F41" i="21"/>
  <c r="B110" i="21"/>
  <c r="J24" i="16"/>
  <c r="B82" i="21"/>
  <c r="C49" i="27"/>
  <c r="D49" i="27" s="1"/>
  <c r="F44" i="35"/>
  <c r="C50" i="27"/>
  <c r="I16" i="32"/>
  <c r="B83" i="21"/>
  <c r="J25" i="16"/>
  <c r="M80" i="21"/>
  <c r="M58" i="21"/>
  <c r="L25" i="16"/>
  <c r="I21" i="32"/>
  <c r="C30" i="35"/>
  <c r="C31" i="35"/>
  <c r="B49" i="35"/>
  <c r="H24" i="16"/>
  <c r="B54" i="21"/>
  <c r="H11" i="32"/>
  <c r="C33" i="27"/>
  <c r="D33" i="27" s="1"/>
  <c r="G9" i="21"/>
  <c r="T25" i="16"/>
  <c r="I11" i="32"/>
  <c r="B55" i="21"/>
  <c r="H25" i="16"/>
  <c r="C34" i="27"/>
  <c r="C17" i="27"/>
  <c r="D17" i="27" s="1"/>
  <c r="H7" i="32"/>
  <c r="B26" i="21"/>
  <c r="F24" i="16"/>
  <c r="C29" i="35"/>
  <c r="B47" i="35"/>
  <c r="C28" i="35"/>
  <c r="C65" i="21"/>
  <c r="D65" i="21" s="1"/>
  <c r="D37" i="21"/>
  <c r="F37" i="21" s="1"/>
  <c r="C93" i="21"/>
  <c r="D93" i="21" s="1"/>
  <c r="G12" i="21"/>
  <c r="I31" i="32"/>
  <c r="N81" i="21"/>
  <c r="L81" i="21" s="1"/>
  <c r="N82" i="21"/>
  <c r="P25" i="16"/>
  <c r="C98" i="27"/>
  <c r="D35" i="35"/>
  <c r="E35" i="35" s="1"/>
  <c r="E44" i="21"/>
  <c r="G6" i="21"/>
  <c r="N101" i="21"/>
  <c r="Q20" i="16"/>
  <c r="Q24" i="16"/>
  <c r="D40" i="21"/>
  <c r="F40" i="21" s="1"/>
  <c r="C96" i="21"/>
  <c r="D96" i="21" s="1"/>
  <c r="C68" i="21"/>
  <c r="D68" i="21" s="1"/>
  <c r="C62" i="21"/>
  <c r="D62" i="21" s="1"/>
  <c r="F62" i="21" s="1"/>
  <c r="C90" i="21"/>
  <c r="D90" i="21" s="1"/>
  <c r="F90" i="21" s="1"/>
  <c r="G90" i="21" s="1"/>
  <c r="D34" i="21"/>
  <c r="F34" i="21" s="1"/>
  <c r="C32" i="35"/>
  <c r="B51" i="35"/>
  <c r="D43" i="21"/>
  <c r="F38" i="21"/>
  <c r="H26" i="32"/>
  <c r="N24" i="16"/>
  <c r="N58" i="21"/>
  <c r="L58" i="21" s="1"/>
  <c r="B27" i="21"/>
  <c r="I7" i="32"/>
  <c r="F25" i="16"/>
  <c r="C18" i="27"/>
  <c r="D15" i="21"/>
  <c r="F10" i="21"/>
  <c r="H31" i="32"/>
  <c r="N80" i="21"/>
  <c r="L80" i="21" s="1"/>
  <c r="C97" i="27"/>
  <c r="D97" i="27" s="1"/>
  <c r="P24" i="16"/>
  <c r="C82" i="27"/>
  <c r="D82" i="27" s="1"/>
  <c r="M25" i="16"/>
  <c r="E101" i="21"/>
  <c r="E73" i="21"/>
  <c r="D50" i="27" l="1"/>
  <c r="G95" i="21"/>
  <c r="D41" i="32"/>
  <c r="D34" i="27"/>
  <c r="I43" i="32"/>
  <c r="E128" i="41"/>
  <c r="G31" i="41" s="1"/>
  <c r="H31" i="41" s="1"/>
  <c r="C129" i="41"/>
  <c r="G42" i="21"/>
  <c r="G97" i="21"/>
  <c r="F41" i="32"/>
  <c r="F65" i="21"/>
  <c r="G39" i="21"/>
  <c r="G52" i="35"/>
  <c r="G41" i="21"/>
  <c r="D52" i="35"/>
  <c r="F52" i="35" s="1"/>
  <c r="F93" i="21"/>
  <c r="G93" i="21" s="1"/>
  <c r="G64" i="21"/>
  <c r="G69" i="21"/>
  <c r="G41" i="32"/>
  <c r="G35" i="21"/>
  <c r="G50" i="35"/>
  <c r="D50" i="35"/>
  <c r="F50" i="35" s="1"/>
  <c r="E50" i="35"/>
  <c r="D46" i="35"/>
  <c r="F46" i="35" s="1"/>
  <c r="E46" i="35"/>
  <c r="G46" i="35"/>
  <c r="F96" i="21"/>
  <c r="E41" i="32" s="1"/>
  <c r="G63" i="21"/>
  <c r="F68" i="21"/>
  <c r="G68" i="21" s="1"/>
  <c r="G48" i="35"/>
  <c r="D48" i="35"/>
  <c r="F48" i="35" s="1"/>
  <c r="E48" i="35"/>
  <c r="E45" i="35"/>
  <c r="D45" i="35"/>
  <c r="F45" i="35" s="1"/>
  <c r="G45" i="35"/>
  <c r="G40" i="21"/>
  <c r="L82" i="21"/>
  <c r="O82" i="21" s="1"/>
  <c r="M82" i="21"/>
  <c r="D16" i="21"/>
  <c r="F15" i="21"/>
  <c r="G15" i="21" s="1"/>
  <c r="C26" i="21" s="1"/>
  <c r="D26" i="21" s="1"/>
  <c r="G26" i="21" s="1"/>
  <c r="M81" i="21"/>
  <c r="H29" i="32"/>
  <c r="O80" i="21"/>
  <c r="O81" i="21"/>
  <c r="I29" i="32"/>
  <c r="D44" i="21"/>
  <c r="D45" i="21" s="1"/>
  <c r="F45" i="21" s="1"/>
  <c r="G45" i="21" s="1"/>
  <c r="F43" i="21"/>
  <c r="G43" i="21" s="1"/>
  <c r="C54" i="21" s="1"/>
  <c r="D54" i="21" s="1"/>
  <c r="N102" i="21"/>
  <c r="Q25" i="16"/>
  <c r="D18" i="27"/>
  <c r="L101" i="21"/>
  <c r="P101" i="21"/>
  <c r="G36" i="35"/>
  <c r="G37" i="35"/>
  <c r="G10" i="21"/>
  <c r="D51" i="35"/>
  <c r="F51" i="35" s="1"/>
  <c r="E51" i="35"/>
  <c r="G51" i="35"/>
  <c r="D47" i="35"/>
  <c r="G47" i="35"/>
  <c r="E47" i="35"/>
  <c r="N25" i="16"/>
  <c r="N59" i="21"/>
  <c r="L59" i="21" s="1"/>
  <c r="I26" i="32"/>
  <c r="G38" i="21"/>
  <c r="G66" i="21"/>
  <c r="G34" i="21"/>
  <c r="G37" i="21"/>
  <c r="C113" i="27"/>
  <c r="D113" i="27" s="1"/>
  <c r="R24" i="16"/>
  <c r="H36" i="32"/>
  <c r="H44" i="32" s="1"/>
  <c r="E49" i="35"/>
  <c r="D49" i="35"/>
  <c r="F49" i="35" s="1"/>
  <c r="G49" i="35"/>
  <c r="H24" i="32"/>
  <c r="O58" i="21"/>
  <c r="M59" i="21"/>
  <c r="D71" i="21"/>
  <c r="E72" i="21"/>
  <c r="H81" i="27"/>
  <c r="Q58" i="21"/>
  <c r="H25" i="32"/>
  <c r="P58" i="21"/>
  <c r="G62" i="21"/>
  <c r="H97" i="27"/>
  <c r="H30" i="32"/>
  <c r="P80" i="21"/>
  <c r="Q80" i="21"/>
  <c r="D98" i="27"/>
  <c r="H43" i="32"/>
  <c r="D16" i="35"/>
  <c r="E16" i="35" s="1"/>
  <c r="F99" i="21" l="1"/>
  <c r="F44" i="21"/>
  <c r="G44" i="21" s="1"/>
  <c r="C55" i="21" s="1"/>
  <c r="D55" i="21" s="1"/>
  <c r="C130" i="41"/>
  <c r="C131" i="41" s="1"/>
  <c r="C132" i="41" s="1"/>
  <c r="C133" i="41" s="1"/>
  <c r="C134" i="41" s="1"/>
  <c r="C135" i="41" s="1"/>
  <c r="C136" i="41" s="1"/>
  <c r="C137" i="41" s="1"/>
  <c r="C138" i="41" s="1"/>
  <c r="C139" i="41" s="1"/>
  <c r="C140" i="41" s="1"/>
  <c r="G96" i="21"/>
  <c r="G65" i="21"/>
  <c r="G54" i="21"/>
  <c r="H10" i="32" s="1"/>
  <c r="F47" i="35"/>
  <c r="F53" i="35" s="1"/>
  <c r="D53" i="35"/>
  <c r="H6" i="32"/>
  <c r="C114" i="27"/>
  <c r="D114" i="27" s="1"/>
  <c r="R25" i="16"/>
  <c r="I36" i="32"/>
  <c r="I44" i="32" s="1"/>
  <c r="E100" i="21"/>
  <c r="L102" i="21"/>
  <c r="P102" i="21"/>
  <c r="D17" i="21"/>
  <c r="F17" i="21" s="1"/>
  <c r="G17" i="21" s="1"/>
  <c r="F16" i="21"/>
  <c r="D72" i="21"/>
  <c r="F72" i="21" s="1"/>
  <c r="G72" i="21" s="1"/>
  <c r="C83" i="21" s="1"/>
  <c r="D83" i="21" s="1"/>
  <c r="F71" i="21"/>
  <c r="G71" i="21" s="1"/>
  <c r="C82" i="21" s="1"/>
  <c r="D82" i="21" s="1"/>
  <c r="G82" i="21" s="1"/>
  <c r="H98" i="27"/>
  <c r="I30" i="32"/>
  <c r="Q81" i="21"/>
  <c r="P81" i="21"/>
  <c r="H82" i="27"/>
  <c r="I25" i="32"/>
  <c r="Q59" i="21"/>
  <c r="P59" i="21"/>
  <c r="O59" i="21"/>
  <c r="I24" i="32"/>
  <c r="P82" i="21"/>
  <c r="Q82" i="21"/>
  <c r="Q101" i="21"/>
  <c r="H34" i="32"/>
  <c r="O101" i="21"/>
  <c r="E53" i="35"/>
  <c r="G99" i="21" l="1"/>
  <c r="C110" i="21" s="1"/>
  <c r="D110" i="21" s="1"/>
  <c r="G110" i="21" s="1"/>
  <c r="G55" i="21"/>
  <c r="E140" i="41"/>
  <c r="G32" i="41" s="1"/>
  <c r="H32" i="41" s="1"/>
  <c r="C141" i="41" s="1"/>
  <c r="D140" i="41"/>
  <c r="L31" i="41" s="1"/>
  <c r="M31" i="41" s="1"/>
  <c r="H14" i="32"/>
  <c r="L15" i="21"/>
  <c r="O15" i="21" s="1"/>
  <c r="M49" i="27" s="1"/>
  <c r="N49" i="27" s="1"/>
  <c r="G83" i="21"/>
  <c r="I34" i="32"/>
  <c r="O102" i="21"/>
  <c r="Q102" i="21"/>
  <c r="F100" i="21"/>
  <c r="D17" i="35"/>
  <c r="E17" i="35" s="1"/>
  <c r="D101" i="21"/>
  <c r="D73" i="21"/>
  <c r="G16" i="21"/>
  <c r="C27" i="21" s="1"/>
  <c r="D27" i="21" s="1"/>
  <c r="G27" i="21" s="1"/>
  <c r="H19" i="32" l="1"/>
  <c r="L37" i="21"/>
  <c r="H41" i="32"/>
  <c r="I10" i="32"/>
  <c r="C142" i="41"/>
  <c r="C143" i="41" s="1"/>
  <c r="C144" i="41" s="1"/>
  <c r="C145" i="41" s="1"/>
  <c r="C146" i="41" s="1"/>
  <c r="C147" i="41" s="1"/>
  <c r="C148" i="41" s="1"/>
  <c r="C149" i="41" s="1"/>
  <c r="C150" i="41" s="1"/>
  <c r="C151" i="41" s="1"/>
  <c r="C152" i="41" s="1"/>
  <c r="D152" i="41"/>
  <c r="L32" i="41" s="1"/>
  <c r="M32" i="41" s="1"/>
  <c r="P15" i="21"/>
  <c r="H15" i="32"/>
  <c r="F101" i="21"/>
  <c r="F73" i="21"/>
  <c r="G100" i="21"/>
  <c r="C111" i="21" s="1"/>
  <c r="D111" i="21" s="1"/>
  <c r="G111" i="21" s="1"/>
  <c r="I6" i="32"/>
  <c r="I14" i="32"/>
  <c r="L16" i="21"/>
  <c r="O16" i="21" s="1"/>
  <c r="I19" i="32" l="1"/>
  <c r="I41" i="32" s="1"/>
  <c r="L38" i="21"/>
  <c r="M37" i="21"/>
  <c r="E152" i="41"/>
  <c r="G33" i="41" s="1"/>
  <c r="H33" i="41" s="1"/>
  <c r="C153" i="41" s="1"/>
  <c r="P16" i="21"/>
  <c r="I15" i="32"/>
  <c r="M50" i="27"/>
  <c r="N50" i="27" s="1"/>
  <c r="M38" i="21"/>
  <c r="L17" i="21"/>
  <c r="O17" i="21" s="1"/>
  <c r="P17" i="21" s="1"/>
  <c r="G73" i="21"/>
  <c r="G101" i="21"/>
  <c r="J65" i="27" l="1"/>
  <c r="K65" i="27" s="1"/>
  <c r="N37" i="21"/>
  <c r="H20" i="32"/>
  <c r="H42" i="32" s="1"/>
  <c r="C154" i="41"/>
  <c r="C155" i="41" s="1"/>
  <c r="C156" i="41" s="1"/>
  <c r="C157" i="41" s="1"/>
  <c r="C158" i="41" s="1"/>
  <c r="C159" i="41" s="1"/>
  <c r="C160" i="41" s="1"/>
  <c r="C161" i="41" s="1"/>
  <c r="C162" i="41" s="1"/>
  <c r="C163" i="41" s="1"/>
  <c r="C164" i="41" s="1"/>
  <c r="N38" i="21"/>
  <c r="I20" i="32"/>
  <c r="I42" i="32" s="1"/>
  <c r="J66" i="27"/>
  <c r="K66" i="27" s="1"/>
  <c r="E164" i="41" l="1"/>
  <c r="G34" i="41" s="1"/>
  <c r="H34" i="41" s="1"/>
  <c r="C165" i="41" s="1"/>
  <c r="D164" i="41"/>
  <c r="L33" i="41" s="1"/>
  <c r="M33" i="41" s="1"/>
  <c r="C166" i="41" l="1"/>
  <c r="C167" i="41" s="1"/>
  <c r="C168" i="41" s="1"/>
  <c r="C169" i="41" s="1"/>
  <c r="C170" i="41" s="1"/>
  <c r="C171" i="41" s="1"/>
  <c r="C172" i="41" s="1"/>
  <c r="C173" i="41" s="1"/>
  <c r="C174" i="41" s="1"/>
  <c r="C175" i="41" s="1"/>
  <c r="C176" i="41" s="1"/>
  <c r="D176" i="41" l="1"/>
  <c r="L34" i="41" s="1"/>
  <c r="M34" i="41" s="1"/>
  <c r="E176" i="41"/>
  <c r="G35" i="41" s="1"/>
  <c r="H35" i="41" s="1"/>
  <c r="C177" i="41"/>
  <c r="C178" i="41" l="1"/>
  <c r="C179" i="41" s="1"/>
  <c r="C180" i="41" s="1"/>
  <c r="C181" i="41" s="1"/>
  <c r="C182" i="41" s="1"/>
  <c r="C183" i="41" s="1"/>
  <c r="C184" i="41" s="1"/>
  <c r="C185" i="41" s="1"/>
  <c r="C186" i="41" s="1"/>
  <c r="C187" i="41" s="1"/>
  <c r="C188" i="41" s="1"/>
  <c r="D188" i="41" l="1"/>
  <c r="L35" i="41" s="1"/>
  <c r="M35" i="41" s="1"/>
  <c r="E188" i="41"/>
  <c r="G36" i="41" s="1"/>
  <c r="H36" i="41" s="1"/>
  <c r="C189" i="41" s="1"/>
  <c r="C190" i="41" l="1"/>
  <c r="C191" i="41" s="1"/>
  <c r="C192" i="41" s="1"/>
  <c r="C193" i="41" s="1"/>
  <c r="C194" i="41" s="1"/>
  <c r="C195" i="41" s="1"/>
  <c r="C196" i="41" s="1"/>
  <c r="C197" i="41" s="1"/>
  <c r="C198" i="41" s="1"/>
  <c r="C199" i="41" s="1"/>
  <c r="C200" i="41" s="1"/>
  <c r="D200" i="41" l="1"/>
  <c r="L36" i="41" s="1"/>
  <c r="M36" i="41" s="1"/>
  <c r="E200" i="41"/>
  <c r="G37" i="41" s="1"/>
  <c r="H37" i="41" s="1"/>
  <c r="C201" i="41" s="1"/>
  <c r="C202" i="41" l="1"/>
  <c r="C203" i="41" s="1"/>
  <c r="C204" i="41" s="1"/>
  <c r="C205" i="41" s="1"/>
  <c r="C206" i="41" s="1"/>
  <c r="C207" i="41" s="1"/>
  <c r="C208" i="41" s="1"/>
  <c r="C209" i="41" s="1"/>
  <c r="C210" i="41" s="1"/>
  <c r="C211" i="41" s="1"/>
  <c r="C212" i="41" s="1"/>
  <c r="D212" i="41" l="1"/>
  <c r="L37" i="41" s="1"/>
  <c r="M37" i="41" s="1"/>
  <c r="E212" i="41"/>
  <c r="G38" i="41" s="1"/>
  <c r="H38" i="41" s="1"/>
  <c r="C213" i="41" s="1"/>
  <c r="C214" i="41" l="1"/>
  <c r="C215" i="41" s="1"/>
  <c r="C216" i="41" s="1"/>
  <c r="C217" i="41" s="1"/>
  <c r="C218" i="41" s="1"/>
  <c r="C219" i="41" s="1"/>
  <c r="C220" i="41" s="1"/>
  <c r="C221" i="41" s="1"/>
  <c r="C222" i="41" s="1"/>
  <c r="C223" i="41" s="1"/>
  <c r="C224" i="41" s="1"/>
  <c r="D224" i="41" l="1"/>
  <c r="L38" i="41" s="1"/>
  <c r="M38" i="41" s="1"/>
  <c r="E224" i="41"/>
  <c r="G39" i="41" s="1"/>
  <c r="H39" i="41" s="1"/>
  <c r="C225" i="41" s="1"/>
  <c r="C226" i="41" l="1"/>
  <c r="C227" i="41" s="1"/>
  <c r="C228" i="41" s="1"/>
  <c r="C229" i="41" s="1"/>
  <c r="C230" i="41" s="1"/>
  <c r="C231" i="41" s="1"/>
  <c r="C232" i="41" s="1"/>
  <c r="C233" i="41" s="1"/>
  <c r="C234" i="41" s="1"/>
  <c r="C235" i="41" s="1"/>
  <c r="C236" i="41" s="1"/>
  <c r="E236" i="41" l="1"/>
  <c r="G40" i="41" s="1"/>
  <c r="H40" i="41" s="1"/>
  <c r="C237" i="41" s="1"/>
  <c r="D236" i="41"/>
  <c r="L39" i="41" s="1"/>
  <c r="M39" i="41" s="1"/>
  <c r="C238" i="41" l="1"/>
  <c r="C239" i="41" s="1"/>
  <c r="C240" i="41" s="1"/>
  <c r="C241" i="41" s="1"/>
  <c r="C242" i="41" s="1"/>
  <c r="C243" i="41" s="1"/>
  <c r="C244" i="41" s="1"/>
  <c r="C245" i="41" s="1"/>
  <c r="C246" i="41" s="1"/>
  <c r="C247" i="41" s="1"/>
  <c r="C248" i="41" s="1"/>
  <c r="E248" i="41" s="1"/>
  <c r="D248" i="41" l="1"/>
  <c r="L40" i="41" s="1"/>
  <c r="M40" i="41" s="1"/>
  <c r="P65" i="39" l="1"/>
  <c r="P6" i="39" l="1"/>
  <c r="P37" i="39" l="1"/>
  <c r="P54" i="39"/>
  <c r="O10" i="39"/>
  <c r="P5" i="39"/>
  <c r="P13" i="39"/>
  <c r="P45" i="39"/>
  <c r="P21" i="39"/>
  <c r="P29" i="39"/>
  <c r="P10" i="39" l="1"/>
  <c r="P30" i="39" l="1"/>
  <c r="O35" i="39"/>
  <c r="P14" i="39"/>
  <c r="O18" i="39"/>
  <c r="P38" i="39"/>
  <c r="O42" i="39"/>
  <c r="P55" i="39"/>
  <c r="O60" i="39"/>
  <c r="P46" i="39"/>
  <c r="O51" i="39"/>
  <c r="P22" i="39"/>
  <c r="O27" i="39"/>
  <c r="P18" i="39" l="1"/>
  <c r="O66" i="39"/>
  <c r="P27" i="39"/>
  <c r="P60" i="39"/>
  <c r="P35" i="39"/>
  <c r="P51" i="39"/>
  <c r="P42" i="39"/>
  <c r="P66"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<sst xmlns="http://schemas.openxmlformats.org/spreadsheetml/2006/main" count="746" uniqueCount="278">
  <si>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</si>
  <si>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</si>
  <si>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</si>
  <si>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</si>
  <si>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</si>
  <si>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</si>
  <si>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</si>
  <si>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</si>
  <si>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</si>
  <si>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</si>
  <si>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</si>
  <si>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</si>
  <si>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</si>
  <si>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</si>
  <si>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</si>
  <si>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</si>
  <si>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</si>
  <si>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</si>
  <si>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</si>
  <si>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</si>
  <si>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</si>
  <si>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</si>
  <si>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</si>
  <si>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</si>
  <si>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</si>
  <si>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</si>
  <si>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</si>
  <si>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</si>
  <si>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</si>
  <si>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</si>
  <si>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</si>
  <si>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</si>
  <si>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</si>
  <si>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</si>
  <si>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</si>
  <si>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</si>
  <si>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</si>
  <si>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</si>
  <si>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</si>
  <si>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</si>
  <si>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</si>
  <si>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</si>
  <si>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</si>
  <si>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</si>
  <si>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</si>
  <si>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</si>
  <si>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</si>
  <si>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</si>
  <si>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</si>
  <si>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</si>
  <si>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</si>
  <si>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</si>
  <si>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</si>
  <si>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</si>
  <si>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</si>
  <si>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</si>
  <si>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</si>
  <si>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</si>
  <si>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</si>
  <si>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</si>
  <si>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</si>
  <si>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</si>
  <si>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</si>
  <si>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</si>
  <si>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</si>
  <si>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</si>
  <si>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</si>
  <si>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</si>
  <si>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</si>
  <si>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</si>
  <si>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</si>
  <si>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</si>
  <si>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</si>
  <si>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</si>
  <si>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</si>
  <si>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</si>
  <si>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</si>
  <si>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</si>
  <si>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</si>
  <si>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</si>
  <si>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</si>
  <si>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</si>
  <si>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</si>
  <si>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</si>
  <si>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</si>
  <si>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</si>
  <si>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</si>
  <si>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</si>
  <si>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</si>
  <si>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</si>
  <si>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</si>
  <si>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</si>
  <si>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</si>
  <si>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</si>
  <si>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</si>
  <si>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</si>
  <si>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</si>
  <si>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</si>
  <si>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</si>
  <si>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</si>
  <si>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</si>
  <si>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</si>
  <si>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</si>
  <si>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</si>
  <si>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Cust/Conn</t>
  </si>
  <si>
    <t>Weather Adjusted Load Forecast Results</t>
  </si>
  <si>
    <t>Final Load Forecast Results</t>
  </si>
  <si>
    <t>GS&gt;50</t>
  </si>
  <si>
    <t>%chg</t>
  </si>
  <si>
    <t>Cust</t>
  </si>
  <si>
    <t>Wholesale</t>
  </si>
  <si>
    <t>Adjustements to Wholesale Purchases</t>
  </si>
  <si>
    <t>Actual kWh</t>
  </si>
  <si>
    <t>Weather Sensitive</t>
  </si>
  <si>
    <t>Non-Weather Sensitive</t>
  </si>
  <si>
    <t>year over year</t>
  </si>
  <si>
    <t>Median</t>
  </si>
  <si>
    <t>Mean</t>
  </si>
  <si>
    <t>Origine of variables</t>
  </si>
  <si>
    <t>HDD: Stats Canada</t>
  </si>
  <si>
    <t>CDD :Stats Canada</t>
  </si>
  <si>
    <t>Variance Inflation Factor</t>
  </si>
  <si>
    <t>Residential Actual kWh</t>
  </si>
  <si>
    <t>(F2 to toggle between value and formula)</t>
  </si>
  <si>
    <t>R Squared</t>
  </si>
  <si>
    <t>StreetLights</t>
  </si>
  <si>
    <t xml:space="preserve">Winter: </t>
  </si>
  <si>
    <t xml:space="preserve">Employment: </t>
  </si>
  <si>
    <t xml:space="preserve">Cust count: </t>
  </si>
  <si>
    <t>USL</t>
  </si>
  <si>
    <t>Unmetered Scattered Load</t>
  </si>
  <si>
    <t xml:space="preserve">Wholesale </t>
  </si>
  <si>
    <t xml:space="preserve">Total </t>
  </si>
  <si>
    <t>Positive autocorrelation detected</t>
  </si>
  <si>
    <t>Fixed</t>
  </si>
  <si>
    <t>Variable</t>
  </si>
  <si>
    <t>Revenues</t>
  </si>
  <si>
    <t>General Service &gt; 50 kW - 4999 kW</t>
  </si>
  <si>
    <t>Streetlighting</t>
  </si>
  <si>
    <t xml:space="preserve">Variance </t>
  </si>
  <si>
    <t>Predicted Wholesale</t>
  </si>
  <si>
    <t>Predicted  Wholesale</t>
  </si>
  <si>
    <t xml:space="preserve">Predicted </t>
  </si>
  <si>
    <t xml:space="preserve">Adjsuted </t>
  </si>
  <si>
    <t>Wholesale VS Adj.</t>
  </si>
  <si>
    <t>Wholesale vs Predicted</t>
  </si>
  <si>
    <t>Period</t>
  </si>
  <si>
    <t>Forecast</t>
  </si>
  <si>
    <t>Error</t>
  </si>
  <si>
    <t xml:space="preserve">Absolute Value of Error </t>
  </si>
  <si>
    <t>Square  of Error</t>
  </si>
  <si>
    <t>Absolute Values of Errors Divided by Actual Values.</t>
  </si>
  <si>
    <t>t</t>
  </si>
  <si>
    <t>Totals</t>
  </si>
  <si>
    <r>
      <t xml:space="preserve"> A</t>
    </r>
    <r>
      <rPr>
        <vertAlign val="subscript"/>
        <sz val="11"/>
        <color indexed="8"/>
        <rFont val="Arial"/>
        <family val="2"/>
      </rPr>
      <t>t</t>
    </r>
  </si>
  <si>
    <r>
      <t>F</t>
    </r>
    <r>
      <rPr>
        <vertAlign val="subscript"/>
        <sz val="11"/>
        <color indexed="8"/>
        <rFont val="Arial"/>
        <family val="2"/>
      </rPr>
      <t>t</t>
    </r>
  </si>
  <si>
    <r>
      <t xml:space="preserve"> A</t>
    </r>
    <r>
      <rPr>
        <vertAlign val="subscript"/>
        <sz val="11"/>
        <color indexed="8"/>
        <rFont val="Arial"/>
        <family val="2"/>
      </rPr>
      <t xml:space="preserve">t </t>
    </r>
    <r>
      <rPr>
        <sz val="10"/>
        <rFont val="Arial"/>
        <family val="2"/>
      </rPr>
      <t>-F</t>
    </r>
    <r>
      <rPr>
        <vertAlign val="subscript"/>
        <sz val="11"/>
        <color indexed="8"/>
        <rFont val="Arial"/>
        <family val="2"/>
      </rPr>
      <t>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</si>
  <si>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</si>
  <si>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)^2</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</si>
  <si>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)/A</t>
    </r>
    <r>
      <rPr>
        <vertAlign val="subscript"/>
        <sz val="11"/>
        <color indexed="8"/>
        <rFont val="Arial"/>
        <family val="2"/>
      </rPr>
      <t>t</t>
    </r>
    <r>
      <rPr>
        <sz val="10"/>
        <rFont val="Arial"/>
        <family val="2"/>
      </rPr>
      <t>|</t>
    </r>
  </si>
  <si>
    <t xml:space="preserve">Street Lighting </t>
  </si>
  <si>
    <t>Days in month</t>
  </si>
  <si>
    <t>Retail</t>
  </si>
  <si>
    <t xml:space="preserve"> Kwh</t>
  </si>
  <si>
    <t xml:space="preserve"> Cust Count</t>
  </si>
  <si>
    <t xml:space="preserve"> kW</t>
  </si>
  <si>
    <t xml:space="preserve">Ontario cost of electricity
</t>
  </si>
  <si>
    <t>Comparision</t>
  </si>
  <si>
    <t>Sentinel</t>
  </si>
  <si>
    <t>$</t>
  </si>
  <si>
    <t>20 year</t>
  </si>
  <si>
    <t>avg</t>
  </si>
  <si>
    <t>Jan</t>
  </si>
  <si>
    <t>Feb</t>
  </si>
  <si>
    <t>Mar</t>
  </si>
  <si>
    <t>Apr</t>
  </si>
  <si>
    <t>Jun</t>
  </si>
  <si>
    <t>Jul</t>
  </si>
  <si>
    <t>Aug</t>
  </si>
  <si>
    <t>Sep</t>
  </si>
  <si>
    <t>Oct</t>
  </si>
  <si>
    <t>Nov</t>
  </si>
  <si>
    <t>Dec</t>
  </si>
  <si>
    <t>2nd Order Polynomial</t>
  </si>
  <si>
    <t xml:space="preserve">Difference </t>
  </si>
  <si>
    <t>RRR excl. losses (delivery/sold)</t>
  </si>
  <si>
    <t>RRR Total Distribution Losses (kWh)</t>
  </si>
  <si>
    <t>Customer Data</t>
  </si>
  <si>
    <t>Embedded</t>
  </si>
  <si>
    <t>Days per month</t>
  </si>
  <si>
    <t>SpringFall</t>
  </si>
  <si>
    <t>OFF</t>
  </si>
  <si>
    <t>=A17</t>
  </si>
  <si>
    <t>2017BA</t>
  </si>
  <si>
    <t>Cust Count</t>
  </si>
  <si>
    <t>2021</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</si>
  <si>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</si>
  <si>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</si>
  <si>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</si>
  <si>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</si>
  <si>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</si>
  <si>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</si>
  <si>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</si>
  <si>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</si>
  <si>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</si>
  <si>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</si>
  <si>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</si>
  <si>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</si>
  <si>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</si>
  <si>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</si>
  <si>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</si>
  <si>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</si>
  <si>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</si>
  <si>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</si>
  <si>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</si>
  <si>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</si>
  <si>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 xml:space="preserve">Total Adjusted Wholesale </t>
  </si>
  <si>
    <t>Adjusted Actual</t>
  </si>
  <si>
    <t>Add Back Normalizing Adjustments</t>
  </si>
  <si>
    <t>Wholesale Adjusted</t>
  </si>
  <si>
    <t>Persistence Year</t>
  </si>
  <si>
    <t>Program Year</t>
  </si>
  <si>
    <t>Total Persisting</t>
  </si>
  <si>
    <t>Incremental</t>
  </si>
  <si>
    <t>1/2 of Incr</t>
  </si>
  <si>
    <t>1/2 Year Adjusted</t>
  </si>
  <si>
    <t>Adj Annual Incr</t>
  </si>
  <si>
    <t>Monthly Incr</t>
  </si>
  <si>
    <t>Sum of CDM Variable</t>
  </si>
  <si>
    <t>CDM Activity Variable</t>
  </si>
  <si>
    <t>Sept</t>
  </si>
  <si>
    <t>2017 Board Approved</t>
  </si>
  <si>
    <t>General Service 50 to 4999 kW</t>
  </si>
  <si>
    <t>kWh (See Note 1)</t>
  </si>
  <si>
    <t>kW (See Note 2)</t>
  </si>
  <si>
    <t>2022</t>
  </si>
  <si>
    <t>EB-2021-0011</t>
  </si>
  <si>
    <t xml:space="preserve"> Connections</t>
  </si>
  <si>
    <t xml:space="preserve"> Connection Count</t>
  </si>
  <si>
    <t xml:space="preserve"> Cust Count (Excl SL, Sent, USL)</t>
  </si>
  <si>
    <r>
      <t xml:space="preserve">NOTE 1: 2011-2020 kWh are normalized to remove certain customer loads (see col F-G of "Input Adjustments &amp; Variables tab);
</t>
    </r>
    <r>
      <rPr>
        <sz val="10"/>
        <color rgb="FFFF0000"/>
        <rFont val="Arial"/>
        <family val="2"/>
      </rPr>
      <t>2021-2022 forecast kWh includes add-back of variable loads and adjustments for customer count trend (see A82:G83 on this tab)</t>
    </r>
  </si>
  <si>
    <r>
      <t xml:space="preserve">NOTE 2: 2011-2020 kW are normalized to remove the kW billed to highly variable loads (see Table in Exhibit 3);
</t>
    </r>
    <r>
      <rPr>
        <sz val="10"/>
        <color rgb="FFFF0000"/>
        <rFont val="Arial"/>
        <family val="2"/>
      </rPr>
      <t>by applying the kW/kWh ratio to the 2021/2022 kWh forecast that adds back this load, the kW billing determinants are also added back</t>
    </r>
  </si>
  <si>
    <t>kWh Purchased VS kWh Adjsuted for Changes in Large Customers and impact of FIT &amp; Microfit</t>
  </si>
  <si>
    <t>MicroFIT/FIT</t>
  </si>
  <si>
    <t>10 year</t>
  </si>
  <si>
    <t>Load and Revenue Variance Analysis</t>
  </si>
  <si>
    <t>Difference</t>
  </si>
  <si>
    <t>(kWh)</t>
  </si>
  <si>
    <t>(HDD)</t>
  </si>
  <si>
    <t>(CDD)</t>
  </si>
  <si>
    <t>20-yr vs 10-yr kWh Difference:</t>
  </si>
  <si>
    <t>20-yr vs 10-yr % Difference:</t>
  </si>
  <si>
    <t>Adjusted Wholesale (i.e. Load-Normalized) kWh Purchased VS Predicted Weather-Actual</t>
  </si>
  <si>
    <t>Adjusted Wholesale</t>
  </si>
  <si>
    <t>MAD; MSE; MAPE</t>
  </si>
  <si>
    <t>RMSE</t>
  </si>
  <si>
    <t>kWh per Customer</t>
  </si>
  <si>
    <t>KW per Customer</t>
  </si>
  <si>
    <t>Residential Predicted</t>
  </si>
  <si>
    <t>GS&lt;50 Predicted</t>
  </si>
  <si>
    <t>GS&gt;50 Predicted (Less Adjustments)</t>
  </si>
  <si>
    <t>Embedded Predicted</t>
  </si>
  <si>
    <t>kW (Before Lg Cust Adjustment)</t>
  </si>
  <si>
    <t>kW (Remve 2 Large Customers)</t>
  </si>
  <si>
    <t>Weather Normal kWh</t>
  </si>
  <si>
    <t>Variation from Avg</t>
  </si>
  <si>
    <t>Actual</t>
  </si>
  <si>
    <t>Wholesale Impact (kWh)</t>
  </si>
  <si>
    <t>Impact of Weather Variation on Wholesale kWh</t>
  </si>
  <si>
    <t>GS 50 to 4,999</t>
  </si>
  <si>
    <t>Normalized kWh</t>
  </si>
  <si>
    <t>Load Adjusted kWh</t>
  </si>
  <si>
    <t xml:space="preserve"> Weather Adj</t>
  </si>
  <si>
    <t>Actual/Forecast kWh</t>
  </si>
  <si>
    <t>Cust Adj</t>
  </si>
  <si>
    <t>Lights</t>
  </si>
  <si>
    <t>**Note: Revenues calculated on this sheet represent simplified annual calculations based on Load Forecast Results and approved/proposed rates.  Transformer ownership allowance and other adjustments are not considered.</t>
  </si>
  <si>
    <t xml:space="preserve">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</si>
</sst>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_(* \(#,##0.00\);_(* &quot;-&quot;??_);_(@_)"/>
    <numFmt numFmtId="164" formatCode="&quot;$&quot;#,##0;\-&quot;$&quot;#,##0"/>
    <numFmt numFmtId="165" formatCode="&quot;$&quot;#,##0.00;[Red]\-&quot;$&quot;#,##0.00"/>
    <numFmt numFmtId="166" formatCode="_-&quot;$&quot;* #,##0.00_-;\-&quot;$&quot;* #,##0.00_-;_-&quot;$&quot;* &quot;-&quot;??_-;_-@_-"/>
    <numFmt numFmtId="167" formatCode="_-* #,##0.00_-;\-* #,##0.00_-;_-* &quot;-&quot;??_-;_-@_-"/>
    <numFmt numFmtId="168" formatCode="0.0000"/>
    <numFmt numFmtId="169" formatCode="#,##0.000"/>
    <numFmt numFmtId="170" formatCode="#,##0.0000"/>
    <numFmt numFmtId="171" formatCode="#,##0.00000"/>
    <numFmt numFmtId="172" formatCode="0.0"/>
    <numFmt numFmtId="173" formatCode="0.000"/>
    <numFmt numFmtId="174" formatCode="_(* #,##0.0_);_(* \(#,##0.0\);_(* &quot;-&quot;??_);_(@_)"/>
    <numFmt numFmtId="175" formatCode="_(* #,##0_);_(* \(#,##0\);_(* &quot;-&quot;??_);_(@_)"/>
    <numFmt numFmtId="176" formatCode="_-&quot;$&quot;* #,##0_-;\-&quot;$&quot;* #,##0_-;_-&quot;$&quot;* &quot;-&quot;??_-;_-@_-"/>
    <numFmt numFmtId="177" formatCode="_-* #,##0_-;\-* #,##0_-;_-* &quot;-&quot;??_-;_-@_-"/>
    <numFmt numFmtId="178" formatCode="_(* #,##0.00_);_(* \(#,##0.00\);_(* \-??_);_(@_)"/>
    <numFmt numFmtId="179" formatCode="#,##0.0"/>
    <numFmt numFmtId="180" formatCode="_(* #,##0.0_);_(* \(#,##0.0\);_(* \-??_);_(@_)"/>
    <numFmt numFmtId="181" formatCode="mm/dd/yyyy"/>
    <numFmt numFmtId="182" formatCode="0\-0"/>
    <numFmt numFmtId="183" formatCode="_-* #,##0.00_-;\-* #,##0.00_-;_-* \-??_-;_-@_-"/>
    <numFmt numFmtId="184" formatCode="_-\$* #,##0.00_-;&quot;-$&quot;* #,##0.00_-;_-\$* \-??_-;_-@_-"/>
    <numFmt numFmtId="185" formatCode="_(\$* #,##0.00_);_(\$* \(#,##0.00\);_(\$* \-??_);_(@_)"/>
    <numFmt numFmtId="186" formatCode="\$#,##0_);&quot;($&quot;#,##0\)"/>
    <numFmt numFmtId="187" formatCode="##\-#"/>
    <numFmt numFmtId="188" formatCode="_(* #,##0_);_(* \(#,##0\);_(* \-??_);_(@_)"/>
    <numFmt numFmtId="189" formatCode="&quot;£ &quot;#,##0.00;[Red]&quot;-£ &quot;#,##0.00"/>
    <numFmt numFmtId="190" formatCode="[$-409]mmmm\ d\,\ yyyy;@"/>
    <numFmt numFmtId="191" formatCode="&quot;£ &quot;#,##0.00;[Red]\-&quot;£ &quot;#,##0.00"/>
    <numFmt numFmtId="192" formatCode="&quot;$&quot;#,##0.0000;[Red]\-&quot;$&quot;#,##0.0000"/>
    <numFmt numFmtId="193" formatCode="0.0%"/>
    <numFmt numFmtId="194" formatCode="#,##0_ ;[Red]\-#,##0\ "/>
    <numFmt numFmtId="195" formatCode="&quot;$&quot;#,##0;[Red]\-&quot;$&quot;#,##0"/>
  </numFmts>
  <fonts count="190"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sz val="6"/>
      <name val="Arial"/>
      <family val="2"/>
    </font>
    <font>
      <i/>
      <sz val="9"/>
      <name val="Ari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8"/>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i/>
      <sz val="16"/>
      <color indexed="8"/>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vertAlign val="subscript"/>
      <sz val="11"/>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s>
  <fills count="134">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6">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54"/>
      </left>
      <right style="thin">
        <color indexed="5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64"/>
      </left>
      <right/>
      <top/>
      <bottom style="thin">
        <color indexed="64"/>
      </bottom>
      <diagonal/>
    </border>
    <border>
      <left/>
      <right/>
      <top style="thin">
        <color indexed="64"/>
      </top>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80" fontId="65" fillId="0" borderId="0"/>
    <xf numFmtId="180" fontId="65" fillId="0" borderId="0"/>
    <xf numFmtId="174" fontId="7" fillId="0" borderId="0"/>
    <xf numFmtId="174" fontId="7" fillId="0" borderId="0"/>
    <xf numFmtId="179" fontId="65" fillId="0" borderId="0"/>
    <xf numFmtId="179" fontId="65" fillId="0" borderId="0"/>
    <xf numFmtId="179" fontId="7" fillId="0" borderId="0"/>
    <xf numFmtId="179" fontId="7" fillId="0" borderId="0"/>
    <xf numFmtId="180" fontId="65" fillId="0" borderId="0"/>
    <xf numFmtId="180" fontId="65" fillId="0" borderId="0"/>
    <xf numFmtId="174" fontId="7" fillId="0" borderId="0"/>
    <xf numFmtId="174" fontId="7" fillId="0" borderId="0"/>
    <xf numFmtId="180" fontId="65" fillId="0" borderId="0"/>
    <xf numFmtId="180" fontId="65" fillId="0" borderId="0"/>
    <xf numFmtId="174" fontId="7" fillId="0" borderId="0"/>
    <xf numFmtId="174" fontId="7" fillId="0" borderId="0"/>
    <xf numFmtId="180" fontId="65" fillId="0" borderId="0"/>
    <xf numFmtId="180" fontId="65" fillId="0" borderId="0"/>
    <xf numFmtId="174" fontId="7" fillId="0" borderId="0"/>
    <xf numFmtId="174" fontId="7" fillId="0" borderId="0"/>
    <xf numFmtId="180" fontId="65" fillId="0" borderId="0"/>
    <xf numFmtId="180" fontId="65" fillId="0" borderId="0"/>
    <xf numFmtId="174" fontId="7" fillId="0" borderId="0"/>
    <xf numFmtId="174" fontId="7" fillId="0" borderId="0"/>
    <xf numFmtId="181" fontId="65" fillId="0" borderId="0"/>
    <xf numFmtId="181" fontId="65" fillId="0" borderId="0"/>
    <xf numFmtId="14" fontId="7" fillId="0" borderId="0"/>
    <xf numFmtId="181" fontId="7" fillId="0" borderId="0"/>
    <xf numFmtId="181" fontId="7" fillId="0" borderId="0"/>
    <xf numFmtId="14" fontId="7" fillId="0" borderId="0"/>
    <xf numFmtId="182" fontId="65" fillId="0" borderId="0"/>
    <xf numFmtId="182" fontId="65" fillId="0" borderId="0"/>
    <xf numFmtId="182" fontId="7" fillId="0" borderId="0"/>
    <xf numFmtId="182" fontId="7" fillId="0" borderId="0"/>
    <xf numFmtId="181" fontId="65" fillId="0" borderId="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6"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1" fillId="7"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90" fontId="146" fillId="3" borderId="0" applyNumberFormat="0" applyBorder="0" applyAlignment="0" applyProtection="0"/>
    <xf numFmtId="0" fontId="147" fillId="3" borderId="0" applyNumberFormat="0" applyBorder="0" applyAlignment="0" applyProtection="0"/>
    <xf numFmtId="0" fontId="66"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7"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90" fontId="1" fillId="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6" fillId="97"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66" fillId="10" borderId="0" applyNumberFormat="0" applyBorder="0" applyAlignment="0" applyProtection="0"/>
    <xf numFmtId="0" fontId="1" fillId="11"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6"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190" fontId="146" fillId="8" borderId="0" applyNumberFormat="0" applyBorder="0" applyAlignment="0" applyProtection="0"/>
    <xf numFmtId="0" fontId="147" fillId="8" borderId="0" applyNumberFormat="0" applyBorder="0" applyAlignment="0" applyProtection="0"/>
    <xf numFmtId="0" fontId="66"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7"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90" fontId="1" fillId="11"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98"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1" fillId="16"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90" fontId="146" fillId="12" borderId="0" applyNumberFormat="0" applyBorder="0" applyAlignment="0" applyProtection="0"/>
    <xf numFmtId="0" fontId="147" fillId="12" borderId="0" applyNumberFormat="0" applyBorder="0" applyAlignment="0" applyProtection="0"/>
    <xf numFmtId="0" fontId="66"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7"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90" fontId="1" fillId="16"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9"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1" fillId="20"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6"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90" fontId="146" fillId="3" borderId="0" applyNumberFormat="0" applyBorder="0" applyAlignment="0" applyProtection="0"/>
    <xf numFmtId="0" fontId="147" fillId="3" borderId="0" applyNumberFormat="0" applyBorder="0" applyAlignment="0" applyProtection="0"/>
    <xf numFmtId="0" fontId="66"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0" fontId="1" fillId="20"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66" fillId="23" borderId="0" applyNumberFormat="0" applyBorder="0" applyAlignment="0" applyProtection="0"/>
    <xf numFmtId="0" fontId="66" fillId="22" borderId="0" applyNumberFormat="0" applyBorder="0" applyAlignment="0" applyProtection="0"/>
    <xf numFmtId="0" fontId="1" fillId="21"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6"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190" fontId="146" fillId="100" borderId="0" applyNumberFormat="0" applyBorder="0" applyAlignment="0" applyProtection="0"/>
    <xf numFmtId="0" fontId="147" fillId="100" borderId="0" applyNumberFormat="0" applyBorder="0" applyAlignment="0" applyProtection="0"/>
    <xf numFmtId="0" fontId="66"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7"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90" fontId="1" fillId="21"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101"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1" fillId="3"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6"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90" fontId="146" fillId="12" borderId="0" applyNumberFormat="0" applyBorder="0" applyAlignment="0" applyProtection="0"/>
    <xf numFmtId="0" fontId="147" fillId="12" borderId="0" applyNumberFormat="0" applyBorder="0" applyAlignment="0" applyProtection="0"/>
    <xf numFmtId="0" fontId="66"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7"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90" fontId="1" fillId="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2"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66" fillId="28" borderId="0" applyNumberFormat="0" applyBorder="0" applyAlignment="0" applyProtection="0"/>
    <xf numFmtId="0" fontId="1" fillId="2"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90" fontId="146" fillId="27" borderId="0" applyNumberFormat="0" applyBorder="0" applyAlignment="0" applyProtection="0"/>
    <xf numFmtId="0" fontId="147" fillId="27" borderId="0" applyNumberFormat="0" applyBorder="0" applyAlignment="0" applyProtection="0"/>
    <xf numFmtId="0" fontId="66"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0" fontId="1" fillId="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66" fillId="29" borderId="0" applyNumberFormat="0" applyBorder="0" applyAlignment="0" applyProtection="0"/>
    <xf numFmtId="0" fontId="1" fillId="8"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6"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190" fontId="146" fillId="103" borderId="0" applyNumberFormat="0" applyBorder="0" applyAlignment="0" applyProtection="0"/>
    <xf numFmtId="0" fontId="147" fillId="103" borderId="0" applyNumberFormat="0" applyBorder="0" applyAlignment="0" applyProtection="0"/>
    <xf numFmtId="0" fontId="66"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7"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90" fontId="1" fillId="8"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4"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1" fillId="34"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90" fontId="146" fillId="30" borderId="0" applyNumberFormat="0" applyBorder="0" applyAlignment="0" applyProtection="0"/>
    <xf numFmtId="0" fontId="147" fillId="30" borderId="0" applyNumberFormat="0" applyBorder="0" applyAlignment="0" applyProtection="0"/>
    <xf numFmtId="0" fontId="66"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7"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90" fontId="1" fillId="34"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5"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66" fillId="19" borderId="0" applyNumberFormat="0" applyBorder="0" applyAlignment="0" applyProtection="0"/>
    <xf numFmtId="0" fontId="1" fillId="20"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6"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90" fontId="146" fillId="27" borderId="0" applyNumberFormat="0" applyBorder="0" applyAlignment="0" applyProtection="0"/>
    <xf numFmtId="0" fontId="147" fillId="27" borderId="0" applyNumberFormat="0" applyBorder="0" applyAlignment="0" applyProtection="0"/>
    <xf numFmtId="0" fontId="66"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0" fontId="1" fillId="2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66" fillId="28" borderId="0" applyNumberFormat="0" applyBorder="0" applyAlignment="0" applyProtection="0"/>
    <xf numFmtId="0" fontId="1" fillId="2"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6"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190" fontId="146" fillId="106" borderId="0" applyNumberFormat="0" applyBorder="0" applyAlignment="0" applyProtection="0"/>
    <xf numFmtId="0" fontId="147" fillId="106" borderId="0" applyNumberFormat="0" applyBorder="0" applyAlignment="0" applyProtection="0"/>
    <xf numFmtId="0" fontId="66"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0" fontId="1" fillId="2"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7"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1" fillId="4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6"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90" fontId="146" fillId="30" borderId="0" applyNumberFormat="0" applyBorder="0" applyAlignment="0" applyProtection="0"/>
    <xf numFmtId="0" fontId="147" fillId="30" borderId="0" applyNumberFormat="0" applyBorder="0" applyAlignment="0" applyProtection="0"/>
    <xf numFmtId="0" fontId="66"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7"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90" fontId="1" fillId="4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08"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41" fillId="44" borderId="0" applyNumberFormat="0" applyBorder="0" applyAlignment="0" applyProtection="0"/>
    <xf numFmtId="0" fontId="68" fillId="42"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90" fontId="148" fillId="41" borderId="0" applyNumberFormat="0" applyBorder="0" applyAlignment="0" applyProtection="0"/>
    <xf numFmtId="0" fontId="10" fillId="44" borderId="0" applyNumberFormat="0" applyBorder="0" applyAlignment="0" applyProtection="0"/>
    <xf numFmtId="0" fontId="68" fillId="43" borderId="0" applyNumberFormat="0" applyBorder="0" applyAlignment="0" applyProtection="0"/>
    <xf numFmtId="0" fontId="10" fillId="44" borderId="0" applyNumberFormat="0" applyBorder="0" applyAlignment="0" applyProtection="0"/>
    <xf numFmtId="0" fontId="41" fillId="44" borderId="0" applyNumberFormat="0" applyBorder="0" applyAlignment="0" applyProtection="0"/>
    <xf numFmtId="0" fontId="69" fillId="43" borderId="0" applyNumberFormat="0" applyBorder="0" applyAlignment="0" applyProtection="0"/>
    <xf numFmtId="0" fontId="10" fillId="44" borderId="0" applyNumberFormat="0" applyBorder="0" applyAlignment="0" applyProtection="0"/>
    <xf numFmtId="0" fontId="41" fillId="44" borderId="0" applyNumberFormat="0" applyBorder="0" applyAlignment="0" applyProtection="0"/>
    <xf numFmtId="190" fontId="41" fillId="44"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68" fillId="29" borderId="0" applyNumberFormat="0" applyBorder="0" applyAlignment="0" applyProtection="0"/>
    <xf numFmtId="0" fontId="68" fillId="29" borderId="0" applyNumberFormat="0" applyBorder="0" applyAlignment="0" applyProtection="0"/>
    <xf numFmtId="0" fontId="41" fillId="8" borderId="0" applyNumberFormat="0" applyBorder="0" applyAlignment="0" applyProtection="0"/>
    <xf numFmtId="0" fontId="68" fillId="29" borderId="0" applyNumberFormat="0" applyBorder="0" applyAlignment="0" applyProtection="0"/>
    <xf numFmtId="0" fontId="148" fillId="109" borderId="0" applyNumberFormat="0" applyBorder="0" applyAlignment="0" applyProtection="0"/>
    <xf numFmtId="0" fontId="148" fillId="109" borderId="0" applyNumberFormat="0" applyBorder="0" applyAlignment="0" applyProtection="0"/>
    <xf numFmtId="190" fontId="148" fillId="109" borderId="0" applyNumberFormat="0" applyBorder="0" applyAlignment="0" applyProtection="0"/>
    <xf numFmtId="0" fontId="10" fillId="8" borderId="0" applyNumberFormat="0" applyBorder="0" applyAlignment="0" applyProtection="0"/>
    <xf numFmtId="0" fontId="68" fillId="29" borderId="0" applyNumberFormat="0" applyBorder="0" applyAlignment="0" applyProtection="0"/>
    <xf numFmtId="0" fontId="10" fillId="8" borderId="0" applyNumberFormat="0" applyBorder="0" applyAlignment="0" applyProtection="0"/>
    <xf numFmtId="0" fontId="41" fillId="8" borderId="0" applyNumberFormat="0" applyBorder="0" applyAlignment="0" applyProtection="0"/>
    <xf numFmtId="0" fontId="69" fillId="29" borderId="0" applyNumberFormat="0" applyBorder="0" applyAlignment="0" applyProtection="0"/>
    <xf numFmtId="0" fontId="10" fillId="8" borderId="0" applyNumberFormat="0" applyBorder="0" applyAlignment="0" applyProtection="0"/>
    <xf numFmtId="0" fontId="41" fillId="8" borderId="0" applyNumberFormat="0" applyBorder="0" applyAlignment="0" applyProtection="0"/>
    <xf numFmtId="190" fontId="41" fillId="8"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8" fillId="110" borderId="0" applyNumberFormat="0" applyBorder="0" applyAlignment="0" applyProtection="0"/>
    <xf numFmtId="0" fontId="68" fillId="46" borderId="0" applyNumberFormat="0" applyBorder="0" applyAlignment="0" applyProtection="0"/>
    <xf numFmtId="0" fontId="68" fillId="33" borderId="0" applyNumberFormat="0" applyBorder="0" applyAlignment="0" applyProtection="0"/>
    <xf numFmtId="0" fontId="41" fillId="34" borderId="0" applyNumberFormat="0" applyBorder="0" applyAlignment="0" applyProtection="0"/>
    <xf numFmtId="0" fontId="68" fillId="46"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190" fontId="148" fillId="30" borderId="0" applyNumberFormat="0" applyBorder="0" applyAlignment="0" applyProtection="0"/>
    <xf numFmtId="0" fontId="68" fillId="47" borderId="0" applyNumberFormat="0" applyBorder="0" applyAlignment="0" applyProtection="0"/>
    <xf numFmtId="0" fontId="10" fillId="34" borderId="0" applyNumberFormat="0" applyBorder="0" applyAlignment="0" applyProtection="0"/>
    <xf numFmtId="0" fontId="68" fillId="33" borderId="0" applyNumberFormat="0" applyBorder="0" applyAlignment="0" applyProtection="0"/>
    <xf numFmtId="0" fontId="10" fillId="34" borderId="0" applyNumberFormat="0" applyBorder="0" applyAlignment="0" applyProtection="0"/>
    <xf numFmtId="0" fontId="41" fillId="34" borderId="0" applyNumberFormat="0" applyBorder="0" applyAlignment="0" applyProtection="0"/>
    <xf numFmtId="0" fontId="69" fillId="33" borderId="0" applyNumberFormat="0" applyBorder="0" applyAlignment="0" applyProtection="0"/>
    <xf numFmtId="0" fontId="10" fillId="34" borderId="0" applyNumberFormat="0" applyBorder="0" applyAlignment="0" applyProtection="0"/>
    <xf numFmtId="0" fontId="41" fillId="34" borderId="0" applyNumberFormat="0" applyBorder="0" applyAlignment="0" applyProtection="0"/>
    <xf numFmtId="190" fontId="41" fillId="34"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8" fillId="111" borderId="0" applyNumberFormat="0" applyBorder="0" applyAlignment="0" applyProtection="0"/>
    <xf numFmtId="0" fontId="68" fillId="19" borderId="0" applyNumberFormat="0" applyBorder="0" applyAlignment="0" applyProtection="0"/>
    <xf numFmtId="0" fontId="68" fillId="9" borderId="0" applyNumberFormat="0" applyBorder="0" applyAlignment="0" applyProtection="0"/>
    <xf numFmtId="0" fontId="41" fillId="48" borderId="0" applyNumberFormat="0" applyBorder="0" applyAlignment="0" applyProtection="0"/>
    <xf numFmtId="0" fontId="68" fillId="19"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190" fontId="148" fillId="27" borderId="0" applyNumberFormat="0" applyBorder="0" applyAlignment="0" applyProtection="0"/>
    <xf numFmtId="0" fontId="68" fillId="49" borderId="0" applyNumberFormat="0" applyBorder="0" applyAlignment="0" applyProtection="0"/>
    <xf numFmtId="0" fontId="10" fillId="48" borderId="0" applyNumberFormat="0" applyBorder="0" applyAlignment="0" applyProtection="0"/>
    <xf numFmtId="0" fontId="68"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190" fontId="41" fillId="48"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68" fillId="28" borderId="0" applyNumberFormat="0" applyBorder="0" applyAlignment="0" applyProtection="0"/>
    <xf numFmtId="0" fontId="68" fillId="50" borderId="0" applyNumberFormat="0" applyBorder="0" applyAlignment="0" applyProtection="0"/>
    <xf numFmtId="0" fontId="41" fillId="41" borderId="0" applyNumberFormat="0" applyBorder="0" applyAlignment="0" applyProtection="0"/>
    <xf numFmtId="0" fontId="68" fillId="28" borderId="0" applyNumberFormat="0" applyBorder="0" applyAlignment="0" applyProtection="0"/>
    <xf numFmtId="0" fontId="148" fillId="112" borderId="0" applyNumberFormat="0" applyBorder="0" applyAlignment="0" applyProtection="0"/>
    <xf numFmtId="0" fontId="148" fillId="112" borderId="0" applyNumberFormat="0" applyBorder="0" applyAlignment="0" applyProtection="0"/>
    <xf numFmtId="190" fontId="148" fillId="112" borderId="0" applyNumberFormat="0" applyBorder="0" applyAlignment="0" applyProtection="0"/>
    <xf numFmtId="0" fontId="10" fillId="41" borderId="0" applyNumberFormat="0" applyBorder="0" applyAlignment="0" applyProtection="0"/>
    <xf numFmtId="0" fontId="68"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190" fontId="41" fillId="41"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8" fillId="113" borderId="0" applyNumberFormat="0" applyBorder="0" applyAlignment="0" applyProtection="0"/>
    <xf numFmtId="0" fontId="68" fillId="39" borderId="0" applyNumberFormat="0" applyBorder="0" applyAlignment="0" applyProtection="0"/>
    <xf numFmtId="0" fontId="68" fillId="51" borderId="0" applyNumberFormat="0" applyBorder="0" applyAlignment="0" applyProtection="0"/>
    <xf numFmtId="0" fontId="41" fillId="52" borderId="0" applyNumberFormat="0" applyBorder="0" applyAlignment="0" applyProtection="0"/>
    <xf numFmtId="0" fontId="68" fillId="39"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190" fontId="148" fillId="8" borderId="0" applyNumberFormat="0" applyBorder="0" applyAlignment="0" applyProtection="0"/>
    <xf numFmtId="0" fontId="10" fillId="52" borderId="0" applyNumberFormat="0" applyBorder="0" applyAlignment="0" applyProtection="0"/>
    <xf numFmtId="0" fontId="68" fillId="51" borderId="0" applyNumberFormat="0" applyBorder="0" applyAlignment="0" applyProtection="0"/>
    <xf numFmtId="0" fontId="10" fillId="52" borderId="0" applyNumberFormat="0" applyBorder="0" applyAlignment="0" applyProtection="0"/>
    <xf numFmtId="0" fontId="41" fillId="52" borderId="0" applyNumberFormat="0" applyBorder="0" applyAlignment="0" applyProtection="0"/>
    <xf numFmtId="0" fontId="69" fillId="51" borderId="0" applyNumberFormat="0" applyBorder="0" applyAlignment="0" applyProtection="0"/>
    <xf numFmtId="0" fontId="10" fillId="52" borderId="0" applyNumberFormat="0" applyBorder="0" applyAlignment="0" applyProtection="0"/>
    <xf numFmtId="0" fontId="41" fillId="52" borderId="0" applyNumberFormat="0" applyBorder="0" applyAlignment="0" applyProtection="0"/>
    <xf numFmtId="190" fontId="41" fillId="5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14" borderId="0" applyNumberFormat="0" applyBorder="0" applyAlignment="0" applyProtection="0"/>
    <xf numFmtId="0" fontId="68" fillId="53" borderId="0" applyNumberFormat="0" applyBorder="0" applyAlignment="0" applyProtection="0"/>
    <xf numFmtId="0" fontId="68" fillId="54" borderId="0" applyNumberFormat="0" applyBorder="0" applyAlignment="0" applyProtection="0"/>
    <xf numFmtId="0" fontId="41" fillId="55" borderId="0" applyNumberFormat="0" applyBorder="0" applyAlignment="0" applyProtection="0"/>
    <xf numFmtId="0" fontId="68" fillId="56"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90" fontId="148" fillId="41" borderId="0" applyNumberFormat="0" applyBorder="0" applyAlignment="0" applyProtection="0"/>
    <xf numFmtId="0" fontId="68" fillId="57" borderId="0" applyNumberFormat="0" applyBorder="0" applyAlignment="0" applyProtection="0"/>
    <xf numFmtId="0" fontId="10" fillId="55" borderId="0" applyNumberFormat="0" applyBorder="0" applyAlignment="0" applyProtection="0"/>
    <xf numFmtId="0" fontId="68" fillId="54" borderId="0" applyNumberFormat="0" applyBorder="0" applyAlignment="0" applyProtection="0"/>
    <xf numFmtId="0" fontId="10" fillId="55" borderId="0" applyNumberFormat="0" applyBorder="0" applyAlignment="0" applyProtection="0"/>
    <xf numFmtId="0" fontId="41" fillId="55" borderId="0" applyNumberFormat="0" applyBorder="0" applyAlignment="0" applyProtection="0"/>
    <xf numFmtId="0" fontId="69" fillId="54" borderId="0" applyNumberFormat="0" applyBorder="0" applyAlignment="0" applyProtection="0"/>
    <xf numFmtId="0" fontId="10" fillId="55" borderId="0" applyNumberFormat="0" applyBorder="0" applyAlignment="0" applyProtection="0"/>
    <xf numFmtId="0" fontId="41" fillId="55" borderId="0" applyNumberFormat="0" applyBorder="0" applyAlignment="0" applyProtection="0"/>
    <xf numFmtId="190" fontId="41" fillId="55"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68" fillId="59" borderId="0" applyNumberFormat="0" applyBorder="0" applyAlignment="0" applyProtection="0"/>
    <xf numFmtId="0" fontId="68" fillId="60" borderId="0" applyNumberFormat="0" applyBorder="0" applyAlignment="0" applyProtection="0"/>
    <xf numFmtId="0" fontId="41" fillId="58" borderId="0" applyNumberFormat="0" applyBorder="0" applyAlignment="0" applyProtection="0"/>
    <xf numFmtId="0" fontId="68" fillId="59" borderId="0" applyNumberFormat="0" applyBorder="0" applyAlignment="0" applyProtection="0"/>
    <xf numFmtId="0" fontId="148" fillId="115" borderId="0" applyNumberFormat="0" applyBorder="0" applyAlignment="0" applyProtection="0"/>
    <xf numFmtId="0" fontId="148" fillId="115" borderId="0" applyNumberFormat="0" applyBorder="0" applyAlignment="0" applyProtection="0"/>
    <xf numFmtId="190" fontId="148" fillId="115" borderId="0" applyNumberFormat="0" applyBorder="0" applyAlignment="0" applyProtection="0"/>
    <xf numFmtId="0" fontId="68" fillId="61" borderId="0" applyNumberFormat="0" applyBorder="0" applyAlignment="0" applyProtection="0"/>
    <xf numFmtId="0" fontId="10" fillId="58" borderId="0" applyNumberFormat="0" applyBorder="0" applyAlignment="0" applyProtection="0"/>
    <xf numFmtId="0" fontId="68" fillId="60" borderId="0" applyNumberFormat="0" applyBorder="0" applyAlignment="0" applyProtection="0"/>
    <xf numFmtId="0" fontId="10" fillId="58" borderId="0" applyNumberFormat="0" applyBorder="0" applyAlignment="0" applyProtection="0"/>
    <xf numFmtId="0" fontId="41" fillId="58" borderId="0" applyNumberFormat="0" applyBorder="0" applyAlignment="0" applyProtection="0"/>
    <xf numFmtId="0" fontId="69" fillId="60" borderId="0" applyNumberFormat="0" applyBorder="0" applyAlignment="0" applyProtection="0"/>
    <xf numFmtId="0" fontId="10" fillId="58" borderId="0" applyNumberFormat="0" applyBorder="0" applyAlignment="0" applyProtection="0"/>
    <xf numFmtId="0" fontId="41" fillId="58" borderId="0" applyNumberFormat="0" applyBorder="0" applyAlignment="0" applyProtection="0"/>
    <xf numFmtId="190" fontId="41" fillId="58"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41" fillId="62" borderId="0" applyNumberFormat="0" applyBorder="0" applyAlignment="0" applyProtection="0"/>
    <xf numFmtId="0" fontId="68" fillId="63" borderId="0" applyNumberFormat="0" applyBorder="0" applyAlignment="0" applyProtection="0"/>
    <xf numFmtId="0" fontId="148" fillId="116" borderId="0" applyNumberFormat="0" applyBorder="0" applyAlignment="0" applyProtection="0"/>
    <xf numFmtId="0" fontId="148" fillId="116" borderId="0" applyNumberFormat="0" applyBorder="0" applyAlignment="0" applyProtection="0"/>
    <xf numFmtId="190" fontId="148" fillId="116" borderId="0" applyNumberFormat="0" applyBorder="0" applyAlignment="0" applyProtection="0"/>
    <xf numFmtId="0" fontId="68" fillId="65" borderId="0" applyNumberFormat="0" applyBorder="0" applyAlignment="0" applyProtection="0"/>
    <xf numFmtId="0" fontId="10" fillId="62" borderId="0" applyNumberFormat="0" applyBorder="0" applyAlignment="0" applyProtection="0"/>
    <xf numFmtId="0" fontId="68" fillId="64" borderId="0" applyNumberFormat="0" applyBorder="0" applyAlignment="0" applyProtection="0"/>
    <xf numFmtId="0" fontId="10" fillId="62" borderId="0" applyNumberFormat="0" applyBorder="0" applyAlignment="0" applyProtection="0"/>
    <xf numFmtId="0" fontId="41" fillId="62" borderId="0" applyNumberFormat="0" applyBorder="0" applyAlignment="0" applyProtection="0"/>
    <xf numFmtId="0" fontId="69" fillId="64" borderId="0" applyNumberFormat="0" applyBorder="0" applyAlignment="0" applyProtection="0"/>
    <xf numFmtId="0" fontId="10" fillId="62" borderId="0" applyNumberFormat="0" applyBorder="0" applyAlignment="0" applyProtection="0"/>
    <xf numFmtId="0" fontId="41" fillId="62" borderId="0" applyNumberFormat="0" applyBorder="0" applyAlignment="0" applyProtection="0"/>
    <xf numFmtId="190" fontId="41" fillId="62"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7" borderId="0" applyNumberFormat="0" applyBorder="0" applyAlignment="0" applyProtection="0"/>
    <xf numFmtId="0" fontId="68" fillId="67" borderId="0" applyNumberFormat="0" applyBorder="0" applyAlignment="0" applyProtection="0"/>
    <xf numFmtId="0" fontId="68" fillId="9" borderId="0" applyNumberFormat="0" applyBorder="0" applyAlignment="0" applyProtection="0"/>
    <xf numFmtId="0" fontId="41" fillId="48" borderId="0" applyNumberFormat="0" applyBorder="0" applyAlignment="0" applyProtection="0"/>
    <xf numFmtId="0" fontId="68" fillId="67" borderId="0" applyNumberFormat="0" applyBorder="0" applyAlignment="0" applyProtection="0"/>
    <xf numFmtId="0" fontId="148" fillId="66" borderId="0" applyNumberFormat="0" applyBorder="0" applyAlignment="0" applyProtection="0"/>
    <xf numFmtId="0" fontId="148" fillId="66" borderId="0" applyNumberFormat="0" applyBorder="0" applyAlignment="0" applyProtection="0"/>
    <xf numFmtId="190" fontId="148" fillId="66" borderId="0" applyNumberFormat="0" applyBorder="0" applyAlignment="0" applyProtection="0"/>
    <xf numFmtId="0" fontId="68" fillId="68" borderId="0" applyNumberFormat="0" applyBorder="0" applyAlignment="0" applyProtection="0"/>
    <xf numFmtId="0" fontId="10" fillId="48" borderId="0" applyNumberFormat="0" applyBorder="0" applyAlignment="0" applyProtection="0"/>
    <xf numFmtId="0" fontId="68"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41" fillId="48" borderId="0" applyNumberFormat="0" applyBorder="0" applyAlignment="0" applyProtection="0"/>
    <xf numFmtId="190" fontId="41" fillId="48"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68" fillId="50" borderId="0" applyNumberFormat="0" applyBorder="0" applyAlignment="0" applyProtection="0"/>
    <xf numFmtId="0" fontId="68" fillId="50" borderId="0" applyNumberFormat="0" applyBorder="0" applyAlignment="0" applyProtection="0"/>
    <xf numFmtId="0" fontId="41" fillId="41" borderId="0" applyNumberFormat="0" applyBorder="0" applyAlignment="0" applyProtection="0"/>
    <xf numFmtId="0" fontId="68" fillId="50" borderId="0" applyNumberFormat="0" applyBorder="0" applyAlignment="0" applyProtection="0"/>
    <xf numFmtId="0" fontId="148" fillId="118" borderId="0" applyNumberFormat="0" applyBorder="0" applyAlignment="0" applyProtection="0"/>
    <xf numFmtId="0" fontId="148" fillId="118" borderId="0" applyNumberFormat="0" applyBorder="0" applyAlignment="0" applyProtection="0"/>
    <xf numFmtId="190" fontId="148" fillId="118" borderId="0" applyNumberFormat="0" applyBorder="0" applyAlignment="0" applyProtection="0"/>
    <xf numFmtId="0" fontId="10" fillId="41" borderId="0" applyNumberFormat="0" applyBorder="0" applyAlignment="0" applyProtection="0"/>
    <xf numFmtId="0" fontId="68"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41" fillId="41" borderId="0" applyNumberFormat="0" applyBorder="0" applyAlignment="0" applyProtection="0"/>
    <xf numFmtId="190" fontId="41" fillId="41"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68" fillId="51" borderId="0" applyNumberFormat="0" applyBorder="0" applyAlignment="0" applyProtection="0"/>
    <xf numFmtId="0" fontId="68" fillId="69" borderId="0" applyNumberFormat="0" applyBorder="0" applyAlignment="0" applyProtection="0"/>
    <xf numFmtId="0" fontId="41" fillId="45" borderId="0" applyNumberFormat="0" applyBorder="0" applyAlignment="0" applyProtection="0"/>
    <xf numFmtId="0" fontId="68" fillId="51" borderId="0" applyNumberFormat="0" applyBorder="0" applyAlignment="0" applyProtection="0"/>
    <xf numFmtId="0" fontId="148" fillId="119" borderId="0" applyNumberFormat="0" applyBorder="0" applyAlignment="0" applyProtection="0"/>
    <xf numFmtId="0" fontId="148" fillId="119" borderId="0" applyNumberFormat="0" applyBorder="0" applyAlignment="0" applyProtection="0"/>
    <xf numFmtId="190" fontId="148" fillId="119" borderId="0" applyNumberFormat="0" applyBorder="0" applyAlignment="0" applyProtection="0"/>
    <xf numFmtId="0" fontId="68" fillId="70" borderId="0" applyNumberFormat="0" applyBorder="0" applyAlignment="0" applyProtection="0"/>
    <xf numFmtId="0" fontId="10" fillId="45" borderId="0" applyNumberFormat="0" applyBorder="0" applyAlignment="0" applyProtection="0"/>
    <xf numFmtId="0" fontId="68" fillId="69" borderId="0" applyNumberFormat="0" applyBorder="0" applyAlignment="0" applyProtection="0"/>
    <xf numFmtId="0" fontId="10" fillId="45" borderId="0" applyNumberFormat="0" applyBorder="0" applyAlignment="0" applyProtection="0"/>
    <xf numFmtId="0" fontId="41" fillId="45" borderId="0" applyNumberFormat="0" applyBorder="0" applyAlignment="0" applyProtection="0"/>
    <xf numFmtId="0" fontId="69" fillId="69" borderId="0" applyNumberFormat="0" applyBorder="0" applyAlignment="0" applyProtection="0"/>
    <xf numFmtId="0" fontId="10" fillId="45" borderId="0" applyNumberFormat="0" applyBorder="0" applyAlignment="0" applyProtection="0"/>
    <xf numFmtId="0" fontId="41" fillId="45" borderId="0" applyNumberFormat="0" applyBorder="0" applyAlignment="0" applyProtection="0"/>
    <xf numFmtId="190" fontId="41" fillId="45"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70" fillId="71" borderId="0" applyNumberFormat="0" applyBorder="0" applyAlignment="0" applyProtection="0"/>
    <xf numFmtId="0" fontId="71" fillId="10" borderId="0" applyNumberFormat="0" applyBorder="0" applyAlignment="0" applyProtection="0"/>
    <xf numFmtId="0" fontId="42" fillId="11" borderId="0" applyNumberFormat="0" applyBorder="0" applyAlignment="0" applyProtection="0"/>
    <xf numFmtId="0" fontId="70" fillId="71" borderId="0" applyNumberFormat="0" applyBorder="0" applyAlignment="0" applyProtection="0"/>
    <xf numFmtId="0" fontId="150" fillId="120" borderId="0" applyNumberFormat="0" applyBorder="0" applyAlignment="0" applyProtection="0"/>
    <xf numFmtId="0" fontId="150" fillId="120" borderId="0" applyNumberFormat="0" applyBorder="0" applyAlignment="0" applyProtection="0"/>
    <xf numFmtId="190" fontId="150" fillId="120" borderId="0" applyNumberFormat="0" applyBorder="0" applyAlignment="0" applyProtection="0"/>
    <xf numFmtId="0" fontId="70" fillId="72" borderId="0" applyNumberFormat="0" applyBorder="0" applyAlignment="0" applyProtection="0"/>
    <xf numFmtId="0" fontId="71" fillId="10" borderId="0" applyNumberFormat="0" applyBorder="0" applyAlignment="0" applyProtection="0"/>
    <xf numFmtId="0" fontId="123" fillId="11" borderId="0" applyNumberFormat="0" applyBorder="0" applyAlignment="0" applyProtection="0"/>
    <xf numFmtId="0" fontId="42" fillId="11" borderId="0" applyNumberFormat="0" applyBorder="0" applyAlignment="0" applyProtection="0"/>
    <xf numFmtId="0" fontId="72" fillId="10" borderId="0" applyNumberFormat="0" applyBorder="0" applyAlignment="0" applyProtection="0"/>
    <xf numFmtId="0" fontId="123" fillId="11" borderId="0" applyNumberFormat="0" applyBorder="0" applyAlignment="0" applyProtection="0"/>
    <xf numFmtId="0" fontId="42" fillId="11" borderId="0" applyNumberFormat="0" applyBorder="0" applyAlignment="0" applyProtection="0"/>
    <xf numFmtId="190" fontId="42" fillId="11"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3" fillId="121" borderId="166" applyNumberFormat="0" applyAlignment="0" applyProtection="0"/>
    <xf numFmtId="0" fontId="73" fillId="73" borderId="2" applyNumberFormat="0" applyAlignment="0" applyProtection="0"/>
    <xf numFmtId="0" fontId="74" fillId="74" borderId="1" applyNumberFormat="0" applyAlignment="0" applyProtection="0"/>
    <xf numFmtId="0" fontId="114" fillId="27" borderId="1" applyNumberFormat="0" applyAlignment="0" applyProtection="0"/>
    <xf numFmtId="0" fontId="73" fillId="73" borderId="2" applyNumberFormat="0" applyAlignment="0" applyProtection="0"/>
    <xf numFmtId="0" fontId="153" fillId="3" borderId="166" applyNumberFormat="0" applyAlignment="0" applyProtection="0"/>
    <xf numFmtId="0" fontId="153" fillId="3" borderId="166" applyNumberFormat="0" applyAlignment="0" applyProtection="0"/>
    <xf numFmtId="190" fontId="153" fillId="3" borderId="166" applyNumberFormat="0" applyAlignment="0" applyProtection="0"/>
    <xf numFmtId="0" fontId="136" fillId="75" borderId="3" applyNumberFormat="0" applyAlignment="0" applyProtection="0"/>
    <xf numFmtId="0" fontId="74" fillId="74" borderId="1" applyNumberFormat="0" applyAlignment="0" applyProtection="0"/>
    <xf numFmtId="0" fontId="124" fillId="27" borderId="1" applyNumberFormat="0" applyAlignment="0" applyProtection="0"/>
    <xf numFmtId="0" fontId="114" fillId="27" borderId="1" applyNumberFormat="0" applyAlignment="0" applyProtection="0"/>
    <xf numFmtId="0" fontId="75" fillId="74" borderId="1" applyNumberFormat="0" applyAlignment="0" applyProtection="0"/>
    <xf numFmtId="0" fontId="124" fillId="27" borderId="1" applyNumberFormat="0" applyAlignment="0" applyProtection="0"/>
    <xf numFmtId="0" fontId="114" fillId="27" borderId="1" applyNumberFormat="0" applyAlignment="0" applyProtection="0"/>
    <xf numFmtId="190" fontId="114" fillId="27" borderId="1" applyNumberFormat="0" applyAlignment="0" applyProtection="0"/>
    <xf numFmtId="0" fontId="152" fillId="3" borderId="166" applyNumberFormat="0" applyAlignment="0" applyProtection="0"/>
    <xf numFmtId="0" fontId="152" fillId="3" borderId="166" applyNumberFormat="0" applyAlignment="0" applyProtection="0"/>
    <xf numFmtId="0" fontId="152" fillId="3" borderId="166" applyNumberFormat="0" applyAlignment="0" applyProtection="0"/>
    <xf numFmtId="0" fontId="154"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0" fontId="76" fillId="43" borderId="4" applyNumberFormat="0" applyAlignment="0" applyProtection="0"/>
    <xf numFmtId="0" fontId="76" fillId="77" borderId="4" applyNumberFormat="0" applyAlignment="0" applyProtection="0"/>
    <xf numFmtId="0" fontId="43" fillId="76" borderId="4" applyNumberFormat="0" applyAlignment="0" applyProtection="0"/>
    <xf numFmtId="0" fontId="76" fillId="43" borderId="4" applyNumberFormat="0" applyAlignment="0" applyProtection="0"/>
    <xf numFmtId="0" fontId="154" fillId="122" borderId="167" applyNumberFormat="0" applyAlignment="0" applyProtection="0"/>
    <xf numFmtId="0" fontId="154" fillId="122" borderId="167" applyNumberFormat="0" applyAlignment="0" applyProtection="0"/>
    <xf numFmtId="190" fontId="154" fillId="122" borderId="167" applyNumberFormat="0" applyAlignment="0" applyProtection="0"/>
    <xf numFmtId="0" fontId="76" fillId="78" borderId="4" applyNumberFormat="0" applyAlignment="0" applyProtection="0"/>
    <xf numFmtId="0" fontId="76" fillId="77" borderId="4" applyNumberFormat="0" applyAlignment="0" applyProtection="0"/>
    <xf numFmtId="0" fontId="19" fillId="76" borderId="4" applyNumberFormat="0" applyAlignment="0" applyProtection="0"/>
    <xf numFmtId="0" fontId="43" fillId="76" borderId="4" applyNumberFormat="0" applyAlignment="0" applyProtection="0"/>
    <xf numFmtId="0" fontId="77" fillId="77" borderId="4" applyNumberFormat="0" applyAlignment="0" applyProtection="0"/>
    <xf numFmtId="0" fontId="19" fillId="76" borderId="4" applyNumberFormat="0" applyAlignment="0" applyProtection="0"/>
    <xf numFmtId="0" fontId="43" fillId="76" borderId="4" applyNumberFormat="0" applyAlignment="0" applyProtection="0"/>
    <xf numFmtId="190" fontId="43" fillId="76" borderId="4" applyNumberFormat="0" applyAlignment="0" applyProtection="0"/>
    <xf numFmtId="0" fontId="155" fillId="122" borderId="167" applyNumberFormat="0" applyAlignment="0" applyProtection="0"/>
    <xf numFmtId="0" fontId="155" fillId="122" borderId="167" applyNumberFormat="0" applyAlignment="0" applyProtection="0"/>
    <xf numFmtId="0" fontId="155" fillId="122" borderId="167" applyNumberFormat="0" applyAlignment="0" applyProtection="0"/>
    <xf numFmtId="43" fontId="2"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8"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122" fillId="0" borderId="0" applyFont="0" applyFill="0" applyBorder="0" applyAlignment="0" applyProtection="0"/>
    <xf numFmtId="183" fontId="78"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2" fillId="0" borderId="0" applyFont="0" applyFill="0" applyBorder="0" applyAlignment="0" applyProtection="0"/>
    <xf numFmtId="183" fontId="78" fillId="0" borderId="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78" fontId="37" fillId="0" borderId="0" applyFill="0" applyBorder="0" applyAlignment="0" applyProtection="0"/>
    <xf numFmtId="178" fontId="37" fillId="0" borderId="0" applyFill="0" applyBorder="0" applyAlignment="0" applyProtection="0"/>
    <xf numFmtId="167" fontId="51" fillId="0" borderId="0" applyFont="0" applyFill="0" applyBorder="0" applyAlignment="0" applyProtection="0"/>
    <xf numFmtId="167" fontId="1" fillId="0" borderId="0" applyFont="0" applyFill="0" applyBorder="0" applyAlignment="0" applyProtection="0"/>
    <xf numFmtId="183" fontId="37" fillId="0" borderId="0" applyFill="0" applyBorder="0" applyAlignment="0" applyProtection="0"/>
    <xf numFmtId="167" fontId="51" fillId="0" borderId="0" applyFont="0" applyFill="0" applyBorder="0" applyAlignment="0" applyProtection="0"/>
    <xf numFmtId="178" fontId="37" fillId="0" borderId="0" applyFill="0" applyBorder="0" applyAlignment="0" applyProtection="0"/>
    <xf numFmtId="167" fontId="7" fillId="0" borderId="0" applyFont="0" applyFill="0" applyBorder="0" applyAlignment="0" applyProtection="0"/>
    <xf numFmtId="183" fontId="37" fillId="0" borderId="0" applyFill="0" applyBorder="0" applyAlignment="0" applyProtection="0"/>
    <xf numFmtId="167" fontId="7" fillId="0" borderId="0" applyFont="0" applyFill="0" applyBorder="0" applyAlignment="0" applyProtection="0"/>
    <xf numFmtId="167" fontId="51" fillId="0" borderId="0" applyFont="0" applyFill="0" applyBorder="0" applyAlignment="0" applyProtection="0"/>
    <xf numFmtId="167" fontId="1" fillId="0" borderId="0" applyFont="0" applyFill="0" applyBorder="0" applyAlignment="0" applyProtection="0"/>
    <xf numFmtId="167" fontId="5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1" fillId="0" borderId="0" applyFont="0" applyFill="0" applyBorder="0" applyAlignment="0" applyProtection="0"/>
    <xf numFmtId="178" fontId="37" fillId="0" borderId="0" applyFill="0" applyBorder="0" applyAlignment="0" applyProtection="0"/>
    <xf numFmtId="178" fontId="37" fillId="0" borderId="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83" fontId="37" fillId="0" borderId="0" applyFill="0" applyBorder="0" applyAlignment="0" applyProtection="0"/>
    <xf numFmtId="167" fontId="51" fillId="0" borderId="0" applyFont="0" applyFill="0" applyBorder="0" applyAlignment="0" applyProtection="0"/>
    <xf numFmtId="167" fontId="1" fillId="0" borderId="0" applyFont="0" applyFill="0" applyBorder="0" applyAlignment="0" applyProtection="0"/>
    <xf numFmtId="167" fontId="51" fillId="0" borderId="0" applyFont="0" applyFill="0" applyBorder="0" applyAlignment="0" applyProtection="0"/>
    <xf numFmtId="183" fontId="78" fillId="0" borderId="0" applyFill="0" applyBorder="0" applyAlignment="0" applyProtection="0"/>
    <xf numFmtId="178" fontId="37" fillId="0" borderId="0" applyFill="0" applyBorder="0" applyAlignment="0" applyProtection="0"/>
    <xf numFmtId="178" fontId="37" fillId="0" borderId="0" applyFill="0" applyBorder="0" applyAlignment="0" applyProtection="0"/>
    <xf numFmtId="167" fontId="7" fillId="0" borderId="0" applyFont="0" applyFill="0" applyBorder="0" applyAlignment="0" applyProtection="0"/>
    <xf numFmtId="183" fontId="37" fillId="0" borderId="0" applyFill="0" applyBorder="0" applyAlignment="0" applyProtection="0"/>
    <xf numFmtId="167" fontId="51" fillId="0" borderId="0" applyFont="0" applyFill="0" applyBorder="0" applyAlignment="0" applyProtection="0"/>
    <xf numFmtId="167" fontId="7" fillId="0" borderId="0" applyFont="0" applyFill="0" applyBorder="0" applyAlignment="0" applyProtection="0"/>
    <xf numFmtId="167" fontId="51" fillId="0" borderId="0" applyFont="0" applyFill="0" applyBorder="0" applyAlignment="0" applyProtection="0"/>
    <xf numFmtId="183" fontId="78" fillId="0" borderId="0" applyFill="0" applyBorder="0" applyAlignment="0" applyProtection="0"/>
    <xf numFmtId="178" fontId="37" fillId="0" borderId="0" applyFill="0" applyBorder="0" applyAlignment="0" applyProtection="0"/>
    <xf numFmtId="167" fontId="7" fillId="0" borderId="0" applyFont="0" applyFill="0" applyBorder="0" applyAlignment="0" applyProtection="0"/>
    <xf numFmtId="167" fontId="51" fillId="0" borderId="0" applyFont="0" applyFill="0" applyBorder="0" applyAlignment="0" applyProtection="0"/>
    <xf numFmtId="178" fontId="37"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51" fillId="0" borderId="0" applyFont="0" applyFill="0" applyBorder="0" applyAlignment="0" applyProtection="0"/>
    <xf numFmtId="183" fontId="37" fillId="0" borderId="0" applyFill="0" applyBorder="0" applyAlignment="0" applyProtection="0"/>
    <xf numFmtId="183" fontId="37" fillId="0" borderId="0" applyFill="0" applyBorder="0" applyAlignment="0" applyProtection="0"/>
    <xf numFmtId="167" fontId="51" fillId="0" borderId="0" applyFont="0" applyFill="0" applyBorder="0" applyAlignment="0" applyProtection="0"/>
    <xf numFmtId="167" fontId="2" fillId="0" borderId="0" applyFont="0" applyFill="0" applyBorder="0" applyAlignment="0" applyProtection="0"/>
    <xf numFmtId="167" fontId="51" fillId="0" borderId="0" applyFont="0" applyFill="0" applyBorder="0" applyAlignment="0" applyProtection="0"/>
    <xf numFmtId="183" fontId="37" fillId="0" borderId="0" applyFill="0" applyBorder="0" applyAlignment="0" applyProtection="0"/>
    <xf numFmtId="183" fontId="37"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3" fontId="78"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4" fontId="78"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85" fontId="37" fillId="0" borderId="0" applyFill="0" applyBorder="0" applyAlignment="0" applyProtection="0"/>
    <xf numFmtId="185" fontId="37" fillId="0" borderId="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84" fontId="37" fillId="0" borderId="0" applyFill="0" applyBorder="0" applyAlignment="0" applyProtection="0"/>
    <xf numFmtId="166" fontId="51" fillId="0" borderId="0" applyFont="0" applyFill="0" applyBorder="0" applyAlignment="0" applyProtection="0"/>
    <xf numFmtId="185" fontId="37" fillId="0" borderId="0" applyFill="0" applyBorder="0" applyAlignment="0" applyProtection="0"/>
    <xf numFmtId="166" fontId="7" fillId="0" borderId="0" applyFont="0" applyFill="0" applyBorder="0" applyAlignment="0" applyProtection="0"/>
    <xf numFmtId="184" fontId="37" fillId="0" borderId="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84" fontId="78" fillId="0" borderId="0" applyFill="0" applyBorder="0" applyAlignment="0" applyProtection="0"/>
    <xf numFmtId="185"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85" fontId="37" fillId="0" borderId="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7" fillId="0" borderId="0" applyFont="0" applyFill="0" applyBorder="0" applyAlignment="0" applyProtection="0"/>
    <xf numFmtId="184" fontId="37" fillId="0" borderId="0" applyFill="0" applyBorder="0" applyAlignment="0" applyProtection="0"/>
    <xf numFmtId="166" fontId="7" fillId="0" borderId="0" applyFont="0" applyFill="0" applyBorder="0" applyAlignment="0" applyProtection="0"/>
    <xf numFmtId="166" fontId="51" fillId="0" borderId="0" applyFont="0" applyFill="0" applyBorder="0" applyAlignment="0" applyProtection="0"/>
    <xf numFmtId="0" fontId="37" fillId="0" borderId="0" applyNumberForma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86" fontId="78" fillId="0" borderId="0" applyFill="0" applyBorder="0" applyAlignment="0" applyProtection="0"/>
    <xf numFmtId="186" fontId="37" fillId="0" borderId="0" applyFill="0" applyBorder="0" applyAlignment="0" applyProtection="0"/>
    <xf numFmtId="164" fontId="7" fillId="0" borderId="0" applyFont="0" applyFill="0" applyBorder="0" applyAlignment="0" applyProtection="0"/>
    <xf numFmtId="186" fontId="37"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4" fontId="78"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82" fillId="15" borderId="0" applyNumberFormat="0" applyBorder="0" applyAlignment="0" applyProtection="0"/>
    <xf numFmtId="0" fontId="138" fillId="79" borderId="0" applyNumberFormat="0" applyBorder="0" applyAlignment="0" applyProtection="0"/>
    <xf numFmtId="0" fontId="65" fillId="0" borderId="0"/>
    <xf numFmtId="0" fontId="156"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44" fillId="0" borderId="0" applyNumberFormat="0" applyFill="0" applyBorder="0" applyAlignment="0" applyProtection="0"/>
    <xf numFmtId="0" fontId="79"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90" fontId="156" fillId="0" borderId="0" applyNumberFormat="0" applyFill="0" applyBorder="0" applyAlignment="0" applyProtection="0"/>
    <xf numFmtId="0" fontId="137" fillId="0" borderId="0" applyNumberFormat="0" applyFill="0" applyBorder="0" applyAlignment="0" applyProtection="0"/>
    <xf numFmtId="0" fontId="80" fillId="0" borderId="0" applyNumberFormat="0" applyFill="0" applyBorder="0" applyAlignment="0" applyProtection="0"/>
    <xf numFmtId="0" fontId="125" fillId="0" borderId="0" applyNumberFormat="0" applyFill="0" applyBorder="0" applyAlignment="0" applyProtection="0"/>
    <xf numFmtId="0" fontId="44" fillId="0" borderId="0" applyNumberFormat="0" applyFill="0" applyBorder="0" applyAlignment="0" applyProtection="0"/>
    <xf numFmtId="0" fontId="81" fillId="0" borderId="0" applyNumberFormat="0" applyFill="0" applyBorder="0" applyAlignment="0" applyProtection="0"/>
    <xf numFmtId="0" fontId="125" fillId="0" borderId="0" applyNumberFormat="0" applyFill="0" applyBorder="0" applyAlignment="0" applyProtection="0"/>
    <xf numFmtId="0" fontId="44" fillId="0" borderId="0" applyNumberFormat="0" applyFill="0" applyBorder="0" applyAlignment="0" applyProtection="0"/>
    <xf numFmtId="190" fontId="4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3" borderId="168" applyNumberFormat="0" applyAlignment="0" applyProtection="0">
      <alignment horizontal="right" vertical="center"/>
    </xf>
    <xf numFmtId="0" fontId="159" fillId="80" borderId="168" applyNumberFormat="0">
      <alignment horizontal="center" vertical="center"/>
    </xf>
    <xf numFmtId="2" fontId="78"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60" fillId="0" borderId="0" applyNumberFormat="0" applyFill="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2" fillId="81" borderId="0" applyNumberFormat="0" applyBorder="0" applyAlignment="0" applyProtection="0"/>
    <xf numFmtId="0" fontId="82" fillId="15" borderId="0" applyNumberFormat="0" applyBorder="0" applyAlignment="0" applyProtection="0"/>
    <xf numFmtId="0" fontId="45" fillId="16" borderId="0" applyNumberFormat="0" applyBorder="0" applyAlignment="0" applyProtection="0"/>
    <xf numFmtId="0" fontId="82" fillId="81" borderId="0" applyNumberFormat="0" applyBorder="0" applyAlignment="0" applyProtection="0"/>
    <xf numFmtId="0" fontId="161" fillId="123" borderId="0" applyNumberFormat="0" applyBorder="0" applyAlignment="0" applyProtection="0"/>
    <xf numFmtId="0" fontId="161" fillId="123" borderId="0" applyNumberFormat="0" applyBorder="0" applyAlignment="0" applyProtection="0"/>
    <xf numFmtId="190" fontId="161" fillId="123" borderId="0" applyNumberFormat="0" applyBorder="0" applyAlignment="0" applyProtection="0"/>
    <xf numFmtId="0" fontId="138" fillId="82" borderId="0" applyNumberFormat="0" applyBorder="0" applyAlignment="0" applyProtection="0"/>
    <xf numFmtId="0" fontId="82" fillId="15" borderId="0" applyNumberFormat="0" applyBorder="0" applyAlignment="0" applyProtection="0"/>
    <xf numFmtId="0" fontId="126" fillId="16" borderId="0" applyNumberFormat="0" applyBorder="0" applyAlignment="0" applyProtection="0"/>
    <xf numFmtId="0" fontId="45" fillId="16" borderId="0" applyNumberFormat="0" applyBorder="0" applyAlignment="0" applyProtection="0"/>
    <xf numFmtId="0" fontId="83" fillId="15" borderId="0" applyNumberFormat="0" applyBorder="0" applyAlignment="0" applyProtection="0"/>
    <xf numFmtId="0" fontId="126" fillId="16" borderId="0" applyNumberFormat="0" applyBorder="0" applyAlignment="0" applyProtection="0"/>
    <xf numFmtId="0" fontId="45" fillId="16" borderId="0" applyNumberFormat="0" applyBorder="0" applyAlignment="0" applyProtection="0"/>
    <xf numFmtId="190" fontId="45" fillId="16"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4" fillId="84" borderId="0" applyNumberFormat="0" applyBorder="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64" fillId="0" borderId="169" applyNumberFormat="0" applyFill="0" applyAlignment="0" applyProtection="0"/>
    <xf numFmtId="0" fontId="85" fillId="0" borderId="6" applyNumberFormat="0" applyFill="0" applyAlignment="0" applyProtection="0"/>
    <xf numFmtId="0" fontId="85" fillId="0" borderId="6" applyNumberFormat="0" applyFill="0" applyAlignment="0" applyProtection="0"/>
    <xf numFmtId="0" fontId="163" fillId="0" borderId="5" applyNumberFormat="0" applyFill="0" applyAlignment="0" applyProtection="0"/>
    <xf numFmtId="0" fontId="86" fillId="0" borderId="7" applyNumberFormat="0" applyFill="0" applyAlignment="0" applyProtection="0"/>
    <xf numFmtId="0" fontId="115" fillId="0" borderId="7" applyNumberFormat="0" applyFill="0" applyAlignment="0" applyProtection="0"/>
    <xf numFmtId="0" fontId="163" fillId="0" borderId="5" applyNumberFormat="0" applyFill="0" applyAlignment="0" applyProtection="0"/>
    <xf numFmtId="190" fontId="163" fillId="0" borderId="5" applyNumberFormat="0" applyFill="0" applyAlignment="0" applyProtection="0"/>
    <xf numFmtId="0" fontId="37" fillId="0" borderId="0" applyNumberFormat="0" applyFill="0" applyAlignment="0" applyProtection="0"/>
    <xf numFmtId="0" fontId="112" fillId="0" borderId="0" applyNumberFormat="0" applyFont="0" applyFill="0" applyAlignment="0" applyProtection="0"/>
    <xf numFmtId="0" fontId="86" fillId="0" borderId="7" applyNumberFormat="0" applyFill="0" applyAlignment="0" applyProtection="0"/>
    <xf numFmtId="0" fontId="128" fillId="0" borderId="7" applyNumberFormat="0" applyFill="0" applyAlignment="0" applyProtection="0"/>
    <xf numFmtId="0" fontId="115" fillId="0" borderId="7" applyNumberFormat="0" applyFill="0" applyAlignment="0" applyProtection="0"/>
    <xf numFmtId="0" fontId="112" fillId="0" borderId="0" applyNumberFormat="0" applyFont="0" applyFill="0" applyAlignment="0" applyProtection="0"/>
    <xf numFmtId="0" fontId="115" fillId="0" borderId="7" applyNumberFormat="0" applyFill="0" applyAlignment="0" applyProtection="0"/>
    <xf numFmtId="190" fontId="115" fillId="0" borderId="7" applyNumberFormat="0" applyFill="0" applyAlignment="0" applyProtection="0"/>
    <xf numFmtId="0" fontId="127" fillId="0" borderId="5" applyNumberFormat="0" applyFill="0" applyAlignment="0" applyProtection="0"/>
    <xf numFmtId="0" fontId="127" fillId="0" borderId="5"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66" fillId="0" borderId="170"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165" fillId="0" borderId="170" applyNumberFormat="0" applyFill="0" applyAlignment="0" applyProtection="0"/>
    <xf numFmtId="0" fontId="88" fillId="0" borderId="8" applyNumberFormat="0" applyFill="0" applyAlignment="0" applyProtection="0"/>
    <xf numFmtId="0" fontId="116" fillId="0" borderId="8" applyNumberFormat="0" applyFill="0" applyAlignment="0" applyProtection="0"/>
    <xf numFmtId="0" fontId="165" fillId="0" borderId="170" applyNumberFormat="0" applyFill="0" applyAlignment="0" applyProtection="0"/>
    <xf numFmtId="190" fontId="165" fillId="0" borderId="170" applyNumberFormat="0" applyFill="0" applyAlignment="0" applyProtection="0"/>
    <xf numFmtId="0" fontId="37" fillId="0" borderId="0" applyNumberFormat="0" applyFill="0" applyAlignment="0" applyProtection="0"/>
    <xf numFmtId="0" fontId="113" fillId="0" borderId="0" applyNumberFormat="0" applyFont="0" applyFill="0" applyAlignment="0" applyProtection="0"/>
    <xf numFmtId="0" fontId="88" fillId="0" borderId="8" applyNumberFormat="0" applyFill="0" applyAlignment="0" applyProtection="0"/>
    <xf numFmtId="0" fontId="130" fillId="0" borderId="8" applyNumberFormat="0" applyFill="0" applyAlignment="0" applyProtection="0"/>
    <xf numFmtId="0" fontId="116" fillId="0" borderId="8" applyNumberFormat="0" applyFill="0" applyAlignment="0" applyProtection="0"/>
    <xf numFmtId="0" fontId="113" fillId="0" borderId="0" applyNumberFormat="0" applyFont="0" applyFill="0" applyAlignment="0" applyProtection="0"/>
    <xf numFmtId="0" fontId="116" fillId="0" borderId="8" applyNumberFormat="0" applyFill="0" applyAlignment="0" applyProtection="0"/>
    <xf numFmtId="190" fontId="116" fillId="0" borderId="8" applyNumberFormat="0" applyFill="0" applyAlignment="0" applyProtection="0"/>
    <xf numFmtId="0" fontId="129" fillId="0" borderId="170" applyNumberFormat="0" applyFill="0" applyAlignment="0" applyProtection="0"/>
    <xf numFmtId="0" fontId="129" fillId="0" borderId="17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68" fillId="0" borderId="171" applyNumberFormat="0" applyFill="0" applyAlignment="0" applyProtection="0"/>
    <xf numFmtId="0" fontId="89" fillId="0" borderId="11" applyNumberFormat="0" applyFill="0" applyAlignment="0" applyProtection="0"/>
    <xf numFmtId="0" fontId="90" fillId="0" borderId="12" applyNumberFormat="0" applyFill="0" applyAlignment="0" applyProtection="0"/>
    <xf numFmtId="0" fontId="117" fillId="0" borderId="13" applyNumberFormat="0" applyFill="0" applyAlignment="0" applyProtection="0"/>
    <xf numFmtId="0" fontId="89" fillId="0" borderId="11" applyNumberFormat="0" applyFill="0" applyAlignment="0" applyProtection="0"/>
    <xf numFmtId="0" fontId="167" fillId="0" borderId="10" applyNumberFormat="0" applyFill="0" applyAlignment="0" applyProtection="0"/>
    <xf numFmtId="0" fontId="167" fillId="0" borderId="10" applyNumberFormat="0" applyFill="0" applyAlignment="0" applyProtection="0"/>
    <xf numFmtId="190" fontId="167" fillId="0" borderId="10" applyNumberFormat="0" applyFill="0" applyAlignment="0" applyProtection="0"/>
    <xf numFmtId="0" fontId="90" fillId="0" borderId="12" applyNumberFormat="0" applyFill="0" applyAlignment="0" applyProtection="0"/>
    <xf numFmtId="0" fontId="132" fillId="0" borderId="13" applyNumberFormat="0" applyFill="0" applyAlignment="0" applyProtection="0"/>
    <xf numFmtId="0" fontId="117" fillId="0" borderId="13" applyNumberFormat="0" applyFill="0" applyAlignment="0" applyProtection="0"/>
    <xf numFmtId="0" fontId="91" fillId="0" borderId="12" applyNumberFormat="0" applyFill="0" applyAlignment="0" applyProtection="0"/>
    <xf numFmtId="0" fontId="132" fillId="0" borderId="13" applyNumberFormat="0" applyFill="0" applyAlignment="0" applyProtection="0"/>
    <xf numFmtId="0" fontId="117" fillId="0" borderId="13" applyNumberFormat="0" applyFill="0" applyAlignment="0" applyProtection="0"/>
    <xf numFmtId="190" fontId="117" fillId="0" borderId="13"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10"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6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117" fillId="0" borderId="0" applyNumberFormat="0" applyFill="0" applyBorder="0" applyAlignment="0" applyProtection="0"/>
    <xf numFmtId="0" fontId="89" fillId="0" borderId="0" applyNumberFormat="0" applyFill="0" applyBorder="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190" fontId="167" fillId="0" borderId="0" applyNumberFormat="0" applyFill="0" applyBorder="0" applyAlignment="0" applyProtection="0"/>
    <xf numFmtId="0" fontId="90" fillId="0" borderId="0" applyNumberFormat="0" applyFill="0" applyBorder="0" applyAlignment="0" applyProtection="0"/>
    <xf numFmtId="0" fontId="132" fillId="0" borderId="0" applyNumberFormat="0" applyFill="0" applyBorder="0" applyAlignment="0" applyProtection="0"/>
    <xf numFmtId="0" fontId="117" fillId="0" borderId="0" applyNumberFormat="0" applyFill="0" applyBorder="0" applyAlignment="0" applyProtection="0"/>
    <xf numFmtId="0" fontId="91" fillId="0" borderId="0" applyNumberFormat="0" applyFill="0" applyBorder="0" applyAlignment="0" applyProtection="0"/>
    <xf numFmtId="0" fontId="132" fillId="0" borderId="0" applyNumberFormat="0" applyFill="0" applyBorder="0" applyAlignment="0" applyProtection="0"/>
    <xf numFmtId="0" fontId="117" fillId="0" borderId="0" applyNumberFormat="0" applyFill="0" applyBorder="0" applyAlignment="0" applyProtection="0"/>
    <xf numFmtId="190" fontId="11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92" fillId="0" borderId="0" applyNumberFormat="0" applyFill="0" applyBorder="0" applyAlignment="0" applyProtection="0"/>
    <xf numFmtId="0" fontId="121" fillId="0" borderId="0" applyNumberFormat="0" applyFill="0" applyBorder="0" applyAlignment="0" applyProtection="0">
      <alignment vertical="top"/>
      <protection locked="0"/>
    </xf>
    <xf numFmtId="0" fontId="169" fillId="0" borderId="0" applyNumberFormat="0" applyFill="0" applyBorder="0" applyAlignment="0" applyProtection="0"/>
    <xf numFmtId="0" fontId="93" fillId="0" borderId="0" applyNumberFormat="0" applyFill="0" applyBorder="0" applyAlignment="0" applyProtection="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190" fontId="111" fillId="0" borderId="0" applyNumberFormat="0" applyFill="0" applyBorder="0" applyAlignment="0" applyProtection="0">
      <alignment vertical="top"/>
      <protection locked="0"/>
    </xf>
    <xf numFmtId="0" fontId="93" fillId="0" borderId="0" applyNumberFormat="0" applyFill="0" applyBorder="0" applyAlignment="0" applyProtection="0"/>
    <xf numFmtId="0" fontId="84" fillId="85" borderId="0" applyNumberFormat="0" applyBorder="0" applyAlignment="0" applyProtection="0"/>
    <xf numFmtId="0" fontId="84"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5" fillId="26" borderId="2" applyNumberFormat="0" applyAlignment="0" applyProtection="0"/>
    <xf numFmtId="0" fontId="94" fillId="26" borderId="1" applyNumberFormat="0" applyAlignment="0" applyProtection="0"/>
    <xf numFmtId="0" fontId="46" fillId="3" borderId="1" applyNumberFormat="0" applyAlignment="0" applyProtection="0"/>
    <xf numFmtId="0" fontId="95" fillId="26" borderId="2" applyNumberFormat="0" applyAlignment="0" applyProtection="0"/>
    <xf numFmtId="0" fontId="170" fillId="30" borderId="166" applyNumberFormat="0" applyAlignment="0" applyProtection="0"/>
    <xf numFmtId="0" fontId="170" fillId="30" borderId="166" applyNumberFormat="0" applyAlignment="0" applyProtection="0"/>
    <xf numFmtId="190" fontId="170" fillId="30" borderId="166" applyNumberFormat="0" applyAlignment="0" applyProtection="0"/>
    <xf numFmtId="0" fontId="95" fillId="26" borderId="3"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6" fillId="26" borderId="1" applyNumberFormat="0" applyAlignment="0" applyProtection="0"/>
    <xf numFmtId="0" fontId="133" fillId="3" borderId="1"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46" fillId="3" borderId="1" applyNumberFormat="0" applyAlignment="0" applyProtection="0"/>
    <xf numFmtId="19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46" fillId="3" borderId="1" applyNumberFormat="0" applyAlignment="0" applyProtection="0"/>
    <xf numFmtId="0" fontId="133" fillId="3" borderId="1" applyNumberFormat="0" applyAlignment="0" applyProtection="0"/>
    <xf numFmtId="0" fontId="133" fillId="3" borderId="1"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170" fillId="124" borderId="166" applyNumberFormat="0" applyAlignment="0" applyProtection="0"/>
    <xf numFmtId="0" fontId="94" fillId="26" borderId="1" applyNumberFormat="0" applyAlignment="0" applyProtection="0"/>
    <xf numFmtId="0" fontId="133" fillId="3"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94" fillId="26" borderId="1" applyNumberFormat="0" applyAlignment="0" applyProtection="0"/>
    <xf numFmtId="0" fontId="46" fillId="3" borderId="1" applyNumberFormat="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97" fillId="0" borderId="16" applyNumberFormat="0" applyFill="0" applyAlignment="0" applyProtection="0"/>
    <xf numFmtId="0" fontId="98" fillId="0" borderId="15" applyNumberFormat="0" applyFill="0" applyAlignment="0" applyProtection="0"/>
    <xf numFmtId="0" fontId="118" fillId="0" borderId="15" applyNumberFormat="0" applyFill="0" applyAlignment="0" applyProtection="0"/>
    <xf numFmtId="0" fontId="97" fillId="0" borderId="16"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190" fontId="172" fillId="0" borderId="172" applyNumberFormat="0" applyFill="0" applyAlignment="0" applyProtection="0"/>
    <xf numFmtId="0" fontId="139" fillId="0" borderId="17" applyNumberFormat="0" applyFill="0" applyAlignment="0" applyProtection="0"/>
    <xf numFmtId="0" fontId="98" fillId="0" borderId="15" applyNumberFormat="0" applyFill="0" applyAlignment="0" applyProtection="0"/>
    <xf numFmtId="0" fontId="134" fillId="0" borderId="15" applyNumberFormat="0" applyFill="0" applyAlignment="0" applyProtection="0"/>
    <xf numFmtId="0" fontId="118" fillId="0" borderId="15" applyNumberFormat="0" applyFill="0" applyAlignment="0" applyProtection="0"/>
    <xf numFmtId="0" fontId="99" fillId="0" borderId="15" applyNumberFormat="0" applyFill="0" applyAlignment="0" applyProtection="0"/>
    <xf numFmtId="0" fontId="134" fillId="0" borderId="15" applyNumberFormat="0" applyFill="0" applyAlignment="0" applyProtection="0"/>
    <xf numFmtId="0" fontId="118" fillId="0" borderId="15" applyNumberFormat="0" applyFill="0" applyAlignment="0" applyProtection="0"/>
    <xf numFmtId="190" fontId="118" fillId="0" borderId="15"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0" fontId="171" fillId="0" borderId="172" applyNumberFormat="0" applyFill="0" applyAlignment="0" applyProtection="0"/>
    <xf numFmtId="187" fontId="65" fillId="0" borderId="0"/>
    <xf numFmtId="187" fontId="65" fillId="0" borderId="0"/>
    <xf numFmtId="187" fontId="7" fillId="0" borderId="0"/>
    <xf numFmtId="187" fontId="7" fillId="0" borderId="0"/>
    <xf numFmtId="188" fontId="65" fillId="0" borderId="0"/>
    <xf numFmtId="188" fontId="65" fillId="0" borderId="0"/>
    <xf numFmtId="175" fontId="7" fillId="0" borderId="0"/>
    <xf numFmtId="175" fontId="7" fillId="0" borderId="0"/>
    <xf numFmtId="187" fontId="65" fillId="0" borderId="0"/>
    <xf numFmtId="187" fontId="65" fillId="0" borderId="0"/>
    <xf numFmtId="187" fontId="7" fillId="0" borderId="0"/>
    <xf numFmtId="187" fontId="7" fillId="0" borderId="0"/>
    <xf numFmtId="187" fontId="65" fillId="0" borderId="0"/>
    <xf numFmtId="187" fontId="65" fillId="0" borderId="0"/>
    <xf numFmtId="187" fontId="7" fillId="0" borderId="0"/>
    <xf numFmtId="187" fontId="7" fillId="0" borderId="0"/>
    <xf numFmtId="187" fontId="65" fillId="0" borderId="0"/>
    <xf numFmtId="187" fontId="65" fillId="0" borderId="0"/>
    <xf numFmtId="187" fontId="7" fillId="0" borderId="0"/>
    <xf numFmtId="187" fontId="7" fillId="0" borderId="0"/>
    <xf numFmtId="187" fontId="65" fillId="0" borderId="0"/>
    <xf numFmtId="187" fontId="65" fillId="0" borderId="0"/>
    <xf numFmtId="187" fontId="7" fillId="0" borderId="0"/>
    <xf numFmtId="187" fontId="7" fillId="0" borderId="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00" fillId="87" borderId="0" applyNumberFormat="0" applyBorder="0" applyAlignment="0" applyProtection="0"/>
    <xf numFmtId="0" fontId="101" fillId="88" borderId="0" applyNumberFormat="0" applyBorder="0" applyAlignment="0" applyProtection="0"/>
    <xf numFmtId="0" fontId="119" fillId="30" borderId="0" applyNumberFormat="0" applyBorder="0" applyAlignment="0" applyProtection="0"/>
    <xf numFmtId="0" fontId="100" fillId="87"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190" fontId="174" fillId="125" borderId="0" applyNumberFormat="0" applyBorder="0" applyAlignment="0" applyProtection="0"/>
    <xf numFmtId="0" fontId="140" fillId="89" borderId="0" applyNumberFormat="0" applyBorder="0" applyAlignment="0" applyProtection="0"/>
    <xf numFmtId="0" fontId="101" fillId="88" borderId="0" applyNumberFormat="0" applyBorder="0" applyAlignment="0" applyProtection="0"/>
    <xf numFmtId="0" fontId="135" fillId="30" borderId="0" applyNumberFormat="0" applyBorder="0" applyAlignment="0" applyProtection="0"/>
    <xf numFmtId="0" fontId="119" fillId="30" borderId="0" applyNumberFormat="0" applyBorder="0" applyAlignment="0" applyProtection="0"/>
    <xf numFmtId="0" fontId="102" fillId="88" borderId="0" applyNumberFormat="0" applyBorder="0" applyAlignment="0" applyProtection="0"/>
    <xf numFmtId="0" fontId="135" fillId="30" borderId="0" applyNumberFormat="0" applyBorder="0" applyAlignment="0" applyProtection="0"/>
    <xf numFmtId="0" fontId="119" fillId="30" borderId="0" applyNumberFormat="0" applyBorder="0" applyAlignment="0" applyProtection="0"/>
    <xf numFmtId="190" fontId="119" fillId="30"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189" fontId="65" fillId="0" borderId="0"/>
    <xf numFmtId="189" fontId="65" fillId="0" borderId="0"/>
    <xf numFmtId="191" fontId="7" fillId="0" borderId="0"/>
    <xf numFmtId="191" fontId="7" fillId="0" borderId="0"/>
    <xf numFmtId="0" fontId="65" fillId="0" borderId="0"/>
    <xf numFmtId="0" fontId="7"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190" fontId="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7" fillId="0" borderId="0"/>
    <xf numFmtId="0" fontId="146" fillId="0" borderId="0"/>
    <xf numFmtId="0" fontId="7" fillId="0" borderId="0"/>
    <xf numFmtId="0" fontId="7" fillId="0" borderId="0"/>
    <xf numFmtId="0" fontId="7" fillId="0" borderId="0"/>
    <xf numFmtId="0" fontId="146" fillId="0" borderId="0"/>
    <xf numFmtId="0" fontId="2" fillId="0" borderId="0"/>
    <xf numFmtId="0" fontId="65" fillId="0" borderId="0"/>
    <xf numFmtId="0" fontId="66" fillId="0" borderId="0"/>
    <xf numFmtId="0" fontId="146" fillId="0" borderId="0"/>
    <xf numFmtId="0" fontId="7" fillId="0" borderId="0"/>
    <xf numFmtId="0" fontId="65" fillId="0" borderId="0"/>
    <xf numFmtId="0" fontId="146" fillId="0" borderId="0"/>
    <xf numFmtId="0" fontId="7" fillId="0" borderId="0"/>
    <xf numFmtId="0" fontId="7" fillId="0" borderId="0"/>
    <xf numFmtId="0" fontId="146" fillId="0" borderId="0"/>
    <xf numFmtId="0" fontId="66" fillId="0" borderId="0"/>
    <xf numFmtId="0" fontId="7" fillId="0" borderId="0"/>
    <xf numFmtId="190" fontId="7" fillId="0" borderId="0"/>
    <xf numFmtId="0" fontId="65" fillId="0" borderId="0"/>
    <xf numFmtId="0" fontId="2" fillId="0" borderId="0"/>
    <xf numFmtId="0" fontId="146" fillId="0" borderId="0"/>
    <xf numFmtId="0" fontId="146" fillId="0" borderId="0"/>
    <xf numFmtId="0" fontId="2" fillId="0" borderId="0"/>
    <xf numFmtId="0" fontId="2" fillId="0" borderId="0"/>
    <xf numFmtId="0" fontId="146" fillId="0" borderId="0"/>
    <xf numFmtId="0" fontId="146"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6" fillId="0" borderId="0"/>
    <xf numFmtId="0" fontId="103" fillId="0" borderId="0"/>
    <xf numFmtId="0" fontId="175" fillId="0" borderId="0"/>
    <xf numFmtId="0" fontId="65" fillId="0" borderId="0"/>
    <xf numFmtId="0" fontId="7"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190" fontId="146" fillId="0" borderId="0"/>
    <xf numFmtId="0" fontId="7"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6" fillId="0" borderId="0"/>
    <xf numFmtId="0" fontId="65" fillId="0" borderId="0"/>
    <xf numFmtId="0" fontId="7" fillId="0" borderId="0"/>
    <xf numFmtId="0" fontId="6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0" fontId="146" fillId="0" borderId="0"/>
    <xf numFmtId="0" fontId="146" fillId="0" borderId="0"/>
    <xf numFmtId="0" fontId="66" fillId="0" borderId="0"/>
    <xf numFmtId="0" fontId="146" fillId="0" borderId="0"/>
    <xf numFmtId="0" fontId="146" fillId="0" borderId="0"/>
    <xf numFmtId="0" fontId="146" fillId="0" borderId="0"/>
    <xf numFmtId="19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66" fillId="0" borderId="0"/>
    <xf numFmtId="0" fontId="7" fillId="0" borderId="0"/>
    <xf numFmtId="0" fontId="146" fillId="0" borderId="0"/>
    <xf numFmtId="0" fontId="66" fillId="0" borderId="0"/>
    <xf numFmtId="0" fontId="66" fillId="0" borderId="0"/>
    <xf numFmtId="0" fontId="146" fillId="0" borderId="0"/>
    <xf numFmtId="0" fontId="66" fillId="0" borderId="0"/>
    <xf numFmtId="0" fontId="146" fillId="0" borderId="0"/>
    <xf numFmtId="0" fontId="66" fillId="0" borderId="0"/>
    <xf numFmtId="0" fontId="146" fillId="0" borderId="0"/>
    <xf numFmtId="0" fontId="65" fillId="0" borderId="0"/>
    <xf numFmtId="0" fontId="7" fillId="0" borderId="0"/>
    <xf numFmtId="0" fontId="146" fillId="0" borderId="0"/>
    <xf numFmtId="190"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6" fillId="0" borderId="0"/>
    <xf numFmtId="0" fontId="66" fillId="0" borderId="0"/>
    <xf numFmtId="0" fontId="146" fillId="0" borderId="0"/>
    <xf numFmtId="0" fontId="65" fillId="0" borderId="0"/>
    <xf numFmtId="0" fontId="7" fillId="0" borderId="0"/>
    <xf numFmtId="190"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6" fillId="0" borderId="0"/>
    <xf numFmtId="0" fontId="146" fillId="0" borderId="0"/>
    <xf numFmtId="0" fontId="7" fillId="0" borderId="0"/>
    <xf numFmtId="0" fontId="7" fillId="0" borderId="0"/>
    <xf numFmtId="0" fontId="146" fillId="0" borderId="0"/>
    <xf numFmtId="0" fontId="146" fillId="0" borderId="0"/>
    <xf numFmtId="0" fontId="65" fillId="0" borderId="0"/>
    <xf numFmtId="0" fontId="146" fillId="0" borderId="0"/>
    <xf numFmtId="0" fontId="141"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5" fillId="0" borderId="0"/>
    <xf numFmtId="0" fontId="146" fillId="0" borderId="0"/>
    <xf numFmtId="0" fontId="7" fillId="0" borderId="0"/>
    <xf numFmtId="0" fontId="146" fillId="0" borderId="0"/>
    <xf numFmtId="0" fontId="146" fillId="0" borderId="0"/>
    <xf numFmtId="0" fontId="66" fillId="0" borderId="0"/>
    <xf numFmtId="0" fontId="66" fillId="0" borderId="0"/>
    <xf numFmtId="0" fontId="146" fillId="0" borderId="0"/>
    <xf numFmtId="0" fontId="146" fillId="0" borderId="0"/>
    <xf numFmtId="0" fontId="146" fillId="0" borderId="0"/>
    <xf numFmtId="0" fontId="4" fillId="0" borderId="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78" fillId="85" borderId="19" applyNumberFormat="0" applyAlignment="0" applyProtection="0"/>
    <xf numFmtId="0" fontId="51" fillId="126" borderId="173" applyNumberFormat="0" applyFont="0" applyAlignment="0" applyProtection="0"/>
    <xf numFmtId="0" fontId="37" fillId="85" borderId="20" applyNumberFormat="0" applyAlignment="0" applyProtection="0"/>
    <xf numFmtId="0" fontId="146" fillId="126" borderId="173"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0" fontId="37" fillId="85" borderId="19" applyNumberFormat="0" applyAlignment="0" applyProtection="0"/>
    <xf numFmtId="0" fontId="51" fillId="126" borderId="173" applyNumberFormat="0" applyFont="0" applyAlignment="0" applyProtection="0"/>
    <xf numFmtId="0" fontId="51" fillId="126" borderId="173" applyNumberFormat="0" applyFont="0" applyAlignment="0" applyProtection="0"/>
    <xf numFmtId="0" fontId="51" fillId="126" borderId="173" applyNumberFormat="0" applyFont="0" applyAlignment="0" applyProtection="0"/>
    <xf numFmtId="190" fontId="51" fillId="126" borderId="173" applyNumberFormat="0" applyFont="0" applyAlignment="0" applyProtection="0"/>
    <xf numFmtId="0" fontId="35" fillId="126" borderId="173" applyNumberFormat="0" applyFont="0" applyAlignment="0" applyProtection="0"/>
    <xf numFmtId="0" fontId="37" fillId="85" borderId="18" applyNumberFormat="0" applyAlignment="0" applyProtection="0"/>
    <xf numFmtId="0" fontId="52" fillId="126" borderId="173"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2" fillId="126" borderId="173" applyNumberFormat="0" applyFont="0" applyAlignment="0" applyProtection="0"/>
    <xf numFmtId="190" fontId="7" fillId="12" borderId="18"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35" fillId="126" borderId="173" applyNumberFormat="0" applyFont="0" applyAlignment="0" applyProtection="0"/>
    <xf numFmtId="0" fontId="52" fillId="126" borderId="173" applyNumberFormat="0" applyFon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0" fontId="176" fillId="121" borderId="174" applyNumberFormat="0" applyAlignment="0" applyProtection="0"/>
    <xf numFmtId="0" fontId="104" fillId="73" borderId="21" applyNumberFormat="0" applyAlignment="0" applyProtection="0"/>
    <xf numFmtId="0" fontId="104" fillId="74" borderId="21" applyNumberFormat="0" applyAlignment="0" applyProtection="0"/>
    <xf numFmtId="0" fontId="47" fillId="27" borderId="21" applyNumberFormat="0" applyAlignment="0" applyProtection="0"/>
    <xf numFmtId="0" fontId="104" fillId="73" borderId="21" applyNumberFormat="0" applyAlignment="0" applyProtection="0"/>
    <xf numFmtId="0" fontId="176" fillId="3" borderId="174" applyNumberFormat="0" applyAlignment="0" applyProtection="0"/>
    <xf numFmtId="0" fontId="176" fillId="3" borderId="174" applyNumberFormat="0" applyAlignment="0" applyProtection="0"/>
    <xf numFmtId="190" fontId="176" fillId="3" borderId="174" applyNumberFormat="0" applyAlignment="0" applyProtection="0"/>
    <xf numFmtId="0" fontId="104" fillId="75" borderId="21" applyNumberFormat="0" applyAlignment="0" applyProtection="0"/>
    <xf numFmtId="0" fontId="104" fillId="74" borderId="21" applyNumberFormat="0" applyAlignment="0" applyProtection="0"/>
    <xf numFmtId="0" fontId="50" fillId="27" borderId="21" applyNumberFormat="0" applyAlignment="0" applyProtection="0"/>
    <xf numFmtId="0" fontId="47" fillId="27" borderId="21" applyNumberFormat="0" applyAlignment="0" applyProtection="0"/>
    <xf numFmtId="0" fontId="105" fillId="74" borderId="21" applyNumberFormat="0" applyAlignment="0" applyProtection="0"/>
    <xf numFmtId="0" fontId="50" fillId="27" borderId="21" applyNumberFormat="0" applyAlignment="0" applyProtection="0"/>
    <xf numFmtId="0" fontId="47" fillId="27" borderId="21" applyNumberFormat="0" applyAlignment="0" applyProtection="0"/>
    <xf numFmtId="190" fontId="47" fillId="27" borderId="21" applyNumberFormat="0" applyAlignment="0" applyProtection="0"/>
    <xf numFmtId="0" fontId="177" fillId="3" borderId="174" applyNumberFormat="0" applyAlignment="0" applyProtection="0"/>
    <xf numFmtId="0" fontId="177" fillId="3" borderId="174" applyNumberFormat="0" applyAlignment="0" applyProtection="0"/>
    <xf numFmtId="0" fontId="177" fillId="3" borderId="174" applyNumberFormat="0" applyAlignment="0" applyProtection="0"/>
    <xf numFmtId="9" fontId="24" fillId="0" borderId="0" applyFont="0" applyFill="0" applyBorder="0" applyAlignment="0" applyProtection="0"/>
    <xf numFmtId="10" fontId="78"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122" fillId="0" borderId="0" applyFont="0" applyFill="0" applyBorder="0" applyAlignment="0" applyProtection="0"/>
    <xf numFmtId="9" fontId="78" fillId="0" borderId="0" applyFill="0" applyBorder="0" applyAlignment="0" applyProtection="0"/>
    <xf numFmtId="9" fontId="78" fillId="0" borderId="0" applyFill="0" applyBorder="0" applyAlignment="0" applyProtection="0"/>
    <xf numFmtId="9" fontId="78"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8"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22" fillId="0" borderId="0" applyNumberFormat="0" applyFont="0" applyFill="0" applyBorder="0" applyAlignment="0" applyProtection="0">
      <alignment horizontal="left"/>
    </xf>
    <xf numFmtId="0" fontId="178" fillId="0" borderId="0" applyNumberFormat="0" applyBorder="0" applyAlignment="0"/>
    <xf numFmtId="0" fontId="179" fillId="0" borderId="0" applyNumberFormat="0" applyBorder="0" applyAlignment="0"/>
    <xf numFmtId="0" fontId="180" fillId="0" borderId="0" applyNumberFormat="0" applyBorder="0" applyAlignment="0"/>
    <xf numFmtId="0" fontId="106" fillId="0" borderId="0" applyNumberFormat="0" applyFill="0" applyBorder="0" applyAlignment="0" applyProtection="0"/>
    <xf numFmtId="0" fontId="107" fillId="0" borderId="0" applyNumberFormat="0" applyFill="0" applyBorder="0" applyAlignment="0" applyProtection="0"/>
    <xf numFmtId="0" fontId="120" fillId="0" borderId="0" applyNumberFormat="0" applyFill="0" applyBorder="0" applyAlignment="0" applyProtection="0"/>
    <xf numFmtId="0" fontId="10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90" fontId="53" fillId="0" borderId="0" applyNumberFormat="0" applyFill="0" applyBorder="0" applyAlignment="0" applyProtection="0"/>
    <xf numFmtId="0" fontId="107"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190" fontId="120" fillId="0" borderId="0" applyNumberFormat="0" applyFill="0" applyBorder="0" applyAlignment="0" applyProtection="0"/>
    <xf numFmtId="0" fontId="181" fillId="0" borderId="0" applyNumberFormat="0" applyFill="0" applyBorder="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2" fillId="0" borderId="175" applyNumberFormat="0" applyFill="0" applyAlignment="0" applyProtection="0"/>
    <xf numFmtId="0" fontId="108"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8" fillId="0" borderId="23" applyNumberFormat="0" applyFill="0" applyAlignment="0" applyProtection="0"/>
    <xf numFmtId="0" fontId="182" fillId="0" borderId="22" applyNumberFormat="0" applyFill="0" applyAlignment="0" applyProtection="0"/>
    <xf numFmtId="0" fontId="108" fillId="0" borderId="25" applyNumberFormat="0" applyFill="0" applyAlignment="0" applyProtection="0"/>
    <xf numFmtId="0" fontId="48" fillId="0" borderId="25" applyNumberFormat="0" applyFill="0" applyAlignment="0" applyProtection="0"/>
    <xf numFmtId="0" fontId="182" fillId="0" borderId="22" applyNumberFormat="0" applyFill="0" applyAlignment="0" applyProtection="0"/>
    <xf numFmtId="190" fontId="182"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8" fillId="0" borderId="25" applyNumberFormat="0" applyFill="0" applyAlignment="0" applyProtection="0"/>
    <xf numFmtId="0" fontId="36" fillId="0" borderId="25" applyNumberFormat="0" applyFill="0" applyAlignment="0" applyProtection="0"/>
    <xf numFmtId="0" fontId="48" fillId="0" borderId="25" applyNumberFormat="0" applyFill="0" applyAlignment="0" applyProtection="0"/>
    <xf numFmtId="0" fontId="7" fillId="0" borderId="24" applyNumberFormat="0" applyFont="0" applyBorder="0" applyAlignment="0" applyProtection="0"/>
    <xf numFmtId="0" fontId="48" fillId="0" borderId="25" applyNumberFormat="0" applyFill="0" applyAlignment="0" applyProtection="0"/>
    <xf numFmtId="190" fontId="48" fillId="0" borderId="25"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31" fillId="0" borderId="0" applyNumberFormat="0" applyFill="0" applyBorder="0" applyAlignment="0" applyProtection="0"/>
    <xf numFmtId="0" fontId="109"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190" fontId="184" fillId="0" borderId="0" applyNumberFormat="0" applyFill="0" applyBorder="0" applyAlignment="0" applyProtection="0"/>
    <xf numFmtId="0" fontId="109"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110"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190" fontId="31"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cellStyleXfs>
  <cellXfs count="566">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8" fontId="7" fillId="0" borderId="34" xfId="0" applyNumberFormat="1" applyFont="1" applyBorder="1"/>
    <xf numFmtId="168" fontId="7" fillId="0" borderId="35" xfId="0" applyNumberFormat="1" applyFont="1" applyBorder="1"/>
    <xf numFmtId="168" fontId="7" fillId="0" borderId="36" xfId="0" applyNumberFormat="1" applyFont="1" applyBorder="1"/>
    <xf numFmtId="168"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8" fontId="15" fillId="0" borderId="53" xfId="0" applyNumberFormat="1" applyFont="1" applyFill="1" applyBorder="1" applyAlignment="1" applyProtection="1">
      <alignment horizontal="center"/>
    </xf>
    <xf numFmtId="173"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8"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3"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8" fontId="15" fillId="0" borderId="65" xfId="0" applyNumberFormat="1" applyFont="1" applyFill="1" applyBorder="1" applyAlignment="1" applyProtection="1">
      <alignment horizontal="center"/>
    </xf>
    <xf numFmtId="10" fontId="15" fillId="0" borderId="66" xfId="1867"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9" fontId="17" fillId="0" borderId="62" xfId="0" applyNumberFormat="1" applyFont="1" applyFill="1" applyBorder="1" applyAlignment="1" applyProtection="1">
      <alignment horizontal="right"/>
    </xf>
    <xf numFmtId="169" fontId="17" fillId="0" borderId="72" xfId="0" applyNumberFormat="1" applyFont="1" applyFill="1" applyBorder="1" applyAlignment="1" applyProtection="1">
      <alignment horizontal="right"/>
    </xf>
    <xf numFmtId="10" fontId="17" fillId="0" borderId="73" xfId="1867"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9" fontId="17" fillId="0" borderId="88" xfId="0" applyNumberFormat="1" applyFont="1" applyFill="1" applyBorder="1" applyAlignment="1" applyProtection="1">
      <alignment horizontal="right"/>
    </xf>
    <xf numFmtId="169" fontId="17" fillId="0" borderId="89" xfId="0" applyNumberFormat="1" applyFont="1" applyFill="1" applyBorder="1" applyAlignment="1" applyProtection="1">
      <alignment horizontal="right"/>
    </xf>
    <xf numFmtId="10" fontId="17" fillId="0" borderId="53" xfId="1867"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72"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9" fontId="17" fillId="0" borderId="98" xfId="0" applyNumberFormat="1" applyFont="1" applyFill="1" applyBorder="1" applyAlignment="1" applyProtection="1">
      <alignment horizontal="right"/>
    </xf>
    <xf numFmtId="169"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72"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9"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0" fontId="56" fillId="0" borderId="0" xfId="1540" applyFont="1" applyBorder="1" applyAlignment="1">
      <alignment horizontal="left" vertical="center"/>
    </xf>
    <xf numFmtId="168"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8" fontId="34" fillId="0" borderId="14" xfId="1540" applyNumberFormat="1" applyFont="1" applyBorder="1" applyAlignment="1">
      <alignment horizontal="center"/>
    </xf>
    <xf numFmtId="0" fontId="7" fillId="0" borderId="14" xfId="1540" applyFont="1" applyBorder="1" applyAlignment="1">
      <alignment horizontal="center"/>
    </xf>
    <xf numFmtId="168"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49" fontId="7" fillId="0" borderId="14" xfId="1540" applyNumberFormat="1" applyFont="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7" fillId="0" borderId="0" xfId="1540" applyNumberFormat="1" applyFont="1" applyBorder="1" applyAlignment="1">
      <alignment horizontal="center" vertical="center" wrapText="1"/>
    </xf>
    <xf numFmtId="0" fontId="58" fillId="0" borderId="112" xfId="1540" applyFont="1" applyFill="1" applyBorder="1" applyAlignment="1">
      <alignment horizontal="center" vertical="center" wrapText="1"/>
    </xf>
    <xf numFmtId="0" fontId="58" fillId="0" borderId="113" xfId="1540" applyFont="1" applyBorder="1" applyAlignment="1">
      <alignment horizontal="center" vertical="center" wrapText="1"/>
    </xf>
    <xf numFmtId="0" fontId="58" fillId="0" borderId="0" xfId="1540" applyFont="1" applyFill="1" applyBorder="1" applyAlignment="1">
      <alignment horizontal="center" vertical="center" wrapText="1"/>
    </xf>
    <xf numFmtId="0" fontId="7" fillId="0" borderId="0" xfId="1540" applyFont="1" applyBorder="1" applyAlignment="1">
      <alignment horizontal="center"/>
    </xf>
    <xf numFmtId="3" fontId="58" fillId="0" borderId="0" xfId="1540" applyNumberFormat="1" applyFont="1" applyBorder="1" applyAlignment="1">
      <alignment horizontal="center" vertical="center" wrapText="1"/>
    </xf>
    <xf numFmtId="3" fontId="54" fillId="0" borderId="0" xfId="1540" applyNumberFormat="1" applyFont="1" applyBorder="1" applyAlignment="1">
      <alignment horizontal="center" vertical="center" wrapText="1"/>
    </xf>
    <xf numFmtId="3" fontId="54" fillId="92" borderId="0" xfId="1540" applyNumberFormat="1" applyFont="1" applyFill="1" applyBorder="1" applyAlignment="1">
      <alignment horizontal="left" vertical="center"/>
    </xf>
    <xf numFmtId="0" fontId="7" fillId="92" borderId="0" xfId="1540" applyFont="1" applyFill="1" applyBorder="1"/>
    <xf numFmtId="10" fontId="54" fillId="92" borderId="0" xfId="1540" applyNumberFormat="1" applyFont="1" applyFill="1" applyBorder="1" applyAlignment="1">
      <alignment horizontal="center" vertical="center" wrapText="1"/>
    </xf>
    <xf numFmtId="3" fontId="54" fillId="92" borderId="0" xfId="1540" applyNumberFormat="1" applyFont="1" applyFill="1" applyBorder="1" applyAlignment="1">
      <alignment horizontal="center" vertical="center" wrapText="1"/>
    </xf>
    <xf numFmtId="0" fontId="54" fillId="92" borderId="0" xfId="1540" applyFont="1" applyFill="1" applyBorder="1" applyAlignment="1">
      <alignment horizontal="center" vertical="center" wrapText="1"/>
    </xf>
    <xf numFmtId="3" fontId="58" fillId="0" borderId="114" xfId="1540" applyNumberFormat="1" applyFont="1" applyBorder="1" applyAlignment="1">
      <alignment horizontal="center" vertical="center" wrapText="1"/>
    </xf>
    <xf numFmtId="3" fontId="58"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71" fontId="34" fillId="0" borderId="114" xfId="1540" applyNumberFormat="1" applyFont="1" applyBorder="1" applyAlignment="1">
      <alignment horizontal="center" vertical="center" wrapText="1"/>
    </xf>
    <xf numFmtId="170" fontId="34" fillId="0" borderId="14" xfId="1540" applyNumberFormat="1" applyFont="1" applyBorder="1" applyAlignment="1">
      <alignment horizontal="center" vertical="center" wrapText="1"/>
    </xf>
    <xf numFmtId="3" fontId="54" fillId="0" borderId="114" xfId="1540" applyNumberFormat="1" applyFont="1" applyBorder="1" applyAlignment="1">
      <alignment horizontal="center" vertical="center" wrapText="1"/>
    </xf>
    <xf numFmtId="0" fontId="54" fillId="0" borderId="118" xfId="1540" applyFont="1" applyBorder="1" applyAlignment="1">
      <alignment horizontal="center" vertical="center" wrapText="1"/>
    </xf>
    <xf numFmtId="49" fontId="58" fillId="0" borderId="118" xfId="1540" applyNumberFormat="1" applyFont="1" applyBorder="1" applyAlignment="1">
      <alignment horizontal="center" vertical="center" wrapText="1"/>
    </xf>
    <xf numFmtId="171" fontId="58" fillId="0" borderId="114" xfId="1540" applyNumberFormat="1" applyFont="1" applyBorder="1" applyAlignment="1">
      <alignment horizontal="center" vertical="center" wrapText="1"/>
    </xf>
    <xf numFmtId="170" fontId="58" fillId="0" borderId="14" xfId="1540" applyNumberFormat="1" applyFont="1" applyBorder="1" applyAlignment="1">
      <alignment horizontal="center" vertical="center" wrapText="1"/>
    </xf>
    <xf numFmtId="0" fontId="58" fillId="0" borderId="14" xfId="1540" applyFont="1" applyFill="1" applyBorder="1" applyAlignment="1">
      <alignment horizontal="center" vertical="center" wrapText="1"/>
    </xf>
    <xf numFmtId="3" fontId="58" fillId="0" borderId="14" xfId="1540" applyNumberFormat="1" applyFont="1" applyFill="1" applyBorder="1" applyAlignment="1">
      <alignment horizontal="center" vertical="center" wrapText="1"/>
    </xf>
    <xf numFmtId="3" fontId="54"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9"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6" fontId="3" fillId="0" borderId="122" xfId="1164" applyNumberFormat="1" applyFont="1" applyFill="1" applyBorder="1" applyAlignment="1">
      <alignment horizontal="left"/>
    </xf>
    <xf numFmtId="0" fontId="60" fillId="0" borderId="14" xfId="1540" applyFont="1" applyBorder="1" applyAlignment="1" applyProtection="1">
      <alignment vertical="center"/>
    </xf>
    <xf numFmtId="0" fontId="60"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4" fillId="92" borderId="26" xfId="1540" applyFont="1" applyFill="1" applyBorder="1" applyAlignment="1">
      <alignment horizontal="center" vertical="center" wrapText="1"/>
    </xf>
    <xf numFmtId="0" fontId="7" fillId="92" borderId="123" xfId="1540" applyFont="1" applyFill="1" applyBorder="1"/>
    <xf numFmtId="0" fontId="54" fillId="0" borderId="26" xfId="1540" applyFont="1" applyBorder="1" applyAlignment="1">
      <alignment horizontal="center" vertical="center" wrapText="1"/>
    </xf>
    <xf numFmtId="3" fontId="58" fillId="0" borderId="123" xfId="1540" applyNumberFormat="1" applyFont="1" applyBorder="1" applyAlignment="1">
      <alignment horizontal="center" vertical="center" wrapText="1"/>
    </xf>
    <xf numFmtId="0" fontId="7" fillId="92" borderId="26" xfId="1540" applyFont="1" applyFill="1" applyBorder="1"/>
    <xf numFmtId="0" fontId="9" fillId="92" borderId="125" xfId="0" applyFont="1" applyFill="1" applyBorder="1" applyAlignment="1" applyProtection="1">
      <alignment horizontal="center"/>
      <protection locked="0"/>
    </xf>
    <xf numFmtId="0" fontId="29" fillId="94" borderId="126" xfId="0" applyFont="1" applyFill="1" applyBorder="1" applyAlignment="1" applyProtection="1">
      <alignment horizontal="center" vertical="center"/>
    </xf>
    <xf numFmtId="0" fontId="29" fillId="94" borderId="127" xfId="0" applyFont="1" applyFill="1" applyBorder="1" applyAlignment="1" applyProtection="1">
      <alignment horizontal="center" vertical="center"/>
    </xf>
    <xf numFmtId="0" fontId="6" fillId="92" borderId="128" xfId="0" applyFont="1" applyFill="1" applyBorder="1" applyAlignment="1" applyProtection="1">
      <alignment horizontal="center" vertical="center" wrapText="1"/>
    </xf>
    <xf numFmtId="0" fontId="6" fillId="92" borderId="129" xfId="0" applyFont="1" applyFill="1" applyBorder="1" applyAlignment="1" applyProtection="1">
      <alignment horizontal="center" vertical="center" wrapText="1"/>
    </xf>
    <xf numFmtId="0" fontId="9" fillId="92" borderId="125" xfId="0" applyFont="1" applyFill="1" applyBorder="1" applyAlignment="1" applyProtection="1">
      <alignment horizontal="center" wrapText="1"/>
      <protection locked="0"/>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4"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7" fontId="7" fillId="0" borderId="14" xfId="1077" applyNumberFormat="1" applyFont="1" applyFill="1" applyBorder="1" applyAlignment="1">
      <alignment horizontal="right"/>
    </xf>
    <xf numFmtId="177" fontId="9" fillId="0" borderId="14" xfId="1077" applyNumberFormat="1" applyFont="1" applyFill="1" applyBorder="1" applyAlignment="1">
      <alignment horizontal="right"/>
    </xf>
    <xf numFmtId="0" fontId="7" fillId="0" borderId="14" xfId="0" applyFont="1" applyBorder="1" applyAlignment="1">
      <alignment horizontal="center"/>
    </xf>
    <xf numFmtId="167" fontId="7" fillId="0" borderId="14" xfId="1077" applyFont="1" applyBorder="1" applyAlignment="1">
      <alignment horizontal="center"/>
    </xf>
    <xf numFmtId="10" fontId="7" fillId="0" borderId="14" xfId="1931" applyNumberFormat="1" applyFont="1" applyBorder="1" applyAlignment="1">
      <alignment horizontal="center"/>
    </xf>
    <xf numFmtId="0" fontId="38" fillId="0" borderId="0" xfId="0" applyFont="1" applyAlignment="1">
      <alignment horizontal="center"/>
    </xf>
    <xf numFmtId="0" fontId="38" fillId="0" borderId="0" xfId="0" quotePrefix="1" applyFont="1" applyAlignment="1">
      <alignment horizontal="center"/>
    </xf>
    <xf numFmtId="10" fontId="9" fillId="0" borderId="0" xfId="0" applyNumberFormat="1" applyFont="1" applyAlignment="1">
      <alignment horizontal="center"/>
    </xf>
    <xf numFmtId="0" fontId="39" fillId="0" borderId="0" xfId="0" applyFont="1" applyAlignment="1">
      <alignment horizontal="left" indent="1"/>
    </xf>
    <xf numFmtId="0" fontId="7" fillId="0" borderId="14" xfId="0" applyFont="1" applyBorder="1"/>
    <xf numFmtId="0" fontId="34" fillId="0" borderId="0" xfId="0" applyFont="1" applyAlignment="1">
      <alignment horizontal="right"/>
    </xf>
    <xf numFmtId="3" fontId="7" fillId="0" borderId="14" xfId="1077" applyNumberFormat="1" applyFont="1" applyBorder="1" applyAlignment="1">
      <alignment horizontal="center"/>
    </xf>
    <xf numFmtId="10" fontId="7" fillId="0" borderId="14" xfId="1867" applyNumberFormat="1" applyFont="1" applyBorder="1" applyAlignment="1">
      <alignment horizontal="center"/>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30" xfId="1540" applyFont="1" applyBorder="1" applyAlignment="1">
      <alignment horizontal="center"/>
    </xf>
    <xf numFmtId="0" fontId="7" fillId="0" borderId="131" xfId="1540" applyFont="1" applyBorder="1" applyAlignment="1">
      <alignment horizontal="center"/>
    </xf>
    <xf numFmtId="0" fontId="7" fillId="0" borderId="132" xfId="1540" applyFont="1" applyBorder="1" applyAlignment="1">
      <alignment horizontal="center"/>
    </xf>
    <xf numFmtId="0" fontId="58" fillId="0" borderId="133" xfId="1540" applyFont="1" applyBorder="1" applyAlignment="1">
      <alignment horizontal="center" vertical="center" wrapText="1"/>
    </xf>
    <xf numFmtId="3" fontId="54" fillId="0" borderId="14" xfId="1540" applyNumberFormat="1" applyFont="1" applyBorder="1" applyAlignment="1">
      <alignment horizontal="center" vertical="center" wrapText="1"/>
    </xf>
    <xf numFmtId="0" fontId="62" fillId="0" borderId="134" xfId="1540" applyFont="1" applyBorder="1" applyAlignment="1">
      <alignment horizontal="center" vertical="center" wrapText="1"/>
    </xf>
    <xf numFmtId="0" fontId="62" fillId="0" borderId="135"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3" fillId="0" borderId="118" xfId="1540" applyNumberFormat="1" applyFont="1" applyBorder="1" applyAlignment="1">
      <alignment horizontal="center" vertical="center" wrapText="1"/>
    </xf>
    <xf numFmtId="3" fontId="63" fillId="0" borderId="14" xfId="1540" applyNumberFormat="1" applyFont="1" applyBorder="1" applyAlignment="1">
      <alignment horizontal="center" vertical="center" wrapText="1"/>
    </xf>
    <xf numFmtId="171" fontId="63" fillId="0" borderId="114" xfId="1540" applyNumberFormat="1" applyFont="1" applyBorder="1" applyAlignment="1">
      <alignment horizontal="center" vertical="center" wrapText="1"/>
    </xf>
    <xf numFmtId="0" fontId="63" fillId="0" borderId="116" xfId="1540" applyFont="1" applyBorder="1" applyAlignment="1">
      <alignment horizontal="center" vertical="center" wrapText="1"/>
    </xf>
    <xf numFmtId="10" fontId="63" fillId="0" borderId="116" xfId="1540" applyNumberFormat="1" applyFont="1" applyBorder="1" applyAlignment="1">
      <alignment horizontal="center" vertical="center" wrapText="1"/>
    </xf>
    <xf numFmtId="3" fontId="63" fillId="0" borderId="116" xfId="1540" applyNumberFormat="1" applyFont="1" applyBorder="1" applyAlignment="1">
      <alignment horizontal="center" vertical="center" wrapText="1"/>
    </xf>
    <xf numFmtId="3" fontId="63" fillId="0" borderId="115" xfId="1540" applyNumberFormat="1" applyFont="1" applyBorder="1" applyAlignment="1">
      <alignment horizontal="center" vertical="center" wrapText="1"/>
    </xf>
    <xf numFmtId="170" fontId="63"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8" xfId="1540" applyFont="1" applyFill="1" applyBorder="1" applyAlignment="1">
      <alignment horizontal="left" wrapText="1"/>
    </xf>
    <xf numFmtId="0" fontId="7" fillId="86" borderId="129"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6"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40"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5" fillId="0" borderId="14" xfId="1540" applyNumberFormat="1" applyFont="1" applyBorder="1" applyAlignment="1">
      <alignment horizontal="center" vertical="center" wrapText="1"/>
    </xf>
    <xf numFmtId="171" fontId="185" fillId="0" borderId="114" xfId="1540" applyNumberFormat="1" applyFont="1" applyBorder="1" applyAlignment="1">
      <alignment horizontal="center" vertical="center" wrapText="1"/>
    </xf>
    <xf numFmtId="170" fontId="185" fillId="0" borderId="14" xfId="1540" applyNumberFormat="1" applyFont="1" applyBorder="1" applyAlignment="1">
      <alignment horizontal="center" vertical="center" wrapText="1"/>
    </xf>
    <xf numFmtId="3" fontId="185" fillId="0" borderId="114" xfId="1540" applyNumberFormat="1" applyFont="1" applyBorder="1" applyAlignment="1">
      <alignment horizontal="center" vertical="center" wrapText="1"/>
    </xf>
    <xf numFmtId="10" fontId="185" fillId="0" borderId="14" xfId="1540" applyNumberFormat="1" applyFont="1" applyBorder="1" applyAlignment="1">
      <alignment horizontal="center" vertical="center" wrapText="1"/>
    </xf>
    <xf numFmtId="0" fontId="185" fillId="0" borderId="14" xfId="1540" applyFont="1" applyBorder="1" applyAlignment="1">
      <alignment horizontal="center" vertical="center" wrapText="1"/>
    </xf>
    <xf numFmtId="0" fontId="186" fillId="0" borderId="14" xfId="1540" applyFont="1" applyBorder="1" applyAlignment="1">
      <alignment horizontal="right" vertical="center" wrapText="1"/>
    </xf>
    <xf numFmtId="49" fontId="185" fillId="0" borderId="118" xfId="1540" applyNumberFormat="1" applyFont="1" applyBorder="1" applyAlignment="1">
      <alignment horizontal="center" vertical="center" wrapText="1"/>
    </xf>
    <xf numFmtId="0" fontId="185"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0" fontId="7" fillId="0" borderId="0" xfId="0" applyFont="1" applyBorder="1"/>
    <xf numFmtId="0" fontId="9" fillId="92" borderId="14" xfId="1066" applyNumberFormat="1" applyFont="1" applyFill="1" applyBorder="1" applyAlignment="1" applyProtection="1">
      <alignment horizontal="center"/>
      <protection locked="0"/>
    </xf>
    <xf numFmtId="0" fontId="58" fillId="0" borderId="14" xfId="1066" applyNumberFormat="1" applyFont="1" applyFill="1" applyBorder="1" applyAlignment="1">
      <alignment horizontal="center" vertical="center" wrapText="1"/>
    </xf>
    <xf numFmtId="9" fontId="7" fillId="0" borderId="14" xfId="1931" applyFont="1" applyFill="1" applyBorder="1" applyAlignment="1">
      <alignment horizontal="center" vertical="center" wrapText="1"/>
    </xf>
    <xf numFmtId="3" fontId="7" fillId="0" borderId="14" xfId="1540" applyNumberFormat="1" applyFont="1" applyFill="1" applyBorder="1" applyAlignment="1">
      <alignment horizontal="center" vertical="center" wrapText="1"/>
    </xf>
    <xf numFmtId="0" fontId="7" fillId="0" borderId="14" xfId="1066" applyNumberFormat="1" applyFont="1" applyFill="1" applyBorder="1" applyAlignment="1">
      <alignment horizontal="center" vertical="center" wrapText="1"/>
    </xf>
    <xf numFmtId="0" fontId="23" fillId="128" borderId="14" xfId="0" applyFont="1" applyFill="1" applyBorder="1" applyAlignment="1">
      <alignment horizontal="center" vertical="center"/>
    </xf>
    <xf numFmtId="3" fontId="23" fillId="0" borderId="14" xfId="0" applyNumberFormat="1" applyFont="1" applyBorder="1" applyAlignment="1">
      <alignment horizontal="center" vertical="center"/>
    </xf>
    <xf numFmtId="0" fontId="3" fillId="0" borderId="14" xfId="1540" applyFont="1" applyBorder="1"/>
    <xf numFmtId="9" fontId="3" fillId="128" borderId="14" xfId="0" applyNumberFormat="1" applyFont="1" applyFill="1" applyBorder="1" applyAlignment="1">
      <alignment horizontal="center" vertical="center"/>
    </xf>
    <xf numFmtId="0" fontId="3" fillId="128" borderId="14" xfId="0" applyFont="1" applyFill="1" applyBorder="1" applyAlignment="1">
      <alignment vertical="center"/>
    </xf>
    <xf numFmtId="0" fontId="3" fillId="128" borderId="14" xfId="0" applyFont="1" applyFill="1" applyBorder="1" applyAlignment="1">
      <alignment horizontal="center" vertical="center"/>
    </xf>
    <xf numFmtId="0" fontId="3" fillId="0" borderId="14" xfId="0" applyFont="1" applyBorder="1" applyAlignment="1">
      <alignment vertical="center" wrapText="1"/>
    </xf>
    <xf numFmtId="0" fontId="3" fillId="0" borderId="14" xfId="0" applyFont="1" applyBorder="1" applyAlignment="1">
      <alignment vertical="center"/>
    </xf>
    <xf numFmtId="192" fontId="3" fillId="0" borderId="14" xfId="0" applyNumberFormat="1" applyFont="1" applyBorder="1" applyAlignment="1">
      <alignment horizontal="center" vertical="center"/>
    </xf>
    <xf numFmtId="165"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23" fillId="0" borderId="14" xfId="0" applyFont="1" applyBorder="1" applyAlignment="1">
      <alignment horizontal="center" vertical="center"/>
    </xf>
    <xf numFmtId="0" fontId="23" fillId="0" borderId="14" xfId="0" applyFont="1" applyBorder="1" applyAlignment="1">
      <alignment vertical="center"/>
    </xf>
    <xf numFmtId="173" fontId="147" fillId="0" borderId="138" xfId="0" applyNumberFormat="1" applyFont="1" applyBorder="1"/>
    <xf numFmtId="3" fontId="147" fillId="0" borderId="0" xfId="0" applyNumberFormat="1" applyFont="1"/>
    <xf numFmtId="0" fontId="7" fillId="0" borderId="0" xfId="0" applyFont="1" applyAlignment="1">
      <alignment horizontal="center"/>
    </xf>
    <xf numFmtId="0" fontId="7" fillId="0" borderId="0" xfId="0" applyFont="1" applyAlignment="1">
      <alignment horizontal="center" wrapText="1"/>
    </xf>
    <xf numFmtId="3" fontId="7" fillId="0" borderId="0" xfId="0" applyNumberFormat="1" applyFont="1" applyBorder="1"/>
    <xf numFmtId="3" fontId="7" fillId="0" borderId="0" xfId="0" applyNumberFormat="1" applyFont="1" applyAlignment="1">
      <alignment horizontal="center"/>
    </xf>
    <xf numFmtId="168" fontId="7" fillId="0" borderId="0" xfId="0" applyNumberFormat="1" applyFont="1" applyAlignment="1">
      <alignment horizontal="center"/>
    </xf>
    <xf numFmtId="173" fontId="7" fillId="0" borderId="138" xfId="0" applyNumberFormat="1" applyFont="1" applyBorder="1"/>
    <xf numFmtId="173" fontId="7" fillId="0" borderId="138" xfId="0" applyNumberFormat="1" applyFont="1" applyBorder="1" applyAlignment="1">
      <alignment horizontal="center"/>
    </xf>
    <xf numFmtId="1" fontId="3" fillId="0" borderId="14" xfId="0" applyNumberFormat="1" applyFont="1" applyBorder="1" applyAlignment="1">
      <alignment horizontal="center" vertical="center"/>
    </xf>
    <xf numFmtId="175" fontId="7" fillId="0" borderId="14" xfId="1066" applyNumberFormat="1" applyFont="1" applyBorder="1" applyAlignment="1">
      <alignment horizontal="center" vertical="center"/>
    </xf>
    <xf numFmtId="175" fontId="7" fillId="0" borderId="14" xfId="1066" applyNumberFormat="1" applyFont="1" applyBorder="1"/>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5" fontId="7" fillId="86" borderId="14" xfId="1066" applyNumberFormat="1" applyFont="1" applyFill="1" applyBorder="1" applyAlignment="1">
      <alignment horizontal="center"/>
    </xf>
    <xf numFmtId="175" fontId="7" fillId="0" borderId="14" xfId="1066" applyNumberFormat="1" applyFont="1" applyBorder="1" applyAlignment="1">
      <alignment horizontal="center"/>
    </xf>
    <xf numFmtId="175" fontId="7" fillId="0" borderId="14" xfId="1066" applyNumberFormat="1" applyFont="1" applyFill="1" applyBorder="1" applyAlignment="1">
      <alignment horizontal="center"/>
    </xf>
    <xf numFmtId="175" fontId="7" fillId="0" borderId="0" xfId="1066" applyNumberFormat="1" applyFont="1" applyFill="1" applyBorder="1" applyAlignment="1">
      <alignment horizontal="center"/>
    </xf>
    <xf numFmtId="0" fontId="34" fillId="0" borderId="0" xfId="0" applyFont="1" applyBorder="1"/>
    <xf numFmtId="165" fontId="3" fillId="127" borderId="14" xfId="0" applyNumberFormat="1" applyFont="1" applyFill="1" applyBorder="1" applyAlignment="1">
      <alignment horizontal="center" vertical="center"/>
    </xf>
    <xf numFmtId="192" fontId="3" fillId="127" borderId="14" xfId="0" applyNumberFormat="1" applyFont="1" applyFill="1" applyBorder="1" applyAlignment="1">
      <alignment horizontal="center" vertical="center"/>
    </xf>
    <xf numFmtId="3" fontId="3" fillId="127" borderId="14" xfId="0" applyNumberFormat="1" applyFont="1" applyFill="1" applyBorder="1" applyAlignment="1">
      <alignment horizontal="center" vertic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175" fontId="9" fillId="0" borderId="14" xfId="1066" applyNumberFormat="1" applyFont="1" applyBorder="1"/>
    <xf numFmtId="1" fontId="7" fillId="0" borderId="14" xfId="0" applyNumberFormat="1" applyFont="1" applyBorder="1" applyAlignment="1">
      <alignment horizontal="center" vertical="center"/>
    </xf>
    <xf numFmtId="0" fontId="7" fillId="0" borderId="0" xfId="0" applyFont="1" applyAlignment="1">
      <alignment horizontal="center" vertical="center"/>
    </xf>
    <xf numFmtId="0" fontId="29" fillId="94" borderId="139" xfId="0" applyFont="1" applyFill="1" applyBorder="1" applyAlignment="1" applyProtection="1">
      <alignment horizontal="center" vertical="center"/>
      <protection locked="0"/>
    </xf>
    <xf numFmtId="3" fontId="7" fillId="0" borderId="14" xfId="0" applyNumberFormat="1" applyFont="1" applyBorder="1" applyAlignment="1">
      <alignment horizontal="center" vertical="center"/>
    </xf>
    <xf numFmtId="175" fontId="9" fillId="0" borderId="14" xfId="1066" applyNumberFormat="1" applyFont="1" applyBorder="1" applyAlignment="1">
      <alignment horizontal="center" vertical="center"/>
    </xf>
    <xf numFmtId="3" fontId="34" fillId="127" borderId="14" xfId="0" applyNumberFormat="1" applyFont="1" applyFill="1" applyBorder="1" applyAlignment="1">
      <alignment horizontal="center" vertical="center"/>
    </xf>
    <xf numFmtId="0" fontId="7" fillId="0" borderId="14" xfId="0" applyFont="1" applyBorder="1" applyAlignment="1">
      <alignment horizontal="center" vertical="center"/>
    </xf>
    <xf numFmtId="2" fontId="7" fillId="0" borderId="14" xfId="0" applyNumberFormat="1" applyFont="1" applyBorder="1" applyAlignment="1">
      <alignment horizontal="center" vertical="center"/>
    </xf>
    <xf numFmtId="0" fontId="34" fillId="0" borderId="0" xfId="0" applyFont="1" applyBorder="1" applyAlignment="1">
      <alignment horizontal="center" vertical="center"/>
    </xf>
    <xf numFmtId="2" fontId="34" fillId="0" borderId="0" xfId="0" applyNumberFormat="1" applyFont="1" applyBorder="1" applyAlignment="1">
      <alignment horizontal="center" vertical="center"/>
    </xf>
    <xf numFmtId="0" fontId="7" fillId="0" borderId="0" xfId="0" applyFont="1" applyBorder="1" applyAlignment="1">
      <alignment horizontal="center" vertical="center"/>
    </xf>
    <xf numFmtId="175" fontId="7" fillId="0" borderId="14" xfId="0" applyNumberFormat="1" applyFont="1" applyBorder="1" applyAlignment="1">
      <alignment horizontal="center" vertical="center"/>
    </xf>
    <xf numFmtId="0" fontId="29" fillId="94" borderId="0" xfId="0" applyFont="1" applyFill="1" applyBorder="1" applyAlignment="1" applyProtection="1">
      <alignment horizontal="center" vertical="center"/>
      <protection locked="0"/>
    </xf>
    <xf numFmtId="0" fontId="29" fillId="94" borderId="139" xfId="0" applyFont="1" applyFill="1" applyBorder="1" applyAlignment="1" applyProtection="1">
      <alignment horizontal="center" vertical="center" wrapText="1"/>
      <protection locked="0"/>
    </xf>
    <xf numFmtId="0" fontId="7" fillId="0" borderId="14" xfId="1540" applyFont="1" applyFill="1" applyBorder="1"/>
    <xf numFmtId="0" fontId="7" fillId="0" borderId="14" xfId="1540" applyFont="1" applyFill="1" applyBorder="1" applyAlignment="1">
      <alignment horizontal="center" vertical="center"/>
    </xf>
    <xf numFmtId="170" fontId="7" fillId="0" borderId="0" xfId="0" applyNumberFormat="1" applyFont="1" applyAlignment="1">
      <alignment horizontal="center" vertical="center"/>
    </xf>
    <xf numFmtId="172" fontId="7" fillId="0" borderId="14" xfId="0" applyNumberFormat="1" applyFont="1" applyBorder="1"/>
    <xf numFmtId="172" fontId="7" fillId="129" borderId="14" xfId="0" applyNumberFormat="1" applyFont="1" applyFill="1" applyBorder="1"/>
    <xf numFmtId="0" fontId="185" fillId="0" borderId="14" xfId="0" applyFont="1" applyBorder="1"/>
    <xf numFmtId="3" fontId="185"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3" fontId="34" fillId="0" borderId="14" xfId="0" applyNumberFormat="1" applyFont="1" applyFill="1" applyBorder="1" applyAlignment="1">
      <alignment horizontal="center" vertical="center"/>
    </xf>
    <xf numFmtId="3" fontId="186" fillId="0" borderId="14" xfId="0" applyNumberFormat="1" applyFont="1" applyFill="1" applyBorder="1" applyAlignment="1">
      <alignment horizontal="center" vertical="center"/>
    </xf>
    <xf numFmtId="175" fontId="187" fillId="0" borderId="0" xfId="1540" applyNumberFormat="1" applyFont="1" applyAlignment="1">
      <alignment horizontal="center" vertical="center"/>
    </xf>
    <xf numFmtId="0" fontId="2" fillId="0" borderId="0" xfId="1540" applyAlignment="1">
      <alignment horizontal="center" vertical="center"/>
    </xf>
    <xf numFmtId="168" fontId="7" fillId="0" borderId="14" xfId="1540" applyNumberFormat="1" applyFont="1" applyFill="1" applyBorder="1" applyAlignment="1">
      <alignment horizontal="center" vertical="center"/>
    </xf>
    <xf numFmtId="168" fontId="7" fillId="0" borderId="14" xfId="1540" applyNumberFormat="1" applyFont="1" applyBorder="1" applyAlignment="1">
      <alignment horizontal="center" vertical="center"/>
    </xf>
    <xf numFmtId="168"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175" fontId="9" fillId="0" borderId="0" xfId="1066" applyNumberFormat="1" applyFont="1" applyBorder="1" applyAlignment="1">
      <alignment horizontal="center" vertical="center"/>
    </xf>
    <xf numFmtId="0" fontId="29" fillId="94" borderId="126"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5"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9"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4" fillId="0" borderId="14" xfId="1540" applyNumberFormat="1" applyFont="1" applyBorder="1" applyAlignment="1">
      <alignment horizontal="center" vertical="center" wrapText="1"/>
    </xf>
    <xf numFmtId="3" fontId="57" fillId="0" borderId="14" xfId="1540" applyNumberFormat="1" applyFont="1" applyBorder="1" applyAlignment="1">
      <alignment horizontal="center" vertical="center" wrapText="1"/>
    </xf>
    <xf numFmtId="49" fontId="185" fillId="0" borderId="14" xfId="1540" applyNumberFormat="1" applyFont="1" applyBorder="1" applyAlignment="1">
      <alignment horizontal="center" vertical="center" wrapText="1"/>
    </xf>
    <xf numFmtId="0" fontId="58" fillId="0" borderId="14" xfId="1540" applyFont="1" applyBorder="1" applyAlignment="1">
      <alignment horizontal="center" vertical="center" wrapText="1"/>
    </xf>
    <xf numFmtId="0" fontId="62" fillId="0" borderId="14" xfId="1540" applyFont="1" applyBorder="1" applyAlignment="1">
      <alignment horizontal="center" vertical="center"/>
    </xf>
    <xf numFmtId="0" fontId="58" fillId="0" borderId="14" xfId="1540" applyFont="1" applyBorder="1" applyAlignment="1">
      <alignment horizontal="left" vertical="center" wrapText="1"/>
    </xf>
    <xf numFmtId="0" fontId="62"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70"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3" fillId="0" borderId="14" xfId="1540" applyNumberFormat="1" applyFont="1" applyBorder="1" applyAlignment="1">
      <alignment horizontal="center" vertical="center" wrapText="1"/>
    </xf>
    <xf numFmtId="10" fontId="58" fillId="0" borderId="14" xfId="1540" applyNumberFormat="1" applyFont="1" applyBorder="1" applyAlignment="1">
      <alignment horizontal="center" vertical="center" wrapText="1"/>
    </xf>
    <xf numFmtId="49" fontId="63"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8" fillId="130" borderId="118" xfId="1540" applyNumberFormat="1" applyFont="1" applyFill="1" applyBorder="1" applyAlignment="1">
      <alignment horizontal="center" vertical="center" wrapText="1"/>
    </xf>
    <xf numFmtId="3" fontId="58" fillId="130" borderId="14" xfId="1540" applyNumberFormat="1" applyFont="1" applyFill="1" applyBorder="1" applyAlignment="1">
      <alignment horizontal="center" vertical="center" wrapText="1"/>
    </xf>
    <xf numFmtId="170" fontId="58" fillId="130" borderId="14" xfId="1540" applyNumberFormat="1" applyFont="1" applyFill="1" applyBorder="1" applyAlignment="1">
      <alignment horizontal="center" vertical="center" wrapText="1"/>
    </xf>
    <xf numFmtId="171" fontId="58" fillId="130" borderId="114" xfId="1540" applyNumberFormat="1" applyFont="1" applyFill="1" applyBorder="1" applyAlignment="1">
      <alignment horizontal="center" vertical="center" wrapText="1"/>
    </xf>
    <xf numFmtId="3" fontId="7" fillId="130" borderId="14" xfId="1540" applyNumberFormat="1" applyFont="1" applyFill="1" applyBorder="1" applyAlignment="1">
      <alignment horizontal="center" vertical="center" wrapText="1"/>
    </xf>
    <xf numFmtId="170" fontId="7" fillId="130" borderId="14" xfId="1540" applyNumberFormat="1" applyFont="1" applyFill="1" applyBorder="1" applyAlignment="1">
      <alignment horizontal="center" vertical="center" wrapText="1"/>
    </xf>
    <xf numFmtId="171" fontId="7" fillId="130" borderId="114" xfId="1540" applyNumberFormat="1" applyFont="1" applyFill="1" applyBorder="1" applyAlignment="1">
      <alignment horizontal="center" vertical="center" wrapText="1"/>
    </xf>
    <xf numFmtId="177"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5" fontId="7" fillId="0" borderId="0" xfId="1540" applyNumberFormat="1" applyFont="1" applyAlignment="1">
      <alignment horizontal="center" vertical="center"/>
    </xf>
    <xf numFmtId="175" fontId="6" fillId="92" borderId="14" xfId="0" applyNumberFormat="1" applyFont="1" applyFill="1" applyBorder="1" applyAlignment="1" applyProtection="1">
      <alignment horizontal="center" vertical="center" wrapText="1"/>
    </xf>
    <xf numFmtId="175" fontId="7" fillId="86" borderId="14" xfId="1066" applyNumberFormat="1" applyFont="1" applyFill="1" applyBorder="1" applyAlignment="1">
      <alignment horizontal="center" vertical="center"/>
    </xf>
    <xf numFmtId="175" fontId="7" fillId="86" borderId="0" xfId="1540" applyNumberFormat="1" applyFont="1" applyFill="1" applyAlignment="1">
      <alignment horizontal="center" vertical="center"/>
    </xf>
    <xf numFmtId="175" fontId="7" fillId="0" borderId="0" xfId="1540" applyNumberFormat="1" applyFont="1" applyFill="1" applyAlignment="1">
      <alignment horizontal="center" vertical="center"/>
    </xf>
    <xf numFmtId="49" fontId="185" fillId="0" borderId="14" xfId="1540" applyNumberFormat="1" applyFont="1" applyBorder="1" applyAlignment="1">
      <alignment horizontal="center"/>
    </xf>
    <xf numFmtId="3" fontId="185" fillId="0" borderId="14" xfId="1077" applyNumberFormat="1" applyFont="1" applyBorder="1" applyAlignment="1">
      <alignment horizontal="center"/>
    </xf>
    <xf numFmtId="10" fontId="185" fillId="0" borderId="14" xfId="1867" applyNumberFormat="1" applyFont="1" applyBorder="1" applyAlignment="1">
      <alignment horizontal="center"/>
    </xf>
    <xf numFmtId="0" fontId="56" fillId="0" borderId="0" xfId="1540" applyFont="1" applyBorder="1" applyAlignment="1">
      <alignment vertical="center"/>
    </xf>
    <xf numFmtId="0" fontId="3" fillId="0" borderId="14" xfId="0" applyFont="1" applyFill="1" applyBorder="1" applyAlignment="1">
      <alignment vertical="center"/>
    </xf>
    <xf numFmtId="9" fontId="3" fillId="0" borderId="14" xfId="0" applyNumberFormat="1" applyFont="1" applyFill="1" applyBorder="1" applyAlignment="1">
      <alignment horizontal="center" vertical="center"/>
    </xf>
    <xf numFmtId="0" fontId="23" fillId="0" borderId="14" xfId="0" applyFont="1" applyFill="1" applyBorder="1" applyAlignment="1">
      <alignment vertical="center"/>
    </xf>
    <xf numFmtId="49" fontId="185" fillId="0" borderId="14" xfId="1066" applyNumberFormat="1" applyFont="1" applyFill="1" applyBorder="1" applyAlignment="1">
      <alignment horizontal="center" vertical="center" wrapText="1"/>
    </xf>
    <xf numFmtId="9" fontId="185" fillId="0" borderId="14" xfId="1931" applyFont="1" applyFill="1" applyBorder="1" applyAlignment="1">
      <alignment horizontal="center" vertical="center" wrapText="1"/>
    </xf>
    <xf numFmtId="0" fontId="185" fillId="0" borderId="14" xfId="1066" applyNumberFormat="1" applyFont="1" applyFill="1" applyBorder="1" applyAlignment="1">
      <alignment horizontal="center" vertical="center" wrapText="1"/>
    </xf>
    <xf numFmtId="3" fontId="7" fillId="0" borderId="14" xfId="1540" applyNumberFormat="1" applyFont="1" applyFill="1" applyBorder="1"/>
    <xf numFmtId="0" fontId="142" fillId="0" borderId="14" xfId="1540" applyFont="1" applyBorder="1" applyAlignment="1">
      <alignment vertical="center" wrapText="1"/>
    </xf>
    <xf numFmtId="0" fontId="35" fillId="0" borderId="14" xfId="1540" applyFont="1" applyBorder="1" applyAlignment="1">
      <alignment horizontal="center" vertical="center" wrapText="1"/>
    </xf>
    <xf numFmtId="179" fontId="54" fillId="0" borderId="14" xfId="1540" applyNumberFormat="1" applyFont="1" applyBorder="1" applyAlignment="1">
      <alignment horizontal="center" vertical="center" wrapText="1"/>
    </xf>
    <xf numFmtId="179" fontId="185" fillId="0" borderId="14" xfId="1540" applyNumberFormat="1" applyFont="1" applyFill="1" applyBorder="1" applyAlignment="1">
      <alignment horizontal="center" vertical="center" wrapText="1"/>
    </xf>
    <xf numFmtId="0" fontId="9" fillId="0" borderId="14" xfId="0" applyFont="1" applyBorder="1"/>
    <xf numFmtId="17" fontId="188" fillId="0" borderId="14" xfId="1540" applyNumberFormat="1" applyFont="1" applyBorder="1" applyAlignment="1">
      <alignment horizontal="left"/>
    </xf>
    <xf numFmtId="1" fontId="188" fillId="0" borderId="14" xfId="1077" applyNumberFormat="1" applyFont="1" applyFill="1" applyBorder="1" applyAlignment="1">
      <alignment horizontal="center"/>
    </xf>
    <xf numFmtId="175" fontId="188" fillId="86" borderId="14" xfId="1066" applyNumberFormat="1" applyFont="1" applyFill="1" applyBorder="1" applyAlignment="1">
      <alignment horizontal="center" vertical="center"/>
    </xf>
    <xf numFmtId="2" fontId="188" fillId="86" borderId="14" xfId="1540" applyNumberFormat="1" applyFont="1" applyFill="1" applyBorder="1" applyAlignment="1">
      <alignment horizontal="center" vertical="center"/>
    </xf>
    <xf numFmtId="2" fontId="188" fillId="0" borderId="0" xfId="1077" applyNumberFormat="1" applyFont="1" applyFill="1" applyBorder="1" applyAlignment="1">
      <alignment horizontal="center"/>
    </xf>
    <xf numFmtId="2" fontId="188" fillId="86" borderId="14" xfId="1077" applyNumberFormat="1" applyFont="1" applyFill="1" applyBorder="1" applyAlignment="1">
      <alignment horizontal="center"/>
    </xf>
    <xf numFmtId="1" fontId="188" fillId="86" borderId="14" xfId="1077" applyNumberFormat="1" applyFont="1" applyFill="1" applyBorder="1" applyAlignment="1">
      <alignment horizontal="center"/>
    </xf>
    <xf numFmtId="0" fontId="188" fillId="0" borderId="0" xfId="1540" applyFont="1"/>
    <xf numFmtId="0" fontId="189" fillId="0" borderId="0" xfId="0" applyFont="1"/>
    <xf numFmtId="49" fontId="7" fillId="86" borderId="128" xfId="1540" applyNumberFormat="1" applyFont="1" applyFill="1" applyBorder="1" applyAlignment="1">
      <alignment horizontal="left" wrapText="1"/>
    </xf>
    <xf numFmtId="49" fontId="7" fillId="86" borderId="129" xfId="1540" applyNumberFormat="1" applyFont="1" applyFill="1" applyBorder="1" applyAlignment="1">
      <alignment horizontal="left" wrapText="1"/>
    </xf>
    <xf numFmtId="17" fontId="7" fillId="131" borderId="14" xfId="1540" applyNumberFormat="1" applyFont="1" applyFill="1" applyBorder="1" applyAlignment="1">
      <alignment horizontal="left"/>
    </xf>
    <xf numFmtId="175" fontId="7" fillId="0" borderId="0" xfId="0" applyNumberFormat="1" applyFont="1"/>
    <xf numFmtId="2" fontId="20" fillId="92" borderId="42" xfId="0" applyNumberFormat="1" applyFont="1" applyFill="1" applyBorder="1" applyProtection="1">
      <protection locked="0"/>
    </xf>
    <xf numFmtId="2" fontId="15" fillId="132" borderId="42" xfId="0" applyNumberFormat="1" applyFont="1" applyFill="1" applyBorder="1" applyProtection="1">
      <protection locked="0"/>
    </xf>
    <xf numFmtId="175" fontId="7" fillId="0" borderId="0" xfId="1066" applyNumberFormat="1" applyFont="1"/>
    <xf numFmtId="175" fontId="9" fillId="0" borderId="0" xfId="1066" applyNumberFormat="1" applyFont="1"/>
    <xf numFmtId="0" fontId="7" fillId="0" borderId="0" xfId="1540" applyFont="1" applyAlignment="1">
      <alignment horizontal="center" wrapText="1"/>
    </xf>
    <xf numFmtId="175" fontId="7" fillId="0" borderId="0" xfId="1540" applyNumberFormat="1" applyFont="1" applyAlignment="1">
      <alignment horizontal="center"/>
    </xf>
    <xf numFmtId="175"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3" borderId="60" xfId="1774" applyNumberFormat="1" applyFont="1" applyFill="1" applyBorder="1" applyAlignment="1" applyProtection="1">
      <alignment horizontal="right"/>
      <protection locked="0"/>
    </xf>
    <xf numFmtId="4" fontId="7" fillId="133" borderId="42" xfId="0" applyNumberFormat="1" applyFont="1" applyFill="1" applyBorder="1" applyProtection="1">
      <protection locked="0"/>
    </xf>
    <xf numFmtId="4" fontId="7" fillId="133" borderId="42" xfId="0" quotePrefix="1" applyNumberFormat="1" applyFont="1" applyFill="1" applyBorder="1" applyProtection="1">
      <protection locked="0"/>
    </xf>
    <xf numFmtId="2" fontId="9" fillId="0" borderId="14" xfId="0" applyNumberFormat="1" applyFont="1" applyBorder="1" applyAlignment="1">
      <alignment horizontal="center" vertical="center"/>
    </xf>
    <xf numFmtId="49" fontId="7" fillId="86" borderId="128" xfId="1540" applyNumberFormat="1" applyFont="1" applyFill="1" applyBorder="1" applyAlignment="1">
      <alignment wrapText="1"/>
    </xf>
    <xf numFmtId="49" fontId="7" fillId="86" borderId="129" xfId="1540" applyNumberFormat="1" applyFont="1" applyFill="1" applyBorder="1" applyAlignment="1">
      <alignment wrapText="1"/>
    </xf>
    <xf numFmtId="175" fontId="7" fillId="0" borderId="0" xfId="1540" applyNumberFormat="1" applyFont="1" applyFill="1" applyAlignment="1">
      <alignment horizontal="center"/>
    </xf>
    <xf numFmtId="0" fontId="185" fillId="0" borderId="118" xfId="1540" applyNumberFormat="1" applyFont="1" applyFill="1" applyBorder="1" applyAlignment="1">
      <alignment horizontal="center" vertical="center" wrapText="1"/>
    </xf>
    <xf numFmtId="171" fontId="185" fillId="0" borderId="114"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8" fillId="0" borderId="118" xfId="1540" applyNumberFormat="1" applyFont="1" applyBorder="1" applyAlignment="1">
      <alignment horizontal="center" vertical="center" wrapText="1"/>
    </xf>
    <xf numFmtId="49" fontId="58" fillId="0" borderId="118" xfId="1540" applyNumberFormat="1" applyFont="1" applyFill="1" applyBorder="1" applyAlignment="1">
      <alignment horizontal="center" vertical="center" wrapText="1"/>
    </xf>
    <xf numFmtId="0" fontId="58" fillId="130" borderId="118" xfId="1540" applyNumberFormat="1" applyFont="1" applyFill="1" applyBorder="1" applyAlignment="1">
      <alignment horizontal="center" vertical="center" wrapText="1"/>
    </xf>
    <xf numFmtId="0" fontId="7" fillId="130" borderId="118" xfId="1540" applyNumberFormat="1" applyFont="1" applyFill="1" applyBorder="1" applyAlignment="1">
      <alignment horizontal="center" vertical="center" wrapText="1"/>
    </xf>
    <xf numFmtId="10" fontId="7" fillId="0" borderId="0" xfId="1867" applyNumberFormat="1" applyFont="1" applyAlignment="1">
      <alignment horizontal="center" vertical="center"/>
    </xf>
    <xf numFmtId="172" fontId="9" fillId="0" borderId="14" xfId="0" applyNumberFormat="1" applyFont="1" applyBorder="1"/>
    <xf numFmtId="3" fontId="7" fillId="0" borderId="14" xfId="0" applyNumberFormat="1" applyFont="1" applyBorder="1"/>
    <xf numFmtId="3" fontId="9" fillId="0" borderId="14" xfId="0" applyNumberFormat="1" applyFont="1" applyBorder="1"/>
    <xf numFmtId="3" fontId="7" fillId="0" borderId="0" xfId="0" applyNumberFormat="1" applyFont="1"/>
    <xf numFmtId="10" fontId="7" fillId="0" borderId="0" xfId="1867" applyNumberFormat="1" applyFont="1"/>
    <xf numFmtId="0" fontId="7" fillId="0" borderId="0" xfId="0" applyFont="1" applyAlignment="1">
      <alignment horizontal="right"/>
    </xf>
    <xf numFmtId="3" fontId="7" fillId="0" borderId="138" xfId="0" applyNumberFormat="1" applyFont="1" applyBorder="1" applyAlignment="1">
      <alignment horizontal="center"/>
    </xf>
    <xf numFmtId="0" fontId="7" fillId="0" borderId="138" xfId="0" applyFont="1" applyBorder="1"/>
    <xf numFmtId="179" fontId="7" fillId="0" borderId="14" xfId="0" applyNumberFormat="1" applyFont="1" applyBorder="1" applyAlignment="1">
      <alignment horizontal="center"/>
    </xf>
    <xf numFmtId="3" fontId="7" fillId="0" borderId="14" xfId="0" applyNumberFormat="1" applyFont="1" applyBorder="1" applyAlignment="1">
      <alignment horizontal="center"/>
    </xf>
    <xf numFmtId="193" fontId="7" fillId="0" borderId="14" xfId="1931" applyNumberFormat="1" applyFont="1" applyFill="1" applyBorder="1" applyAlignment="1">
      <alignment horizontal="center" vertical="center" wrapText="1"/>
    </xf>
    <xf numFmtId="193" fontId="185" fillId="0" borderId="14" xfId="1931" applyNumberFormat="1" applyFont="1" applyFill="1" applyBorder="1" applyAlignment="1">
      <alignment horizontal="center" vertical="center" wrapText="1"/>
    </xf>
    <xf numFmtId="9" fontId="7" fillId="0" borderId="14" xfId="1931" applyNumberFormat="1" applyFont="1" applyFill="1" applyBorder="1" applyAlignment="1">
      <alignment horizontal="center" vertical="center" wrapText="1"/>
    </xf>
    <xf numFmtId="9" fontId="185" fillId="0" borderId="14" xfId="1931" applyNumberFormat="1" applyFont="1" applyFill="1" applyBorder="1" applyAlignment="1">
      <alignment horizontal="center" vertical="center" wrapText="1"/>
    </xf>
    <xf numFmtId="193" fontId="58" fillId="0" borderId="14" xfId="1867" applyNumberFormat="1" applyFont="1" applyFill="1" applyBorder="1" applyAlignment="1">
      <alignment horizontal="center" vertical="center" wrapText="1"/>
    </xf>
    <xf numFmtId="193" fontId="7" fillId="0" borderId="14" xfId="1867" applyNumberFormat="1" applyFont="1" applyFill="1" applyBorder="1" applyAlignment="1">
      <alignment horizontal="center" vertical="center" wrapText="1"/>
    </xf>
    <xf numFmtId="193" fontId="185" fillId="0" borderId="14" xfId="1867" applyNumberFormat="1" applyFont="1" applyFill="1" applyBorder="1" applyAlignment="1">
      <alignment horizontal="center" vertical="center" wrapText="1"/>
    </xf>
    <xf numFmtId="179" fontId="7" fillId="0" borderId="14" xfId="1540" applyNumberFormat="1" applyFont="1" applyFill="1" applyBorder="1" applyAlignment="1">
      <alignment horizontal="center" vertical="center" wrapText="1"/>
    </xf>
    <xf numFmtId="194" fontId="3" fillId="0" borderId="14" xfId="0" applyNumberFormat="1" applyFont="1" applyBorder="1" applyAlignment="1">
      <alignment horizontal="center" vertical="center"/>
    </xf>
    <xf numFmtId="195" fontId="3" fillId="128" borderId="14" xfId="0" applyNumberFormat="1" applyFont="1" applyFill="1" applyBorder="1" applyAlignment="1">
      <alignment horizontal="center" vertical="center"/>
    </xf>
    <xf numFmtId="0" fontId="29" fillId="94" borderId="140" xfId="0" applyFont="1" applyFill="1" applyBorder="1" applyAlignment="1" applyProtection="1">
      <alignment horizontal="left" vertical="center" wrapText="1"/>
      <protection locked="0"/>
    </xf>
    <xf numFmtId="0" fontId="29" fillId="94" borderId="141" xfId="0" applyFont="1" applyFill="1" applyBorder="1" applyAlignment="1" applyProtection="1">
      <alignment horizontal="left" vertical="center" wrapText="1"/>
      <protection locked="0"/>
    </xf>
    <xf numFmtId="0" fontId="29" fillId="94" borderId="126" xfId="0" applyFont="1" applyFill="1" applyBorder="1" applyAlignment="1" applyProtection="1">
      <alignment horizontal="left" vertical="center"/>
    </xf>
    <xf numFmtId="0" fontId="29" fillId="94" borderId="127"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29" fillId="94" borderId="140" xfId="0" applyFont="1" applyFill="1" applyBorder="1" applyAlignment="1" applyProtection="1">
      <alignment horizontal="center" vertical="center" wrapText="1"/>
      <protection locked="0"/>
    </xf>
    <xf numFmtId="0" fontId="29" fillId="94" borderId="141" xfId="0" applyFont="1" applyFill="1" applyBorder="1" applyAlignment="1" applyProtection="1">
      <alignment horizontal="center" vertical="center" wrapText="1"/>
      <protection locked="0"/>
    </xf>
    <xf numFmtId="0" fontId="29" fillId="94" borderId="142" xfId="0" applyFont="1" applyFill="1" applyBorder="1" applyAlignment="1" applyProtection="1">
      <alignment horizontal="center" vertical="center" wrapText="1"/>
      <protection locked="0"/>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8" fillId="94" borderId="143" xfId="0" applyFont="1" applyFill="1" applyBorder="1" applyAlignment="1" applyProtection="1">
      <alignment horizontal="center" vertical="center" wrapText="1"/>
      <protection locked="0"/>
    </xf>
    <xf numFmtId="0" fontId="28" fillId="94" borderId="144" xfId="0" applyFont="1" applyFill="1" applyBorder="1" applyAlignment="1" applyProtection="1">
      <alignment horizontal="center" vertical="center" wrapText="1"/>
      <protection locked="0"/>
    </xf>
    <xf numFmtId="0" fontId="30" fillId="94" borderId="145" xfId="0" applyFont="1" applyFill="1" applyBorder="1" applyAlignment="1" applyProtection="1">
      <alignment horizontal="center" vertical="center" textRotation="90" wrapText="1"/>
    </xf>
    <xf numFmtId="0" fontId="30" fillId="94" borderId="139" xfId="0" applyFont="1" applyFill="1" applyBorder="1" applyAlignment="1" applyProtection="1">
      <alignment horizontal="center" vertical="center" textRotation="90" wrapText="1"/>
    </xf>
    <xf numFmtId="0" fontId="30" fillId="94" borderId="146"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7" xfId="0" applyFont="1" applyFill="1" applyBorder="1" applyAlignment="1" applyProtection="1">
      <alignment horizontal="left" vertical="center" indent="3"/>
    </xf>
    <xf numFmtId="0" fontId="29" fillId="94" borderId="148"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11" fillId="0" borderId="150"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9"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51" xfId="0" applyFont="1" applyFill="1" applyBorder="1" applyAlignment="1" applyProtection="1">
      <alignment horizontal="center" vertical="center"/>
    </xf>
    <xf numFmtId="0" fontId="29" fillId="94" borderId="152" xfId="0" applyFont="1" applyFill="1" applyBorder="1" applyAlignment="1" applyProtection="1">
      <alignment horizontal="center" vertical="center"/>
    </xf>
    <xf numFmtId="0" fontId="29" fillId="94" borderId="153" xfId="0" applyFont="1" applyFill="1" applyBorder="1" applyAlignment="1" applyProtection="1">
      <alignment horizontal="center" vertical="center"/>
    </xf>
    <xf numFmtId="0" fontId="11" fillId="92" borderId="154" xfId="0" applyFont="1" applyFill="1" applyBorder="1" applyAlignment="1" applyProtection="1">
      <alignment horizontal="center" vertical="center" wrapText="1"/>
    </xf>
    <xf numFmtId="0" fontId="11" fillId="92" borderId="155" xfId="0" applyFont="1" applyFill="1" applyBorder="1" applyAlignment="1" applyProtection="1">
      <alignment horizontal="center" vertical="center" wrapText="1"/>
    </xf>
    <xf numFmtId="0" fontId="9" fillId="92" borderId="156"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7" xfId="0" applyFont="1" applyFill="1" applyBorder="1" applyAlignment="1" applyProtection="1">
      <alignment horizontal="center" vertical="center"/>
    </xf>
    <xf numFmtId="0" fontId="9" fillId="92" borderId="158" xfId="0" applyFont="1" applyFill="1" applyBorder="1" applyAlignment="1" applyProtection="1">
      <alignment horizontal="center" vertical="center"/>
    </xf>
    <xf numFmtId="0" fontId="29" fillId="94" borderId="159" xfId="0" applyFont="1" applyFill="1" applyBorder="1" applyAlignment="1" applyProtection="1">
      <alignment horizontal="left" vertical="center"/>
    </xf>
    <xf numFmtId="0" fontId="29" fillId="94" borderId="160" xfId="0" applyFont="1" applyFill="1" applyBorder="1" applyAlignment="1" applyProtection="1">
      <alignment horizontal="left" vertical="center"/>
    </xf>
    <xf numFmtId="0" fontId="7" fillId="0" borderId="0" xfId="1540" applyFont="1" applyAlignment="1">
      <alignment horizontal="left" wrapText="1"/>
    </xf>
    <xf numFmtId="0" fontId="7" fillId="0" borderId="0" xfId="1540" applyFont="1" applyAlignment="1">
      <alignment horizontal="left"/>
    </xf>
    <xf numFmtId="0" fontId="29" fillId="94" borderId="161" xfId="0" applyFont="1" applyFill="1" applyBorder="1" applyAlignment="1" applyProtection="1">
      <alignment horizontal="center" vertical="center" wrapText="1"/>
      <protection locked="0"/>
    </xf>
    <xf numFmtId="0" fontId="29" fillId="94" borderId="162" xfId="0" applyFont="1" applyFill="1" applyBorder="1" applyAlignment="1" applyProtection="1">
      <alignment horizontal="center" vertical="center" wrapText="1"/>
      <protection locked="0"/>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29" fillId="94" borderId="163" xfId="0" applyFont="1" applyFill="1" applyBorder="1" applyAlignment="1" applyProtection="1">
      <alignment horizontal="center" vertical="center" wrapText="1"/>
      <protection locked="0"/>
    </xf>
    <xf numFmtId="0" fontId="61" fillId="92" borderId="26" xfId="1540" applyFont="1" applyFill="1" applyBorder="1" applyAlignment="1">
      <alignment horizontal="center" vertical="center"/>
    </xf>
    <xf numFmtId="0" fontId="61" fillId="92" borderId="0" xfId="1540" applyFont="1" applyFill="1" applyBorder="1" applyAlignment="1">
      <alignment horizontal="center" vertical="center"/>
    </xf>
    <xf numFmtId="0" fontId="61" fillId="92" borderId="123" xfId="1540" applyFont="1" applyFill="1" applyBorder="1" applyAlignment="1">
      <alignment horizontal="center" vertical="center"/>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4" xfId="0" applyFont="1" applyFill="1" applyBorder="1" applyAlignment="1" applyProtection="1">
      <alignment horizontal="center" vertical="center" wrapText="1"/>
      <protection locked="0"/>
    </xf>
    <xf numFmtId="0" fontId="29" fillId="94" borderId="164" xfId="0" applyFont="1" applyFill="1" applyBorder="1" applyAlignment="1" applyProtection="1">
      <alignment horizontal="center" vertical="center" wrapText="1"/>
      <protection locked="0"/>
    </xf>
    <xf numFmtId="0" fontId="29" fillId="94" borderId="165" xfId="0" applyFont="1" applyFill="1" applyBorder="1" applyAlignment="1" applyProtection="1">
      <alignment horizontal="center" vertical="center" wrapText="1"/>
      <protection locked="0"/>
    </xf>
    <xf numFmtId="0" fontId="29" fillId="94" borderId="0" xfId="0" applyFont="1" applyFill="1" applyBorder="1" applyAlignment="1" applyProtection="1">
      <alignment horizontal="center" vertical="center" wrapText="1"/>
      <protection locked="0"/>
    </xf>
    <xf numFmtId="0" fontId="29" fillId="94" borderId="128" xfId="0" applyFont="1" applyFill="1" applyBorder="1" applyAlignment="1" applyProtection="1">
      <alignment horizontal="center" vertical="center" wrapText="1"/>
      <protection locked="0"/>
    </xf>
    <xf numFmtId="0" fontId="29" fillId="94" borderId="124" xfId="0" applyFont="1" applyFill="1" applyBorder="1" applyAlignment="1" applyProtection="1">
      <alignment horizontal="center" vertical="center" wrapText="1"/>
      <protection locked="0"/>
    </xf>
    <xf numFmtId="0" fontId="29" fillId="94" borderId="129" xfId="0" applyFont="1" applyFill="1" applyBorder="1" applyAlignment="1" applyProtection="1">
      <alignment horizontal="center" vertical="center" wrapText="1"/>
      <protection locked="0"/>
    </xf>
    <xf numFmtId="0" fontId="64" fillId="0" borderId="0" xfId="1540" applyFont="1" applyBorder="1" applyAlignment="1">
      <alignment horizontal="left" vertical="center"/>
    </xf>
    <xf numFmtId="0" fontId="29" fillId="94" borderId="14"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9" fillId="0" borderId="14" xfId="0" applyFont="1" applyBorder="1" applyAlignment="1">
      <alignment horizontal="center"/>
    </xf>
    <xf numFmtId="0" fontId="9" fillId="0" borderId="0" xfId="0" applyFont="1" applyAlignment="1">
      <alignment horizontal="center"/>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6">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Forecast!$C$4:$C$123</c:f>
              <c:numCache>
                <c:formatCode>0.00</c:formatCode>
                <c:ptCount val="120"/>
                <c:pt idx="0">
                  <c:v>49119273.939089224</c:v>
                </c:pt>
                <c:pt idx="1">
                  <c:v>43920706.331145763</c:v>
                </c:pt>
                <c:pt idx="2">
                  <c:v>44049093.721381791</c:v>
                </c:pt>
                <c:pt idx="3">
                  <c:v>39548583.910822727</c:v>
                </c:pt>
                <c:pt idx="4">
                  <c:v>39047444.534938559</c:v>
                </c:pt>
                <c:pt idx="5">
                  <c:v>40989336.98661238</c:v>
                </c:pt>
                <c:pt idx="6">
                  <c:v>53631580.204018019</c:v>
                </c:pt>
                <c:pt idx="7">
                  <c:v>46639526.558454148</c:v>
                </c:pt>
                <c:pt idx="8">
                  <c:v>38585642.705238484</c:v>
                </c:pt>
                <c:pt idx="9">
                  <c:v>39272799.15421129</c:v>
                </c:pt>
                <c:pt idx="10">
                  <c:v>39436081.277268745</c:v>
                </c:pt>
                <c:pt idx="11">
                  <c:v>45025716.421660773</c:v>
                </c:pt>
                <c:pt idx="12">
                  <c:v>46301640.044338316</c:v>
                </c:pt>
                <c:pt idx="13">
                  <c:v>42276362.777572073</c:v>
                </c:pt>
                <c:pt idx="14">
                  <c:v>40618559.770492919</c:v>
                </c:pt>
                <c:pt idx="15">
                  <c:v>39693533.219055876</c:v>
                </c:pt>
                <c:pt idx="16">
                  <c:v>39875827.141083419</c:v>
                </c:pt>
                <c:pt idx="17">
                  <c:v>43522297.480016246</c:v>
                </c:pt>
                <c:pt idx="18">
                  <c:v>52983672.134001702</c:v>
                </c:pt>
                <c:pt idx="19">
                  <c:v>45356026.201592028</c:v>
                </c:pt>
                <c:pt idx="20">
                  <c:v>38879412.727494188</c:v>
                </c:pt>
                <c:pt idx="21">
                  <c:v>39090194.47744149</c:v>
                </c:pt>
                <c:pt idx="22">
                  <c:v>40955543.68499656</c:v>
                </c:pt>
                <c:pt idx="23">
                  <c:v>44808216.934111416</c:v>
                </c:pt>
                <c:pt idx="24">
                  <c:v>46415203.700527266</c:v>
                </c:pt>
                <c:pt idx="25">
                  <c:v>43691073.239419572</c:v>
                </c:pt>
                <c:pt idx="26">
                  <c:v>43686255.10215541</c:v>
                </c:pt>
                <c:pt idx="27">
                  <c:v>39536281.374845356</c:v>
                </c:pt>
                <c:pt idx="28">
                  <c:v>39740095.106728092</c:v>
                </c:pt>
                <c:pt idx="29">
                  <c:v>41894645.385974213</c:v>
                </c:pt>
                <c:pt idx="30">
                  <c:v>49266358.750365049</c:v>
                </c:pt>
                <c:pt idx="31">
                  <c:v>49041812.314943366</c:v>
                </c:pt>
                <c:pt idx="32">
                  <c:v>38438097.833473727</c:v>
                </c:pt>
                <c:pt idx="33">
                  <c:v>39008292.295544505</c:v>
                </c:pt>
                <c:pt idx="34">
                  <c:v>41162535.780759618</c:v>
                </c:pt>
                <c:pt idx="35">
                  <c:v>46788367.437156528</c:v>
                </c:pt>
                <c:pt idx="36">
                  <c:v>48601131.983331285</c:v>
                </c:pt>
                <c:pt idx="37">
                  <c:v>44969354.501090348</c:v>
                </c:pt>
                <c:pt idx="38">
                  <c:v>45441067.81177441</c:v>
                </c:pt>
                <c:pt idx="39">
                  <c:v>39281605.621331416</c:v>
                </c:pt>
                <c:pt idx="40">
                  <c:v>38246714.494092658</c:v>
                </c:pt>
                <c:pt idx="41">
                  <c:v>43409240.291060485</c:v>
                </c:pt>
                <c:pt idx="42">
                  <c:v>42470653.556241572</c:v>
                </c:pt>
                <c:pt idx="43">
                  <c:v>43230718.173126034</c:v>
                </c:pt>
                <c:pt idx="44">
                  <c:v>38278156.838088572</c:v>
                </c:pt>
                <c:pt idx="45">
                  <c:v>39110229.803930521</c:v>
                </c:pt>
                <c:pt idx="46">
                  <c:v>40962676.273942627</c:v>
                </c:pt>
                <c:pt idx="47">
                  <c:v>44836742.318155594</c:v>
                </c:pt>
                <c:pt idx="48">
                  <c:v>48116163.828130677</c:v>
                </c:pt>
                <c:pt idx="49">
                  <c:v>46466490.629255459</c:v>
                </c:pt>
                <c:pt idx="50">
                  <c:v>44240738.011090904</c:v>
                </c:pt>
                <c:pt idx="51">
                  <c:v>38719740.960825972</c:v>
                </c:pt>
                <c:pt idx="52">
                  <c:v>39830672.475174442</c:v>
                </c:pt>
                <c:pt idx="53">
                  <c:v>39019638.835129939</c:v>
                </c:pt>
                <c:pt idx="54">
                  <c:v>44657827.122888014</c:v>
                </c:pt>
                <c:pt idx="55">
                  <c:v>42628101.10785865</c:v>
                </c:pt>
                <c:pt idx="56">
                  <c:v>39651959.883300953</c:v>
                </c:pt>
                <c:pt idx="57">
                  <c:v>38315354.052104399</c:v>
                </c:pt>
                <c:pt idx="58">
                  <c:v>38438554.81575042</c:v>
                </c:pt>
                <c:pt idx="59">
                  <c:v>42293745.883671947</c:v>
                </c:pt>
                <c:pt idx="60">
                  <c:v>45692366.496802427</c:v>
                </c:pt>
                <c:pt idx="61">
                  <c:v>41575966.335023917</c:v>
                </c:pt>
                <c:pt idx="62">
                  <c:v>40747897.802114524</c:v>
                </c:pt>
                <c:pt idx="63">
                  <c:v>38734155.376257777</c:v>
                </c:pt>
                <c:pt idx="64">
                  <c:v>38800942.789167501</c:v>
                </c:pt>
                <c:pt idx="65">
                  <c:v>40484409.351268306</c:v>
                </c:pt>
                <c:pt idx="66">
                  <c:v>49996294.168424584</c:v>
                </c:pt>
                <c:pt idx="67">
                  <c:v>51811233.033532344</c:v>
                </c:pt>
                <c:pt idx="68">
                  <c:v>38202928.857596152</c:v>
                </c:pt>
                <c:pt idx="69">
                  <c:v>37188656.297107823</c:v>
                </c:pt>
                <c:pt idx="70">
                  <c:v>37884363.181952707</c:v>
                </c:pt>
                <c:pt idx="71">
                  <c:v>43880003.455169804</c:v>
                </c:pt>
                <c:pt idx="72">
                  <c:v>44016180.930983804</c:v>
                </c:pt>
                <c:pt idx="73">
                  <c:v>39395561.687640697</c:v>
                </c:pt>
                <c:pt idx="74">
                  <c:v>41564263.690818943</c:v>
                </c:pt>
                <c:pt idx="75">
                  <c:v>36305265.963715643</c:v>
                </c:pt>
                <c:pt idx="76">
                  <c:v>36521899.060467623</c:v>
                </c:pt>
                <c:pt idx="77">
                  <c:v>40919346.66885522</c:v>
                </c:pt>
                <c:pt idx="78">
                  <c:v>44059083.751472093</c:v>
                </c:pt>
                <c:pt idx="79">
                  <c:v>40490992.707786649</c:v>
                </c:pt>
                <c:pt idx="80">
                  <c:v>38166810.53019999</c:v>
                </c:pt>
                <c:pt idx="81">
                  <c:v>36037273.388855144</c:v>
                </c:pt>
                <c:pt idx="82">
                  <c:v>38304067.149521805</c:v>
                </c:pt>
                <c:pt idx="83">
                  <c:v>45191250.753323294</c:v>
                </c:pt>
                <c:pt idx="84">
                  <c:v>45453477.473019145</c:v>
                </c:pt>
                <c:pt idx="85">
                  <c:v>39632643.290094048</c:v>
                </c:pt>
                <c:pt idx="86">
                  <c:v>41390229.2163027</c:v>
                </c:pt>
                <c:pt idx="87">
                  <c:v>38336631.802632995</c:v>
                </c:pt>
                <c:pt idx="88">
                  <c:v>37219584.875576518</c:v>
                </c:pt>
                <c:pt idx="89">
                  <c:v>38875915.436028004</c:v>
                </c:pt>
                <c:pt idx="90">
                  <c:v>48616034.318929791</c:v>
                </c:pt>
                <c:pt idx="91">
                  <c:v>47252972.935260102</c:v>
                </c:pt>
                <c:pt idx="92">
                  <c:v>39711699.788764648</c:v>
                </c:pt>
                <c:pt idx="93">
                  <c:v>37724050.421707891</c:v>
                </c:pt>
                <c:pt idx="94">
                  <c:v>38776453.904595695</c:v>
                </c:pt>
                <c:pt idx="95">
                  <c:v>42585514.354509056</c:v>
                </c:pt>
                <c:pt idx="96">
                  <c:v>45129425.706548288</c:v>
                </c:pt>
                <c:pt idx="97">
                  <c:v>40084475.14828895</c:v>
                </c:pt>
                <c:pt idx="98">
                  <c:v>41468321.689270049</c:v>
                </c:pt>
                <c:pt idx="99">
                  <c:v>36632192.32750205</c:v>
                </c:pt>
                <c:pt idx="100">
                  <c:v>35500859.278940223</c:v>
                </c:pt>
                <c:pt idx="101">
                  <c:v>37284215.7809292</c:v>
                </c:pt>
                <c:pt idx="102">
                  <c:v>49116721.523291208</c:v>
                </c:pt>
                <c:pt idx="103">
                  <c:v>42334007.202419542</c:v>
                </c:pt>
                <c:pt idx="104">
                  <c:v>33414881.958269831</c:v>
                </c:pt>
                <c:pt idx="105">
                  <c:v>36381713.984225936</c:v>
                </c:pt>
                <c:pt idx="106">
                  <c:v>39052883.396440752</c:v>
                </c:pt>
                <c:pt idx="107">
                  <c:v>42756062.920532592</c:v>
                </c:pt>
                <c:pt idx="108">
                  <c:v>42784404.82526926</c:v>
                </c:pt>
                <c:pt idx="109">
                  <c:v>40046793.954136454</c:v>
                </c:pt>
                <c:pt idx="110">
                  <c:v>39071441.169158496</c:v>
                </c:pt>
                <c:pt idx="111">
                  <c:v>37179721.652223445</c:v>
                </c:pt>
                <c:pt idx="112">
                  <c:v>38107550.787589379</c:v>
                </c:pt>
                <c:pt idx="113">
                  <c:v>41423076.131212182</c:v>
                </c:pt>
                <c:pt idx="114">
                  <c:v>51612258.856076844</c:v>
                </c:pt>
                <c:pt idx="115">
                  <c:v>44276313.803177424</c:v>
                </c:pt>
                <c:pt idx="116">
                  <c:v>35240777.854716614</c:v>
                </c:pt>
                <c:pt idx="117">
                  <c:v>36462376.177973844</c:v>
                </c:pt>
                <c:pt idx="118">
                  <c:v>36562948.878965348</c:v>
                </c:pt>
                <c:pt idx="119">
                  <c:v>42433024.08466471</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0.38601453557195586</c:v>
                </c:pt>
                <c:pt idx="1">
                  <c:v>0.38893145468711415</c:v>
                </c:pt>
                <c:pt idx="2">
                  <c:v>0.40460492296299311</c:v>
                </c:pt>
                <c:pt idx="3">
                  <c:v>0.40103897419266565</c:v>
                </c:pt>
                <c:pt idx="4">
                  <c:v>0.40406552893042524</c:v>
                </c:pt>
                <c:pt idx="5">
                  <c:v>0.41124751695789463</c:v>
                </c:pt>
                <c:pt idx="6">
                  <c:v>0.40329160031951855</c:v>
                </c:pt>
                <c:pt idx="7">
                  <c:v>0.42454051871064802</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0.13343295901678967</c:v>
                </c:pt>
                <c:pt idx="1">
                  <c:v>0.1350449159237532</c:v>
                </c:pt>
                <c:pt idx="2">
                  <c:v>0.13471572199745976</c:v>
                </c:pt>
                <c:pt idx="3">
                  <c:v>0.13692056179835727</c:v>
                </c:pt>
                <c:pt idx="4">
                  <c:v>0.13854793233342175</c:v>
                </c:pt>
                <c:pt idx="5">
                  <c:v>0.14054255630968673</c:v>
                </c:pt>
                <c:pt idx="6">
                  <c:v>0.13919883482097428</c:v>
                </c:pt>
                <c:pt idx="7">
                  <c:v>0.13638827058370803</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0.40112390835914324</c:v>
                </c:pt>
                <c:pt idx="1">
                  <c:v>0.40255367633292377</c:v>
                </c:pt>
                <c:pt idx="2">
                  <c:v>0.38179218647546587</c:v>
                </c:pt>
                <c:pt idx="3">
                  <c:v>0.38771413726640608</c:v>
                </c:pt>
                <c:pt idx="4">
                  <c:v>0.38296699610786389</c:v>
                </c:pt>
                <c:pt idx="5">
                  <c:v>0.37672365261607649</c:v>
                </c:pt>
                <c:pt idx="6">
                  <c:v>0.38413208732782311</c:v>
                </c:pt>
                <c:pt idx="7">
                  <c:v>0.36972954137986608</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Unadjusted</a:t>
            </a:r>
          </a:p>
        </c:rich>
      </c:tx>
      <c:layout>
        <c:manualLayout>
          <c:xMode val="edge"/>
          <c:yMode val="edge"/>
          <c:x val="0.45318344207485806"/>
          <c:y val="3.8572056397813359E-2"/>
        </c:manualLayout>
      </c:layout>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Analysis2'!$B$3:$B$14</c:f>
              <c:numCache>
                <c:formatCode>_(* #,##0_);_(* \(#,##0\);_(* "-"??_);_(@_)</c:formatCode>
                <c:ptCount val="12"/>
                <c:pt idx="0">
                  <c:v>52646061.059999987</c:v>
                </c:pt>
                <c:pt idx="1">
                  <c:v>47886036.089999989</c:v>
                </c:pt>
                <c:pt idx="2">
                  <c:v>50044994.409999982</c:v>
                </c:pt>
                <c:pt idx="3">
                  <c:v>43929197.81000001</c:v>
                </c:pt>
                <c:pt idx="4">
                  <c:v>43129960.770000003</c:v>
                </c:pt>
                <c:pt idx="5">
                  <c:v>45531832.089999981</c:v>
                </c:pt>
                <c:pt idx="6">
                  <c:v>56530774.029999986</c:v>
                </c:pt>
                <c:pt idx="7">
                  <c:v>53168646.089999974</c:v>
                </c:pt>
                <c:pt idx="8">
                  <c:v>45998198.719999947</c:v>
                </c:pt>
                <c:pt idx="9">
                  <c:v>43453458.649999976</c:v>
                </c:pt>
                <c:pt idx="10">
                  <c:v>42419852.18999999</c:v>
                </c:pt>
                <c:pt idx="11">
                  <c:v>46217938.279999964</c:v>
                </c:pt>
              </c:numCache>
            </c:numRef>
          </c:val>
          <c:extLst>
            <c:ext xmlns:c16="http://schemas.microsoft.com/office/drawing/2014/chart" uri="{C3380CC4-5D6E-409C-BE32-E72D297353CC}">
              <c16:uniqueId val="{00000000-BA0C-4292-9607-B3F04D412CE9}"/>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Analysis2'!$C$3:$C$14</c:f>
              <c:numCache>
                <c:formatCode>_(* #,##0_);_(* \(#,##0\);_(* "-"??_);_(@_)</c:formatCode>
                <c:ptCount val="12"/>
                <c:pt idx="0">
                  <c:v>49830132.730000034</c:v>
                </c:pt>
                <c:pt idx="1">
                  <c:v>46681742.650000036</c:v>
                </c:pt>
                <c:pt idx="2">
                  <c:v>45705990.230000004</c:v>
                </c:pt>
                <c:pt idx="3">
                  <c:v>42394150.290000021</c:v>
                </c:pt>
                <c:pt idx="4">
                  <c:v>44171430.339999989</c:v>
                </c:pt>
                <c:pt idx="5">
                  <c:v>47092605</c:v>
                </c:pt>
                <c:pt idx="6">
                  <c:v>56616414.859999955</c:v>
                </c:pt>
                <c:pt idx="7">
                  <c:v>53263093.910000011</c:v>
                </c:pt>
                <c:pt idx="8">
                  <c:v>44675833.469999984</c:v>
                </c:pt>
                <c:pt idx="9">
                  <c:v>43218262.50000003</c:v>
                </c:pt>
                <c:pt idx="10">
                  <c:v>44348257.809999987</c:v>
                </c:pt>
                <c:pt idx="11">
                  <c:v>45574164.490000024</c:v>
                </c:pt>
              </c:numCache>
            </c:numRef>
          </c:val>
          <c:extLst>
            <c:ext xmlns:c16="http://schemas.microsoft.com/office/drawing/2014/chart" uri="{C3380CC4-5D6E-409C-BE32-E72D297353CC}">
              <c16:uniqueId val="{00000001-BA0C-4292-9607-B3F04D412CE9}"/>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Analysis2'!$D$3:$D$14</c:f>
              <c:numCache>
                <c:formatCode>_(* #,##0_);_(* \(#,##0\);_(* "-"??_);_(@_)</c:formatCode>
                <c:ptCount val="12"/>
                <c:pt idx="0">
                  <c:v>50854515.269999981</c:v>
                </c:pt>
                <c:pt idx="1">
                  <c:v>45891597.809999987</c:v>
                </c:pt>
                <c:pt idx="2">
                  <c:v>45408057.419999965</c:v>
                </c:pt>
                <c:pt idx="3">
                  <c:v>40508542.919999994</c:v>
                </c:pt>
                <c:pt idx="4">
                  <c:v>40367332.749999978</c:v>
                </c:pt>
                <c:pt idx="5">
                  <c:v>41861470.480000004</c:v>
                </c:pt>
                <c:pt idx="6">
                  <c:v>51710807.499999985</c:v>
                </c:pt>
                <c:pt idx="7">
                  <c:v>47450772.329999983</c:v>
                </c:pt>
                <c:pt idx="8">
                  <c:v>40219617.969999991</c:v>
                </c:pt>
                <c:pt idx="9">
                  <c:v>40606721.039999992</c:v>
                </c:pt>
                <c:pt idx="10">
                  <c:v>41891121.289999954</c:v>
                </c:pt>
                <c:pt idx="11">
                  <c:v>46416068.759999998</c:v>
                </c:pt>
              </c:numCache>
            </c:numRef>
          </c:val>
          <c:extLst>
            <c:ext xmlns:c16="http://schemas.microsoft.com/office/drawing/2014/chart" uri="{C3380CC4-5D6E-409C-BE32-E72D297353CC}">
              <c16:uniqueId val="{00000002-BA0C-4292-9607-B3F04D412CE9}"/>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Analysis2'!$E$3:$E$14</c:f>
              <c:numCache>
                <c:formatCode>_(* #,##0_);_(* \(#,##0\);_(* "-"??_);_(@_)</c:formatCode>
                <c:ptCount val="12"/>
                <c:pt idx="0">
                  <c:v>52863793.569999993</c:v>
                </c:pt>
                <c:pt idx="1">
                  <c:v>46902074.210000008</c:v>
                </c:pt>
                <c:pt idx="2">
                  <c:v>49147286.989999995</c:v>
                </c:pt>
                <c:pt idx="3">
                  <c:v>41905954.449999988</c:v>
                </c:pt>
                <c:pt idx="4">
                  <c:v>40009171.760000005</c:v>
                </c:pt>
                <c:pt idx="5">
                  <c:v>45061481.739999995</c:v>
                </c:pt>
                <c:pt idx="6">
                  <c:v>46747535.099999979</c:v>
                </c:pt>
                <c:pt idx="7">
                  <c:v>44915574.590000011</c:v>
                </c:pt>
                <c:pt idx="8">
                  <c:v>39557943.620000012</c:v>
                </c:pt>
                <c:pt idx="9">
                  <c:v>39850442.429999992</c:v>
                </c:pt>
                <c:pt idx="10">
                  <c:v>43491696.789999977</c:v>
                </c:pt>
                <c:pt idx="11">
                  <c:v>44870993.049999982</c:v>
                </c:pt>
              </c:numCache>
            </c:numRef>
          </c:val>
          <c:extLst>
            <c:ext xmlns:c16="http://schemas.microsoft.com/office/drawing/2014/chart" uri="{C3380CC4-5D6E-409C-BE32-E72D297353CC}">
              <c16:uniqueId val="{00000003-BA0C-4292-9607-B3F04D412CE9}"/>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Analysis2'!$F$3:$F$14</c:f>
              <c:numCache>
                <c:formatCode>_(* #,##0_);_(* \(#,##0\);_(* "-"??_);_(@_)</c:formatCode>
                <c:ptCount val="12"/>
                <c:pt idx="0">
                  <c:v>50100445.24000001</c:v>
                </c:pt>
                <c:pt idx="1">
                  <c:v>46271066.69000002</c:v>
                </c:pt>
                <c:pt idx="2">
                  <c:v>44501238.159999989</c:v>
                </c:pt>
                <c:pt idx="3">
                  <c:v>37785791.490000002</c:v>
                </c:pt>
                <c:pt idx="4">
                  <c:v>36307057.780000001</c:v>
                </c:pt>
                <c:pt idx="5">
                  <c:v>37811947.970000021</c:v>
                </c:pt>
                <c:pt idx="6">
                  <c:v>44310484.200000025</c:v>
                </c:pt>
                <c:pt idx="7">
                  <c:v>43495493.139999993</c:v>
                </c:pt>
                <c:pt idx="8">
                  <c:v>41484817.669999972</c:v>
                </c:pt>
                <c:pt idx="9">
                  <c:v>38178097.399999984</c:v>
                </c:pt>
                <c:pt idx="10">
                  <c:v>36946837.530000001</c:v>
                </c:pt>
                <c:pt idx="11">
                  <c:v>39604094.129999995</c:v>
                </c:pt>
              </c:numCache>
            </c:numRef>
          </c:val>
          <c:extLst>
            <c:ext xmlns:c16="http://schemas.microsoft.com/office/drawing/2014/chart" uri="{C3380CC4-5D6E-409C-BE32-E72D297353CC}">
              <c16:uniqueId val="{00000004-BA0C-4292-9607-B3F04D412CE9}"/>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Analysis2'!$G$3:$G$14</c:f>
              <c:numCache>
                <c:formatCode>_(* #,##0_);_(* \(#,##0\);_(* "-"??_);_(@_)</c:formatCode>
                <c:ptCount val="12"/>
                <c:pt idx="0">
                  <c:v>44500830.719999984</c:v>
                </c:pt>
                <c:pt idx="1">
                  <c:v>40982390.300000004</c:v>
                </c:pt>
                <c:pt idx="2">
                  <c:v>39758543.469999999</c:v>
                </c:pt>
                <c:pt idx="3">
                  <c:v>36143916.349999994</c:v>
                </c:pt>
                <c:pt idx="4">
                  <c:v>35571116.150000006</c:v>
                </c:pt>
                <c:pt idx="5">
                  <c:v>39220373.289999992</c:v>
                </c:pt>
                <c:pt idx="6">
                  <c:v>47066419.799999982</c:v>
                </c:pt>
                <c:pt idx="7">
                  <c:v>50793950.229999974</c:v>
                </c:pt>
                <c:pt idx="8">
                  <c:v>39568638.049999982</c:v>
                </c:pt>
                <c:pt idx="9">
                  <c:v>35855555.68999996</c:v>
                </c:pt>
                <c:pt idx="10">
                  <c:v>36559281.450000003</c:v>
                </c:pt>
                <c:pt idx="11">
                  <c:v>42534516.759999998</c:v>
                </c:pt>
              </c:numCache>
            </c:numRef>
          </c:val>
          <c:extLst>
            <c:ext xmlns:c16="http://schemas.microsoft.com/office/drawing/2014/chart" uri="{C3380CC4-5D6E-409C-BE32-E72D297353CC}">
              <c16:uniqueId val="{00000005-BA0C-4292-9607-B3F04D412CE9}"/>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Analysis2'!$H$3:$H$14</c:f>
              <c:numCache>
                <c:formatCode>_(* #,##0_);_(* \(#,##0\);_(* "-"??_);_(@_)</c:formatCode>
                <c:ptCount val="12"/>
                <c:pt idx="0">
                  <c:v>43062641.590000018</c:v>
                </c:pt>
                <c:pt idx="1">
                  <c:v>37522207.099999994</c:v>
                </c:pt>
                <c:pt idx="2">
                  <c:v>41370878.749999993</c:v>
                </c:pt>
                <c:pt idx="3">
                  <c:v>35639117.619999968</c:v>
                </c:pt>
                <c:pt idx="4">
                  <c:v>36632679.980000012</c:v>
                </c:pt>
                <c:pt idx="5">
                  <c:v>38109511.749999993</c:v>
                </c:pt>
                <c:pt idx="6">
                  <c:v>43845120.699999988</c:v>
                </c:pt>
                <c:pt idx="7">
                  <c:v>43171748.199999966</c:v>
                </c:pt>
                <c:pt idx="8">
                  <c:v>38578980.680000037</c:v>
                </c:pt>
                <c:pt idx="9">
                  <c:v>35892870.779999956</c:v>
                </c:pt>
                <c:pt idx="10">
                  <c:v>38713504.909999996</c:v>
                </c:pt>
                <c:pt idx="11">
                  <c:v>43791007.450000025</c:v>
                </c:pt>
              </c:numCache>
            </c:numRef>
          </c:val>
          <c:extLst>
            <c:ext xmlns:c16="http://schemas.microsoft.com/office/drawing/2014/chart" uri="{C3380CC4-5D6E-409C-BE32-E72D297353CC}">
              <c16:uniqueId val="{00000006-BA0C-4292-9607-B3F04D412CE9}"/>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Analysis2'!$I$3:$I$14</c:f>
              <c:numCache>
                <c:formatCode>_(* #,##0_);_(* \(#,##0\);_(* "-"??_);_(@_)</c:formatCode>
                <c:ptCount val="12"/>
                <c:pt idx="0">
                  <c:v>47052385.459999971</c:v>
                </c:pt>
                <c:pt idx="1">
                  <c:v>39540897.230000019</c:v>
                </c:pt>
                <c:pt idx="2">
                  <c:v>41548740.249999993</c:v>
                </c:pt>
                <c:pt idx="3">
                  <c:v>38285930.12999998</c:v>
                </c:pt>
                <c:pt idx="4">
                  <c:v>36063657.63000001</c:v>
                </c:pt>
                <c:pt idx="5">
                  <c:v>38564071.070000008</c:v>
                </c:pt>
                <c:pt idx="6">
                  <c:v>49628857.740000024</c:v>
                </c:pt>
                <c:pt idx="7">
                  <c:v>48629695.239999965</c:v>
                </c:pt>
                <c:pt idx="8">
                  <c:v>41064153.550000027</c:v>
                </c:pt>
                <c:pt idx="9">
                  <c:v>37443471.689999975</c:v>
                </c:pt>
                <c:pt idx="10">
                  <c:v>39843675.400000006</c:v>
                </c:pt>
                <c:pt idx="11">
                  <c:v>41914947.409999989</c:v>
                </c:pt>
              </c:numCache>
            </c:numRef>
          </c:val>
          <c:extLst>
            <c:ext xmlns:c16="http://schemas.microsoft.com/office/drawing/2014/chart" uri="{C3380CC4-5D6E-409C-BE32-E72D297353CC}">
              <c16:uniqueId val="{00000007-BA0C-4292-9607-B3F04D412CE9}"/>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Analysis2'!$J$3:$J$14</c:f>
              <c:numCache>
                <c:formatCode>_(* #,##0_);_(* \(#,##0\);_(* "-"??_);_(@_)</c:formatCode>
                <c:ptCount val="12"/>
                <c:pt idx="0">
                  <c:v>46622026.859999999</c:v>
                </c:pt>
                <c:pt idx="1">
                  <c:v>41188691.579999998</c:v>
                </c:pt>
                <c:pt idx="2">
                  <c:v>42070897.649999976</c:v>
                </c:pt>
                <c:pt idx="3">
                  <c:v>36296821.840000033</c:v>
                </c:pt>
                <c:pt idx="4">
                  <c:v>35335301.459999986</c:v>
                </c:pt>
                <c:pt idx="5">
                  <c:v>36918421.580000013</c:v>
                </c:pt>
                <c:pt idx="6">
                  <c:v>48958080.650000021</c:v>
                </c:pt>
                <c:pt idx="7">
                  <c:v>45777930.170000002</c:v>
                </c:pt>
                <c:pt idx="8">
                  <c:v>37514501.140000001</c:v>
                </c:pt>
                <c:pt idx="9">
                  <c:v>36374484.030000001</c:v>
                </c:pt>
                <c:pt idx="10">
                  <c:v>40089238.080000013</c:v>
                </c:pt>
                <c:pt idx="11">
                  <c:v>42739198.629999965</c:v>
                </c:pt>
              </c:numCache>
            </c:numRef>
          </c:val>
          <c:extLst>
            <c:ext xmlns:c16="http://schemas.microsoft.com/office/drawing/2014/chart" uri="{C3380CC4-5D6E-409C-BE32-E72D297353CC}">
              <c16:uniqueId val="{00000008-BA0C-4292-9607-B3F04D412CE9}"/>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Analysis2'!$K$3:$K$14</c:f>
              <c:numCache>
                <c:formatCode>_(* #,##0_);_(* \(#,##0\);_(* "-"??_);_(@_)</c:formatCode>
                <c:ptCount val="12"/>
                <c:pt idx="0">
                  <c:v>44000407</c:v>
                </c:pt>
                <c:pt idx="1">
                  <c:v>41219886</c:v>
                </c:pt>
                <c:pt idx="2">
                  <c:v>39943443</c:v>
                </c:pt>
                <c:pt idx="3">
                  <c:v>34785312</c:v>
                </c:pt>
                <c:pt idx="4">
                  <c:v>35305256</c:v>
                </c:pt>
                <c:pt idx="5">
                  <c:v>39004716</c:v>
                </c:pt>
                <c:pt idx="6">
                  <c:v>51209111</c:v>
                </c:pt>
                <c:pt idx="7">
                  <c:v>45776807</c:v>
                </c:pt>
                <c:pt idx="8">
                  <c:v>36368524</c:v>
                </c:pt>
                <c:pt idx="9">
                  <c:v>35464048</c:v>
                </c:pt>
                <c:pt idx="10">
                  <c:v>36859381</c:v>
                </c:pt>
                <c:pt idx="11">
                  <c:v>42748295</c:v>
                </c:pt>
              </c:numCache>
            </c:numRef>
          </c:val>
          <c:extLst>
            <c:ext xmlns:c16="http://schemas.microsoft.com/office/drawing/2014/chart" uri="{C3380CC4-5D6E-409C-BE32-E72D297353CC}">
              <c16:uniqueId val="{00000009-BA0C-4292-9607-B3F04D412CE9}"/>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HDD vs</a:t>
            </a:r>
            <a:r>
              <a:rPr lang="en-US" baseline="0"/>
              <a:t> CDD</a:t>
            </a:r>
            <a:endParaRPr lang="en-US"/>
          </a:p>
        </c:rich>
      </c:tx>
      <c:overlay val="0"/>
      <c:spPr>
        <a:noFill/>
        <a:ln w="25400">
          <a:noFill/>
        </a:ln>
      </c:spPr>
    </c:title>
    <c:autoTitleDeleted val="0"/>
    <c:plotArea>
      <c:layout/>
      <c:lineChart>
        <c:grouping val="standard"/>
        <c:varyColors val="0"/>
        <c:ser>
          <c:idx val="0"/>
          <c:order val="0"/>
          <c:tx>
            <c:strRef>
              <c:f>'Wholesale Analysis2'!$A$78</c:f>
              <c:strCache>
                <c:ptCount val="1"/>
                <c:pt idx="0">
                  <c:v>HDD</c:v>
                </c:pt>
              </c:strCache>
            </c:strRef>
          </c:tx>
          <c:spPr>
            <a:ln w="28575" cap="rnd">
              <a:solidFill>
                <a:schemeClr val="accent1"/>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Analysis2'!$B$78:$K$78</c:f>
              <c:numCache>
                <c:formatCode>0</c:formatCode>
                <c:ptCount val="10"/>
                <c:pt idx="0">
                  <c:v>3622.7</c:v>
                </c:pt>
                <c:pt idx="1">
                  <c:v>3179.2</c:v>
                </c:pt>
                <c:pt idx="2">
                  <c:v>3775.6000000000004</c:v>
                </c:pt>
                <c:pt idx="3">
                  <c:v>4069.2</c:v>
                </c:pt>
                <c:pt idx="4">
                  <c:v>3817.5</c:v>
                </c:pt>
                <c:pt idx="5">
                  <c:v>3430.5</c:v>
                </c:pt>
                <c:pt idx="6">
                  <c:v>3477.2999999999993</c:v>
                </c:pt>
                <c:pt idx="7">
                  <c:v>3740</c:v>
                </c:pt>
                <c:pt idx="8">
                  <c:v>3778.2999999999993</c:v>
                </c:pt>
                <c:pt idx="9">
                  <c:v>3394.1</c:v>
                </c:pt>
              </c:numCache>
            </c:numRef>
          </c:val>
          <c:smooth val="0"/>
          <c:extLst>
            <c:ext xmlns:c16="http://schemas.microsoft.com/office/drawing/2014/chart" uri="{C3380CC4-5D6E-409C-BE32-E72D297353CC}">
              <c16:uniqueId val="{00000000-1B0A-4052-BCDC-9EFE53D9AEB7}"/>
            </c:ext>
          </c:extLst>
        </c:ser>
        <c:ser>
          <c:idx val="1"/>
          <c:order val="1"/>
          <c:tx>
            <c:strRef>
              <c:f>'Wholesale Analysis2'!$A$79</c:f>
              <c:strCache>
                <c:ptCount val="1"/>
                <c:pt idx="0">
                  <c:v>CDD</c:v>
                </c:pt>
              </c:strCache>
            </c:strRef>
          </c:tx>
          <c:spPr>
            <a:ln w="28575" cap="rnd">
              <a:solidFill>
                <a:schemeClr val="accent2"/>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Analysis2'!$B$79:$K$79</c:f>
              <c:numCache>
                <c:formatCode>0</c:formatCode>
                <c:ptCount val="10"/>
                <c:pt idx="0">
                  <c:v>660</c:v>
                </c:pt>
                <c:pt idx="1">
                  <c:v>705.4</c:v>
                </c:pt>
                <c:pt idx="2">
                  <c:v>659.59999999999991</c:v>
                </c:pt>
                <c:pt idx="3">
                  <c:v>439.40000000000003</c:v>
                </c:pt>
                <c:pt idx="4">
                  <c:v>512.4</c:v>
                </c:pt>
                <c:pt idx="5">
                  <c:v>858.60000000000014</c:v>
                </c:pt>
                <c:pt idx="6">
                  <c:v>527.6</c:v>
                </c:pt>
                <c:pt idx="7">
                  <c:v>839.40000000000009</c:v>
                </c:pt>
                <c:pt idx="8">
                  <c:v>537.79999999999995</c:v>
                </c:pt>
                <c:pt idx="9">
                  <c:v>768</c:v>
                </c:pt>
              </c:numCache>
            </c:numRef>
          </c:val>
          <c:smooth val="0"/>
          <c:extLst>
            <c:ext xmlns:c16="http://schemas.microsoft.com/office/drawing/2014/chart" uri="{C3380CC4-5D6E-409C-BE32-E72D297353CC}">
              <c16:uniqueId val="{00000001-1B0A-4052-BCDC-9EFE53D9AEB7}"/>
            </c:ext>
          </c:extLst>
        </c:ser>
        <c:dLbls>
          <c:showLegendKey val="0"/>
          <c:showVal val="0"/>
          <c:showCatName val="0"/>
          <c:showSerName val="0"/>
          <c:showPercent val="0"/>
          <c:showBubbleSize val="0"/>
        </c:dLbls>
        <c:smooth val="0"/>
        <c:axId val="842722048"/>
        <c:axId val="1"/>
      </c:lineChart>
      <c:catAx>
        <c:axId val="8427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20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p>
        </c:rich>
      </c:tx>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Analysis2'!$B$25:$B$36</c:f>
              <c:numCache>
                <c:formatCode>_(* #,##0_);_(* \(#,##0\);_(* "-"??_);_(@_)</c:formatCode>
                <c:ptCount val="12"/>
                <c:pt idx="0">
                  <c:v>50205498.639999986</c:v>
                </c:pt>
                <c:pt idx="1">
                  <c:v>45182973.399999991</c:v>
                </c:pt>
                <c:pt idx="2">
                  <c:v>46925210.189999983</c:v>
                </c:pt>
                <c:pt idx="3">
                  <c:v>40611158.420000009</c:v>
                </c:pt>
                <c:pt idx="4">
                  <c:v>40093910.980000004</c:v>
                </c:pt>
                <c:pt idx="5">
                  <c:v>42370710.179999977</c:v>
                </c:pt>
                <c:pt idx="6">
                  <c:v>52548651.229999989</c:v>
                </c:pt>
                <c:pt idx="7">
                  <c:v>49452682.169999979</c:v>
                </c:pt>
                <c:pt idx="8">
                  <c:v>41925405.219999947</c:v>
                </c:pt>
                <c:pt idx="9">
                  <c:v>40507085.799999975</c:v>
                </c:pt>
                <c:pt idx="10">
                  <c:v>40896333.469999991</c:v>
                </c:pt>
                <c:pt idx="11">
                  <c:v>44967258.239999965</c:v>
                </c:pt>
              </c:numCache>
            </c:numRef>
          </c:val>
          <c:extLst>
            <c:ext xmlns:c16="http://schemas.microsoft.com/office/drawing/2014/chart" uri="{C3380CC4-5D6E-409C-BE32-E72D297353CC}">
              <c16:uniqueId val="{00000000-0140-44E2-8223-6691D816857B}"/>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Analysis2'!$C$25:$C$36</c:f>
              <c:numCache>
                <c:formatCode>_(* #,##0_);_(* \(#,##0\);_(* "-"??_);_(@_)</c:formatCode>
                <c:ptCount val="12"/>
                <c:pt idx="0">
                  <c:v>46829264.830000035</c:v>
                </c:pt>
                <c:pt idx="1">
                  <c:v>43072943.990000039</c:v>
                </c:pt>
                <c:pt idx="2">
                  <c:v>41849534.660000004</c:v>
                </c:pt>
                <c:pt idx="3">
                  <c:v>38334680.740000024</c:v>
                </c:pt>
                <c:pt idx="4">
                  <c:v>39723386.149999991</c:v>
                </c:pt>
                <c:pt idx="5">
                  <c:v>42958922.740000002</c:v>
                </c:pt>
                <c:pt idx="6">
                  <c:v>51833830.459999956</c:v>
                </c:pt>
                <c:pt idx="7">
                  <c:v>48709367.330000013</c:v>
                </c:pt>
                <c:pt idx="8">
                  <c:v>40386345.149999984</c:v>
                </c:pt>
                <c:pt idx="9">
                  <c:v>40191611.080000028</c:v>
                </c:pt>
                <c:pt idx="10">
                  <c:v>42546571.04999999</c:v>
                </c:pt>
                <c:pt idx="11">
                  <c:v>44574933.650000021</c:v>
                </c:pt>
              </c:numCache>
            </c:numRef>
          </c:val>
          <c:extLst>
            <c:ext xmlns:c16="http://schemas.microsoft.com/office/drawing/2014/chart" uri="{C3380CC4-5D6E-409C-BE32-E72D297353CC}">
              <c16:uniqueId val="{00000001-0140-44E2-8223-6691D816857B}"/>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Analysis2'!$D$25:$D$36</c:f>
              <c:numCache>
                <c:formatCode>_(* #,##0_);_(* \(#,##0\);_(* "-"??_);_(@_)</c:formatCode>
                <c:ptCount val="12"/>
                <c:pt idx="0">
                  <c:v>48092056.929999977</c:v>
                </c:pt>
                <c:pt idx="1">
                  <c:v>43415700.269999988</c:v>
                </c:pt>
                <c:pt idx="2">
                  <c:v>43520435.069999963</c:v>
                </c:pt>
                <c:pt idx="3">
                  <c:v>38293525.819999993</c:v>
                </c:pt>
                <c:pt idx="4">
                  <c:v>37947559.23999998</c:v>
                </c:pt>
                <c:pt idx="5">
                  <c:v>39558051.280000001</c:v>
                </c:pt>
                <c:pt idx="6">
                  <c:v>48777836.719999984</c:v>
                </c:pt>
                <c:pt idx="7">
                  <c:v>44931328.109999985</c:v>
                </c:pt>
                <c:pt idx="8">
                  <c:v>38566846.929999992</c:v>
                </c:pt>
                <c:pt idx="9">
                  <c:v>39059441.109999992</c:v>
                </c:pt>
                <c:pt idx="10">
                  <c:v>41311170.689999953</c:v>
                </c:pt>
                <c:pt idx="11">
                  <c:v>46300078.549999997</c:v>
                </c:pt>
              </c:numCache>
            </c:numRef>
          </c:val>
          <c:extLst>
            <c:ext xmlns:c16="http://schemas.microsoft.com/office/drawing/2014/chart" uri="{C3380CC4-5D6E-409C-BE32-E72D297353CC}">
              <c16:uniqueId val="{00000002-0140-44E2-8223-6691D816857B}"/>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Analysis2'!$E$25:$E$36</c:f>
              <c:numCache>
                <c:formatCode>_(* #,##0_);_(* \(#,##0\);_(* "-"??_);_(@_)</c:formatCode>
                <c:ptCount val="12"/>
                <c:pt idx="0">
                  <c:v>50496524.50999999</c:v>
                </c:pt>
                <c:pt idx="1">
                  <c:v>44559480.000000007</c:v>
                </c:pt>
                <c:pt idx="2">
                  <c:v>45832980.779999994</c:v>
                </c:pt>
                <c:pt idx="3">
                  <c:v>38389928.019999988</c:v>
                </c:pt>
                <c:pt idx="4">
                  <c:v>36955318.370000005</c:v>
                </c:pt>
                <c:pt idx="5">
                  <c:v>40743556.069999993</c:v>
                </c:pt>
                <c:pt idx="6">
                  <c:v>44141053.73999998</c:v>
                </c:pt>
                <c:pt idx="7">
                  <c:v>43108351.670000009</c:v>
                </c:pt>
                <c:pt idx="8">
                  <c:v>38472316.730000012</c:v>
                </c:pt>
                <c:pt idx="9">
                  <c:v>38196496.659999996</c:v>
                </c:pt>
                <c:pt idx="10">
                  <c:v>40658384.449999973</c:v>
                </c:pt>
                <c:pt idx="11">
                  <c:v>43373534.73999998</c:v>
                </c:pt>
              </c:numCache>
            </c:numRef>
          </c:val>
          <c:extLst>
            <c:ext xmlns:c16="http://schemas.microsoft.com/office/drawing/2014/chart" uri="{C3380CC4-5D6E-409C-BE32-E72D297353CC}">
              <c16:uniqueId val="{00000003-0140-44E2-8223-6691D816857B}"/>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Analysis2'!$F$25:$F$36</c:f>
              <c:numCache>
                <c:formatCode>_(* #,##0_);_(* \(#,##0\);_(* "-"??_);_(@_)</c:formatCode>
                <c:ptCount val="12"/>
                <c:pt idx="0">
                  <c:v>48336983.890000008</c:v>
                </c:pt>
                <c:pt idx="1">
                  <c:v>45806080.270000018</c:v>
                </c:pt>
                <c:pt idx="2">
                  <c:v>44467250.839999989</c:v>
                </c:pt>
                <c:pt idx="3">
                  <c:v>37066329.080000006</c:v>
                </c:pt>
                <c:pt idx="4">
                  <c:v>36561145.590000004</c:v>
                </c:pt>
                <c:pt idx="5">
                  <c:v>38156279.170000024</c:v>
                </c:pt>
                <c:pt idx="6">
                  <c:v>44608127.150000028</c:v>
                </c:pt>
                <c:pt idx="7">
                  <c:v>43859864.359999992</c:v>
                </c:pt>
                <c:pt idx="8">
                  <c:v>41747991.089999974</c:v>
                </c:pt>
                <c:pt idx="9">
                  <c:v>36786433.089999989</c:v>
                </c:pt>
                <c:pt idx="10">
                  <c:v>37158577.840000004</c:v>
                </c:pt>
                <c:pt idx="11">
                  <c:v>39769879.449999996</c:v>
                </c:pt>
              </c:numCache>
            </c:numRef>
          </c:val>
          <c:extLst>
            <c:ext xmlns:c16="http://schemas.microsoft.com/office/drawing/2014/chart" uri="{C3380CC4-5D6E-409C-BE32-E72D297353CC}">
              <c16:uniqueId val="{00000004-0140-44E2-8223-6691D816857B}"/>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Analysis2'!$G$25:$G$36</c:f>
              <c:numCache>
                <c:formatCode>_(* #,##0_);_(* \(#,##0\);_(* "-"??_);_(@_)</c:formatCode>
                <c:ptCount val="12"/>
                <c:pt idx="0">
                  <c:v>44548270.089999981</c:v>
                </c:pt>
                <c:pt idx="1">
                  <c:v>41158165.13000001</c:v>
                </c:pt>
                <c:pt idx="2">
                  <c:v>39809145.920000002</c:v>
                </c:pt>
                <c:pt idx="3">
                  <c:v>36222797.579999998</c:v>
                </c:pt>
                <c:pt idx="4">
                  <c:v>35890391.610000007</c:v>
                </c:pt>
                <c:pt idx="5">
                  <c:v>39662848.999999993</c:v>
                </c:pt>
                <c:pt idx="6">
                  <c:v>47528891.869999982</c:v>
                </c:pt>
                <c:pt idx="7">
                  <c:v>51243328.889999971</c:v>
                </c:pt>
                <c:pt idx="8">
                  <c:v>39994231.909999982</c:v>
                </c:pt>
                <c:pt idx="9">
                  <c:v>36210143.149999961</c:v>
                </c:pt>
                <c:pt idx="10">
                  <c:v>36789736.969999999</c:v>
                </c:pt>
                <c:pt idx="11">
                  <c:v>42575323.980000004</c:v>
                </c:pt>
              </c:numCache>
            </c:numRef>
          </c:val>
          <c:extLst>
            <c:ext xmlns:c16="http://schemas.microsoft.com/office/drawing/2014/chart" uri="{C3380CC4-5D6E-409C-BE32-E72D297353CC}">
              <c16:uniqueId val="{00000005-0140-44E2-8223-6691D816857B}"/>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Analysis2'!$H$25:$H$36</c:f>
              <c:numCache>
                <c:formatCode>_(* #,##0_);_(* \(#,##0\);_(* "-"??_);_(@_)</c:formatCode>
                <c:ptCount val="12"/>
                <c:pt idx="0">
                  <c:v>43131421.930000015</c:v>
                </c:pt>
                <c:pt idx="1">
                  <c:v>37533890.269999996</c:v>
                </c:pt>
                <c:pt idx="2">
                  <c:v>41563416.729999989</c:v>
                </c:pt>
                <c:pt idx="3">
                  <c:v>34947464.999999963</c:v>
                </c:pt>
                <c:pt idx="4">
                  <c:v>35633124.31000001</c:v>
                </c:pt>
                <c:pt idx="5">
                  <c:v>38155784.75999999</c:v>
                </c:pt>
                <c:pt idx="6">
                  <c:v>44273987.489999987</c:v>
                </c:pt>
                <c:pt idx="7">
                  <c:v>43579956.819999963</c:v>
                </c:pt>
                <c:pt idx="8">
                  <c:v>38972985.410000034</c:v>
                </c:pt>
                <c:pt idx="9">
                  <c:v>36256780.259999961</c:v>
                </c:pt>
                <c:pt idx="10">
                  <c:v>38948951.189999998</c:v>
                </c:pt>
                <c:pt idx="11">
                  <c:v>43911242.710000023</c:v>
                </c:pt>
              </c:numCache>
            </c:numRef>
          </c:val>
          <c:extLst>
            <c:ext xmlns:c16="http://schemas.microsoft.com/office/drawing/2014/chart" uri="{C3380CC4-5D6E-409C-BE32-E72D297353CC}">
              <c16:uniqueId val="{00000006-0140-44E2-8223-6691D816857B}"/>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Analysis2'!$I$25:$I$36</c:f>
              <c:numCache>
                <c:formatCode>_(* #,##0_);_(* \(#,##0\);_(* "-"??_);_(@_)</c:formatCode>
                <c:ptCount val="12"/>
                <c:pt idx="0">
                  <c:v>47094719.809999973</c:v>
                </c:pt>
                <c:pt idx="1">
                  <c:v>39631601.94000002</c:v>
                </c:pt>
                <c:pt idx="2">
                  <c:v>41656909.649999991</c:v>
                </c:pt>
                <c:pt idx="3">
                  <c:v>38614769.37999998</c:v>
                </c:pt>
                <c:pt idx="4">
                  <c:v>36061874.070000015</c:v>
                </c:pt>
                <c:pt idx="5">
                  <c:v>39000367.49000001</c:v>
                </c:pt>
                <c:pt idx="6">
                  <c:v>50076315.430000022</c:v>
                </c:pt>
                <c:pt idx="7">
                  <c:v>49158088.359999962</c:v>
                </c:pt>
                <c:pt idx="8">
                  <c:v>41496541.200000033</c:v>
                </c:pt>
                <c:pt idx="9">
                  <c:v>37763351.549999975</c:v>
                </c:pt>
                <c:pt idx="10">
                  <c:v>40051454.890000001</c:v>
                </c:pt>
                <c:pt idx="11">
                  <c:v>42019274.18999999</c:v>
                </c:pt>
              </c:numCache>
            </c:numRef>
          </c:val>
          <c:extLst>
            <c:ext xmlns:c16="http://schemas.microsoft.com/office/drawing/2014/chart" uri="{C3380CC4-5D6E-409C-BE32-E72D297353CC}">
              <c16:uniqueId val="{00000007-0140-44E2-8223-6691D816857B}"/>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Analysis2'!$J$25:$J$36</c:f>
              <c:numCache>
                <c:formatCode>_(* #,##0_);_(* \(#,##0\);_(* "-"??_);_(@_)</c:formatCode>
                <c:ptCount val="12"/>
                <c:pt idx="0">
                  <c:v>46678584.361240797</c:v>
                </c:pt>
                <c:pt idx="1">
                  <c:v>41194466.296595894</c:v>
                </c:pt>
                <c:pt idx="2">
                  <c:v>42090500.865451977</c:v>
                </c:pt>
                <c:pt idx="3">
                  <c:v>36539750.223109335</c:v>
                </c:pt>
                <c:pt idx="4">
                  <c:v>35532005.062857084</c:v>
                </c:pt>
                <c:pt idx="5">
                  <c:v>37150892.568689317</c:v>
                </c:pt>
                <c:pt idx="6">
                  <c:v>49164277.317227118</c:v>
                </c:pt>
                <c:pt idx="7">
                  <c:v>45907059.6220171</c:v>
                </c:pt>
                <c:pt idx="8">
                  <c:v>37534147.384912297</c:v>
                </c:pt>
                <c:pt idx="9">
                  <c:v>36176530.247700997</c:v>
                </c:pt>
                <c:pt idx="10">
                  <c:v>39737440.884876117</c:v>
                </c:pt>
                <c:pt idx="11">
                  <c:v>42323845.702785067</c:v>
                </c:pt>
              </c:numCache>
            </c:numRef>
          </c:val>
          <c:extLst>
            <c:ext xmlns:c16="http://schemas.microsoft.com/office/drawing/2014/chart" uri="{C3380CC4-5D6E-409C-BE32-E72D297353CC}">
              <c16:uniqueId val="{00000008-0140-44E2-8223-6691D816857B}"/>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Analysis2'!$K$25:$K$36</c:f>
              <c:numCache>
                <c:formatCode>_(* #,##0_);_(* \(#,##0\);_(* "-"??_);_(@_)</c:formatCode>
                <c:ptCount val="12"/>
                <c:pt idx="0">
                  <c:v>43498988.446185999</c:v>
                </c:pt>
                <c:pt idx="1">
                  <c:v>40767224.431953996</c:v>
                </c:pt>
                <c:pt idx="2">
                  <c:v>39452645.148519002</c:v>
                </c:pt>
                <c:pt idx="3">
                  <c:v>34488962.138490997</c:v>
                </c:pt>
                <c:pt idx="4">
                  <c:v>35010609.220485002</c:v>
                </c:pt>
                <c:pt idx="5">
                  <c:v>39038298.938343003</c:v>
                </c:pt>
                <c:pt idx="6">
                  <c:v>51707560.195568003</c:v>
                </c:pt>
                <c:pt idx="7">
                  <c:v>46254925.913176</c:v>
                </c:pt>
                <c:pt idx="8">
                  <c:v>36708175.699644998</c:v>
                </c:pt>
                <c:pt idx="9">
                  <c:v>35798053.227309003</c:v>
                </c:pt>
                <c:pt idx="10">
                  <c:v>36898345.409837998</c:v>
                </c:pt>
                <c:pt idx="11">
                  <c:v>42870245.835357003</c:v>
                </c:pt>
              </c:numCache>
            </c:numRef>
          </c:val>
          <c:extLst>
            <c:ext xmlns:c16="http://schemas.microsoft.com/office/drawing/2014/chart" uri="{C3380CC4-5D6E-409C-BE32-E72D297353CC}">
              <c16:uniqueId val="{00000009-0140-44E2-8223-6691D816857B}"/>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(Unadjusted)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Analysis2'!$B$15:$K$15</c:f>
              <c:numCache>
                <c:formatCode>_(* #,##0_);_(* \(#,##0\);_(* "-"??_);_(@_)</c:formatCode>
                <c:ptCount val="10"/>
                <c:pt idx="0">
                  <c:v>570956950.18999982</c:v>
                </c:pt>
                <c:pt idx="1">
                  <c:v>563572078.28000009</c:v>
                </c:pt>
                <c:pt idx="2">
                  <c:v>533186625.53999984</c:v>
                </c:pt>
                <c:pt idx="3">
                  <c:v>535323948.29999995</c:v>
                </c:pt>
                <c:pt idx="4">
                  <c:v>496797371.39999998</c:v>
                </c:pt>
                <c:pt idx="5">
                  <c:v>488555532.25999981</c:v>
                </c:pt>
                <c:pt idx="6">
                  <c:v>476330269.50999999</c:v>
                </c:pt>
                <c:pt idx="7">
                  <c:v>499580482.79999995</c:v>
                </c:pt>
                <c:pt idx="8">
                  <c:v>489885593.67000008</c:v>
                </c:pt>
                <c:pt idx="9">
                  <c:v>482685186</c:v>
                </c:pt>
              </c:numCache>
            </c:numRef>
          </c:val>
          <c:smooth val="0"/>
          <c:extLst>
            <c:ext xmlns:c16="http://schemas.microsoft.com/office/drawing/2014/chart" uri="{C3380CC4-5D6E-409C-BE32-E72D297353CC}">
              <c16:uniqueId val="{00000000-EAAD-4E1B-9792-2F22D777321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Analysis2'!$B$37:$K$37</c:f>
              <c:numCache>
                <c:formatCode>_(* #,##0_);_(* \(#,##0\);_(* "-"??_);_(@_)</c:formatCode>
                <c:ptCount val="10"/>
                <c:pt idx="0">
                  <c:v>535686877.93999976</c:v>
                </c:pt>
                <c:pt idx="1">
                  <c:v>521011391.83000016</c:v>
                </c:pt>
                <c:pt idx="2">
                  <c:v>509774030.71999979</c:v>
                </c:pt>
                <c:pt idx="3">
                  <c:v>504927925.73999989</c:v>
                </c:pt>
                <c:pt idx="4">
                  <c:v>494324941.81999999</c:v>
                </c:pt>
                <c:pt idx="5">
                  <c:v>491633276.0999999</c:v>
                </c:pt>
                <c:pt idx="6">
                  <c:v>476909006.87999994</c:v>
                </c:pt>
                <c:pt idx="7">
                  <c:v>502625267.95999998</c:v>
                </c:pt>
                <c:pt idx="8">
                  <c:v>490029500.53746313</c:v>
                </c:pt>
                <c:pt idx="9">
                  <c:v>482494034.60487103</c:v>
                </c:pt>
              </c:numCache>
            </c:numRef>
          </c:val>
          <c:smooth val="0"/>
          <c:extLst>
            <c:ext xmlns:c16="http://schemas.microsoft.com/office/drawing/2014/chart" uri="{C3380CC4-5D6E-409C-BE32-E72D297353CC}">
              <c16:uniqueId val="{00000000-3B37-4785-B4A4-37AE4793278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29</xdr:col>
      <xdr:colOff>333375</xdr:colOff>
      <xdr:row>21</xdr:row>
      <xdr:rowOff>9719</xdr:rowOff>
    </xdr:to>
    <xdr:graphicFrame macro="">
      <xdr:nvGraphicFramePr>
        <xdr:cNvPr id="3695940" name="Chart 3">
          <a:extLst>
            <a:ext uri="{FF2B5EF4-FFF2-40B4-BE49-F238E27FC236}">
              <a16:creationId xmlns:a16="http://schemas.microsoft.com/office/drawing/2014/main" id="{0D7BC5EE-85E0-4996-926B-9F1986EC3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80</xdr:row>
      <xdr:rowOff>133350</xdr:rowOff>
    </xdr:from>
    <xdr:to>
      <xdr:col>8</xdr:col>
      <xdr:colOff>85725</xdr:colOff>
      <xdr:row>105</xdr:row>
      <xdr:rowOff>57150</xdr:rowOff>
    </xdr:to>
    <xdr:graphicFrame macro="">
      <xdr:nvGraphicFramePr>
        <xdr:cNvPr id="3695943" name="Chart 6">
          <a:extLst>
            <a:ext uri="{FF2B5EF4-FFF2-40B4-BE49-F238E27FC236}">
              <a16:creationId xmlns:a16="http://schemas.microsoft.com/office/drawing/2014/main" id="{891CBEEF-3FE9-4B1B-BF7A-5946A6FEF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23</xdr:row>
      <xdr:rowOff>0</xdr:rowOff>
    </xdr:from>
    <xdr:to>
      <xdr:col>29</xdr:col>
      <xdr:colOff>333375</xdr:colOff>
      <xdr:row>42</xdr:row>
      <xdr:rowOff>155510</xdr:rowOff>
    </xdr:to>
    <xdr:graphicFrame macro="">
      <xdr:nvGraphicFramePr>
        <xdr:cNvPr id="8" name="Chart 3">
          <a:extLst>
            <a:ext uri="{FF2B5EF4-FFF2-40B4-BE49-F238E27FC236}">
              <a16:creationId xmlns:a16="http://schemas.microsoft.com/office/drawing/2014/main" id="{9CB54D67-9E36-496D-87D6-63A512915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12635</xdr:colOff>
      <xdr:row>43</xdr:row>
      <xdr:rowOff>164063</xdr:rowOff>
    </xdr:from>
    <xdr:to>
      <xdr:col>24</xdr:col>
      <xdr:colOff>29158</xdr:colOff>
      <xdr:row>62</xdr:row>
      <xdr:rowOff>9718</xdr:rowOff>
    </xdr:to>
    <xdr:graphicFrame macro="">
      <xdr:nvGraphicFramePr>
        <xdr:cNvPr id="2" name="Chart 1">
          <a:extLst>
            <a:ext uri="{FF2B5EF4-FFF2-40B4-BE49-F238E27FC236}">
              <a16:creationId xmlns:a16="http://schemas.microsoft.com/office/drawing/2014/main" id="{0B85F465-635E-4883-B816-6B92EEB7E3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64</xdr:row>
      <xdr:rowOff>0</xdr:rowOff>
    </xdr:from>
    <xdr:to>
      <xdr:col>24</xdr:col>
      <xdr:colOff>16523</xdr:colOff>
      <xdr:row>82</xdr:row>
      <xdr:rowOff>10885</xdr:rowOff>
    </xdr:to>
    <xdr:graphicFrame macro="">
      <xdr:nvGraphicFramePr>
        <xdr:cNvPr id="6" name="Chart 5">
          <a:extLst>
            <a:ext uri="{FF2B5EF4-FFF2-40B4-BE49-F238E27FC236}">
              <a16:creationId xmlns:a16="http://schemas.microsoft.com/office/drawing/2014/main" id="{90D289ED-5163-46E4-B5A5-38D86D740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tabSelected="1" zoomScale="90" zoomScaleNormal="90" workbookViewId="0">
      <selection activeCell="E8" sqref="E8"/>
    </sheetView>
  </sheetViews>
  <sheetFormatPr defaultColWidth="9.33203125" defaultRowHeight="12.75" x14ac:dyDescent="0.2"/>
  <cols>
    <col min="1" max="1" width="36.1640625" style="147" customWidth="1"/>
    <col min="2" max="2" width="21.6640625" style="207" customWidth="1"/>
    <col min="3" max="3" width="4.5" style="207" customWidth="1"/>
    <col min="4" max="6" width="16.33203125" style="148" customWidth="1"/>
    <col min="7" max="13" width="16.33203125" style="147" customWidth="1"/>
    <col min="14" max="14" width="15.1640625" style="370" bestFit="1" customWidth="1"/>
    <col min="15" max="15" width="17" style="370" bestFit="1" customWidth="1"/>
    <col min="16" max="16" width="14.1640625" style="370" bestFit="1" customWidth="1"/>
    <col min="17" max="28" width="16.33203125" style="147" customWidth="1"/>
    <col min="29" max="29" width="0" style="147" hidden="1" customWidth="1"/>
    <col min="30" max="16384" width="9.33203125" style="147"/>
  </cols>
  <sheetData>
    <row r="1" spans="1:22" x14ac:dyDescent="0.2">
      <c r="D1" s="147"/>
      <c r="E1" s="147"/>
      <c r="F1" s="147"/>
    </row>
    <row r="2" spans="1:22" ht="13.5" thickBot="1" x14ac:dyDescent="0.25">
      <c r="D2" s="147"/>
      <c r="E2" s="147"/>
      <c r="F2" s="147"/>
    </row>
    <row r="3" spans="1:22" s="206" customFormat="1" ht="16.5" thickTop="1" x14ac:dyDescent="0.2">
      <c r="A3" s="504" t="s">
        <v>55</v>
      </c>
      <c r="B3" s="504"/>
      <c r="C3" s="208"/>
      <c r="D3" s="502" t="s">
        <v>88</v>
      </c>
      <c r="E3" s="503"/>
      <c r="F3" s="503"/>
      <c r="G3" s="503"/>
      <c r="H3" s="503"/>
      <c r="I3" s="503"/>
      <c r="J3" s="503"/>
      <c r="K3" s="503"/>
      <c r="L3" s="503"/>
      <c r="M3" s="503"/>
      <c r="N3" s="503"/>
      <c r="O3" s="503"/>
      <c r="P3" s="503"/>
      <c r="Q3" s="503"/>
      <c r="R3" s="503"/>
      <c r="S3" s="503"/>
      <c r="T3" s="503"/>
      <c r="U3" s="503"/>
      <c r="V3" s="503"/>
    </row>
    <row r="4" spans="1:22" ht="39" customHeight="1" x14ac:dyDescent="0.2">
      <c r="A4" s="213" t="s">
        <v>54</v>
      </c>
      <c r="B4" s="341" t="s">
        <v>213</v>
      </c>
      <c r="D4" s="201"/>
      <c r="E4" s="201" t="str">
        <f>'Input - Customer Data'!A13</f>
        <v>Residential</v>
      </c>
      <c r="F4" s="201"/>
      <c r="G4" s="201" t="str">
        <f>'Input - Customer Data'!A14</f>
        <v>General Service &lt; 50 kW</v>
      </c>
      <c r="H4" s="201"/>
      <c r="I4" s="201" t="str">
        <f>'Input - Customer Data'!A15</f>
        <v>General Service 50 to 4999 kW</v>
      </c>
      <c r="J4" s="201"/>
      <c r="K4" s="201" t="str">
        <f>'Input - Customer Data'!A16</f>
        <v>Embedded</v>
      </c>
      <c r="L4" s="201"/>
      <c r="M4" s="201" t="str">
        <f>'Input - Customer Data'!A17</f>
        <v xml:space="preserve">Street Lighting </v>
      </c>
      <c r="N4" s="201"/>
      <c r="O4" s="201" t="str">
        <f>'Input - Customer Data'!A18</f>
        <v>Sentinel</v>
      </c>
      <c r="P4" s="201"/>
      <c r="Q4" s="201" t="str">
        <f>'Input - Customer Data'!A19</f>
        <v>USL</v>
      </c>
      <c r="R4" s="201"/>
      <c r="S4" s="201" t="str">
        <f>'Input - Customer Data'!A20</f>
        <v>other</v>
      </c>
      <c r="T4" s="201"/>
      <c r="U4" s="201" t="str">
        <f>'Input - Customer Data'!A21</f>
        <v>other</v>
      </c>
      <c r="V4" s="201"/>
    </row>
    <row r="5" spans="1:22" ht="24.75" customHeight="1" x14ac:dyDescent="0.2">
      <c r="A5" s="213" t="s">
        <v>53</v>
      </c>
      <c r="B5" s="342" t="s">
        <v>236</v>
      </c>
      <c r="D5" s="201" t="s">
        <v>87</v>
      </c>
      <c r="E5" s="201" t="s">
        <v>86</v>
      </c>
      <c r="F5" s="201" t="s">
        <v>85</v>
      </c>
      <c r="G5" s="201" t="s">
        <v>86</v>
      </c>
      <c r="H5" s="201" t="s">
        <v>85</v>
      </c>
      <c r="I5" s="201" t="s">
        <v>86</v>
      </c>
      <c r="J5" s="201" t="s">
        <v>85</v>
      </c>
      <c r="K5" s="201" t="s">
        <v>86</v>
      </c>
      <c r="L5" s="201" t="s">
        <v>85</v>
      </c>
      <c r="M5" s="201" t="s">
        <v>86</v>
      </c>
      <c r="N5" s="201" t="s">
        <v>85</v>
      </c>
      <c r="O5" s="201" t="s">
        <v>86</v>
      </c>
      <c r="P5" s="201" t="s">
        <v>85</v>
      </c>
      <c r="Q5" s="201" t="s">
        <v>86</v>
      </c>
      <c r="R5" s="201" t="s">
        <v>85</v>
      </c>
      <c r="S5" s="201" t="s">
        <v>86</v>
      </c>
      <c r="T5" s="201" t="s">
        <v>85</v>
      </c>
      <c r="U5" s="201" t="s">
        <v>86</v>
      </c>
      <c r="V5" s="201" t="s">
        <v>85</v>
      </c>
    </row>
    <row r="6" spans="1:22" x14ac:dyDescent="0.2">
      <c r="A6" s="214" t="s">
        <v>52</v>
      </c>
      <c r="B6" s="342">
        <v>2021</v>
      </c>
      <c r="C6" s="211"/>
      <c r="D6" s="258">
        <f>'Input - Customer Data'!B7-11</f>
        <v>2011</v>
      </c>
      <c r="E6" s="272">
        <f>D$67</f>
        <v>25559.5</v>
      </c>
      <c r="F6" s="151"/>
      <c r="G6" s="272">
        <f>D$71</f>
        <v>2507</v>
      </c>
      <c r="H6" s="151"/>
      <c r="I6" s="272">
        <f>D$76</f>
        <v>224.41666666666666</v>
      </c>
      <c r="J6" s="151"/>
      <c r="K6" s="272">
        <f>D$81</f>
        <v>1</v>
      </c>
      <c r="L6" s="151"/>
      <c r="M6" s="272">
        <f>D$86</f>
        <v>5706.333333333333</v>
      </c>
      <c r="N6" s="359"/>
      <c r="O6" s="272">
        <f>D$91</f>
        <v>828.25</v>
      </c>
      <c r="P6" s="359"/>
      <c r="Q6" s="272">
        <f>D$96</f>
        <v>38.666666666666664</v>
      </c>
      <c r="R6" s="151"/>
      <c r="S6" s="272"/>
      <c r="T6" s="151"/>
      <c r="U6" s="272"/>
      <c r="V6" s="151"/>
    </row>
    <row r="7" spans="1:22" x14ac:dyDescent="0.2">
      <c r="A7" s="214" t="s">
        <v>51</v>
      </c>
      <c r="B7" s="342">
        <v>2022</v>
      </c>
      <c r="C7" s="212"/>
      <c r="D7" s="258">
        <f>'Input - Customer Data'!B7-10</f>
        <v>2012</v>
      </c>
      <c r="E7" s="272">
        <f>E$67</f>
        <v>25711</v>
      </c>
      <c r="F7" s="158">
        <f t="shared" ref="F7:F15" si="0">E7/E6</f>
        <v>1.0059273459965963</v>
      </c>
      <c r="G7" s="272">
        <f>E$71</f>
        <v>2530.9166666666665</v>
      </c>
      <c r="H7" s="158">
        <f t="shared" ref="H7:H15" si="1">G7/G6</f>
        <v>1.0095399547932455</v>
      </c>
      <c r="I7" s="272">
        <f>E$76</f>
        <v>224.5</v>
      </c>
      <c r="J7" s="158">
        <f t="shared" ref="J7:J15" si="2">I7/I6</f>
        <v>1.000371333085778</v>
      </c>
      <c r="K7" s="272">
        <f>E$81</f>
        <v>1</v>
      </c>
      <c r="L7" s="158">
        <f t="shared" ref="L7:L15" si="3">K7/K6</f>
        <v>1</v>
      </c>
      <c r="M7" s="272">
        <f>E$86</f>
        <v>5711</v>
      </c>
      <c r="N7" s="371">
        <f t="shared" ref="N7:N15" si="4">M7/M6</f>
        <v>1.0008178047783165</v>
      </c>
      <c r="O7" s="272">
        <f>E$91</f>
        <v>781.91666666666663</v>
      </c>
      <c r="P7" s="371">
        <f t="shared" ref="P7:P15" si="5">O7/O6</f>
        <v>0.94405875842640097</v>
      </c>
      <c r="Q7" s="272">
        <f>E$96</f>
        <v>38.083333333333336</v>
      </c>
      <c r="R7" s="158">
        <f t="shared" ref="R7:R14" si="6">Q7/Q6</f>
        <v>0.9849137931034484</v>
      </c>
      <c r="S7" s="272"/>
      <c r="T7" s="158" t="e">
        <f t="shared" ref="T7:T14" si="7">S7/S6</f>
        <v>#DIV/0!</v>
      </c>
      <c r="U7" s="272"/>
      <c r="V7" s="158" t="e">
        <f t="shared" ref="V7:V14" si="8">U7/U6</f>
        <v>#DIV/0!</v>
      </c>
    </row>
    <row r="8" spans="1:22" x14ac:dyDescent="0.2">
      <c r="A8" s="214" t="s">
        <v>50</v>
      </c>
      <c r="B8" s="342">
        <v>2017</v>
      </c>
      <c r="C8" s="209"/>
      <c r="D8" s="258">
        <f>'Input - Customer Data'!B7-9</f>
        <v>2013</v>
      </c>
      <c r="E8" s="272">
        <f>F$67</f>
        <v>25797.833333333332</v>
      </c>
      <c r="F8" s="158">
        <f t="shared" si="0"/>
        <v>1.0033772833936188</v>
      </c>
      <c r="G8" s="272">
        <f>F$71</f>
        <v>2524.5833333333335</v>
      </c>
      <c r="H8" s="158">
        <f t="shared" si="1"/>
        <v>0.99749761285436778</v>
      </c>
      <c r="I8" s="272">
        <f>F$76</f>
        <v>225.08333333333334</v>
      </c>
      <c r="J8" s="158">
        <f t="shared" si="2"/>
        <v>1.0025983667409057</v>
      </c>
      <c r="K8" s="272">
        <f>F$81</f>
        <v>1</v>
      </c>
      <c r="L8" s="158">
        <f t="shared" si="3"/>
        <v>1</v>
      </c>
      <c r="M8" s="272">
        <f>F$86</f>
        <v>5699.25</v>
      </c>
      <c r="N8" s="371">
        <f t="shared" si="4"/>
        <v>0.99794256697601125</v>
      </c>
      <c r="O8" s="272">
        <f>F$91</f>
        <v>772.91666666666663</v>
      </c>
      <c r="P8" s="371">
        <f t="shared" si="5"/>
        <v>0.98848982201854418</v>
      </c>
      <c r="Q8" s="272">
        <f>F$96</f>
        <v>40.083333333333336</v>
      </c>
      <c r="R8" s="158">
        <f t="shared" si="6"/>
        <v>1.0525164113785559</v>
      </c>
      <c r="S8" s="272"/>
      <c r="T8" s="158" t="e">
        <f t="shared" si="7"/>
        <v>#DIV/0!</v>
      </c>
      <c r="U8" s="272"/>
      <c r="V8" s="158" t="e">
        <f t="shared" si="8"/>
        <v>#DIV/0!</v>
      </c>
    </row>
    <row r="9" spans="1:22" x14ac:dyDescent="0.2">
      <c r="C9" s="209"/>
      <c r="D9" s="258">
        <f>'Input - Customer Data'!B7-8</f>
        <v>2014</v>
      </c>
      <c r="E9" s="272">
        <f>G$67</f>
        <v>25863.166666666668</v>
      </c>
      <c r="F9" s="158">
        <f t="shared" si="0"/>
        <v>1.0025325124202937</v>
      </c>
      <c r="G9" s="272">
        <f>G$71</f>
        <v>2512.4166666666665</v>
      </c>
      <c r="H9" s="158">
        <f t="shared" si="1"/>
        <v>0.99518072289156612</v>
      </c>
      <c r="I9" s="272">
        <f>G$76</f>
        <v>225.08333333333334</v>
      </c>
      <c r="J9" s="158">
        <f t="shared" si="2"/>
        <v>1</v>
      </c>
      <c r="K9" s="272">
        <f>G$81</f>
        <v>1</v>
      </c>
      <c r="L9" s="158">
        <f t="shared" si="3"/>
        <v>1</v>
      </c>
      <c r="M9" s="272">
        <f>G$86</f>
        <v>5708.333333333333</v>
      </c>
      <c r="N9" s="371">
        <f t="shared" si="4"/>
        <v>1.0015937769589565</v>
      </c>
      <c r="O9" s="272">
        <f>G$91</f>
        <v>773.33333333333337</v>
      </c>
      <c r="P9" s="371">
        <f t="shared" si="5"/>
        <v>1.0005390835579515</v>
      </c>
      <c r="Q9" s="272">
        <f>G$96</f>
        <v>39.75</v>
      </c>
      <c r="R9" s="158">
        <f t="shared" si="6"/>
        <v>0.99168399168399157</v>
      </c>
      <c r="S9" s="272"/>
      <c r="T9" s="158" t="e">
        <f t="shared" si="7"/>
        <v>#DIV/0!</v>
      </c>
      <c r="U9" s="272"/>
      <c r="V9" s="158" t="e">
        <f t="shared" si="8"/>
        <v>#DIV/0!</v>
      </c>
    </row>
    <row r="10" spans="1:22" ht="13.5" thickBot="1" x14ac:dyDescent="0.25">
      <c r="C10" s="209"/>
      <c r="D10" s="258">
        <f>'Input - Customer Data'!B7-7</f>
        <v>2015</v>
      </c>
      <c r="E10" s="272">
        <f>H$67</f>
        <v>25920.25</v>
      </c>
      <c r="F10" s="158">
        <f t="shared" si="0"/>
        <v>1.0022071285418774</v>
      </c>
      <c r="G10" s="272">
        <f>H$71</f>
        <v>2492.1666666666665</v>
      </c>
      <c r="H10" s="158">
        <f t="shared" si="1"/>
        <v>0.99194003117848017</v>
      </c>
      <c r="I10" s="272">
        <f>H$76</f>
        <v>219.66666666666666</v>
      </c>
      <c r="J10" s="158">
        <f t="shared" si="2"/>
        <v>0.9759348389485375</v>
      </c>
      <c r="K10" s="272">
        <f>H$81</f>
        <v>1</v>
      </c>
      <c r="L10" s="158">
        <f t="shared" si="3"/>
        <v>1</v>
      </c>
      <c r="M10" s="272">
        <f>H$86</f>
        <v>5699.583333333333</v>
      </c>
      <c r="N10" s="371">
        <f t="shared" si="4"/>
        <v>0.9984671532846715</v>
      </c>
      <c r="O10" s="272">
        <f>H$91</f>
        <v>760.75</v>
      </c>
      <c r="P10" s="371">
        <f t="shared" si="5"/>
        <v>0.98372844827586203</v>
      </c>
      <c r="Q10" s="272">
        <f>H$96</f>
        <v>36.25</v>
      </c>
      <c r="R10" s="158">
        <f t="shared" si="6"/>
        <v>0.91194968553459121</v>
      </c>
      <c r="S10" s="272"/>
      <c r="T10" s="158" t="e">
        <f t="shared" si="7"/>
        <v>#DIV/0!</v>
      </c>
      <c r="U10" s="272"/>
      <c r="V10" s="158" t="e">
        <f t="shared" si="8"/>
        <v>#DIV/0!</v>
      </c>
    </row>
    <row r="11" spans="1:22" ht="16.5" thickTop="1" x14ac:dyDescent="0.2">
      <c r="A11" s="224" t="s">
        <v>61</v>
      </c>
      <c r="B11" s="225"/>
      <c r="D11" s="258">
        <f>'Input - Customer Data'!B7-6</f>
        <v>2016</v>
      </c>
      <c r="E11" s="272">
        <f>I$67</f>
        <v>26029.416666666668</v>
      </c>
      <c r="F11" s="158">
        <f t="shared" si="0"/>
        <v>1.0042116363332401</v>
      </c>
      <c r="G11" s="272">
        <f>I$71</f>
        <v>2502.6666666666665</v>
      </c>
      <c r="H11" s="158">
        <f t="shared" si="1"/>
        <v>1.0042132013642748</v>
      </c>
      <c r="I11" s="272">
        <f>I$76</f>
        <v>205.58333333333334</v>
      </c>
      <c r="J11" s="158">
        <f t="shared" si="2"/>
        <v>0.93588770864946902</v>
      </c>
      <c r="K11" s="272">
        <f>I$81</f>
        <v>1</v>
      </c>
      <c r="L11" s="158">
        <f t="shared" si="3"/>
        <v>1</v>
      </c>
      <c r="M11" s="272">
        <f>I$86</f>
        <v>5735.75</v>
      </c>
      <c r="N11" s="371">
        <f t="shared" si="4"/>
        <v>1.0063454930916003</v>
      </c>
      <c r="O11" s="272">
        <f>I$91</f>
        <v>732.5</v>
      </c>
      <c r="P11" s="371">
        <f t="shared" si="5"/>
        <v>0.96286559316464015</v>
      </c>
      <c r="Q11" s="272">
        <f>I$96</f>
        <v>35.916666666666664</v>
      </c>
      <c r="R11" s="158">
        <f t="shared" si="6"/>
        <v>0.99080459770114937</v>
      </c>
      <c r="S11" s="272"/>
      <c r="T11" s="158" t="e">
        <f t="shared" si="7"/>
        <v>#DIV/0!</v>
      </c>
      <c r="U11" s="272"/>
      <c r="V11" s="158" t="e">
        <f t="shared" si="8"/>
        <v>#DIV/0!</v>
      </c>
    </row>
    <row r="12" spans="1:22" x14ac:dyDescent="0.2">
      <c r="A12" s="226" t="s">
        <v>60</v>
      </c>
      <c r="B12" s="227"/>
      <c r="D12" s="258">
        <f>'Input - Customer Data'!B7-5</f>
        <v>2017</v>
      </c>
      <c r="E12" s="272">
        <f>J$67</f>
        <v>26228.416666666668</v>
      </c>
      <c r="F12" s="158">
        <f t="shared" si="0"/>
        <v>1.0076451963003397</v>
      </c>
      <c r="G12" s="272">
        <f>J$71</f>
        <v>2506.6666666666665</v>
      </c>
      <c r="H12" s="158">
        <f t="shared" si="1"/>
        <v>1.0015982951518381</v>
      </c>
      <c r="I12" s="272">
        <f>J$76</f>
        <v>198</v>
      </c>
      <c r="J12" s="158">
        <f t="shared" si="2"/>
        <v>0.96311309282529378</v>
      </c>
      <c r="K12" s="272">
        <f>J$81</f>
        <v>1</v>
      </c>
      <c r="L12" s="158">
        <f t="shared" si="3"/>
        <v>1</v>
      </c>
      <c r="M12" s="272">
        <f>J$86</f>
        <v>5742.916666666667</v>
      </c>
      <c r="N12" s="371">
        <f t="shared" si="4"/>
        <v>1.0012494733324617</v>
      </c>
      <c r="O12" s="272">
        <f>J$91</f>
        <v>705.66666666666663</v>
      </c>
      <c r="P12" s="371">
        <f t="shared" si="5"/>
        <v>0.96336746302616605</v>
      </c>
      <c r="Q12" s="272">
        <f>J$96</f>
        <v>49.25</v>
      </c>
      <c r="R12" s="158">
        <f t="shared" si="6"/>
        <v>1.3712296983758701</v>
      </c>
      <c r="S12" s="272"/>
      <c r="T12" s="158" t="e">
        <f t="shared" si="7"/>
        <v>#DIV/0!</v>
      </c>
      <c r="U12" s="272"/>
      <c r="V12" s="158" t="e">
        <f t="shared" si="8"/>
        <v>#DIV/0!</v>
      </c>
    </row>
    <row r="13" spans="1:22" x14ac:dyDescent="0.2">
      <c r="A13" s="270" t="s">
        <v>59</v>
      </c>
      <c r="B13" s="271"/>
      <c r="D13" s="258">
        <f>'Input - Customer Data'!B7-4</f>
        <v>2018</v>
      </c>
      <c r="E13" s="272">
        <f>K$67</f>
        <v>26464.833333333332</v>
      </c>
      <c r="F13" s="158">
        <f t="shared" si="0"/>
        <v>1.0090137605205549</v>
      </c>
      <c r="G13" s="272">
        <f>K$71</f>
        <v>2490.75</v>
      </c>
      <c r="H13" s="158">
        <f t="shared" si="1"/>
        <v>0.99365026595744688</v>
      </c>
      <c r="I13" s="272">
        <f>K$76</f>
        <v>197.66666666666666</v>
      </c>
      <c r="J13" s="158">
        <f t="shared" si="2"/>
        <v>0.99831649831649827</v>
      </c>
      <c r="K13" s="272">
        <f>K$81</f>
        <v>1</v>
      </c>
      <c r="L13" s="158">
        <f t="shared" si="3"/>
        <v>1</v>
      </c>
      <c r="M13" s="272">
        <f>K$86</f>
        <v>5774.416666666667</v>
      </c>
      <c r="N13" s="371">
        <f t="shared" si="4"/>
        <v>1.0054850177755206</v>
      </c>
      <c r="O13" s="272">
        <f>K$91</f>
        <v>698.25</v>
      </c>
      <c r="P13" s="371">
        <f t="shared" si="5"/>
        <v>0.9894898441190364</v>
      </c>
      <c r="Q13" s="272">
        <f>K$96</f>
        <v>48.083333333333336</v>
      </c>
      <c r="R13" s="158">
        <f t="shared" si="6"/>
        <v>0.97631133671742809</v>
      </c>
      <c r="S13" s="272"/>
      <c r="T13" s="158" t="e">
        <f t="shared" si="7"/>
        <v>#DIV/0!</v>
      </c>
      <c r="U13" s="272"/>
      <c r="V13" s="158" t="e">
        <f t="shared" si="8"/>
        <v>#DIV/0!</v>
      </c>
    </row>
    <row r="14" spans="1:22" x14ac:dyDescent="0.2">
      <c r="A14" s="270" t="s">
        <v>58</v>
      </c>
      <c r="B14" s="271"/>
      <c r="D14" s="258">
        <f>'Input - Customer Data'!B7-3</f>
        <v>2019</v>
      </c>
      <c r="E14" s="272">
        <f>L$67</f>
        <v>26647</v>
      </c>
      <c r="F14" s="158">
        <f t="shared" si="0"/>
        <v>1.0068833483427695</v>
      </c>
      <c r="G14" s="272">
        <f>L$71</f>
        <v>2495.6666666666665</v>
      </c>
      <c r="H14" s="158">
        <f t="shared" si="1"/>
        <v>1.0019739703569874</v>
      </c>
      <c r="I14" s="272">
        <f>L$76</f>
        <v>190.33333333333334</v>
      </c>
      <c r="J14" s="158">
        <f t="shared" si="2"/>
        <v>0.96290050590219234</v>
      </c>
      <c r="K14" s="272">
        <f>L$81</f>
        <v>1</v>
      </c>
      <c r="L14" s="158">
        <f t="shared" si="3"/>
        <v>1</v>
      </c>
      <c r="M14" s="272">
        <f>L$86</f>
        <v>5878.666666666667</v>
      </c>
      <c r="N14" s="371">
        <f t="shared" si="4"/>
        <v>1.0180537716652476</v>
      </c>
      <c r="O14" s="272">
        <f>L$91</f>
        <v>669.41666666666663</v>
      </c>
      <c r="P14" s="371">
        <f t="shared" si="5"/>
        <v>0.95870628953335713</v>
      </c>
      <c r="Q14" s="272">
        <f>L$96</f>
        <v>47.166666666666664</v>
      </c>
      <c r="R14" s="158">
        <f t="shared" si="6"/>
        <v>0.98093587521663772</v>
      </c>
      <c r="S14" s="272"/>
      <c r="T14" s="158" t="e">
        <f t="shared" si="7"/>
        <v>#DIV/0!</v>
      </c>
      <c r="U14" s="272"/>
      <c r="V14" s="158" t="e">
        <f t="shared" si="8"/>
        <v>#DIV/0!</v>
      </c>
    </row>
    <row r="15" spans="1:22" x14ac:dyDescent="0.2">
      <c r="A15" s="270" t="s">
        <v>232</v>
      </c>
      <c r="B15" s="271"/>
      <c r="D15" s="258">
        <f>'Input - Customer Data'!B7-2</f>
        <v>2020</v>
      </c>
      <c r="E15" s="272">
        <f>M$67</f>
        <v>26915.666666666668</v>
      </c>
      <c r="F15" s="158">
        <f t="shared" si="0"/>
        <v>1.0100824357963998</v>
      </c>
      <c r="G15" s="272">
        <f>M$71</f>
        <v>2513.5833333333335</v>
      </c>
      <c r="H15" s="158">
        <f t="shared" si="1"/>
        <v>1.0071791104581276</v>
      </c>
      <c r="I15" s="272">
        <f>M$76</f>
        <v>193.16666666666666</v>
      </c>
      <c r="J15" s="158">
        <f t="shared" si="2"/>
        <v>1.0148861646234675</v>
      </c>
      <c r="K15" s="272">
        <f>M$81</f>
        <v>1</v>
      </c>
      <c r="L15" s="158">
        <f t="shared" si="3"/>
        <v>1</v>
      </c>
      <c r="M15" s="272">
        <f>M$86</f>
        <v>5997.166666666667</v>
      </c>
      <c r="N15" s="371">
        <f t="shared" si="4"/>
        <v>1.0201576321161261</v>
      </c>
      <c r="O15" s="272">
        <f>M$91</f>
        <v>644.66666666666663</v>
      </c>
      <c r="P15" s="371">
        <f t="shared" si="5"/>
        <v>0.96302751151500066</v>
      </c>
      <c r="Q15" s="272">
        <f>M$96</f>
        <v>46</v>
      </c>
      <c r="R15" s="158"/>
      <c r="S15" s="272"/>
      <c r="T15" s="158"/>
      <c r="U15" s="272"/>
      <c r="V15" s="158"/>
    </row>
    <row r="16" spans="1:22" x14ac:dyDescent="0.2">
      <c r="A16" s="270" t="s">
        <v>188</v>
      </c>
      <c r="B16" s="271"/>
      <c r="D16" s="197"/>
      <c r="E16" s="157"/>
      <c r="F16" s="153"/>
      <c r="G16" s="157"/>
      <c r="H16" s="153"/>
      <c r="I16" s="157"/>
      <c r="J16" s="153"/>
      <c r="K16" s="157"/>
      <c r="L16" s="153"/>
      <c r="M16" s="157"/>
      <c r="N16" s="372"/>
      <c r="O16" s="157"/>
      <c r="P16" s="372"/>
      <c r="Q16" s="157"/>
      <c r="R16" s="153"/>
      <c r="S16" s="157"/>
      <c r="T16" s="153"/>
      <c r="U16" s="157"/>
      <c r="V16" s="153"/>
    </row>
    <row r="17" spans="1:22" x14ac:dyDescent="0.2">
      <c r="A17" s="270" t="s">
        <v>160</v>
      </c>
      <c r="B17" s="271"/>
      <c r="D17" s="198" t="s">
        <v>84</v>
      </c>
      <c r="E17" s="157"/>
      <c r="F17" s="156">
        <f>GEOMEAN(F7:F15)</f>
        <v>1.0057609143363258</v>
      </c>
      <c r="G17" s="155"/>
      <c r="H17" s="156">
        <f>GEOMEAN(H7:H15)</f>
        <v>1.0002914356507708</v>
      </c>
      <c r="I17" s="155"/>
      <c r="J17" s="156">
        <f>GEOMEAN(J7:J15)</f>
        <v>0.98347680076152466</v>
      </c>
      <c r="K17" s="155"/>
      <c r="L17" s="156">
        <f>GEOMEAN(L7:L15)</f>
        <v>1</v>
      </c>
      <c r="M17" s="155"/>
      <c r="N17" s="373">
        <f>GEOMEAN(N7:N15)</f>
        <v>1.0055386671648727</v>
      </c>
      <c r="O17" s="155"/>
      <c r="P17" s="373">
        <f>GEOMEAN(P7:P15)</f>
        <v>0.97254162146705725</v>
      </c>
      <c r="Q17" s="155"/>
      <c r="R17" s="156">
        <f>GEOMEAN(R7:R15)</f>
        <v>1.0251497410473449</v>
      </c>
      <c r="S17" s="155"/>
      <c r="T17" s="156" t="e">
        <f>GEOMEAN(T7:T15)</f>
        <v>#DIV/0!</v>
      </c>
      <c r="U17" s="155"/>
      <c r="V17" s="156" t="e">
        <f>GEOMEAN(V7:V15)</f>
        <v>#DIV/0!</v>
      </c>
    </row>
    <row r="18" spans="1:22" x14ac:dyDescent="0.2">
      <c r="A18" s="451" t="s">
        <v>168</v>
      </c>
      <c r="B18" s="452"/>
      <c r="D18" s="198"/>
      <c r="E18" s="157"/>
      <c r="F18" s="156"/>
      <c r="G18" s="155"/>
      <c r="H18" s="156"/>
      <c r="I18" s="155"/>
      <c r="J18" s="156"/>
      <c r="K18" s="155"/>
      <c r="L18" s="156"/>
      <c r="M18" s="155"/>
      <c r="N18" s="373"/>
      <c r="O18" s="155"/>
      <c r="P18" s="373"/>
      <c r="Q18" s="155"/>
      <c r="R18" s="156"/>
      <c r="S18" s="155"/>
      <c r="T18" s="156"/>
      <c r="U18" s="155"/>
      <c r="V18" s="156"/>
    </row>
    <row r="19" spans="1:22" x14ac:dyDescent="0.2">
      <c r="A19" s="451" t="s">
        <v>129</v>
      </c>
      <c r="B19" s="452"/>
      <c r="D19" s="258">
        <f>'Input - Customer Data'!B6</f>
        <v>2021</v>
      </c>
      <c r="E19" s="272">
        <f>E15*F17</f>
        <v>27070.725516638435</v>
      </c>
      <c r="F19" s="158" t="s">
        <v>57</v>
      </c>
      <c r="G19" s="272">
        <f>G15*H17</f>
        <v>2514.3158811278504</v>
      </c>
      <c r="H19" s="158"/>
      <c r="I19" s="272">
        <f>I15*J17</f>
        <v>189.97493534710117</v>
      </c>
      <c r="J19" s="158"/>
      <c r="K19" s="272">
        <f>K15*L17</f>
        <v>1</v>
      </c>
      <c r="L19" s="158"/>
      <c r="M19" s="272">
        <f>M15*N17</f>
        <v>6030.3829767656025</v>
      </c>
      <c r="N19" s="371"/>
      <c r="O19" s="272">
        <f>O15*P17</f>
        <v>626.96516530576287</v>
      </c>
      <c r="P19" s="371"/>
      <c r="Q19" s="272">
        <f>Q15*R17</f>
        <v>47.156888088177865</v>
      </c>
      <c r="R19" s="158"/>
      <c r="S19" s="272" t="e">
        <f>S14*T17</f>
        <v>#DIV/0!</v>
      </c>
      <c r="T19" s="158"/>
      <c r="U19" s="272" t="e">
        <f>U14*V17</f>
        <v>#DIV/0!</v>
      </c>
      <c r="V19" s="158"/>
    </row>
    <row r="20" spans="1:22" x14ac:dyDescent="0.2">
      <c r="A20" s="468" t="s">
        <v>56</v>
      </c>
      <c r="B20" s="469"/>
      <c r="D20" s="258">
        <f>'Input - Customer Data'!B7</f>
        <v>2022</v>
      </c>
      <c r="E20" s="272">
        <f>E19*F17</f>
        <v>27226.677647361976</v>
      </c>
      <c r="F20" s="158" t="s">
        <v>57</v>
      </c>
      <c r="G20" s="272">
        <f>G19*H17</f>
        <v>2515.0486424129103</v>
      </c>
      <c r="H20" s="158"/>
      <c r="I20" s="272">
        <f>I19*J17</f>
        <v>186.83594164004455</v>
      </c>
      <c r="J20" s="158"/>
      <c r="K20" s="272">
        <f>K19*L17</f>
        <v>1</v>
      </c>
      <c r="L20" s="158"/>
      <c r="M20" s="272">
        <f>M19*N17</f>
        <v>6063.7832609506213</v>
      </c>
      <c r="N20" s="371"/>
      <c r="O20" s="272">
        <f>O19*P17</f>
        <v>609.74971846982817</v>
      </c>
      <c r="P20" s="371"/>
      <c r="Q20" s="272">
        <f>Q19*R17</f>
        <v>48.342871612194159</v>
      </c>
      <c r="R20" s="158"/>
      <c r="S20" s="272" t="e">
        <f>S19*T17</f>
        <v>#DIV/0!</v>
      </c>
      <c r="T20" s="158"/>
      <c r="U20" s="272" t="e">
        <f>U19*V17</f>
        <v>#DIV/0!</v>
      </c>
      <c r="V20" s="158"/>
    </row>
    <row r="21" spans="1:22" x14ac:dyDescent="0.2">
      <c r="A21" s="468" t="s">
        <v>56</v>
      </c>
      <c r="B21" s="469"/>
      <c r="D21" s="144"/>
      <c r="E21" s="144"/>
      <c r="F21" s="144"/>
      <c r="G21" s="144"/>
      <c r="H21" s="144"/>
      <c r="I21" s="144"/>
      <c r="J21" s="144"/>
      <c r="K21" s="144"/>
      <c r="L21" s="144"/>
      <c r="M21" s="144"/>
      <c r="N21" s="215"/>
      <c r="O21" s="215"/>
      <c r="P21" s="215"/>
      <c r="Q21" s="144"/>
      <c r="R21" s="144"/>
      <c r="S21" s="144"/>
      <c r="T21" s="144"/>
      <c r="U21" s="144"/>
      <c r="V21" s="144"/>
    </row>
    <row r="22" spans="1:22" ht="13.5" thickBot="1" x14ac:dyDescent="0.25">
      <c r="A22" s="468"/>
      <c r="B22" s="469"/>
      <c r="D22" s="154" t="s">
        <v>83</v>
      </c>
      <c r="E22" s="144"/>
      <c r="F22" s="144"/>
      <c r="G22" s="144"/>
      <c r="H22" s="144"/>
      <c r="I22" s="144"/>
      <c r="J22" s="144"/>
      <c r="K22" s="144"/>
      <c r="L22" s="144"/>
      <c r="M22" s="144"/>
      <c r="N22" s="215"/>
      <c r="O22" s="215"/>
      <c r="P22" s="215"/>
      <c r="Q22" s="144"/>
      <c r="R22" s="144"/>
      <c r="S22" s="144"/>
      <c r="T22" s="144"/>
      <c r="U22" s="144"/>
      <c r="V22" s="144"/>
    </row>
    <row r="23" spans="1:22" ht="15.75" x14ac:dyDescent="0.2">
      <c r="A23" s="468"/>
      <c r="B23" s="469"/>
      <c r="D23" s="500" t="s">
        <v>82</v>
      </c>
      <c r="E23" s="501"/>
      <c r="F23" s="501"/>
      <c r="G23" s="501"/>
      <c r="H23" s="501"/>
      <c r="I23" s="501"/>
      <c r="J23" s="501"/>
      <c r="K23" s="501"/>
      <c r="L23" s="501"/>
      <c r="M23" s="501"/>
      <c r="N23" s="501"/>
      <c r="O23" s="501"/>
      <c r="P23" s="501"/>
      <c r="Q23" s="501"/>
      <c r="R23" s="501"/>
      <c r="S23" s="501"/>
      <c r="T23" s="501"/>
      <c r="U23" s="501"/>
      <c r="V23" s="501"/>
    </row>
    <row r="24" spans="1:22" s="206" customFormat="1" x14ac:dyDescent="0.2">
      <c r="A24" s="468"/>
      <c r="B24" s="469"/>
      <c r="C24" s="208"/>
      <c r="D24" s="202">
        <f>'Input - Customer Data'!B6</f>
        <v>2021</v>
      </c>
      <c r="E24" s="233">
        <f>E19</f>
        <v>27070.725516638435</v>
      </c>
      <c r="F24" s="153">
        <f>E24/E15</f>
        <v>1.0057609143363258</v>
      </c>
      <c r="G24" s="233">
        <f>G19</f>
        <v>2514.3158811278504</v>
      </c>
      <c r="H24" s="153">
        <f>G24/G15</f>
        <v>1.0002914356507708</v>
      </c>
      <c r="I24" s="233">
        <f>I19</f>
        <v>189.97493534710117</v>
      </c>
      <c r="J24" s="153">
        <f>I24/I15</f>
        <v>0.98347680076152466</v>
      </c>
      <c r="K24" s="233">
        <f>K19</f>
        <v>1</v>
      </c>
      <c r="L24" s="153">
        <f>K24/K15</f>
        <v>1</v>
      </c>
      <c r="M24" s="233">
        <f>M19</f>
        <v>6030.3829767656025</v>
      </c>
      <c r="N24" s="372">
        <f>M24/M15</f>
        <v>1.0055386671648727</v>
      </c>
      <c r="O24" s="375">
        <f>O19</f>
        <v>626.96516530576287</v>
      </c>
      <c r="P24" s="372">
        <f>O24/O15</f>
        <v>0.97254162146705725</v>
      </c>
      <c r="Q24" s="199">
        <f>Q19</f>
        <v>47.156888088177865</v>
      </c>
      <c r="R24" s="153">
        <f>Q24/Q15</f>
        <v>1.0251497410473449</v>
      </c>
      <c r="S24" s="199" t="e">
        <f>S19</f>
        <v>#DIV/0!</v>
      </c>
      <c r="T24" s="153" t="e">
        <f>S24/S15</f>
        <v>#DIV/0!</v>
      </c>
      <c r="U24" s="199" t="e">
        <f>U19</f>
        <v>#DIV/0!</v>
      </c>
      <c r="V24" s="153" t="e">
        <f>U24/U15</f>
        <v>#DIV/0!</v>
      </c>
    </row>
    <row r="25" spans="1:22" x14ac:dyDescent="0.2">
      <c r="A25" s="468"/>
      <c r="B25" s="469"/>
      <c r="D25" s="202">
        <f>'Input - Customer Data'!B7</f>
        <v>2022</v>
      </c>
      <c r="E25" s="233">
        <f>E20</f>
        <v>27226.677647361976</v>
      </c>
      <c r="F25" s="153">
        <f>E25/E24</f>
        <v>1.0057609143363258</v>
      </c>
      <c r="G25" s="233">
        <f>G20</f>
        <v>2515.0486424129103</v>
      </c>
      <c r="H25" s="153">
        <f>G25/G24</f>
        <v>1.0002914356507708</v>
      </c>
      <c r="I25" s="233">
        <f>I20</f>
        <v>186.83594164004455</v>
      </c>
      <c r="J25" s="153">
        <f>I25/I24</f>
        <v>0.98347680076152466</v>
      </c>
      <c r="K25" s="233">
        <f>K20</f>
        <v>1</v>
      </c>
      <c r="L25" s="153">
        <f>K25/K24</f>
        <v>1</v>
      </c>
      <c r="M25" s="233">
        <f>M20</f>
        <v>6063.7832609506213</v>
      </c>
      <c r="N25" s="372">
        <f>M25/M24</f>
        <v>1.0055386671648727</v>
      </c>
      <c r="O25" s="375">
        <f>O20</f>
        <v>609.74971846982817</v>
      </c>
      <c r="P25" s="372">
        <f>O25/O24</f>
        <v>0.97254162146705714</v>
      </c>
      <c r="Q25" s="199">
        <f>Q20</f>
        <v>48.342871612194159</v>
      </c>
      <c r="R25" s="153">
        <f>Q25/Q24</f>
        <v>1.0251497410473449</v>
      </c>
      <c r="S25" s="199" t="e">
        <f>S20</f>
        <v>#DIV/0!</v>
      </c>
      <c r="T25" s="153" t="e">
        <f>S25/S24</f>
        <v>#DIV/0!</v>
      </c>
      <c r="U25" s="199" t="e">
        <f>U20</f>
        <v>#DIV/0!</v>
      </c>
      <c r="V25" s="153" t="e">
        <f>U25/U24</f>
        <v>#DIV/0!</v>
      </c>
    </row>
    <row r="26" spans="1:22" x14ac:dyDescent="0.2">
      <c r="D26" s="144"/>
      <c r="E26" s="144"/>
      <c r="F26" s="144"/>
      <c r="G26" s="144"/>
      <c r="H26" s="144"/>
      <c r="I26" s="144"/>
      <c r="J26" s="144"/>
      <c r="K26" s="144"/>
      <c r="L26" s="144"/>
      <c r="M26" s="144"/>
      <c r="N26" s="215"/>
      <c r="O26" s="215"/>
      <c r="P26" s="215"/>
      <c r="Q26" s="144"/>
      <c r="R26" s="144"/>
      <c r="S26" s="144"/>
      <c r="T26" s="144"/>
    </row>
    <row r="27" spans="1:22" x14ac:dyDescent="0.2">
      <c r="A27" s="144" t="s">
        <v>123</v>
      </c>
      <c r="B27" s="162"/>
      <c r="C27" s="210" t="s">
        <v>57</v>
      </c>
    </row>
    <row r="28" spans="1:22" x14ac:dyDescent="0.2">
      <c r="A28" s="144"/>
      <c r="B28" s="162"/>
      <c r="C28" s="210"/>
    </row>
    <row r="29" spans="1:22" x14ac:dyDescent="0.2">
      <c r="A29" s="144"/>
      <c r="B29" s="162"/>
      <c r="C29" s="210"/>
    </row>
    <row r="30" spans="1:22" x14ac:dyDescent="0.2">
      <c r="A30" s="144"/>
      <c r="B30" s="162"/>
      <c r="C30" s="210"/>
    </row>
    <row r="31" spans="1:22" ht="13.5" thickBot="1" x14ac:dyDescent="0.25">
      <c r="A31" s="144"/>
      <c r="B31" s="162"/>
      <c r="C31" s="210"/>
    </row>
    <row r="32" spans="1:22" ht="16.5" thickTop="1" x14ac:dyDescent="0.2">
      <c r="A32" s="377" t="s">
        <v>110</v>
      </c>
      <c r="B32" s="144"/>
      <c r="C32" s="378"/>
      <c r="D32" s="463">
        <f>$B$6-10</f>
        <v>2011</v>
      </c>
      <c r="E32" s="463">
        <f>$B$6-9</f>
        <v>2012</v>
      </c>
      <c r="F32" s="463">
        <f>$B$6-8</f>
        <v>2013</v>
      </c>
      <c r="G32" s="463">
        <f>$B$6-7</f>
        <v>2014</v>
      </c>
      <c r="H32" s="463">
        <f>$B$6-6</f>
        <v>2015</v>
      </c>
      <c r="I32" s="463">
        <f>$B$6-5</f>
        <v>2016</v>
      </c>
      <c r="J32" s="463">
        <f>$B$6-4</f>
        <v>2017</v>
      </c>
      <c r="K32" s="463">
        <f>$B$6-3</f>
        <v>2018</v>
      </c>
      <c r="L32" s="463">
        <f>$B$6-2</f>
        <v>2019</v>
      </c>
      <c r="M32" s="463">
        <f>$B$6-1</f>
        <v>2020</v>
      </c>
      <c r="N32" s="463"/>
    </row>
    <row r="33" spans="1:15" x14ac:dyDescent="0.2">
      <c r="A33" s="205" t="s">
        <v>73</v>
      </c>
      <c r="B33" s="147"/>
      <c r="C33" s="144"/>
      <c r="D33" s="333">
        <f>'Input - Adjustments &amp; Variables'!B5</f>
        <v>52646061.059999987</v>
      </c>
      <c r="E33" s="333">
        <f>'Input - Adjustments &amp; Variables'!B17</f>
        <v>49830132.730000034</v>
      </c>
      <c r="F33" s="333">
        <f>'Input - Adjustments &amp; Variables'!B29</f>
        <v>50854515.269999981</v>
      </c>
      <c r="G33" s="333">
        <f>'Input - Adjustments &amp; Variables'!B41</f>
        <v>52863793.569999993</v>
      </c>
      <c r="H33" s="333">
        <f>'Input - Adjustments &amp; Variables'!B53</f>
        <v>50100445.24000001</v>
      </c>
      <c r="I33" s="333">
        <f>'Input - Adjustments &amp; Variables'!B65</f>
        <v>44500830.719999984</v>
      </c>
      <c r="J33" s="333">
        <f>'Input - Adjustments &amp; Variables'!B77</f>
        <v>43062641.590000018</v>
      </c>
      <c r="K33" s="333">
        <f>'Input - Adjustments &amp; Variables'!B89</f>
        <v>47052385.459999971</v>
      </c>
      <c r="L33" s="333">
        <f>'Input - Adjustments &amp; Variables'!B101</f>
        <v>46622026.859999999</v>
      </c>
      <c r="M33" s="333">
        <f>'Input - Adjustments &amp; Variables'!B113</f>
        <v>44000407</v>
      </c>
      <c r="N33" s="333"/>
    </row>
    <row r="34" spans="1:15" x14ac:dyDescent="0.2">
      <c r="A34" s="205" t="s">
        <v>72</v>
      </c>
      <c r="B34" s="147"/>
      <c r="C34" s="144"/>
      <c r="D34" s="333">
        <f>'Input - Adjustments &amp; Variables'!B6</f>
        <v>47886036.089999989</v>
      </c>
      <c r="E34" s="333">
        <f>'Input - Adjustments &amp; Variables'!B18</f>
        <v>46681742.650000036</v>
      </c>
      <c r="F34" s="333">
        <f>'Input - Adjustments &amp; Variables'!B30</f>
        <v>45891597.809999987</v>
      </c>
      <c r="G34" s="333">
        <f>'Input - Adjustments &amp; Variables'!B42</f>
        <v>46902074.210000008</v>
      </c>
      <c r="H34" s="333">
        <f>'Input - Adjustments &amp; Variables'!B54</f>
        <v>46271066.69000002</v>
      </c>
      <c r="I34" s="333">
        <f>'Input - Adjustments &amp; Variables'!B66</f>
        <v>40982390.300000004</v>
      </c>
      <c r="J34" s="333">
        <f>'Input - Adjustments &amp; Variables'!B78</f>
        <v>37522207.099999994</v>
      </c>
      <c r="K34" s="333">
        <f>'Input - Adjustments &amp; Variables'!B90</f>
        <v>39540897.230000019</v>
      </c>
      <c r="L34" s="333">
        <f>'Input - Adjustments &amp; Variables'!B102</f>
        <v>41188691.579999998</v>
      </c>
      <c r="M34" s="333">
        <f>'Input - Adjustments &amp; Variables'!B114</f>
        <v>41219886</v>
      </c>
      <c r="N34" s="333"/>
    </row>
    <row r="35" spans="1:15" x14ac:dyDescent="0.2">
      <c r="A35" s="205" t="s">
        <v>71</v>
      </c>
      <c r="B35" s="147"/>
      <c r="C35" s="144"/>
      <c r="D35" s="333">
        <f>'Input - Adjustments &amp; Variables'!B7</f>
        <v>50044994.409999982</v>
      </c>
      <c r="E35" s="333">
        <f>'Input - Adjustments &amp; Variables'!B19</f>
        <v>45705990.230000004</v>
      </c>
      <c r="F35" s="333">
        <f>'Input - Adjustments &amp; Variables'!B31</f>
        <v>45408057.419999965</v>
      </c>
      <c r="G35" s="333">
        <f>'Input - Adjustments &amp; Variables'!B43</f>
        <v>49147286.989999995</v>
      </c>
      <c r="H35" s="333">
        <f>'Input - Adjustments &amp; Variables'!B55</f>
        <v>44501238.159999989</v>
      </c>
      <c r="I35" s="333">
        <f>'Input - Adjustments &amp; Variables'!B67</f>
        <v>39758543.469999999</v>
      </c>
      <c r="J35" s="333">
        <f>'Input - Adjustments &amp; Variables'!B79</f>
        <v>41370878.749999993</v>
      </c>
      <c r="K35" s="333">
        <f>'Input - Adjustments &amp; Variables'!B91</f>
        <v>41548740.249999993</v>
      </c>
      <c r="L35" s="333">
        <f>'Input - Adjustments &amp; Variables'!B103</f>
        <v>42070897.649999976</v>
      </c>
      <c r="M35" s="333">
        <f>'Input - Adjustments &amp; Variables'!B115</f>
        <v>39943443</v>
      </c>
      <c r="N35" s="333"/>
    </row>
    <row r="36" spans="1:15" x14ac:dyDescent="0.2">
      <c r="A36" s="205" t="s">
        <v>70</v>
      </c>
      <c r="B36" s="147"/>
      <c r="C36" s="144"/>
      <c r="D36" s="333">
        <f>'Input - Adjustments &amp; Variables'!B8</f>
        <v>43929197.81000001</v>
      </c>
      <c r="E36" s="333">
        <f>'Input - Adjustments &amp; Variables'!B20</f>
        <v>42394150.290000021</v>
      </c>
      <c r="F36" s="333">
        <f>'Input - Adjustments &amp; Variables'!B32</f>
        <v>40508542.919999994</v>
      </c>
      <c r="G36" s="333">
        <f>'Input - Adjustments &amp; Variables'!B44</f>
        <v>41905954.449999988</v>
      </c>
      <c r="H36" s="333">
        <f>'Input - Adjustments &amp; Variables'!B56</f>
        <v>37785791.490000002</v>
      </c>
      <c r="I36" s="333">
        <f>'Input - Adjustments &amp; Variables'!B68</f>
        <v>36143916.349999994</v>
      </c>
      <c r="J36" s="333">
        <f>'Input - Adjustments &amp; Variables'!B80</f>
        <v>35639117.619999968</v>
      </c>
      <c r="K36" s="333">
        <f>'Input - Adjustments &amp; Variables'!B92</f>
        <v>38285930.12999998</v>
      </c>
      <c r="L36" s="333">
        <f>'Input - Adjustments &amp; Variables'!B104</f>
        <v>36296821.840000033</v>
      </c>
      <c r="M36" s="333">
        <f>'Input - Adjustments &amp; Variables'!B116</f>
        <v>34785312</v>
      </c>
      <c r="N36" s="333"/>
    </row>
    <row r="37" spans="1:15" x14ac:dyDescent="0.2">
      <c r="A37" s="205" t="s">
        <v>69</v>
      </c>
      <c r="B37" s="147"/>
      <c r="C37" s="144"/>
      <c r="D37" s="333">
        <f>'Input - Adjustments &amp; Variables'!B9</f>
        <v>43129960.770000003</v>
      </c>
      <c r="E37" s="333">
        <f>'Input - Adjustments &amp; Variables'!B21</f>
        <v>44171430.339999989</v>
      </c>
      <c r="F37" s="333">
        <f>'Input - Adjustments &amp; Variables'!B33</f>
        <v>40367332.749999978</v>
      </c>
      <c r="G37" s="333">
        <f>'Input - Adjustments &amp; Variables'!B45</f>
        <v>40009171.760000005</v>
      </c>
      <c r="H37" s="333">
        <f>'Input - Adjustments &amp; Variables'!B57</f>
        <v>36307057.780000001</v>
      </c>
      <c r="I37" s="333">
        <f>'Input - Adjustments &amp; Variables'!B69</f>
        <v>35571116.150000006</v>
      </c>
      <c r="J37" s="333">
        <f>'Input - Adjustments &amp; Variables'!B81</f>
        <v>36632679.980000012</v>
      </c>
      <c r="K37" s="333">
        <f>'Input - Adjustments &amp; Variables'!B93</f>
        <v>36063657.63000001</v>
      </c>
      <c r="L37" s="333">
        <f>'Input - Adjustments &amp; Variables'!B105</f>
        <v>35335301.459999986</v>
      </c>
      <c r="M37" s="333">
        <f>'Input - Adjustments &amp; Variables'!B117</f>
        <v>35305256</v>
      </c>
      <c r="N37" s="333"/>
    </row>
    <row r="38" spans="1:15" x14ac:dyDescent="0.2">
      <c r="A38" s="205" t="s">
        <v>68</v>
      </c>
      <c r="B38" s="147"/>
      <c r="C38" s="144"/>
      <c r="D38" s="333">
        <f>'Input - Adjustments &amp; Variables'!B10</f>
        <v>45531832.089999981</v>
      </c>
      <c r="E38" s="333">
        <f>'Input - Adjustments &amp; Variables'!B22</f>
        <v>47092605</v>
      </c>
      <c r="F38" s="333">
        <f>'Input - Adjustments &amp; Variables'!B34</f>
        <v>41861470.480000004</v>
      </c>
      <c r="G38" s="333">
        <f>'Input - Adjustments &amp; Variables'!B46</f>
        <v>45061481.739999995</v>
      </c>
      <c r="H38" s="333">
        <f>'Input - Adjustments &amp; Variables'!B58</f>
        <v>37811947.970000021</v>
      </c>
      <c r="I38" s="333">
        <f>'Input - Adjustments &amp; Variables'!B70</f>
        <v>39220373.289999992</v>
      </c>
      <c r="J38" s="333">
        <f>'Input - Adjustments &amp; Variables'!B82</f>
        <v>38109511.749999993</v>
      </c>
      <c r="K38" s="333">
        <f>'Input - Adjustments &amp; Variables'!B94</f>
        <v>38564071.070000008</v>
      </c>
      <c r="L38" s="333">
        <f>'Input - Adjustments &amp; Variables'!B106</f>
        <v>36918421.580000013</v>
      </c>
      <c r="M38" s="333">
        <f>'Input - Adjustments &amp; Variables'!B118</f>
        <v>39004716</v>
      </c>
      <c r="N38" s="333"/>
    </row>
    <row r="39" spans="1:15" x14ac:dyDescent="0.2">
      <c r="A39" s="205" t="s">
        <v>67</v>
      </c>
      <c r="B39" s="147"/>
      <c r="C39" s="144"/>
      <c r="D39" s="333">
        <f>'Input - Adjustments &amp; Variables'!B11</f>
        <v>56530774.029999986</v>
      </c>
      <c r="E39" s="333">
        <f>'Input - Adjustments &amp; Variables'!B23</f>
        <v>56616414.859999955</v>
      </c>
      <c r="F39" s="333">
        <f>'Input - Adjustments &amp; Variables'!B35</f>
        <v>51710807.499999985</v>
      </c>
      <c r="G39" s="333">
        <f>'Input - Adjustments &amp; Variables'!B47</f>
        <v>46747535.099999979</v>
      </c>
      <c r="H39" s="333">
        <f>'Input - Adjustments &amp; Variables'!B59</f>
        <v>44310484.200000025</v>
      </c>
      <c r="I39" s="333">
        <f>'Input - Adjustments &amp; Variables'!B71</f>
        <v>47066419.799999982</v>
      </c>
      <c r="J39" s="333">
        <f>'Input - Adjustments &amp; Variables'!B83</f>
        <v>43845120.699999988</v>
      </c>
      <c r="K39" s="333">
        <f>'Input - Adjustments &amp; Variables'!B95</f>
        <v>49628857.740000024</v>
      </c>
      <c r="L39" s="333">
        <f>'Input - Adjustments &amp; Variables'!B107</f>
        <v>48958080.650000021</v>
      </c>
      <c r="M39" s="333">
        <f>'Input - Adjustments &amp; Variables'!B119</f>
        <v>51209111</v>
      </c>
      <c r="N39" s="333"/>
    </row>
    <row r="40" spans="1:15" x14ac:dyDescent="0.2">
      <c r="A40" s="205" t="s">
        <v>66</v>
      </c>
      <c r="B40" s="147"/>
      <c r="C40" s="144"/>
      <c r="D40" s="333">
        <f>'Input - Adjustments &amp; Variables'!B12</f>
        <v>53168646.089999974</v>
      </c>
      <c r="E40" s="333">
        <f>'Input - Adjustments &amp; Variables'!B24</f>
        <v>53263093.910000011</v>
      </c>
      <c r="F40" s="333">
        <f>'Input - Adjustments &amp; Variables'!B36</f>
        <v>47450772.329999983</v>
      </c>
      <c r="G40" s="333">
        <f>'Input - Adjustments &amp; Variables'!B48</f>
        <v>44915574.590000011</v>
      </c>
      <c r="H40" s="333">
        <f>'Input - Adjustments &amp; Variables'!B60</f>
        <v>43495493.139999993</v>
      </c>
      <c r="I40" s="333">
        <f>'Input - Adjustments &amp; Variables'!B72</f>
        <v>50793950.229999974</v>
      </c>
      <c r="J40" s="333">
        <f>'Input - Adjustments &amp; Variables'!B84</f>
        <v>43171748.199999966</v>
      </c>
      <c r="K40" s="333">
        <f>'Input - Adjustments &amp; Variables'!B96</f>
        <v>48629695.239999965</v>
      </c>
      <c r="L40" s="333">
        <f>'Input - Adjustments &amp; Variables'!B108</f>
        <v>45777930.170000002</v>
      </c>
      <c r="M40" s="333">
        <f>'Input - Adjustments &amp; Variables'!B120</f>
        <v>45776807</v>
      </c>
      <c r="N40" s="333"/>
    </row>
    <row r="41" spans="1:15" x14ac:dyDescent="0.2">
      <c r="A41" s="205" t="s">
        <v>65</v>
      </c>
      <c r="B41" s="147"/>
      <c r="C41" s="144"/>
      <c r="D41" s="333">
        <f>'Input - Adjustments &amp; Variables'!B13</f>
        <v>45998198.719999947</v>
      </c>
      <c r="E41" s="333">
        <f>'Input - Adjustments &amp; Variables'!B25</f>
        <v>44675833.469999984</v>
      </c>
      <c r="F41" s="333">
        <f>'Input - Adjustments &amp; Variables'!B37</f>
        <v>40219617.969999991</v>
      </c>
      <c r="G41" s="333">
        <f>'Input - Adjustments &amp; Variables'!B49</f>
        <v>39557943.620000012</v>
      </c>
      <c r="H41" s="333">
        <f>'Input - Adjustments &amp; Variables'!B61</f>
        <v>41484817.669999972</v>
      </c>
      <c r="I41" s="333">
        <f>'Input - Adjustments &amp; Variables'!B73</f>
        <v>39568638.049999982</v>
      </c>
      <c r="J41" s="333">
        <f>'Input - Adjustments &amp; Variables'!B85</f>
        <v>38578980.680000037</v>
      </c>
      <c r="K41" s="333">
        <f>'Input - Adjustments &amp; Variables'!B97</f>
        <v>41064153.550000027</v>
      </c>
      <c r="L41" s="333">
        <f>'Input - Adjustments &amp; Variables'!B109</f>
        <v>37514501.140000001</v>
      </c>
      <c r="M41" s="333">
        <f>'Input - Adjustments &amp; Variables'!B121</f>
        <v>36368524</v>
      </c>
      <c r="N41" s="333"/>
    </row>
    <row r="42" spans="1:15" x14ac:dyDescent="0.2">
      <c r="A42" s="205" t="s">
        <v>64</v>
      </c>
      <c r="B42" s="147"/>
      <c r="C42" s="144"/>
      <c r="D42" s="333">
        <f>'Input - Adjustments &amp; Variables'!B14</f>
        <v>43453458.649999976</v>
      </c>
      <c r="E42" s="333">
        <f>'Input - Adjustments &amp; Variables'!B26</f>
        <v>43218262.50000003</v>
      </c>
      <c r="F42" s="333">
        <f>'Input - Adjustments &amp; Variables'!B38</f>
        <v>40606721.039999992</v>
      </c>
      <c r="G42" s="333">
        <f>'Input - Adjustments &amp; Variables'!B50</f>
        <v>39850442.429999992</v>
      </c>
      <c r="H42" s="333">
        <f>'Input - Adjustments &amp; Variables'!B62</f>
        <v>38178097.399999984</v>
      </c>
      <c r="I42" s="333">
        <f>'Input - Adjustments &amp; Variables'!B74</f>
        <v>35855555.68999996</v>
      </c>
      <c r="J42" s="333">
        <f>'Input - Adjustments &amp; Variables'!B86</f>
        <v>35892870.779999956</v>
      </c>
      <c r="K42" s="333">
        <f>'Input - Adjustments &amp; Variables'!B98</f>
        <v>37443471.689999975</v>
      </c>
      <c r="L42" s="333">
        <f>'Input - Adjustments &amp; Variables'!B110</f>
        <v>36374484.030000001</v>
      </c>
      <c r="M42" s="333">
        <f>'Input - Adjustments &amp; Variables'!B122</f>
        <v>35464048</v>
      </c>
      <c r="N42" s="333"/>
    </row>
    <row r="43" spans="1:15" x14ac:dyDescent="0.2">
      <c r="A43" s="205" t="s">
        <v>63</v>
      </c>
      <c r="B43" s="147"/>
      <c r="C43" s="144"/>
      <c r="D43" s="333">
        <f>'Input - Adjustments &amp; Variables'!B15</f>
        <v>42419852.18999999</v>
      </c>
      <c r="E43" s="333">
        <f>'Input - Adjustments &amp; Variables'!B27</f>
        <v>44348257.809999987</v>
      </c>
      <c r="F43" s="333">
        <f>'Input - Adjustments &amp; Variables'!B39</f>
        <v>41891121.289999954</v>
      </c>
      <c r="G43" s="333">
        <f>'Input - Adjustments &amp; Variables'!B51</f>
        <v>43491696.789999977</v>
      </c>
      <c r="H43" s="333">
        <f>'Input - Adjustments &amp; Variables'!B63</f>
        <v>36946837.530000001</v>
      </c>
      <c r="I43" s="333">
        <f>'Input - Adjustments &amp; Variables'!B75</f>
        <v>36559281.450000003</v>
      </c>
      <c r="J43" s="333">
        <f>'Input - Adjustments &amp; Variables'!B87</f>
        <v>38713504.909999996</v>
      </c>
      <c r="K43" s="333">
        <f>'Input - Adjustments &amp; Variables'!B99</f>
        <v>39843675.400000006</v>
      </c>
      <c r="L43" s="333">
        <f>'Input - Adjustments &amp; Variables'!B111</f>
        <v>40089238.080000013</v>
      </c>
      <c r="M43" s="333">
        <f>'Input - Adjustments &amp; Variables'!B123</f>
        <v>36859381</v>
      </c>
      <c r="N43" s="333"/>
    </row>
    <row r="44" spans="1:15" x14ac:dyDescent="0.2">
      <c r="A44" s="205" t="s">
        <v>62</v>
      </c>
      <c r="B44" s="147"/>
      <c r="C44" s="144"/>
      <c r="D44" s="333">
        <f>'Input - Adjustments &amp; Variables'!B16</f>
        <v>46217938.279999964</v>
      </c>
      <c r="E44" s="333">
        <f>'Input - Adjustments &amp; Variables'!B28</f>
        <v>45574164.490000024</v>
      </c>
      <c r="F44" s="333">
        <f>'Input - Adjustments &amp; Variables'!B40</f>
        <v>46416068.759999998</v>
      </c>
      <c r="G44" s="333">
        <f>'Input - Adjustments &amp; Variables'!B52</f>
        <v>44870993.049999982</v>
      </c>
      <c r="H44" s="333">
        <f>'Input - Adjustments &amp; Variables'!B64</f>
        <v>39604094.129999995</v>
      </c>
      <c r="I44" s="333">
        <f>'Input - Adjustments &amp; Variables'!B76</f>
        <v>42534516.759999998</v>
      </c>
      <c r="J44" s="333">
        <f>'Input - Adjustments &amp; Variables'!B88</f>
        <v>43791007.450000025</v>
      </c>
      <c r="K44" s="333">
        <f>'Input - Adjustments &amp; Variables'!B100</f>
        <v>41914947.409999989</v>
      </c>
      <c r="L44" s="333">
        <f>'Input - Adjustments &amp; Variables'!B112</f>
        <v>42739198.629999965</v>
      </c>
      <c r="M44" s="333">
        <f>'Input - Adjustments &amp; Variables'!B124</f>
        <v>42748295</v>
      </c>
      <c r="N44" s="333"/>
    </row>
    <row r="45" spans="1:15" x14ac:dyDescent="0.2">
      <c r="A45" s="205" t="s">
        <v>77</v>
      </c>
      <c r="B45" s="147"/>
      <c r="C45" s="378"/>
      <c r="D45" s="334">
        <f>SUM(D33:D44)</f>
        <v>570956950.18999982</v>
      </c>
      <c r="E45" s="334">
        <f t="shared" ref="E45:M45" si="9">SUM(E33:E44)</f>
        <v>563572078.28000009</v>
      </c>
      <c r="F45" s="334">
        <f t="shared" si="9"/>
        <v>533186625.53999984</v>
      </c>
      <c r="G45" s="334">
        <f t="shared" si="9"/>
        <v>535323948.29999995</v>
      </c>
      <c r="H45" s="334">
        <f t="shared" si="9"/>
        <v>496797371.39999998</v>
      </c>
      <c r="I45" s="334">
        <f t="shared" si="9"/>
        <v>488555532.25999981</v>
      </c>
      <c r="J45" s="334">
        <f t="shared" si="9"/>
        <v>476330269.50999999</v>
      </c>
      <c r="K45" s="334">
        <f t="shared" si="9"/>
        <v>499580482.79999995</v>
      </c>
      <c r="L45" s="334">
        <f t="shared" si="9"/>
        <v>489885593.67000008</v>
      </c>
      <c r="M45" s="334">
        <f t="shared" si="9"/>
        <v>482685186</v>
      </c>
      <c r="N45" s="334">
        <f>SUM(N33:N44)</f>
        <v>0</v>
      </c>
      <c r="O45" s="369">
        <f>SUM(D45:M45)</f>
        <v>5136874037.9499998</v>
      </c>
    </row>
    <row r="46" spans="1:15" x14ac:dyDescent="0.2">
      <c r="A46" s="144"/>
      <c r="B46" s="144"/>
      <c r="C46" s="378"/>
      <c r="D46" s="145"/>
      <c r="E46" s="145"/>
      <c r="F46" s="145"/>
      <c r="G46" s="144"/>
      <c r="H46" s="144"/>
      <c r="I46" s="144"/>
      <c r="J46" s="144"/>
      <c r="K46" s="144"/>
      <c r="L46" s="144"/>
      <c r="M46" s="144"/>
      <c r="N46" s="144"/>
    </row>
    <row r="47" spans="1:15" ht="13.5" thickBot="1" x14ac:dyDescent="0.25">
      <c r="A47" s="144"/>
      <c r="B47" s="144"/>
      <c r="C47" s="378"/>
      <c r="D47" s="145"/>
      <c r="E47" s="145"/>
      <c r="F47" s="145"/>
      <c r="G47" s="144"/>
      <c r="H47" s="144"/>
      <c r="I47" s="144"/>
      <c r="J47" s="144"/>
      <c r="K47" s="144"/>
      <c r="L47" s="144"/>
      <c r="M47" s="144"/>
      <c r="N47" s="144"/>
    </row>
    <row r="48" spans="1:15" ht="16.5" thickTop="1" x14ac:dyDescent="0.2">
      <c r="A48" s="377" t="s">
        <v>187</v>
      </c>
      <c r="B48" s="144"/>
      <c r="C48" s="378"/>
      <c r="D48" s="463">
        <f>D32</f>
        <v>2011</v>
      </c>
      <c r="E48" s="463">
        <f t="shared" ref="E48:M48" si="10">E32</f>
        <v>2012</v>
      </c>
      <c r="F48" s="463">
        <f t="shared" si="10"/>
        <v>2013</v>
      </c>
      <c r="G48" s="463">
        <f t="shared" si="10"/>
        <v>2014</v>
      </c>
      <c r="H48" s="463">
        <f t="shared" si="10"/>
        <v>2015</v>
      </c>
      <c r="I48" s="463">
        <f t="shared" si="10"/>
        <v>2016</v>
      </c>
      <c r="J48" s="463">
        <f t="shared" si="10"/>
        <v>2017</v>
      </c>
      <c r="K48" s="463">
        <f t="shared" si="10"/>
        <v>2018</v>
      </c>
      <c r="L48" s="463">
        <f t="shared" si="10"/>
        <v>2019</v>
      </c>
      <c r="M48" s="463">
        <f t="shared" si="10"/>
        <v>2020</v>
      </c>
      <c r="N48" s="463"/>
    </row>
    <row r="49" spans="1:15" x14ac:dyDescent="0.2">
      <c r="A49" s="205" t="s">
        <v>73</v>
      </c>
      <c r="B49" s="147"/>
      <c r="C49" s="144"/>
      <c r="D49" s="333">
        <f>'Input - Adjustments &amp; Variables'!Z5</f>
        <v>28443</v>
      </c>
      <c r="E49" s="333">
        <f>'Input - Adjustments &amp; Variables'!Z17</f>
        <v>28599</v>
      </c>
      <c r="F49" s="333">
        <f>'Input - Adjustments &amp; Variables'!Z29</f>
        <v>28708</v>
      </c>
      <c r="G49" s="333">
        <f>'Input - Adjustments &amp; Variables'!Z41</f>
        <v>28748</v>
      </c>
      <c r="H49" s="333">
        <f>'Input - Adjustments &amp; Variables'!Z53</f>
        <v>28776</v>
      </c>
      <c r="I49" s="333">
        <f>'Input - Adjustments &amp; Variables'!Z65</f>
        <v>28830</v>
      </c>
      <c r="J49" s="333">
        <f>'Input - Adjustments &amp; Variables'!Z77</f>
        <v>28933</v>
      </c>
      <c r="K49" s="333">
        <f>'Input - Adjustments &amp; Variables'!Z89</f>
        <v>29201</v>
      </c>
      <c r="L49" s="333">
        <f>'Input - Adjustments &amp; Variables'!Z101</f>
        <v>29344</v>
      </c>
      <c r="M49" s="333">
        <f>'Input - Adjustments &amp; Variables'!Z113</f>
        <v>29597</v>
      </c>
      <c r="N49" s="333"/>
    </row>
    <row r="50" spans="1:15" x14ac:dyDescent="0.2">
      <c r="A50" s="205" t="s">
        <v>72</v>
      </c>
      <c r="B50" s="147"/>
      <c r="C50" s="144"/>
      <c r="D50" s="333">
        <f>'Input - Adjustments &amp; Variables'!Z6</f>
        <v>28447</v>
      </c>
      <c r="E50" s="333">
        <f>'Input - Adjustments &amp; Variables'!Z18</f>
        <v>28605</v>
      </c>
      <c r="F50" s="333">
        <f>'Input - Adjustments &amp; Variables'!Z30</f>
        <v>28707</v>
      </c>
      <c r="G50" s="333">
        <f>'Input - Adjustments &amp; Variables'!Z42</f>
        <v>28744</v>
      </c>
      <c r="H50" s="333">
        <f>'Input - Adjustments &amp; Variables'!Z54</f>
        <v>28756</v>
      </c>
      <c r="I50" s="333">
        <f>'Input - Adjustments &amp; Variables'!Z66</f>
        <v>28843</v>
      </c>
      <c r="J50" s="333">
        <f>'Input - Adjustments &amp; Variables'!Z78</f>
        <v>28960</v>
      </c>
      <c r="K50" s="333">
        <f>'Input - Adjustments &amp; Variables'!Z90</f>
        <v>29208</v>
      </c>
      <c r="L50" s="333">
        <f>'Input - Adjustments &amp; Variables'!Z102</f>
        <v>29330</v>
      </c>
      <c r="M50" s="333">
        <f>'Input - Adjustments &amp; Variables'!Z114</f>
        <v>29634</v>
      </c>
      <c r="N50" s="333"/>
    </row>
    <row r="51" spans="1:15" x14ac:dyDescent="0.2">
      <c r="A51" s="205" t="s">
        <v>71</v>
      </c>
      <c r="B51" s="147"/>
      <c r="C51" s="144"/>
      <c r="D51" s="333">
        <f>'Input - Adjustments &amp; Variables'!Z7</f>
        <v>28437</v>
      </c>
      <c r="E51" s="333">
        <f>'Input - Adjustments &amp; Variables'!Z19</f>
        <v>28561</v>
      </c>
      <c r="F51" s="333">
        <f>'Input - Adjustments &amp; Variables'!Z31</f>
        <v>28697</v>
      </c>
      <c r="G51" s="333">
        <f>'Input - Adjustments &amp; Variables'!Z43</f>
        <v>28756</v>
      </c>
      <c r="H51" s="333">
        <f>'Input - Adjustments &amp; Variables'!Z55</f>
        <v>28748</v>
      </c>
      <c r="I51" s="333">
        <f>'Input - Adjustments &amp; Variables'!Z67</f>
        <v>28835</v>
      </c>
      <c r="J51" s="333">
        <f>'Input - Adjustments &amp; Variables'!Z79</f>
        <v>28960</v>
      </c>
      <c r="K51" s="333">
        <f>'Input - Adjustments &amp; Variables'!Z91</f>
        <v>29230</v>
      </c>
      <c r="L51" s="333">
        <f>'Input - Adjustments &amp; Variables'!Z103</f>
        <v>29340</v>
      </c>
      <c r="M51" s="333">
        <f>'Input - Adjustments &amp; Variables'!Z115</f>
        <v>29659</v>
      </c>
      <c r="N51" s="333"/>
    </row>
    <row r="52" spans="1:15" x14ac:dyDescent="0.2">
      <c r="A52" s="205" t="s">
        <v>70</v>
      </c>
      <c r="B52" s="147"/>
      <c r="C52" s="144"/>
      <c r="D52" s="333">
        <f>'Input - Adjustments &amp; Variables'!Z8</f>
        <v>28398</v>
      </c>
      <c r="E52" s="333">
        <f>'Input - Adjustments &amp; Variables'!Z20</f>
        <v>28583</v>
      </c>
      <c r="F52" s="333">
        <f>'Input - Adjustments &amp; Variables'!Z32</f>
        <v>28661</v>
      </c>
      <c r="G52" s="333">
        <f>'Input - Adjustments &amp; Variables'!Z44</f>
        <v>28739</v>
      </c>
      <c r="H52" s="333">
        <f>'Input - Adjustments &amp; Variables'!Z56</f>
        <v>28733</v>
      </c>
      <c r="I52" s="333">
        <f>'Input - Adjustments &amp; Variables'!Z68</f>
        <v>28853</v>
      </c>
      <c r="J52" s="333">
        <f>'Input - Adjustments &amp; Variables'!Z80</f>
        <v>28969</v>
      </c>
      <c r="K52" s="333">
        <f>'Input - Adjustments &amp; Variables'!Z92</f>
        <v>29230</v>
      </c>
      <c r="L52" s="333">
        <f>'Input - Adjustments &amp; Variables'!Z104</f>
        <v>29411</v>
      </c>
      <c r="M52" s="333">
        <f>'Input - Adjustments &amp; Variables'!Z116</f>
        <v>29701</v>
      </c>
      <c r="N52" s="333"/>
    </row>
    <row r="53" spans="1:15" x14ac:dyDescent="0.2">
      <c r="A53" s="205" t="s">
        <v>69</v>
      </c>
      <c r="B53" s="147"/>
      <c r="C53" s="144"/>
      <c r="D53" s="333">
        <f>'Input - Adjustments &amp; Variables'!Z9</f>
        <v>28386</v>
      </c>
      <c r="E53" s="333">
        <f>'Input - Adjustments &amp; Variables'!Z21</f>
        <v>28574</v>
      </c>
      <c r="F53" s="333">
        <f>'Input - Adjustments &amp; Variables'!Z33</f>
        <v>28653</v>
      </c>
      <c r="G53" s="333">
        <f>'Input - Adjustments &amp; Variables'!Z45</f>
        <v>28715</v>
      </c>
      <c r="H53" s="333">
        <f>'Input - Adjustments &amp; Variables'!Z57</f>
        <v>28701</v>
      </c>
      <c r="I53" s="333">
        <f>'Input - Adjustments &amp; Variables'!Z69</f>
        <v>28859</v>
      </c>
      <c r="J53" s="333">
        <f>'Input - Adjustments &amp; Variables'!Z81</f>
        <v>29025</v>
      </c>
      <c r="K53" s="333">
        <f>'Input - Adjustments &amp; Variables'!Z93</f>
        <v>29232</v>
      </c>
      <c r="L53" s="333">
        <f>'Input - Adjustments &amp; Variables'!Z105</f>
        <v>29394</v>
      </c>
      <c r="M53" s="333">
        <f>'Input - Adjustments &amp; Variables'!Z117</f>
        <v>29709</v>
      </c>
      <c r="N53" s="333"/>
    </row>
    <row r="54" spans="1:15" x14ac:dyDescent="0.2">
      <c r="A54" s="205" t="s">
        <v>68</v>
      </c>
      <c r="B54" s="147"/>
      <c r="C54" s="144"/>
      <c r="D54" s="333">
        <f>'Input - Adjustments &amp; Variables'!Z10</f>
        <v>28410</v>
      </c>
      <c r="E54" s="333">
        <f>'Input - Adjustments &amp; Variables'!Z22</f>
        <v>28616</v>
      </c>
      <c r="F54" s="333">
        <f>'Input - Adjustments &amp; Variables'!Z34</f>
        <v>28656</v>
      </c>
      <c r="G54" s="333">
        <f>'Input - Adjustments &amp; Variables'!Z46</f>
        <v>28716</v>
      </c>
      <c r="H54" s="333">
        <f>'Input - Adjustments &amp; Variables'!Z58</f>
        <v>28699</v>
      </c>
      <c r="I54" s="333">
        <f>'Input - Adjustments &amp; Variables'!Z70</f>
        <v>28872</v>
      </c>
      <c r="J54" s="333">
        <f>'Input - Adjustments &amp; Variables'!Z82</f>
        <v>29019</v>
      </c>
      <c r="K54" s="333">
        <f>'Input - Adjustments &amp; Variables'!Z94</f>
        <v>29229</v>
      </c>
      <c r="L54" s="333">
        <f>'Input - Adjustments &amp; Variables'!Z106</f>
        <v>29406</v>
      </c>
      <c r="M54" s="333">
        <f>'Input - Adjustments &amp; Variables'!Z118</f>
        <v>29739</v>
      </c>
      <c r="N54" s="333"/>
    </row>
    <row r="55" spans="1:15" x14ac:dyDescent="0.2">
      <c r="A55" s="205" t="s">
        <v>67</v>
      </c>
      <c r="B55" s="147"/>
      <c r="C55" s="144"/>
      <c r="D55" s="333">
        <f>'Input - Adjustments &amp; Variables'!Z11</f>
        <v>28362</v>
      </c>
      <c r="E55" s="333">
        <f>'Input - Adjustments &amp; Variables'!Z23</f>
        <v>28618</v>
      </c>
      <c r="F55" s="333">
        <f>'Input - Adjustments &amp; Variables'!Z35</f>
        <v>28691</v>
      </c>
      <c r="G55" s="333">
        <f>'Input - Adjustments &amp; Variables'!Z47</f>
        <v>28720</v>
      </c>
      <c r="H55" s="333">
        <f>'Input - Adjustments &amp; Variables'!Z59</f>
        <v>28743</v>
      </c>
      <c r="I55" s="333">
        <f>'Input - Adjustments &amp; Variables'!Z71</f>
        <v>28792</v>
      </c>
      <c r="J55" s="333">
        <f>'Input - Adjustments &amp; Variables'!Z83</f>
        <v>29037</v>
      </c>
      <c r="K55" s="333">
        <f>'Input - Adjustments &amp; Variables'!Z95</f>
        <v>29248</v>
      </c>
      <c r="L55" s="333">
        <f>'Input - Adjustments &amp; Variables'!Z107</f>
        <v>29415</v>
      </c>
      <c r="M55" s="333">
        <f>'Input - Adjustments &amp; Variables'!Z119</f>
        <v>29749</v>
      </c>
      <c r="N55" s="333"/>
    </row>
    <row r="56" spans="1:15" x14ac:dyDescent="0.2">
      <c r="A56" s="205" t="s">
        <v>66</v>
      </c>
      <c r="B56" s="147"/>
      <c r="C56" s="144"/>
      <c r="D56" s="333">
        <f>'Input - Adjustments &amp; Variables'!Z12</f>
        <v>28364</v>
      </c>
      <c r="E56" s="333">
        <f>'Input - Adjustments &amp; Variables'!Z24</f>
        <v>28610</v>
      </c>
      <c r="F56" s="333">
        <f>'Input - Adjustments &amp; Variables'!Z36</f>
        <v>28674</v>
      </c>
      <c r="G56" s="333">
        <f>'Input - Adjustments &amp; Variables'!Z48</f>
        <v>28724</v>
      </c>
      <c r="H56" s="333">
        <f>'Input - Adjustments &amp; Variables'!Z60</f>
        <v>28760</v>
      </c>
      <c r="I56" s="333">
        <f>'Input - Adjustments &amp; Variables'!Z72</f>
        <v>28833</v>
      </c>
      <c r="J56" s="333">
        <f>'Input - Adjustments &amp; Variables'!Z84</f>
        <v>29054</v>
      </c>
      <c r="K56" s="333">
        <f>'Input - Adjustments &amp; Variables'!Z96</f>
        <v>29265</v>
      </c>
      <c r="L56" s="333">
        <f>'Input - Adjustments &amp; Variables'!Z108</f>
        <v>29440</v>
      </c>
      <c r="M56" s="333">
        <f>'Input - Adjustments &amp; Variables'!Z120</f>
        <v>29752</v>
      </c>
      <c r="N56" s="333"/>
    </row>
    <row r="57" spans="1:15" x14ac:dyDescent="0.2">
      <c r="A57" s="205" t="s">
        <v>65</v>
      </c>
      <c r="B57" s="147"/>
      <c r="C57" s="144"/>
      <c r="D57" s="333">
        <f>'Input - Adjustments &amp; Variables'!Z13</f>
        <v>28384</v>
      </c>
      <c r="E57" s="333">
        <f>'Input - Adjustments &amp; Variables'!Z25</f>
        <v>28614</v>
      </c>
      <c r="F57" s="333">
        <f>'Input - Adjustments &amp; Variables'!Z37</f>
        <v>28700</v>
      </c>
      <c r="G57" s="333">
        <f>'Input - Adjustments &amp; Variables'!Z49</f>
        <v>28750</v>
      </c>
      <c r="H57" s="333">
        <f>'Input - Adjustments &amp; Variables'!Z61</f>
        <v>28792</v>
      </c>
      <c r="I57" s="333">
        <f>'Input - Adjustments &amp; Variables'!Z73</f>
        <v>28864</v>
      </c>
      <c r="J57" s="333">
        <f>'Input - Adjustments &amp; Variables'!Z85</f>
        <v>29085</v>
      </c>
      <c r="K57" s="333">
        <f>'Input - Adjustments &amp; Variables'!Z97</f>
        <v>29273</v>
      </c>
      <c r="L57" s="333">
        <f>'Input - Adjustments &amp; Variables'!Z109</f>
        <v>29481</v>
      </c>
      <c r="M57" s="333">
        <f>'Input - Adjustments &amp; Variables'!Z121</f>
        <v>29726</v>
      </c>
      <c r="N57" s="333"/>
    </row>
    <row r="58" spans="1:15" x14ac:dyDescent="0.2">
      <c r="A58" s="205" t="s">
        <v>64</v>
      </c>
      <c r="B58" s="147"/>
      <c r="C58" s="144"/>
      <c r="D58" s="333">
        <f>'Input - Adjustments &amp; Variables'!Z14</f>
        <v>28497</v>
      </c>
      <c r="E58" s="333">
        <f>'Input - Adjustments &amp; Variables'!Z26</f>
        <v>28631</v>
      </c>
      <c r="F58" s="333">
        <f>'Input - Adjustments &amp; Variables'!Z38</f>
        <v>28700</v>
      </c>
      <c r="G58" s="333">
        <f>'Input - Adjustments &amp; Variables'!Z50</f>
        <v>28746</v>
      </c>
      <c r="H58" s="333">
        <f>'Input - Adjustments &amp; Variables'!Z62</f>
        <v>28795</v>
      </c>
      <c r="I58" s="333">
        <f>'Input - Adjustments &amp; Variables'!Z74</f>
        <v>28858</v>
      </c>
      <c r="J58" s="333">
        <f>'Input - Adjustments &amp; Variables'!Z86</f>
        <v>29091</v>
      </c>
      <c r="K58" s="333">
        <f>'Input - Adjustments &amp; Variables'!Z98</f>
        <v>29290</v>
      </c>
      <c r="L58" s="333">
        <f>'Input - Adjustments &amp; Variables'!Z110</f>
        <v>29505</v>
      </c>
      <c r="M58" s="333">
        <f>'Input - Adjustments &amp; Variables'!Z122</f>
        <v>29745</v>
      </c>
      <c r="N58" s="333"/>
    </row>
    <row r="59" spans="1:15" x14ac:dyDescent="0.2">
      <c r="A59" s="205" t="s">
        <v>63</v>
      </c>
      <c r="B59" s="147"/>
      <c r="C59" s="144"/>
      <c r="D59" s="333">
        <f>'Input - Adjustments &amp; Variables'!Z15</f>
        <v>28559</v>
      </c>
      <c r="E59" s="333">
        <f>'Input - Adjustments &amp; Variables'!Z27</f>
        <v>28647</v>
      </c>
      <c r="F59" s="333">
        <f>'Input - Adjustments &amp; Variables'!Z39</f>
        <v>28704</v>
      </c>
      <c r="G59" s="333">
        <f>'Input - Adjustments &amp; Variables'!Z51</f>
        <v>28745</v>
      </c>
      <c r="H59" s="333">
        <f>'Input - Adjustments &amp; Variables'!Z63</f>
        <v>28801</v>
      </c>
      <c r="I59" s="333">
        <f>'Input - Adjustments &amp; Variables'!Z75</f>
        <v>28896</v>
      </c>
      <c r="J59" s="333">
        <f>'Input - Adjustments &amp; Variables'!Z87</f>
        <v>29149</v>
      </c>
      <c r="K59" s="333">
        <f>'Input - Adjustments &amp; Variables'!Z99</f>
        <v>29307</v>
      </c>
      <c r="L59" s="333">
        <f>'Input - Adjustments &amp; Variables'!Z111</f>
        <v>29533</v>
      </c>
      <c r="M59" s="333">
        <f>'Input - Adjustments &amp; Variables'!Z123</f>
        <v>29783</v>
      </c>
      <c r="N59" s="333"/>
    </row>
    <row r="60" spans="1:15" x14ac:dyDescent="0.2">
      <c r="A60" s="205" t="s">
        <v>62</v>
      </c>
      <c r="B60" s="147"/>
      <c r="C60" s="144"/>
      <c r="D60" s="333">
        <f>'Input - Adjustments &amp; Variables'!Z16</f>
        <v>28539</v>
      </c>
      <c r="E60" s="333">
        <f>'Input - Adjustments &amp; Variables'!Z28</f>
        <v>28658</v>
      </c>
      <c r="F60" s="333">
        <f>'Input - Adjustments &amp; Variables'!Z40</f>
        <v>28722</v>
      </c>
      <c r="G60" s="333">
        <f>'Input - Adjustments &amp; Variables'!Z52</f>
        <v>28755</v>
      </c>
      <c r="H60" s="333">
        <f>'Input - Adjustments &amp; Variables'!Z64</f>
        <v>28826</v>
      </c>
      <c r="I60" s="333">
        <f>'Input - Adjustments &amp; Variables'!Z76</f>
        <v>28913</v>
      </c>
      <c r="J60" s="333">
        <f>'Input - Adjustments &amp; Variables'!Z88</f>
        <v>29158</v>
      </c>
      <c r="K60" s="333">
        <f>'Input - Adjustments &amp; Variables'!Z100</f>
        <v>29323</v>
      </c>
      <c r="L60" s="333">
        <f>'Input - Adjustments &amp; Variables'!Z112</f>
        <v>29573</v>
      </c>
      <c r="M60" s="333">
        <f>'Input - Adjustments &amp; Variables'!Z124</f>
        <v>29827</v>
      </c>
      <c r="N60" s="333"/>
    </row>
    <row r="61" spans="1:15" x14ac:dyDescent="0.2">
      <c r="A61" s="205" t="s">
        <v>77</v>
      </c>
      <c r="B61" s="147"/>
      <c r="C61" s="378"/>
      <c r="D61" s="334">
        <f>SUM(D49:D60)</f>
        <v>341226</v>
      </c>
      <c r="E61" s="334">
        <f t="shared" ref="E61:M61" si="11">SUM(E49:E60)</f>
        <v>343316</v>
      </c>
      <c r="F61" s="334">
        <f t="shared" si="11"/>
        <v>344273</v>
      </c>
      <c r="G61" s="334">
        <f t="shared" si="11"/>
        <v>344858</v>
      </c>
      <c r="H61" s="334">
        <f t="shared" si="11"/>
        <v>345130</v>
      </c>
      <c r="I61" s="334">
        <f t="shared" si="11"/>
        <v>346248</v>
      </c>
      <c r="J61" s="334">
        <f t="shared" si="11"/>
        <v>348440</v>
      </c>
      <c r="K61" s="334">
        <f t="shared" si="11"/>
        <v>351036</v>
      </c>
      <c r="L61" s="334">
        <f t="shared" si="11"/>
        <v>353172</v>
      </c>
      <c r="M61" s="334">
        <f t="shared" si="11"/>
        <v>356621</v>
      </c>
      <c r="N61" s="334">
        <f>SUM(N49:N60)</f>
        <v>0</v>
      </c>
      <c r="O61" s="369">
        <f>SUM(D61:M61)</f>
        <v>3474320</v>
      </c>
    </row>
    <row r="62" spans="1:15" x14ac:dyDescent="0.2">
      <c r="A62" s="144"/>
      <c r="B62" s="144"/>
      <c r="C62" s="378"/>
      <c r="D62" s="145"/>
      <c r="E62" s="145"/>
      <c r="F62" s="145"/>
      <c r="G62" s="144"/>
      <c r="H62" s="144"/>
      <c r="I62" s="144"/>
      <c r="J62" s="144"/>
      <c r="K62" s="144"/>
      <c r="L62" s="144"/>
      <c r="M62" s="144"/>
      <c r="N62" s="144"/>
    </row>
    <row r="63" spans="1:15" ht="13.5" thickBot="1" x14ac:dyDescent="0.25">
      <c r="A63" s="144"/>
      <c r="B63" s="144"/>
      <c r="C63" s="378"/>
      <c r="D63" s="145"/>
      <c r="E63" s="145"/>
      <c r="F63" s="145"/>
      <c r="G63" s="144"/>
      <c r="H63" s="144"/>
      <c r="I63" s="144"/>
      <c r="J63" s="144"/>
      <c r="K63" s="144"/>
      <c r="L63" s="144"/>
      <c r="M63" s="144"/>
      <c r="N63" s="144"/>
    </row>
    <row r="64" spans="1:15" ht="16.5" thickTop="1" x14ac:dyDescent="0.2">
      <c r="A64" s="377" t="s">
        <v>162</v>
      </c>
      <c r="B64" s="144"/>
      <c r="C64" s="378"/>
      <c r="D64" s="463">
        <f>D32</f>
        <v>2011</v>
      </c>
      <c r="E64" s="463">
        <f t="shared" ref="E64:M64" si="12">E48</f>
        <v>2012</v>
      </c>
      <c r="F64" s="463">
        <f t="shared" si="12"/>
        <v>2013</v>
      </c>
      <c r="G64" s="463">
        <f t="shared" si="12"/>
        <v>2014</v>
      </c>
      <c r="H64" s="463">
        <f t="shared" si="12"/>
        <v>2015</v>
      </c>
      <c r="I64" s="463">
        <f t="shared" si="12"/>
        <v>2016</v>
      </c>
      <c r="J64" s="463">
        <f t="shared" si="12"/>
        <v>2017</v>
      </c>
      <c r="K64" s="463">
        <f t="shared" si="12"/>
        <v>2018</v>
      </c>
      <c r="L64" s="463">
        <f t="shared" si="12"/>
        <v>2019</v>
      </c>
      <c r="M64" s="463">
        <f t="shared" si="12"/>
        <v>2020</v>
      </c>
      <c r="N64" s="463" t="s">
        <v>57</v>
      </c>
    </row>
    <row r="65" spans="1:15" x14ac:dyDescent="0.2">
      <c r="A65" s="379" t="s">
        <v>59</v>
      </c>
      <c r="B65" s="206"/>
      <c r="C65" s="380"/>
      <c r="D65" s="335"/>
      <c r="E65" s="335"/>
      <c r="F65" s="335"/>
      <c r="G65" s="335"/>
      <c r="H65" s="335"/>
      <c r="I65" s="335"/>
      <c r="J65" s="335"/>
      <c r="K65" s="335"/>
      <c r="L65" s="335"/>
      <c r="M65" s="335"/>
      <c r="N65" s="335"/>
      <c r="O65" s="374"/>
    </row>
    <row r="66" spans="1:15" x14ac:dyDescent="0.2">
      <c r="A66" s="330" t="s">
        <v>163</v>
      </c>
      <c r="B66" s="206"/>
      <c r="C66" s="380"/>
      <c r="D66" s="333">
        <v>206782921.40000001</v>
      </c>
      <c r="E66" s="333">
        <v>202637718.53299999</v>
      </c>
      <c r="F66" s="333">
        <v>206257082.428</v>
      </c>
      <c r="G66" s="333">
        <v>202495777.38000003</v>
      </c>
      <c r="H66" s="333">
        <v>199739669.07999998</v>
      </c>
      <c r="I66" s="333">
        <v>202182964.05000001</v>
      </c>
      <c r="J66" s="333">
        <v>192333396.59142745</v>
      </c>
      <c r="K66" s="333">
        <v>213384791.97681683</v>
      </c>
      <c r="L66" s="333">
        <v>208333695.23086321</v>
      </c>
      <c r="M66" s="333">
        <v>220200219.65924728</v>
      </c>
      <c r="N66" s="333"/>
      <c r="O66" s="369"/>
    </row>
    <row r="67" spans="1:15" x14ac:dyDescent="0.2">
      <c r="A67" s="330" t="s">
        <v>164</v>
      </c>
      <c r="B67" s="206"/>
      <c r="C67" s="380"/>
      <c r="D67" s="333">
        <v>25559.5</v>
      </c>
      <c r="E67" s="333">
        <v>25711</v>
      </c>
      <c r="F67" s="333">
        <v>25797.833333333332</v>
      </c>
      <c r="G67" s="333">
        <v>25863.166666666668</v>
      </c>
      <c r="H67" s="333">
        <v>25920.25</v>
      </c>
      <c r="I67" s="333">
        <v>26029.416666666668</v>
      </c>
      <c r="J67" s="333">
        <v>26228.416666666668</v>
      </c>
      <c r="K67" s="333">
        <v>26464.833333333332</v>
      </c>
      <c r="L67" s="333">
        <v>26647</v>
      </c>
      <c r="M67" s="333">
        <v>26915.666666666668</v>
      </c>
      <c r="N67" s="333"/>
    </row>
    <row r="68" spans="1:15" x14ac:dyDescent="0.2">
      <c r="A68" s="330"/>
      <c r="B68" s="206"/>
      <c r="C68" s="380"/>
      <c r="D68" s="335"/>
      <c r="E68" s="335"/>
      <c r="F68" s="335"/>
      <c r="G68" s="335"/>
      <c r="H68" s="335"/>
      <c r="I68" s="335"/>
      <c r="J68" s="335"/>
      <c r="K68" s="335"/>
      <c r="L68" s="335"/>
      <c r="M68" s="335"/>
      <c r="N68" s="335"/>
    </row>
    <row r="69" spans="1:15" x14ac:dyDescent="0.2">
      <c r="A69" s="379" t="s">
        <v>58</v>
      </c>
      <c r="B69" s="206"/>
      <c r="C69" s="380"/>
      <c r="D69" s="335"/>
      <c r="E69" s="335"/>
      <c r="F69" s="335"/>
      <c r="G69" s="335"/>
      <c r="H69" s="335"/>
      <c r="I69" s="335"/>
      <c r="J69" s="335"/>
      <c r="K69" s="335"/>
      <c r="L69" s="335"/>
      <c r="M69" s="335"/>
      <c r="N69" s="335"/>
    </row>
    <row r="70" spans="1:15" x14ac:dyDescent="0.2">
      <c r="A70" s="330" t="s">
        <v>163</v>
      </c>
      <c r="B70" s="206"/>
      <c r="C70" s="380"/>
      <c r="D70" s="333">
        <v>71478285.230000004</v>
      </c>
      <c r="E70" s="333">
        <v>70359939.605000004</v>
      </c>
      <c r="F70" s="333">
        <v>68674576.604000002</v>
      </c>
      <c r="G70" s="333">
        <v>69135015.260000005</v>
      </c>
      <c r="H70" s="333">
        <v>68487698.590000004</v>
      </c>
      <c r="I70" s="333">
        <v>69095397.390000001</v>
      </c>
      <c r="J70" s="333">
        <v>66385178.073323995</v>
      </c>
      <c r="K70" s="333">
        <v>68552191.048737228</v>
      </c>
      <c r="L70" s="333">
        <v>68296619.869135812</v>
      </c>
      <c r="M70" s="333">
        <v>63219121.669230707</v>
      </c>
      <c r="N70" s="333"/>
      <c r="O70" s="369"/>
    </row>
    <row r="71" spans="1:15" x14ac:dyDescent="0.2">
      <c r="A71" s="330" t="s">
        <v>164</v>
      </c>
      <c r="B71" s="206"/>
      <c r="C71" s="380"/>
      <c r="D71" s="333">
        <v>2507</v>
      </c>
      <c r="E71" s="333">
        <v>2530.9166666666665</v>
      </c>
      <c r="F71" s="333">
        <v>2524.5833333333335</v>
      </c>
      <c r="G71" s="333">
        <v>2512.4166666666665</v>
      </c>
      <c r="H71" s="333">
        <v>2492.1666666666665</v>
      </c>
      <c r="I71" s="333">
        <v>2502.6666666666665</v>
      </c>
      <c r="J71" s="333">
        <v>2506.6666666666665</v>
      </c>
      <c r="K71" s="333">
        <v>2490.75</v>
      </c>
      <c r="L71" s="333">
        <v>2495.6666666666665</v>
      </c>
      <c r="M71" s="333">
        <v>2513.5833333333335</v>
      </c>
      <c r="N71" s="333"/>
    </row>
    <row r="72" spans="1:15" x14ac:dyDescent="0.2">
      <c r="A72" s="330"/>
      <c r="B72" s="206"/>
      <c r="C72" s="380"/>
      <c r="D72" s="335"/>
      <c r="E72" s="335"/>
      <c r="F72" s="335"/>
      <c r="G72" s="335"/>
      <c r="H72" s="335"/>
      <c r="I72" s="335"/>
      <c r="J72" s="335"/>
      <c r="K72" s="335"/>
      <c r="L72" s="335"/>
      <c r="M72" s="335"/>
      <c r="N72" s="335"/>
    </row>
    <row r="73" spans="1:15" x14ac:dyDescent="0.2">
      <c r="A73" s="379" t="s">
        <v>232</v>
      </c>
      <c r="B73" s="147"/>
      <c r="C73" s="378"/>
      <c r="D73" s="335"/>
      <c r="E73" s="335"/>
      <c r="F73" s="335"/>
      <c r="G73" s="335"/>
      <c r="H73" s="335"/>
      <c r="I73" s="335"/>
      <c r="J73" s="335"/>
      <c r="K73" s="335"/>
      <c r="L73" s="335"/>
      <c r="M73" s="335"/>
      <c r="N73" s="335"/>
    </row>
    <row r="74" spans="1:15" x14ac:dyDescent="0.2">
      <c r="A74" s="330" t="s">
        <v>163</v>
      </c>
      <c r="B74" s="147"/>
      <c r="C74" s="378"/>
      <c r="D74" s="333">
        <v>250365636.15600002</v>
      </c>
      <c r="E74" s="333">
        <v>252871258.60249999</v>
      </c>
      <c r="F74" s="333">
        <v>218765504.61700001</v>
      </c>
      <c r="G74" s="333">
        <v>227548065.41000003</v>
      </c>
      <c r="H74" s="333">
        <v>194707775.59</v>
      </c>
      <c r="I74" s="333">
        <v>185839670.57999998</v>
      </c>
      <c r="J74" s="333">
        <v>185980426.04825354</v>
      </c>
      <c r="K74" s="333">
        <v>186317853.54878309</v>
      </c>
      <c r="L74" s="333">
        <v>183204907.69893607</v>
      </c>
      <c r="M74" s="333">
        <v>169630766.96221483</v>
      </c>
      <c r="N74" s="333"/>
      <c r="O74" s="369"/>
    </row>
    <row r="75" spans="1:15" x14ac:dyDescent="0.2">
      <c r="A75" s="330" t="s">
        <v>165</v>
      </c>
      <c r="B75" s="147"/>
      <c r="C75" s="378"/>
      <c r="D75" s="333">
        <v>753237.76</v>
      </c>
      <c r="E75" s="333">
        <v>760470.64199999999</v>
      </c>
      <c r="F75" s="333">
        <v>689936.48</v>
      </c>
      <c r="G75" s="333">
        <v>664361.51</v>
      </c>
      <c r="H75" s="333">
        <v>615145.36</v>
      </c>
      <c r="I75" s="333">
        <v>580036.22</v>
      </c>
      <c r="J75" s="333">
        <v>588371.79999999993</v>
      </c>
      <c r="K75" s="333">
        <v>580250.94000000006</v>
      </c>
      <c r="L75" s="333">
        <v>553966.00999999966</v>
      </c>
      <c r="M75" s="333">
        <v>527483.83000000007</v>
      </c>
      <c r="N75" s="333"/>
      <c r="O75" s="369"/>
    </row>
    <row r="76" spans="1:15" x14ac:dyDescent="0.2">
      <c r="A76" s="330" t="s">
        <v>164</v>
      </c>
      <c r="B76" s="147"/>
      <c r="C76" s="378"/>
      <c r="D76" s="333">
        <v>224.41666666666666</v>
      </c>
      <c r="E76" s="333">
        <v>224.5</v>
      </c>
      <c r="F76" s="333">
        <v>225.08333333333334</v>
      </c>
      <c r="G76" s="333">
        <v>225.08333333333334</v>
      </c>
      <c r="H76" s="333">
        <v>219.66666666666666</v>
      </c>
      <c r="I76" s="333">
        <v>205.58333333333334</v>
      </c>
      <c r="J76" s="333">
        <v>198</v>
      </c>
      <c r="K76" s="333">
        <v>197.66666666666666</v>
      </c>
      <c r="L76" s="333">
        <v>190.33333333333334</v>
      </c>
      <c r="M76" s="333">
        <v>193.16666666666666</v>
      </c>
      <c r="N76" s="333"/>
    </row>
    <row r="77" spans="1:15" x14ac:dyDescent="0.2">
      <c r="A77" s="331"/>
      <c r="B77" s="147"/>
      <c r="C77" s="378"/>
      <c r="D77" s="335"/>
      <c r="E77" s="335"/>
      <c r="F77" s="335"/>
      <c r="G77" s="335"/>
      <c r="H77" s="335"/>
      <c r="I77" s="335"/>
      <c r="J77" s="335"/>
      <c r="K77" s="335"/>
      <c r="L77" s="335"/>
      <c r="M77" s="335"/>
      <c r="N77" s="335"/>
    </row>
    <row r="78" spans="1:15" x14ac:dyDescent="0.2">
      <c r="A78" s="379" t="s">
        <v>188</v>
      </c>
      <c r="B78" s="147"/>
      <c r="C78" s="378"/>
      <c r="D78" s="335"/>
      <c r="E78" s="335"/>
      <c r="F78" s="335"/>
      <c r="G78" s="335"/>
      <c r="H78" s="335"/>
      <c r="I78" s="335"/>
      <c r="J78" s="335"/>
      <c r="K78" s="335"/>
      <c r="L78" s="335"/>
      <c r="M78" s="335"/>
      <c r="N78" s="335"/>
    </row>
    <row r="79" spans="1:15" x14ac:dyDescent="0.2">
      <c r="A79" s="330" t="s">
        <v>163</v>
      </c>
      <c r="B79" s="147"/>
      <c r="C79" s="378"/>
      <c r="D79" s="333">
        <v>5010546.66</v>
      </c>
      <c r="E79" s="333">
        <v>5264498.6195</v>
      </c>
      <c r="F79" s="333">
        <v>4854403.5</v>
      </c>
      <c r="G79" s="333">
        <v>4975331.1999999993</v>
      </c>
      <c r="H79" s="333">
        <v>5138938.0000000009</v>
      </c>
      <c r="I79" s="333">
        <v>5604942.4199999999</v>
      </c>
      <c r="J79" s="333">
        <v>4768119.9723423496</v>
      </c>
      <c r="K79" s="333">
        <v>5218945.2166489204</v>
      </c>
      <c r="L79" s="333">
        <v>5234524.4083762597</v>
      </c>
      <c r="M79" s="333">
        <v>5321959.9988488881</v>
      </c>
      <c r="N79" s="333"/>
      <c r="O79" s="369"/>
    </row>
    <row r="80" spans="1:15" x14ac:dyDescent="0.2">
      <c r="A80" s="330" t="s">
        <v>165</v>
      </c>
      <c r="B80" s="147"/>
      <c r="C80" s="378"/>
      <c r="D80" s="333">
        <v>12008.64</v>
      </c>
      <c r="E80" s="333">
        <v>12682.68</v>
      </c>
      <c r="F80" s="333">
        <v>12041.64</v>
      </c>
      <c r="G80" s="333">
        <v>12958.4</v>
      </c>
      <c r="H80" s="333">
        <v>13742.4</v>
      </c>
      <c r="I80" s="333">
        <v>16375.72</v>
      </c>
      <c r="J80" s="333">
        <v>12501.41</v>
      </c>
      <c r="K80" s="333">
        <v>13532.36</v>
      </c>
      <c r="L80" s="333">
        <v>13275.64</v>
      </c>
      <c r="M80" s="333">
        <v>14339.56</v>
      </c>
      <c r="N80" s="333"/>
    </row>
    <row r="81" spans="1:15" x14ac:dyDescent="0.2">
      <c r="A81" s="330" t="s">
        <v>164</v>
      </c>
      <c r="B81" s="147"/>
      <c r="C81" s="378"/>
      <c r="D81" s="333">
        <v>1</v>
      </c>
      <c r="E81" s="333">
        <v>1</v>
      </c>
      <c r="F81" s="333">
        <v>1</v>
      </c>
      <c r="G81" s="333">
        <v>1</v>
      </c>
      <c r="H81" s="333">
        <v>1</v>
      </c>
      <c r="I81" s="333">
        <v>1</v>
      </c>
      <c r="J81" s="333">
        <v>1</v>
      </c>
      <c r="K81" s="333">
        <v>1</v>
      </c>
      <c r="L81" s="333">
        <v>1</v>
      </c>
      <c r="M81" s="333">
        <v>1</v>
      </c>
      <c r="N81" s="333"/>
    </row>
    <row r="82" spans="1:15" x14ac:dyDescent="0.2">
      <c r="A82" s="331"/>
      <c r="B82" s="147"/>
      <c r="C82" s="378"/>
      <c r="D82" s="335"/>
      <c r="E82" s="335"/>
      <c r="F82" s="335"/>
      <c r="G82" s="335"/>
      <c r="H82" s="335"/>
      <c r="I82" s="335"/>
      <c r="J82" s="335"/>
      <c r="K82" s="335"/>
      <c r="L82" s="335"/>
      <c r="M82" s="335"/>
      <c r="N82" s="335"/>
    </row>
    <row r="83" spans="1:15" x14ac:dyDescent="0.2">
      <c r="A83" s="379" t="s">
        <v>160</v>
      </c>
      <c r="B83" s="147"/>
      <c r="C83" s="378"/>
      <c r="D83" s="335"/>
      <c r="E83" s="335"/>
      <c r="F83" s="335"/>
      <c r="G83" s="335"/>
      <c r="H83" s="335"/>
      <c r="I83" s="335"/>
      <c r="J83" s="335"/>
      <c r="K83" s="335"/>
      <c r="L83" s="335"/>
      <c r="M83" s="335"/>
      <c r="N83" s="335"/>
    </row>
    <row r="84" spans="1:15" x14ac:dyDescent="0.2">
      <c r="A84" s="330" t="s">
        <v>163</v>
      </c>
      <c r="B84" s="147"/>
      <c r="C84" s="378"/>
      <c r="D84" s="333">
        <v>4475401.3080000002</v>
      </c>
      <c r="E84" s="333">
        <v>4830575.8319999995</v>
      </c>
      <c r="F84" s="333">
        <v>4446652.6829999993</v>
      </c>
      <c r="G84" s="333">
        <v>4336774.25</v>
      </c>
      <c r="H84" s="333">
        <v>3697574.9299999997</v>
      </c>
      <c r="I84" s="333">
        <v>2159285.8400000003</v>
      </c>
      <c r="J84" s="333">
        <v>1392668.2526115859</v>
      </c>
      <c r="K84" s="333">
        <v>1390046.9705603039</v>
      </c>
      <c r="L84" s="333">
        <v>1401777.7587844254</v>
      </c>
      <c r="M84" s="333">
        <v>1425844.3209876544</v>
      </c>
      <c r="N84" s="333"/>
    </row>
    <row r="85" spans="1:15" x14ac:dyDescent="0.2">
      <c r="A85" s="330" t="s">
        <v>165</v>
      </c>
      <c r="B85" s="147"/>
      <c r="C85" s="378"/>
      <c r="D85" s="333">
        <v>11787.854000000001</v>
      </c>
      <c r="E85" s="333">
        <v>12882.322</v>
      </c>
      <c r="F85" s="333">
        <v>13844.464000000002</v>
      </c>
      <c r="G85" s="333">
        <v>13285.41</v>
      </c>
      <c r="H85" s="333">
        <v>11208.64</v>
      </c>
      <c r="I85" s="333">
        <v>6413.35</v>
      </c>
      <c r="J85" s="333">
        <v>4209.0200000000004</v>
      </c>
      <c r="K85" s="333">
        <v>4251.8</v>
      </c>
      <c r="L85" s="333">
        <v>4285.630000000001</v>
      </c>
      <c r="M85" s="333">
        <v>4348.49</v>
      </c>
      <c r="N85" s="333"/>
    </row>
    <row r="86" spans="1:15" x14ac:dyDescent="0.2">
      <c r="A86" s="330" t="s">
        <v>237</v>
      </c>
      <c r="B86" s="147"/>
      <c r="C86" s="378"/>
      <c r="D86" s="333">
        <v>5706.333333333333</v>
      </c>
      <c r="E86" s="333">
        <v>5711</v>
      </c>
      <c r="F86" s="333">
        <v>5699.25</v>
      </c>
      <c r="G86" s="333">
        <v>5708.333333333333</v>
      </c>
      <c r="H86" s="333">
        <v>5699.583333333333</v>
      </c>
      <c r="I86" s="333">
        <v>5735.75</v>
      </c>
      <c r="J86" s="333">
        <v>5742.916666666667</v>
      </c>
      <c r="K86" s="333">
        <v>5774.416666666667</v>
      </c>
      <c r="L86" s="333">
        <v>5878.666666666667</v>
      </c>
      <c r="M86" s="333">
        <v>5997.166666666667</v>
      </c>
      <c r="N86" s="333"/>
    </row>
    <row r="87" spans="1:15" x14ac:dyDescent="0.2">
      <c r="A87" s="331"/>
      <c r="B87" s="147"/>
      <c r="C87" s="378"/>
      <c r="D87" s="335"/>
      <c r="E87" s="335"/>
      <c r="F87" s="335"/>
      <c r="G87" s="335"/>
      <c r="H87" s="335"/>
      <c r="I87" s="335"/>
      <c r="J87" s="335"/>
      <c r="K87" s="335"/>
      <c r="L87" s="335"/>
      <c r="M87" s="335"/>
      <c r="N87" s="335"/>
    </row>
    <row r="88" spans="1:15" x14ac:dyDescent="0.2">
      <c r="A88" s="381" t="s">
        <v>168</v>
      </c>
      <c r="B88" s="147"/>
      <c r="C88" s="378"/>
      <c r="D88" s="335"/>
      <c r="E88" s="335"/>
      <c r="F88" s="335"/>
      <c r="G88" s="335"/>
      <c r="H88" s="335"/>
      <c r="I88" s="335"/>
      <c r="J88" s="335"/>
      <c r="K88" s="335"/>
      <c r="L88" s="335"/>
      <c r="M88" s="335"/>
      <c r="N88" s="335"/>
    </row>
    <row r="89" spans="1:15" x14ac:dyDescent="0.2">
      <c r="A89" s="330" t="s">
        <v>163</v>
      </c>
      <c r="B89" s="147"/>
      <c r="C89" s="378"/>
      <c r="D89" s="333">
        <v>761036.95</v>
      </c>
      <c r="E89" s="333">
        <v>713312.87300000002</v>
      </c>
      <c r="F89" s="333">
        <v>636304.67499999993</v>
      </c>
      <c r="G89" s="333">
        <v>697285.83000000007</v>
      </c>
      <c r="H89" s="333">
        <v>690656.66999999993</v>
      </c>
      <c r="I89" s="333">
        <v>667141.85</v>
      </c>
      <c r="J89" s="333">
        <v>631149.96201329515</v>
      </c>
      <c r="K89" s="333">
        <v>606042.11775878421</v>
      </c>
      <c r="L89" s="333">
        <v>565913.01442882093</v>
      </c>
      <c r="M89" s="333">
        <v>525914.78338748356</v>
      </c>
      <c r="N89" s="333"/>
      <c r="O89" s="369"/>
    </row>
    <row r="90" spans="1:15" x14ac:dyDescent="0.2">
      <c r="A90" s="330" t="s">
        <v>165</v>
      </c>
      <c r="B90" s="147"/>
      <c r="C90" s="378"/>
      <c r="D90" s="333">
        <v>2333.1769999999997</v>
      </c>
      <c r="E90" s="333">
        <v>2174.4479999999999</v>
      </c>
      <c r="F90" s="333">
        <v>2091</v>
      </c>
      <c r="G90" s="333">
        <v>2125.66</v>
      </c>
      <c r="H90" s="333">
        <v>2268.02</v>
      </c>
      <c r="I90" s="333">
        <v>2173.14</v>
      </c>
      <c r="J90" s="333">
        <v>2037.9700000000007</v>
      </c>
      <c r="K90" s="333">
        <v>1951.2900000000013</v>
      </c>
      <c r="L90" s="333">
        <v>1856.1200000000003</v>
      </c>
      <c r="M90" s="333">
        <v>1722.9099999999978</v>
      </c>
      <c r="N90" s="333"/>
      <c r="O90" s="369"/>
    </row>
    <row r="91" spans="1:15" x14ac:dyDescent="0.2">
      <c r="A91" s="330" t="s">
        <v>237</v>
      </c>
      <c r="B91" s="147"/>
      <c r="C91" s="378"/>
      <c r="D91" s="333">
        <v>828.25</v>
      </c>
      <c r="E91" s="333">
        <v>781.91666666666663</v>
      </c>
      <c r="F91" s="333">
        <v>772.91666666666663</v>
      </c>
      <c r="G91" s="333">
        <v>773.33333333333337</v>
      </c>
      <c r="H91" s="333">
        <v>760.75</v>
      </c>
      <c r="I91" s="333">
        <v>732.5</v>
      </c>
      <c r="J91" s="333">
        <v>705.66666666666663</v>
      </c>
      <c r="K91" s="333">
        <v>698.25</v>
      </c>
      <c r="L91" s="333">
        <v>669.41666666666663</v>
      </c>
      <c r="M91" s="333">
        <v>644.66666666666663</v>
      </c>
      <c r="N91" s="333"/>
    </row>
    <row r="92" spans="1:15" x14ac:dyDescent="0.2">
      <c r="A92" s="330"/>
      <c r="B92" s="147"/>
      <c r="C92" s="378"/>
      <c r="D92" s="335"/>
      <c r="E92" s="335"/>
      <c r="F92" s="335"/>
      <c r="G92" s="335"/>
      <c r="H92" s="335"/>
      <c r="I92" s="335"/>
      <c r="J92" s="335"/>
      <c r="K92" s="335"/>
      <c r="L92" s="335"/>
      <c r="M92" s="335"/>
      <c r="N92" s="335"/>
    </row>
    <row r="93" spans="1:15" x14ac:dyDescent="0.2">
      <c r="A93" s="381" t="s">
        <v>129</v>
      </c>
      <c r="B93" s="147"/>
      <c r="C93" s="378"/>
      <c r="D93" s="335"/>
      <c r="E93" s="335"/>
      <c r="F93" s="335"/>
      <c r="G93" s="335"/>
      <c r="H93" s="335"/>
      <c r="I93" s="335"/>
      <c r="J93" s="335"/>
      <c r="K93" s="335"/>
      <c r="L93" s="335"/>
      <c r="M93" s="335"/>
      <c r="N93" s="335"/>
    </row>
    <row r="94" spans="1:15" x14ac:dyDescent="0.2">
      <c r="A94" s="330" t="s">
        <v>163</v>
      </c>
      <c r="B94" s="147"/>
      <c r="C94" s="378"/>
      <c r="D94" s="333">
        <v>1527928.1810000001</v>
      </c>
      <c r="E94" s="333">
        <v>1530261.9540000001</v>
      </c>
      <c r="F94" s="333">
        <v>1532801.659</v>
      </c>
      <c r="G94" s="333">
        <v>1503002.9500000002</v>
      </c>
      <c r="H94" s="333">
        <v>1500542.3199999998</v>
      </c>
      <c r="I94" s="333">
        <v>1416419.3800000001</v>
      </c>
      <c r="J94" s="333">
        <v>1308270.2299999995</v>
      </c>
      <c r="K94" s="333">
        <v>1307305.7299999995</v>
      </c>
      <c r="L94" s="333">
        <v>1299487.2900000005</v>
      </c>
      <c r="M94" s="333">
        <v>1307649.58</v>
      </c>
      <c r="N94" s="333"/>
    </row>
    <row r="95" spans="1:15" x14ac:dyDescent="0.2">
      <c r="A95" s="330" t="s">
        <v>165</v>
      </c>
      <c r="B95" s="147"/>
      <c r="C95" s="378"/>
      <c r="D95" s="333"/>
      <c r="E95" s="333"/>
      <c r="F95" s="333"/>
      <c r="G95" s="333"/>
      <c r="H95" s="333"/>
      <c r="I95" s="333"/>
      <c r="J95" s="333"/>
      <c r="K95" s="333"/>
      <c r="L95" s="333"/>
      <c r="M95" s="333"/>
      <c r="N95" s="333"/>
    </row>
    <row r="96" spans="1:15" x14ac:dyDescent="0.2">
      <c r="A96" s="330" t="s">
        <v>164</v>
      </c>
      <c r="B96" s="147"/>
      <c r="C96" s="378"/>
      <c r="D96" s="333">
        <v>38.666666666666664</v>
      </c>
      <c r="E96" s="333">
        <v>38.083333333333336</v>
      </c>
      <c r="F96" s="333">
        <v>40.083333333333336</v>
      </c>
      <c r="G96" s="333">
        <v>39.75</v>
      </c>
      <c r="H96" s="333">
        <v>36.25</v>
      </c>
      <c r="I96" s="333">
        <v>35.916666666666664</v>
      </c>
      <c r="J96" s="333">
        <v>49.25</v>
      </c>
      <c r="K96" s="333">
        <v>48.083333333333336</v>
      </c>
      <c r="L96" s="333">
        <v>47.166666666666664</v>
      </c>
      <c r="M96" s="333">
        <v>46</v>
      </c>
      <c r="N96" s="333"/>
    </row>
    <row r="97" spans="1:15" x14ac:dyDescent="0.2">
      <c r="A97" s="382"/>
      <c r="B97" s="147"/>
      <c r="C97" s="378"/>
      <c r="D97" s="336"/>
      <c r="E97" s="336"/>
      <c r="F97" s="336"/>
      <c r="G97" s="336"/>
      <c r="H97" s="336"/>
      <c r="I97" s="336"/>
      <c r="J97" s="336"/>
      <c r="K97" s="336"/>
      <c r="L97" s="336"/>
      <c r="M97" s="336"/>
      <c r="N97" s="336"/>
    </row>
    <row r="98" spans="1:15" x14ac:dyDescent="0.2">
      <c r="A98" s="382"/>
      <c r="B98" s="147"/>
      <c r="C98" s="378"/>
      <c r="D98" s="336"/>
      <c r="E98" s="336"/>
      <c r="F98" s="336"/>
      <c r="G98" s="336"/>
      <c r="H98" s="336"/>
      <c r="I98" s="336"/>
      <c r="J98" s="336"/>
      <c r="K98" s="336"/>
      <c r="L98" s="336"/>
      <c r="M98" s="336"/>
      <c r="N98" s="336"/>
    </row>
    <row r="99" spans="1:15" x14ac:dyDescent="0.2">
      <c r="A99" s="382"/>
      <c r="B99" s="147"/>
      <c r="C99" s="378"/>
      <c r="D99" s="336"/>
      <c r="E99" s="336"/>
      <c r="F99" s="336"/>
      <c r="G99" s="336"/>
      <c r="H99" s="336"/>
      <c r="I99" s="336"/>
      <c r="J99" s="336"/>
      <c r="K99" s="336"/>
      <c r="L99" s="336"/>
      <c r="M99" s="336"/>
      <c r="N99" s="336"/>
    </row>
    <row r="100" spans="1:15" x14ac:dyDescent="0.2">
      <c r="A100" s="381" t="s">
        <v>77</v>
      </c>
      <c r="B100" s="147"/>
      <c r="C100" s="378"/>
      <c r="D100" s="463">
        <f>D32</f>
        <v>2011</v>
      </c>
      <c r="E100" s="463">
        <f t="shared" ref="E100:M100" si="13">E32</f>
        <v>2012</v>
      </c>
      <c r="F100" s="463">
        <f t="shared" si="13"/>
        <v>2013</v>
      </c>
      <c r="G100" s="463">
        <f t="shared" si="13"/>
        <v>2014</v>
      </c>
      <c r="H100" s="463">
        <f t="shared" si="13"/>
        <v>2015</v>
      </c>
      <c r="I100" s="463">
        <f t="shared" si="13"/>
        <v>2016</v>
      </c>
      <c r="J100" s="463">
        <f t="shared" si="13"/>
        <v>2017</v>
      </c>
      <c r="K100" s="463">
        <f t="shared" si="13"/>
        <v>2018</v>
      </c>
      <c r="L100" s="463">
        <f t="shared" si="13"/>
        <v>2019</v>
      </c>
      <c r="M100" s="463">
        <f t="shared" si="13"/>
        <v>2020</v>
      </c>
      <c r="N100" s="463"/>
    </row>
    <row r="101" spans="1:15" x14ac:dyDescent="0.2">
      <c r="A101" s="330" t="s">
        <v>163</v>
      </c>
      <c r="B101" s="147"/>
      <c r="C101" s="378"/>
      <c r="D101" s="333">
        <f>D66+D70+D74+D79+D84+D89+D94</f>
        <v>540401755.88500011</v>
      </c>
      <c r="E101" s="333">
        <f t="shared" ref="E101:M101" si="14">E66+E70+E74+E79+E84+E89+E94</f>
        <v>538207566.01900005</v>
      </c>
      <c r="F101" s="333">
        <f t="shared" si="14"/>
        <v>505167326.16600007</v>
      </c>
      <c r="G101" s="333">
        <f t="shared" si="14"/>
        <v>510691252.28000003</v>
      </c>
      <c r="H101" s="333">
        <f t="shared" si="14"/>
        <v>473962855.18000001</v>
      </c>
      <c r="I101" s="333">
        <f t="shared" si="14"/>
        <v>466965821.50999999</v>
      </c>
      <c r="J101" s="333">
        <f t="shared" si="14"/>
        <v>452799209.12997222</v>
      </c>
      <c r="K101" s="333">
        <f t="shared" si="14"/>
        <v>476777176.6093052</v>
      </c>
      <c r="L101" s="333">
        <f t="shared" si="14"/>
        <v>468336925.27052456</v>
      </c>
      <c r="M101" s="333">
        <f t="shared" si="14"/>
        <v>461631476.97391683</v>
      </c>
      <c r="N101" s="333">
        <f>N66+N70+N74+N79+N84+N89</f>
        <v>0</v>
      </c>
      <c r="O101" s="369"/>
    </row>
    <row r="102" spans="1:15" x14ac:dyDescent="0.2">
      <c r="A102" s="330" t="s">
        <v>165</v>
      </c>
      <c r="B102" s="147"/>
      <c r="C102" s="378"/>
      <c r="D102" s="333">
        <f>D75+D80+D85+D90</f>
        <v>779367.4310000001</v>
      </c>
      <c r="E102" s="333">
        <f t="shared" ref="E102:M102" si="15">E75+E80+E85+E90</f>
        <v>788210.09200000006</v>
      </c>
      <c r="F102" s="333">
        <f t="shared" si="15"/>
        <v>717913.58400000003</v>
      </c>
      <c r="G102" s="333">
        <f t="shared" si="15"/>
        <v>692730.9800000001</v>
      </c>
      <c r="H102" s="333">
        <f t="shared" si="15"/>
        <v>642364.42000000004</v>
      </c>
      <c r="I102" s="333">
        <f t="shared" si="15"/>
        <v>604998.42999999993</v>
      </c>
      <c r="J102" s="333">
        <f t="shared" si="15"/>
        <v>607120.19999999995</v>
      </c>
      <c r="K102" s="333">
        <f t="shared" si="15"/>
        <v>599986.39000000013</v>
      </c>
      <c r="L102" s="333">
        <f t="shared" si="15"/>
        <v>573383.39999999967</v>
      </c>
      <c r="M102" s="333">
        <f t="shared" si="15"/>
        <v>547894.79000000015</v>
      </c>
      <c r="N102" s="333">
        <f>N75+N85+N90</f>
        <v>0</v>
      </c>
      <c r="O102" s="369"/>
    </row>
    <row r="103" spans="1:15" x14ac:dyDescent="0.2">
      <c r="A103" s="330" t="s">
        <v>239</v>
      </c>
      <c r="B103" s="147"/>
      <c r="C103" s="378"/>
      <c r="D103" s="333">
        <f>D67+D71+D76+D81</f>
        <v>28291.916666666668</v>
      </c>
      <c r="E103" s="333">
        <f t="shared" ref="E103:M103" si="16">E67+E71+E76+E81</f>
        <v>28467.416666666668</v>
      </c>
      <c r="F103" s="333">
        <f t="shared" si="16"/>
        <v>28548.499999999996</v>
      </c>
      <c r="G103" s="333">
        <f t="shared" si="16"/>
        <v>28601.666666666668</v>
      </c>
      <c r="H103" s="333">
        <f t="shared" si="16"/>
        <v>28633.083333333336</v>
      </c>
      <c r="I103" s="333">
        <f t="shared" si="16"/>
        <v>28738.666666666668</v>
      </c>
      <c r="J103" s="333">
        <f t="shared" si="16"/>
        <v>28934.083333333336</v>
      </c>
      <c r="K103" s="333">
        <f t="shared" si="16"/>
        <v>29154.25</v>
      </c>
      <c r="L103" s="333">
        <f t="shared" si="16"/>
        <v>29334</v>
      </c>
      <c r="M103" s="333">
        <f t="shared" si="16"/>
        <v>29623.416666666668</v>
      </c>
      <c r="N103" s="333">
        <f>N67+N71+N76</f>
        <v>0</v>
      </c>
    </row>
    <row r="104" spans="1:15" x14ac:dyDescent="0.2">
      <c r="A104" s="330" t="s">
        <v>238</v>
      </c>
      <c r="B104" s="147"/>
      <c r="C104" s="378"/>
      <c r="D104" s="333">
        <f>D86+D91+D96</f>
        <v>6573.25</v>
      </c>
      <c r="E104" s="333">
        <f t="shared" ref="E104:M104" si="17">E86+E91+E96</f>
        <v>6531</v>
      </c>
      <c r="F104" s="333">
        <f t="shared" si="17"/>
        <v>6512.25</v>
      </c>
      <c r="G104" s="333">
        <f t="shared" si="17"/>
        <v>6521.4166666666661</v>
      </c>
      <c r="H104" s="333">
        <f t="shared" si="17"/>
        <v>6496.583333333333</v>
      </c>
      <c r="I104" s="333">
        <f t="shared" si="17"/>
        <v>6504.166666666667</v>
      </c>
      <c r="J104" s="333">
        <f t="shared" si="17"/>
        <v>6497.8333333333339</v>
      </c>
      <c r="K104" s="333">
        <f t="shared" si="17"/>
        <v>6520.75</v>
      </c>
      <c r="L104" s="333">
        <f t="shared" si="17"/>
        <v>6595.2500000000009</v>
      </c>
      <c r="M104" s="333">
        <f t="shared" si="17"/>
        <v>6687.8333333333339</v>
      </c>
      <c r="N104" s="333">
        <f>N80+N86+N91</f>
        <v>0</v>
      </c>
    </row>
    <row r="105" spans="1:15" ht="15" x14ac:dyDescent="0.2">
      <c r="A105" s="383" t="s">
        <v>81</v>
      </c>
      <c r="B105" s="383"/>
      <c r="C105" s="384"/>
      <c r="D105" s="385"/>
      <c r="E105" s="385"/>
      <c r="F105" s="384"/>
      <c r="G105" s="384"/>
      <c r="H105" s="384"/>
      <c r="I105" s="384"/>
      <c r="J105" s="384"/>
      <c r="K105" s="384"/>
      <c r="L105" s="384"/>
      <c r="M105" s="384"/>
      <c r="N105" s="386"/>
      <c r="O105" s="386"/>
    </row>
    <row r="106" spans="1:15" ht="14.25" x14ac:dyDescent="0.2">
      <c r="A106" s="385" t="s">
        <v>80</v>
      </c>
      <c r="B106" s="385"/>
      <c r="C106" s="385"/>
      <c r="D106" s="385"/>
      <c r="E106" s="385"/>
      <c r="F106" s="384"/>
      <c r="G106" s="384"/>
      <c r="H106" s="384"/>
      <c r="I106" s="384"/>
      <c r="J106" s="384"/>
      <c r="K106" s="384"/>
      <c r="L106" s="384"/>
      <c r="M106" s="384"/>
      <c r="N106" s="386"/>
      <c r="O106" s="386"/>
    </row>
    <row r="107" spans="1:15" ht="14.25" x14ac:dyDescent="0.2">
      <c r="A107" s="385" t="s">
        <v>79</v>
      </c>
      <c r="B107" s="385"/>
      <c r="C107" s="385"/>
      <c r="D107" s="385"/>
      <c r="E107" s="385"/>
      <c r="F107" s="384"/>
      <c r="G107" s="384"/>
      <c r="H107" s="384"/>
      <c r="I107" s="384"/>
      <c r="J107" s="384"/>
      <c r="K107" s="384"/>
      <c r="L107" s="384"/>
      <c r="M107" s="384"/>
      <c r="N107" s="386"/>
      <c r="O107" s="386"/>
    </row>
    <row r="108" spans="1:15" ht="14.25" x14ac:dyDescent="0.2">
      <c r="A108" s="385"/>
      <c r="B108" s="385"/>
      <c r="C108" s="385"/>
      <c r="D108" s="385"/>
      <c r="E108" s="385"/>
      <c r="F108" s="384"/>
      <c r="G108" s="384"/>
      <c r="H108" s="384"/>
      <c r="I108" s="384"/>
      <c r="J108" s="384"/>
      <c r="K108" s="384"/>
      <c r="L108" s="384"/>
      <c r="M108" s="384"/>
      <c r="N108" s="386"/>
      <c r="O108" s="386"/>
    </row>
    <row r="109" spans="1:15" ht="15" x14ac:dyDescent="0.25">
      <c r="A109" s="387" t="s">
        <v>78</v>
      </c>
      <c r="B109" s="387"/>
      <c r="C109" s="387"/>
      <c r="D109" s="388"/>
      <c r="E109" s="145"/>
      <c r="F109" s="388"/>
      <c r="G109" s="145"/>
      <c r="H109" s="145"/>
      <c r="I109" s="388"/>
      <c r="J109" s="145"/>
      <c r="K109" s="145"/>
      <c r="L109" s="388"/>
      <c r="M109" s="145"/>
      <c r="N109" s="215"/>
      <c r="O109" s="215"/>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3:I55"/>
  <sheetViews>
    <sheetView showGridLines="0" workbookViewId="0">
      <selection activeCell="B54" sqref="B54:G55"/>
    </sheetView>
  </sheetViews>
  <sheetFormatPr defaultColWidth="9.33203125" defaultRowHeight="12.75" x14ac:dyDescent="0.2"/>
  <cols>
    <col min="1" max="5" width="18.83203125" style="12" customWidth="1"/>
    <col min="6" max="6" width="24.5" style="12" bestFit="1" customWidth="1"/>
    <col min="7" max="10" width="18.83203125" style="12" customWidth="1"/>
    <col min="11" max="16384" width="9.33203125" style="12"/>
  </cols>
  <sheetData>
    <row r="3" spans="1:9" ht="15.75" customHeight="1" x14ac:dyDescent="0.2">
      <c r="A3" s="556" t="s">
        <v>242</v>
      </c>
      <c r="B3" s="557"/>
      <c r="C3" s="557"/>
      <c r="D3" s="557"/>
      <c r="E3" s="557"/>
      <c r="F3" s="557"/>
      <c r="G3" s="557"/>
      <c r="H3" s="229"/>
      <c r="I3" s="229"/>
    </row>
    <row r="4" spans="1:9" x14ac:dyDescent="0.2">
      <c r="A4" s="223" t="s">
        <v>74</v>
      </c>
      <c r="B4" s="223" t="s">
        <v>110</v>
      </c>
      <c r="C4" s="223" t="s">
        <v>115</v>
      </c>
      <c r="D4" s="223" t="s">
        <v>143</v>
      </c>
      <c r="E4" s="223" t="s">
        <v>115</v>
      </c>
      <c r="F4" s="228" t="s">
        <v>144</v>
      </c>
      <c r="G4" s="223"/>
    </row>
    <row r="5" spans="1:9" x14ac:dyDescent="0.2">
      <c r="A5" s="238"/>
      <c r="B5" s="239" t="s">
        <v>57</v>
      </c>
      <c r="C5" s="239"/>
      <c r="D5" s="239" t="s">
        <v>57</v>
      </c>
      <c r="E5" s="239"/>
      <c r="F5" s="240"/>
      <c r="G5" s="245"/>
    </row>
    <row r="6" spans="1:9" x14ac:dyDescent="0.2">
      <c r="A6" s="160">
        <f>'Input - Customer Data'!D6</f>
        <v>2011</v>
      </c>
      <c r="B6" s="247">
        <f>SUM('Input - Adjustments &amp; Variables'!B5:B16)</f>
        <v>570956950.18999982</v>
      </c>
      <c r="C6" s="240"/>
      <c r="D6" s="247">
        <f>SUM('Input - Adjustments &amp; Variables'!H5:H16)</f>
        <v>535686877.93999976</v>
      </c>
      <c r="E6" s="240"/>
      <c r="F6" s="248">
        <f t="shared" ref="F6:F15" si="0">(D6-B6)/B6</f>
        <v>-6.1773610494211664E-2</v>
      </c>
      <c r="G6" s="248">
        <f t="shared" ref="G6:G15" si="1">IF(ABS(B6-D6)=0,0,ABS(B6-D6)/B6)</f>
        <v>6.1773610494211664E-2</v>
      </c>
    </row>
    <row r="7" spans="1:9" x14ac:dyDescent="0.2">
      <c r="A7" s="160">
        <f>'Input - Customer Data'!D7</f>
        <v>2012</v>
      </c>
      <c r="B7" s="247">
        <f>SUM('Input - Adjustments &amp; Variables'!B17:B28)</f>
        <v>563572078.28000009</v>
      </c>
      <c r="C7" s="248">
        <f>(B7-B6)/B6</f>
        <v>-1.2934200919250098E-2</v>
      </c>
      <c r="D7" s="247">
        <f>SUM('Input - Adjustments &amp; Variables'!H17:H28)</f>
        <v>521011391.83000016</v>
      </c>
      <c r="E7" s="248">
        <f>(D7-D6)/D6</f>
        <v>-2.7395642332017963E-2</v>
      </c>
      <c r="F7" s="248">
        <f t="shared" si="0"/>
        <v>-7.5519508666741397E-2</v>
      </c>
      <c r="G7" s="248">
        <f t="shared" si="1"/>
        <v>7.5519508666741397E-2</v>
      </c>
    </row>
    <row r="8" spans="1:9" x14ac:dyDescent="0.2">
      <c r="A8" s="160">
        <f>'Input - Customer Data'!D8</f>
        <v>2013</v>
      </c>
      <c r="B8" s="247">
        <f>SUM('Input - Adjustments &amp; Variables'!B29:B40)</f>
        <v>533186625.53999984</v>
      </c>
      <c r="C8" s="248">
        <f t="shared" ref="C8:C15" si="2">(B8-B7)/B7</f>
        <v>-5.3915823567298543E-2</v>
      </c>
      <c r="D8" s="247">
        <f>SUM('Input - Adjustments &amp; Variables'!H29:H40)</f>
        <v>509774030.71999979</v>
      </c>
      <c r="E8" s="248">
        <f t="shared" ref="E8:E15" si="3">(D8-D7)/D7</f>
        <v>-2.1568359706167405E-2</v>
      </c>
      <c r="F8" s="248">
        <f t="shared" si="0"/>
        <v>-4.3910694114444981E-2</v>
      </c>
      <c r="G8" s="248">
        <f t="shared" si="1"/>
        <v>4.3910694114444981E-2</v>
      </c>
    </row>
    <row r="9" spans="1:9" x14ac:dyDescent="0.2">
      <c r="A9" s="160">
        <f>'Input - Customer Data'!D9</f>
        <v>2014</v>
      </c>
      <c r="B9" s="247">
        <f>SUM('Input - Adjustments &amp; Variables'!B41:B52)</f>
        <v>535323948.29999995</v>
      </c>
      <c r="C9" s="248">
        <f t="shared" si="2"/>
        <v>4.0085828443942595E-3</v>
      </c>
      <c r="D9" s="247">
        <f>SUM('Input - Adjustments &amp; Variables'!H41:H52)</f>
        <v>504927925.73999989</v>
      </c>
      <c r="E9" s="248">
        <f t="shared" si="3"/>
        <v>-9.506378685385973E-3</v>
      </c>
      <c r="F9" s="248">
        <f t="shared" si="0"/>
        <v>-5.6780614161811946E-2</v>
      </c>
      <c r="G9" s="248">
        <f t="shared" si="1"/>
        <v>5.6780614161811946E-2</v>
      </c>
    </row>
    <row r="10" spans="1:9" x14ac:dyDescent="0.2">
      <c r="A10" s="160">
        <f>'Input - Customer Data'!D10</f>
        <v>2015</v>
      </c>
      <c r="B10" s="247">
        <f>SUM('Input - Adjustments &amp; Variables'!B53:B64)</f>
        <v>496797371.39999998</v>
      </c>
      <c r="C10" s="248">
        <f t="shared" si="2"/>
        <v>-7.1968715433611358E-2</v>
      </c>
      <c r="D10" s="247">
        <f>SUM('Input - Adjustments &amp; Variables'!H53:H64)</f>
        <v>494324941.81999999</v>
      </c>
      <c r="E10" s="248">
        <f t="shared" si="3"/>
        <v>-2.099900476778074E-2</v>
      </c>
      <c r="F10" s="248">
        <f t="shared" si="0"/>
        <v>-4.9767364368948899E-3</v>
      </c>
      <c r="G10" s="248">
        <f t="shared" si="1"/>
        <v>4.9767364368948899E-3</v>
      </c>
    </row>
    <row r="11" spans="1:9" x14ac:dyDescent="0.2">
      <c r="A11" s="160">
        <f>'Input - Customer Data'!D11</f>
        <v>2016</v>
      </c>
      <c r="B11" s="247">
        <f>SUM('Input - Adjustments &amp; Variables'!B65:B76)</f>
        <v>488555532.25999981</v>
      </c>
      <c r="C11" s="248">
        <f t="shared" si="2"/>
        <v>-1.6589941119805541E-2</v>
      </c>
      <c r="D11" s="247">
        <f>SUM('Input - Adjustments &amp; Variables'!H65:H76)</f>
        <v>491633276.0999999</v>
      </c>
      <c r="E11" s="248">
        <f t="shared" si="3"/>
        <v>-5.4451343484509277E-3</v>
      </c>
      <c r="F11" s="248">
        <f t="shared" si="0"/>
        <v>6.2996806642692509E-3</v>
      </c>
      <c r="G11" s="248">
        <f t="shared" si="1"/>
        <v>6.2996806642692509E-3</v>
      </c>
    </row>
    <row r="12" spans="1:9" x14ac:dyDescent="0.2">
      <c r="A12" s="160">
        <f>'Input - Customer Data'!D12</f>
        <v>2017</v>
      </c>
      <c r="B12" s="247">
        <f>SUM('Input - Adjustments &amp; Variables'!B77:B88)</f>
        <v>476330269.50999999</v>
      </c>
      <c r="C12" s="248">
        <f t="shared" si="2"/>
        <v>-2.5023281782210527E-2</v>
      </c>
      <c r="D12" s="247">
        <f>SUM('Input - Adjustments &amp; Variables'!H77:H88)</f>
        <v>476909006.87999994</v>
      </c>
      <c r="E12" s="248">
        <f t="shared" si="3"/>
        <v>-2.9949700184665699E-2</v>
      </c>
      <c r="F12" s="248">
        <f t="shared" si="0"/>
        <v>1.2149917967533141E-3</v>
      </c>
      <c r="G12" s="248">
        <f t="shared" si="1"/>
        <v>1.2149917967533141E-3</v>
      </c>
    </row>
    <row r="13" spans="1:9" x14ac:dyDescent="0.2">
      <c r="A13" s="160">
        <f>'Input - Customer Data'!D13</f>
        <v>2018</v>
      </c>
      <c r="B13" s="247">
        <f>SUM('Input - Adjustments &amp; Variables'!B89:B100)</f>
        <v>499580482.79999995</v>
      </c>
      <c r="C13" s="248">
        <f t="shared" si="2"/>
        <v>4.881111862556501E-2</v>
      </c>
      <c r="D13" s="247">
        <f>SUM('Input - Adjustments &amp; Variables'!H89:H100)</f>
        <v>502625267.95999998</v>
      </c>
      <c r="E13" s="248">
        <f t="shared" si="3"/>
        <v>5.3922783401049876E-2</v>
      </c>
      <c r="F13" s="248">
        <f t="shared" si="0"/>
        <v>6.0946839695075984E-3</v>
      </c>
      <c r="G13" s="248">
        <f t="shared" si="1"/>
        <v>6.0946839695075984E-3</v>
      </c>
    </row>
    <row r="14" spans="1:9" x14ac:dyDescent="0.2">
      <c r="A14" s="160">
        <f>'Input - Customer Data'!D14</f>
        <v>2019</v>
      </c>
      <c r="B14" s="247">
        <f>SUM('Input - Adjustments &amp; Variables'!B101:B112)</f>
        <v>489885593.67000008</v>
      </c>
      <c r="C14" s="248">
        <f t="shared" si="2"/>
        <v>-1.940606061242206E-2</v>
      </c>
      <c r="D14" s="247">
        <f>SUM('Input - Adjustments &amp; Variables'!H101:H112)</f>
        <v>490029500.53746313</v>
      </c>
      <c r="E14" s="248">
        <f t="shared" si="3"/>
        <v>-2.5059956642568253E-2</v>
      </c>
      <c r="F14" s="248">
        <f t="shared" si="0"/>
        <v>2.9375607146347674E-4</v>
      </c>
      <c r="G14" s="248">
        <f t="shared" si="1"/>
        <v>2.9375607146347674E-4</v>
      </c>
    </row>
    <row r="15" spans="1:9" x14ac:dyDescent="0.2">
      <c r="A15" s="160">
        <f>'Input - Customer Data'!D15</f>
        <v>2020</v>
      </c>
      <c r="B15" s="247">
        <f>SUM('Input - Adjustments &amp; Variables'!B113:B124)</f>
        <v>482685186</v>
      </c>
      <c r="C15" s="248">
        <f t="shared" si="2"/>
        <v>-1.4698141286535692E-2</v>
      </c>
      <c r="D15" s="247">
        <f>SUM('Input - Adjustments &amp; Variables'!H113:H124)</f>
        <v>482494034.60487103</v>
      </c>
      <c r="E15" s="248">
        <f t="shared" si="3"/>
        <v>-1.5377576093535621E-2</v>
      </c>
      <c r="F15" s="248">
        <f t="shared" si="0"/>
        <v>-3.9601670130594264E-4</v>
      </c>
      <c r="G15" s="248">
        <f t="shared" si="1"/>
        <v>3.9601670130594264E-4</v>
      </c>
    </row>
    <row r="16" spans="1:9" x14ac:dyDescent="0.2">
      <c r="A16" s="426" t="s">
        <v>195</v>
      </c>
      <c r="B16" s="427"/>
      <c r="C16" s="428"/>
      <c r="D16" s="427">
        <f>'Bridge&amp;Test Year Class Forecast'!E99</f>
        <v>483534816.53621757</v>
      </c>
      <c r="E16" s="428">
        <f>(D16-D15)/D15</f>
        <v>2.1570876667912869E-3</v>
      </c>
      <c r="F16" s="428"/>
      <c r="G16" s="428"/>
    </row>
    <row r="17" spans="1:7" x14ac:dyDescent="0.2">
      <c r="A17" s="426" t="s">
        <v>235</v>
      </c>
      <c r="B17" s="427"/>
      <c r="C17" s="428" t="s">
        <v>57</v>
      </c>
      <c r="D17" s="427">
        <f>'Bridge&amp;Test Year Class Forecast'!E100</f>
        <v>484684072.30779141</v>
      </c>
      <c r="E17" s="428">
        <f>(D17-D16)/D16</f>
        <v>2.3767797731846685E-3</v>
      </c>
      <c r="F17" s="428"/>
      <c r="G17" s="428"/>
    </row>
    <row r="18" spans="1:7" x14ac:dyDescent="0.2">
      <c r="B18" s="241"/>
      <c r="C18" s="241"/>
      <c r="G18" s="243"/>
    </row>
    <row r="19" spans="1:7" x14ac:dyDescent="0.2">
      <c r="F19" s="246"/>
      <c r="G19" s="243"/>
    </row>
    <row r="21" spans="1:7" ht="15.75" x14ac:dyDescent="0.2">
      <c r="A21" s="556" t="s">
        <v>252</v>
      </c>
      <c r="B21" s="557"/>
      <c r="C21" s="557"/>
      <c r="D21" s="557"/>
      <c r="E21" s="557"/>
      <c r="F21" s="557"/>
      <c r="G21" s="557"/>
    </row>
    <row r="22" spans="1:7" ht="25.5" x14ac:dyDescent="0.2">
      <c r="A22" s="223" t="s">
        <v>74</v>
      </c>
      <c r="B22" s="228" t="s">
        <v>253</v>
      </c>
      <c r="C22" s="223" t="s">
        <v>115</v>
      </c>
      <c r="D22" s="223" t="s">
        <v>142</v>
      </c>
      <c r="E22" s="223" t="s">
        <v>115</v>
      </c>
      <c r="F22" s="228" t="s">
        <v>145</v>
      </c>
      <c r="G22" s="223"/>
    </row>
    <row r="23" spans="1:7" x14ac:dyDescent="0.2">
      <c r="A23" s="238"/>
      <c r="B23" s="239"/>
      <c r="C23" s="239"/>
      <c r="D23" s="239"/>
      <c r="E23" s="239"/>
      <c r="F23" s="240"/>
      <c r="G23" s="245"/>
    </row>
    <row r="24" spans="1:7" x14ac:dyDescent="0.2">
      <c r="A24" s="160">
        <f>'Input - Customer Data'!D6</f>
        <v>2011</v>
      </c>
      <c r="B24" s="247">
        <f>D6</f>
        <v>535686877.93999976</v>
      </c>
      <c r="C24" s="240"/>
      <c r="D24" s="247">
        <f>'Bridge&amp;Test Year Class Forecast'!E5</f>
        <v>519265785.74484187</v>
      </c>
      <c r="E24" s="240"/>
      <c r="F24" s="248">
        <f>(B24-D24)/B24</f>
        <v>3.0654273739737097E-2</v>
      </c>
      <c r="G24" s="248">
        <f>IF(ABS(B24-D24)=0,0,ABS(B24-D24)/B24)</f>
        <v>3.0654273739737097E-2</v>
      </c>
    </row>
    <row r="25" spans="1:7" x14ac:dyDescent="0.2">
      <c r="A25" s="160">
        <f>'Input - Customer Data'!D7</f>
        <v>2012</v>
      </c>
      <c r="B25" s="247">
        <f t="shared" ref="B25:B33" si="4">D7</f>
        <v>521011391.83000016</v>
      </c>
      <c r="C25" s="248">
        <f t="shared" ref="C25:C33" si="5">(B25-B24)/B24</f>
        <v>-2.7395642332017963E-2</v>
      </c>
      <c r="D25" s="247">
        <f>'Bridge&amp;Test Year Class Forecast'!E6</f>
        <v>514361286.59219617</v>
      </c>
      <c r="E25" s="248">
        <f t="shared" ref="E25:E33" si="6">(D25-D24)/D24</f>
        <v>-9.445065104011479E-3</v>
      </c>
      <c r="F25" s="248">
        <f t="shared" ref="F25:F33" si="7">(B25-D25)/B25</f>
        <v>1.2763838453601118E-2</v>
      </c>
      <c r="G25" s="248">
        <f t="shared" ref="G25:G33" si="8">IF(ABS(B25-D25)=0,0,ABS(B25-D25)/B25)</f>
        <v>1.2763838453601118E-2</v>
      </c>
    </row>
    <row r="26" spans="1:7" x14ac:dyDescent="0.2">
      <c r="A26" s="160">
        <f>'Input - Customer Data'!D8</f>
        <v>2013</v>
      </c>
      <c r="B26" s="247">
        <f t="shared" si="4"/>
        <v>509774030.71999979</v>
      </c>
      <c r="C26" s="248">
        <f t="shared" si="5"/>
        <v>-2.1568359706167405E-2</v>
      </c>
      <c r="D26" s="247">
        <f>'Bridge&amp;Test Year Class Forecast'!E7</f>
        <v>518669018.32189274</v>
      </c>
      <c r="E26" s="248">
        <f t="shared" si="6"/>
        <v>8.3749143685300214E-3</v>
      </c>
      <c r="F26" s="248">
        <f t="shared" si="7"/>
        <v>-1.7448883359808966E-2</v>
      </c>
      <c r="G26" s="248">
        <f t="shared" si="8"/>
        <v>1.7448883359808966E-2</v>
      </c>
    </row>
    <row r="27" spans="1:7" x14ac:dyDescent="0.2">
      <c r="A27" s="160">
        <f>'Input - Customer Data'!D9</f>
        <v>2014</v>
      </c>
      <c r="B27" s="247">
        <f t="shared" si="4"/>
        <v>504927925.73999989</v>
      </c>
      <c r="C27" s="248">
        <f t="shared" si="5"/>
        <v>-9.506378685385973E-3</v>
      </c>
      <c r="D27" s="247">
        <f>'Bridge&amp;Test Year Class Forecast'!E8</f>
        <v>508838291.66616559</v>
      </c>
      <c r="E27" s="248">
        <f t="shared" si="6"/>
        <v>-1.8953757229482466E-2</v>
      </c>
      <c r="F27" s="248">
        <f t="shared" si="7"/>
        <v>-7.7444041551768834E-3</v>
      </c>
      <c r="G27" s="248">
        <f t="shared" si="8"/>
        <v>7.7444041551768834E-3</v>
      </c>
    </row>
    <row r="28" spans="1:7" x14ac:dyDescent="0.2">
      <c r="A28" s="160">
        <f>'Input - Customer Data'!D10</f>
        <v>2015</v>
      </c>
      <c r="B28" s="247">
        <f t="shared" si="4"/>
        <v>494324941.81999999</v>
      </c>
      <c r="C28" s="248">
        <f t="shared" si="5"/>
        <v>-2.099900476778074E-2</v>
      </c>
      <c r="D28" s="247">
        <f>'Bridge&amp;Test Year Class Forecast'!E9</f>
        <v>502378987.60518181</v>
      </c>
      <c r="E28" s="248">
        <f t="shared" si="6"/>
        <v>-1.2694217724521298E-2</v>
      </c>
      <c r="F28" s="248">
        <f t="shared" si="7"/>
        <v>-1.6293019234531289E-2</v>
      </c>
      <c r="G28" s="248">
        <f t="shared" si="8"/>
        <v>1.6293019234531289E-2</v>
      </c>
    </row>
    <row r="29" spans="1:7" x14ac:dyDescent="0.2">
      <c r="A29" s="160">
        <f>'Input - Customer Data'!D11</f>
        <v>2016</v>
      </c>
      <c r="B29" s="247">
        <f t="shared" si="4"/>
        <v>491633276.0999999</v>
      </c>
      <c r="C29" s="248">
        <f t="shared" si="5"/>
        <v>-5.4451343484509277E-3</v>
      </c>
      <c r="D29" s="247">
        <f>'Bridge&amp;Test Year Class Forecast'!E10</f>
        <v>504999217.14441788</v>
      </c>
      <c r="E29" s="248">
        <f t="shared" si="6"/>
        <v>5.2156431775273598E-3</v>
      </c>
      <c r="F29" s="248">
        <f t="shared" si="7"/>
        <v>-2.7186811174472452E-2</v>
      </c>
      <c r="G29" s="248">
        <f t="shared" si="8"/>
        <v>2.7186811174472452E-2</v>
      </c>
    </row>
    <row r="30" spans="1:7" x14ac:dyDescent="0.2">
      <c r="A30" s="160">
        <f>'Input - Customer Data'!D12</f>
        <v>2017</v>
      </c>
      <c r="B30" s="247">
        <f t="shared" si="4"/>
        <v>476909006.87999994</v>
      </c>
      <c r="C30" s="248">
        <f t="shared" si="5"/>
        <v>-2.9949700184665699E-2</v>
      </c>
      <c r="D30" s="247">
        <f>'Bridge&amp;Test Year Class Forecast'!E11</f>
        <v>480971996.28364104</v>
      </c>
      <c r="E30" s="248">
        <f t="shared" si="6"/>
        <v>-4.7578728926832417E-2</v>
      </c>
      <c r="F30" s="248">
        <f t="shared" si="7"/>
        <v>-8.5194226676944176E-3</v>
      </c>
      <c r="G30" s="248">
        <f t="shared" si="8"/>
        <v>8.5194226676944176E-3</v>
      </c>
    </row>
    <row r="31" spans="1:7" x14ac:dyDescent="0.2">
      <c r="A31" s="160">
        <f>'Input - Customer Data'!D13</f>
        <v>2018</v>
      </c>
      <c r="B31" s="247">
        <f t="shared" si="4"/>
        <v>502625267.95999998</v>
      </c>
      <c r="C31" s="248">
        <f t="shared" si="5"/>
        <v>5.3922783401049876E-2</v>
      </c>
      <c r="D31" s="247">
        <f>'Bridge&amp;Test Year Class Forecast'!E12</f>
        <v>495575207.8174206</v>
      </c>
      <c r="E31" s="248">
        <f t="shared" si="6"/>
        <v>3.036187480064367E-2</v>
      </c>
      <c r="F31" s="248">
        <f t="shared" si="7"/>
        <v>1.4026473780742029E-2</v>
      </c>
      <c r="G31" s="248">
        <f t="shared" si="8"/>
        <v>1.4026473780742029E-2</v>
      </c>
    </row>
    <row r="32" spans="1:7" x14ac:dyDescent="0.2">
      <c r="A32" s="160">
        <f>'Input - Customer Data'!D14</f>
        <v>2019</v>
      </c>
      <c r="B32" s="247">
        <f t="shared" si="4"/>
        <v>490029500.53746313</v>
      </c>
      <c r="C32" s="248">
        <f t="shared" si="5"/>
        <v>-2.5059956642568253E-2</v>
      </c>
      <c r="D32" s="247">
        <f>'Bridge&amp;Test Year Class Forecast'!E13</f>
        <v>479155760.91665858</v>
      </c>
      <c r="E32" s="248">
        <f t="shared" si="6"/>
        <v>-3.313209910777308E-2</v>
      </c>
      <c r="F32" s="248">
        <f t="shared" si="7"/>
        <v>2.2189969397512308E-2</v>
      </c>
      <c r="G32" s="248">
        <f t="shared" si="8"/>
        <v>2.2189969397512308E-2</v>
      </c>
    </row>
    <row r="33" spans="1:7" x14ac:dyDescent="0.2">
      <c r="A33" s="160">
        <f>'Input - Customer Data'!D15</f>
        <v>2020</v>
      </c>
      <c r="B33" s="247">
        <f t="shared" si="4"/>
        <v>482494034.60487103</v>
      </c>
      <c r="C33" s="248">
        <f t="shared" si="5"/>
        <v>-1.5377576093535621E-2</v>
      </c>
      <c r="D33" s="247">
        <f>'Bridge&amp;Test Year Class Forecast'!E14</f>
        <v>485200688.17516398</v>
      </c>
      <c r="E33" s="248">
        <f t="shared" si="6"/>
        <v>1.2615787498706128E-2</v>
      </c>
      <c r="F33" s="248">
        <f t="shared" si="7"/>
        <v>-5.6097140610443198E-3</v>
      </c>
      <c r="G33" s="248">
        <f t="shared" si="8"/>
        <v>5.6097140610443198E-3</v>
      </c>
    </row>
    <row r="34" spans="1:7" x14ac:dyDescent="0.2">
      <c r="A34" s="426" t="s">
        <v>195</v>
      </c>
      <c r="B34" s="427"/>
      <c r="C34" s="428"/>
      <c r="D34" s="427">
        <f>'Bridge&amp;Test Year Class Forecast'!E15</f>
        <v>483534816.53621757</v>
      </c>
      <c r="E34" s="428">
        <f>(D34-D33)/D33</f>
        <v>-3.4333661916510143E-3</v>
      </c>
      <c r="F34" s="428"/>
      <c r="G34" s="428"/>
    </row>
    <row r="35" spans="1:7" x14ac:dyDescent="0.2">
      <c r="A35" s="426" t="s">
        <v>235</v>
      </c>
      <c r="B35" s="427"/>
      <c r="C35" s="428" t="s">
        <v>57</v>
      </c>
      <c r="D35" s="427">
        <f>'Bridge&amp;Test Year Class Forecast'!E16</f>
        <v>484684072.30779141</v>
      </c>
      <c r="E35" s="428">
        <f>(D35-D34)/D34</f>
        <v>2.3767797731846685E-3</v>
      </c>
      <c r="F35" s="428"/>
      <c r="G35" s="428"/>
    </row>
    <row r="36" spans="1:7" x14ac:dyDescent="0.2">
      <c r="B36" s="241"/>
      <c r="C36" s="241"/>
      <c r="D36" s="242"/>
      <c r="F36" s="246" t="s">
        <v>117</v>
      </c>
      <c r="G36" s="243">
        <f>AVERAGE(G24:G33)</f>
        <v>1.6243681002432089E-2</v>
      </c>
    </row>
    <row r="37" spans="1:7" x14ac:dyDescent="0.2">
      <c r="F37" s="246" t="s">
        <v>116</v>
      </c>
      <c r="G37" s="243">
        <f>MEDIAN(G24:G33)</f>
        <v>1.515974650763666E-2</v>
      </c>
    </row>
    <row r="38" spans="1:7" x14ac:dyDescent="0.2">
      <c r="A38" s="244"/>
    </row>
    <row r="39" spans="1:7" x14ac:dyDescent="0.2">
      <c r="A39" s="244"/>
    </row>
    <row r="40" spans="1:7" x14ac:dyDescent="0.2">
      <c r="A40" s="244"/>
    </row>
    <row r="41" spans="1:7" ht="38.25" x14ac:dyDescent="0.2">
      <c r="A41" s="319" t="s">
        <v>146</v>
      </c>
      <c r="B41" s="319" t="s">
        <v>217</v>
      </c>
      <c r="C41" s="319" t="s">
        <v>147</v>
      </c>
      <c r="D41" s="319" t="s">
        <v>148</v>
      </c>
      <c r="E41" s="320" t="s">
        <v>149</v>
      </c>
      <c r="F41" s="320" t="s">
        <v>150</v>
      </c>
      <c r="G41" s="320" t="s">
        <v>151</v>
      </c>
    </row>
    <row r="42" spans="1:7" ht="18.75" x14ac:dyDescent="0.35">
      <c r="A42" s="319" t="s">
        <v>152</v>
      </c>
      <c r="B42" s="319" t="s">
        <v>154</v>
      </c>
      <c r="C42" s="319" t="s">
        <v>155</v>
      </c>
      <c r="D42" s="319" t="s">
        <v>156</v>
      </c>
      <c r="E42" s="319" t="s">
        <v>157</v>
      </c>
      <c r="F42" s="319" t="s">
        <v>158</v>
      </c>
      <c r="G42" s="319" t="s">
        <v>159</v>
      </c>
    </row>
    <row r="43" spans="1:7" x14ac:dyDescent="0.2">
      <c r="A43" s="319">
        <v>1</v>
      </c>
      <c r="B43" s="318">
        <f>B24</f>
        <v>535686877.93999976</v>
      </c>
      <c r="C43" s="321">
        <f t="shared" ref="C43:C52" si="9">D24</f>
        <v>519265785.74484187</v>
      </c>
      <c r="D43" s="322">
        <f>B43-C43</f>
        <v>16421092.195157886</v>
      </c>
      <c r="E43" s="322">
        <f>ABS(B43-C43)</f>
        <v>16421092.195157886</v>
      </c>
      <c r="F43" s="322">
        <f>D43^2</f>
        <v>269652268881875.22</v>
      </c>
      <c r="G43" s="323">
        <f>ABS((B43-C43)/B43)</f>
        <v>3.0654273739737097E-2</v>
      </c>
    </row>
    <row r="44" spans="1:7" x14ac:dyDescent="0.2">
      <c r="A44" s="319">
        <v>2</v>
      </c>
      <c r="B44" s="318">
        <f t="shared" ref="B44:B52" si="10">B25</f>
        <v>521011391.83000016</v>
      </c>
      <c r="C44" s="321">
        <f t="shared" si="9"/>
        <v>514361286.59219617</v>
      </c>
      <c r="D44" s="322">
        <f t="shared" ref="D44:D52" si="11">B44-C44</f>
        <v>6650105.2378039956</v>
      </c>
      <c r="E44" s="322">
        <f t="shared" ref="E44:E52" si="12">ABS(B44-C44)</f>
        <v>6650105.2378039956</v>
      </c>
      <c r="F44" s="322">
        <f t="shared" ref="F44:F52" si="13">D44^2</f>
        <v>44223899673868.141</v>
      </c>
      <c r="G44" s="323">
        <f t="shared" ref="G44:G52" si="14">ABS((B44-C44)/B44)</f>
        <v>1.2763838453601118E-2</v>
      </c>
    </row>
    <row r="45" spans="1:7" x14ac:dyDescent="0.2">
      <c r="A45" s="319">
        <v>3</v>
      </c>
      <c r="B45" s="318">
        <f t="shared" si="10"/>
        <v>509774030.71999979</v>
      </c>
      <c r="C45" s="321">
        <f t="shared" si="9"/>
        <v>518669018.32189274</v>
      </c>
      <c r="D45" s="322">
        <f t="shared" si="11"/>
        <v>-8894987.6018929482</v>
      </c>
      <c r="E45" s="322">
        <f t="shared" si="12"/>
        <v>8894987.6018929482</v>
      </c>
      <c r="F45" s="322">
        <f t="shared" si="13"/>
        <v>79120804437829.266</v>
      </c>
      <c r="G45" s="323">
        <f t="shared" si="14"/>
        <v>1.7448883359808966E-2</v>
      </c>
    </row>
    <row r="46" spans="1:7" x14ac:dyDescent="0.2">
      <c r="A46" s="319">
        <v>4</v>
      </c>
      <c r="B46" s="318">
        <f t="shared" si="10"/>
        <v>504927925.73999989</v>
      </c>
      <c r="C46" s="321">
        <f t="shared" si="9"/>
        <v>508838291.66616559</v>
      </c>
      <c r="D46" s="322">
        <f t="shared" si="11"/>
        <v>-3910365.9261657</v>
      </c>
      <c r="E46" s="322">
        <f t="shared" si="12"/>
        <v>3910365.9261657</v>
      </c>
      <c r="F46" s="322">
        <f t="shared" si="13"/>
        <v>15290961676517.732</v>
      </c>
      <c r="G46" s="323">
        <f t="shared" si="14"/>
        <v>7.7444041551768834E-3</v>
      </c>
    </row>
    <row r="47" spans="1:7" x14ac:dyDescent="0.2">
      <c r="A47" s="319">
        <v>5</v>
      </c>
      <c r="B47" s="318">
        <f t="shared" si="10"/>
        <v>494324941.81999999</v>
      </c>
      <c r="C47" s="321">
        <f t="shared" si="9"/>
        <v>502378987.60518181</v>
      </c>
      <c r="D47" s="322">
        <f t="shared" si="11"/>
        <v>-8054045.7851818204</v>
      </c>
      <c r="E47" s="322">
        <f t="shared" si="12"/>
        <v>8054045.7851818204</v>
      </c>
      <c r="F47" s="322">
        <f t="shared" si="13"/>
        <v>64867653509805.047</v>
      </c>
      <c r="G47" s="323">
        <f t="shared" si="14"/>
        <v>1.6293019234531289E-2</v>
      </c>
    </row>
    <row r="48" spans="1:7" x14ac:dyDescent="0.2">
      <c r="A48" s="319">
        <v>6</v>
      </c>
      <c r="B48" s="318">
        <f t="shared" si="10"/>
        <v>491633276.0999999</v>
      </c>
      <c r="C48" s="321">
        <f t="shared" si="9"/>
        <v>504999217.14441788</v>
      </c>
      <c r="D48" s="322">
        <f t="shared" si="11"/>
        <v>-13365941.044417977</v>
      </c>
      <c r="E48" s="322">
        <f t="shared" si="12"/>
        <v>13365941.044417977</v>
      </c>
      <c r="F48" s="322">
        <f t="shared" si="13"/>
        <v>178648380002857.13</v>
      </c>
      <c r="G48" s="323">
        <f t="shared" si="14"/>
        <v>2.7186811174472452E-2</v>
      </c>
    </row>
    <row r="49" spans="1:7" x14ac:dyDescent="0.2">
      <c r="A49" s="319">
        <v>7</v>
      </c>
      <c r="B49" s="318">
        <f t="shared" si="10"/>
        <v>476909006.87999994</v>
      </c>
      <c r="C49" s="321">
        <f t="shared" si="9"/>
        <v>480971996.28364104</v>
      </c>
      <c r="D49" s="322">
        <f t="shared" si="11"/>
        <v>-4062989.4036411047</v>
      </c>
      <c r="E49" s="322">
        <f t="shared" si="12"/>
        <v>4062989.4036411047</v>
      </c>
      <c r="F49" s="322">
        <f t="shared" si="13"/>
        <v>16507882894099.9</v>
      </c>
      <c r="G49" s="323">
        <f t="shared" si="14"/>
        <v>8.5194226676944176E-3</v>
      </c>
    </row>
    <row r="50" spans="1:7" x14ac:dyDescent="0.2">
      <c r="A50" s="319">
        <v>8</v>
      </c>
      <c r="B50" s="318">
        <f t="shared" si="10"/>
        <v>502625267.95999998</v>
      </c>
      <c r="C50" s="321">
        <f t="shared" si="9"/>
        <v>495575207.8174206</v>
      </c>
      <c r="D50" s="322">
        <f t="shared" si="11"/>
        <v>7050060.1425793767</v>
      </c>
      <c r="E50" s="322">
        <f t="shared" si="12"/>
        <v>7050060.1425793767</v>
      </c>
      <c r="F50" s="322">
        <f t="shared" si="13"/>
        <v>49703348013986.344</v>
      </c>
      <c r="G50" s="323">
        <f t="shared" si="14"/>
        <v>1.4026473780742029E-2</v>
      </c>
    </row>
    <row r="51" spans="1:7" x14ac:dyDescent="0.2">
      <c r="A51" s="319">
        <v>9</v>
      </c>
      <c r="B51" s="318">
        <f t="shared" si="10"/>
        <v>490029500.53746313</v>
      </c>
      <c r="C51" s="321">
        <f t="shared" si="9"/>
        <v>479155760.91665858</v>
      </c>
      <c r="D51" s="322">
        <f t="shared" si="11"/>
        <v>10873739.620804548</v>
      </c>
      <c r="E51" s="322">
        <f t="shared" si="12"/>
        <v>10873739.620804548</v>
      </c>
      <c r="F51" s="322">
        <f t="shared" si="13"/>
        <v>118238213341054.64</v>
      </c>
      <c r="G51" s="323">
        <f t="shared" si="14"/>
        <v>2.2189969397512308E-2</v>
      </c>
    </row>
    <row r="52" spans="1:7" x14ac:dyDescent="0.2">
      <c r="A52" s="319">
        <v>10</v>
      </c>
      <c r="B52" s="318">
        <f t="shared" si="10"/>
        <v>482494034.60487103</v>
      </c>
      <c r="C52" s="321">
        <f t="shared" si="9"/>
        <v>485200688.17516398</v>
      </c>
      <c r="D52" s="322">
        <f t="shared" si="11"/>
        <v>-2706653.5702929497</v>
      </c>
      <c r="E52" s="322">
        <f t="shared" si="12"/>
        <v>2706653.5702929497</v>
      </c>
      <c r="F52" s="322">
        <f t="shared" si="13"/>
        <v>7325973549579.5713</v>
      </c>
      <c r="G52" s="323">
        <f t="shared" si="14"/>
        <v>5.6097140610443198E-3</v>
      </c>
    </row>
    <row r="53" spans="1:7" x14ac:dyDescent="0.2">
      <c r="A53" s="319"/>
      <c r="B53" s="317" t="s">
        <v>153</v>
      </c>
      <c r="C53" s="324"/>
      <c r="D53" s="325">
        <f>SUM(D43:D52)</f>
        <v>13.864753305912018</v>
      </c>
      <c r="E53" s="486">
        <f>SUM(E43:E52)</f>
        <v>81989980.527938306</v>
      </c>
      <c r="F53" s="486">
        <f>SUM(F43:F52)</f>
        <v>843579385981473</v>
      </c>
      <c r="G53" s="325">
        <f>SUM(G43:G52)</f>
        <v>0.16243681002432089</v>
      </c>
    </row>
    <row r="54" spans="1:7" x14ac:dyDescent="0.2">
      <c r="B54" s="317" t="s">
        <v>254</v>
      </c>
      <c r="C54" s="324"/>
      <c r="D54" s="325"/>
      <c r="E54" s="486">
        <f>E53/10</f>
        <v>8198998.0527938306</v>
      </c>
      <c r="F54" s="486">
        <f>F53/10</f>
        <v>84357938598147.297</v>
      </c>
      <c r="G54" s="325">
        <f>G53/10</f>
        <v>1.6243681002432089E-2</v>
      </c>
    </row>
    <row r="55" spans="1:7" x14ac:dyDescent="0.2">
      <c r="B55" s="487" t="s">
        <v>255</v>
      </c>
      <c r="C55" s="487"/>
      <c r="D55" s="487"/>
      <c r="E55" s="487"/>
      <c r="F55" s="486">
        <f>SQRT(F54)</f>
        <v>9184657.783398753</v>
      </c>
      <c r="G55" s="487"/>
    </row>
  </sheetData>
  <sheetProtection selectLockedCells="1" selectUnlockedCells="1"/>
  <mergeCells count="2">
    <mergeCell ref="A21:G21"/>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B81"/>
  <sheetViews>
    <sheetView zoomScale="98" zoomScaleNormal="98" workbookViewId="0">
      <selection activeCell="D25" sqref="D25"/>
    </sheetView>
  </sheetViews>
  <sheetFormatPr defaultColWidth="9.33203125" defaultRowHeight="12.75" x14ac:dyDescent="0.2"/>
  <cols>
    <col min="1" max="1" width="49.33203125" style="12" bestFit="1" customWidth="1"/>
    <col min="2" max="2" width="17.1640625" style="345" customWidth="1"/>
    <col min="3" max="11" width="16.33203125" style="345" bestFit="1" customWidth="1"/>
    <col min="12" max="12" width="16.33203125" style="345" customWidth="1"/>
    <col min="13" max="13" width="14.5" style="345" customWidth="1"/>
    <col min="14" max="14" width="13.33203125" style="12" customWidth="1"/>
    <col min="15" max="30" width="9.33203125" style="12"/>
    <col min="31" max="31" width="11.33203125" style="12" bestFit="1" customWidth="1"/>
    <col min="32" max="16384" width="9.33203125" style="12"/>
  </cols>
  <sheetData>
    <row r="1" spans="1:28" x14ac:dyDescent="0.2">
      <c r="AB1" s="12" t="s">
        <v>49</v>
      </c>
    </row>
    <row r="2" spans="1:28" ht="15.75" x14ac:dyDescent="0.2">
      <c r="A2" s="346" t="s">
        <v>110</v>
      </c>
      <c r="B2" s="346">
        <f>'Input - Customer Data'!$B6-10</f>
        <v>2011</v>
      </c>
      <c r="C2" s="346">
        <f>'Input - Customer Data'!$B6-9</f>
        <v>2012</v>
      </c>
      <c r="D2" s="346">
        <f>'Input - Customer Data'!$B6-8</f>
        <v>2013</v>
      </c>
      <c r="E2" s="346">
        <f>'Input - Customer Data'!$B6-7</f>
        <v>2014</v>
      </c>
      <c r="F2" s="346">
        <f>'Input - Customer Data'!$B6-6</f>
        <v>2015</v>
      </c>
      <c r="G2" s="346">
        <f>'Input - Customer Data'!$B6-5</f>
        <v>2016</v>
      </c>
      <c r="H2" s="346">
        <f>'Input - Customer Data'!$B6-4</f>
        <v>2017</v>
      </c>
      <c r="I2" s="346">
        <f>'Input - Customer Data'!$B6-3</f>
        <v>2018</v>
      </c>
      <c r="J2" s="346">
        <f>'Input - Customer Data'!$B6-2</f>
        <v>2019</v>
      </c>
      <c r="K2" s="346">
        <f>'Input - Customer Data'!$B6-1</f>
        <v>2020</v>
      </c>
      <c r="L2" s="346" t="s">
        <v>99</v>
      </c>
    </row>
    <row r="3" spans="1:28" x14ac:dyDescent="0.2">
      <c r="A3" s="328" t="s">
        <v>73</v>
      </c>
      <c r="B3" s="327">
        <f>'Input - Adjustments &amp; Variables'!B5</f>
        <v>52646061.059999987</v>
      </c>
      <c r="C3" s="327">
        <f>'Input - Adjustments &amp; Variables'!B17</f>
        <v>49830132.730000034</v>
      </c>
      <c r="D3" s="327">
        <f>'Input - Adjustments &amp; Variables'!B29</f>
        <v>50854515.269999981</v>
      </c>
      <c r="E3" s="327">
        <f>'Input - Adjustments &amp; Variables'!B41</f>
        <v>52863793.569999993</v>
      </c>
      <c r="F3" s="327">
        <f>'Input - Adjustments &amp; Variables'!B53</f>
        <v>50100445.24000001</v>
      </c>
      <c r="G3" s="327">
        <f>'Input - Adjustments &amp; Variables'!B65</f>
        <v>44500830.719999984</v>
      </c>
      <c r="H3" s="327">
        <f>'Input - Adjustments &amp; Variables'!B77</f>
        <v>43062641.590000018</v>
      </c>
      <c r="I3" s="327">
        <f>'Input - Adjustments &amp; Variables'!B89</f>
        <v>47052385.459999971</v>
      </c>
      <c r="J3" s="327">
        <f>'Input - Adjustments &amp; Variables'!B101</f>
        <v>46622026.859999999</v>
      </c>
      <c r="K3" s="327">
        <f>'Input - Adjustments &amp; Variables'!B113</f>
        <v>44000407</v>
      </c>
      <c r="L3" s="347">
        <f t="shared" ref="L3:L14" si="0">AVERAGE(B3:K3)</f>
        <v>48153323.950000003</v>
      </c>
    </row>
    <row r="4" spans="1:28" x14ac:dyDescent="0.2">
      <c r="A4" s="328" t="s">
        <v>72</v>
      </c>
      <c r="B4" s="327">
        <f>'Input - Adjustments &amp; Variables'!B6</f>
        <v>47886036.089999989</v>
      </c>
      <c r="C4" s="327">
        <f>'Input - Adjustments &amp; Variables'!B18</f>
        <v>46681742.650000036</v>
      </c>
      <c r="D4" s="327">
        <f>'Input - Adjustments &amp; Variables'!B30</f>
        <v>45891597.809999987</v>
      </c>
      <c r="E4" s="327">
        <f>'Input - Adjustments &amp; Variables'!B42</f>
        <v>46902074.210000008</v>
      </c>
      <c r="F4" s="327">
        <f>'Input - Adjustments &amp; Variables'!B54</f>
        <v>46271066.69000002</v>
      </c>
      <c r="G4" s="327">
        <f>'Input - Adjustments &amp; Variables'!B66</f>
        <v>40982390.300000004</v>
      </c>
      <c r="H4" s="327">
        <f>'Input - Adjustments &amp; Variables'!B78</f>
        <v>37522207.099999994</v>
      </c>
      <c r="I4" s="327">
        <f>'Input - Adjustments &amp; Variables'!B90</f>
        <v>39540897.230000019</v>
      </c>
      <c r="J4" s="327">
        <f>'Input - Adjustments &amp; Variables'!B102</f>
        <v>41188691.579999998</v>
      </c>
      <c r="K4" s="327">
        <f>'Input - Adjustments &amp; Variables'!B114</f>
        <v>41219886</v>
      </c>
      <c r="L4" s="347">
        <f t="shared" si="0"/>
        <v>43408658.966000006</v>
      </c>
    </row>
    <row r="5" spans="1:28" x14ac:dyDescent="0.2">
      <c r="A5" s="328" t="s">
        <v>71</v>
      </c>
      <c r="B5" s="327">
        <f>'Input - Adjustments &amp; Variables'!B7</f>
        <v>50044994.409999982</v>
      </c>
      <c r="C5" s="327">
        <f>'Input - Adjustments &amp; Variables'!B19</f>
        <v>45705990.230000004</v>
      </c>
      <c r="D5" s="327">
        <f>'Input - Adjustments &amp; Variables'!B31</f>
        <v>45408057.419999965</v>
      </c>
      <c r="E5" s="327">
        <f>'Input - Adjustments &amp; Variables'!B43</f>
        <v>49147286.989999995</v>
      </c>
      <c r="F5" s="327">
        <f>'Input - Adjustments &amp; Variables'!B55</f>
        <v>44501238.159999989</v>
      </c>
      <c r="G5" s="327">
        <f>'Input - Adjustments &amp; Variables'!B67</f>
        <v>39758543.469999999</v>
      </c>
      <c r="H5" s="327">
        <f>'Input - Adjustments &amp; Variables'!B79</f>
        <v>41370878.749999993</v>
      </c>
      <c r="I5" s="327">
        <f>'Input - Adjustments &amp; Variables'!B91</f>
        <v>41548740.249999993</v>
      </c>
      <c r="J5" s="327">
        <f>'Input - Adjustments &amp; Variables'!B103</f>
        <v>42070897.649999976</v>
      </c>
      <c r="K5" s="327">
        <f>'Input - Adjustments &amp; Variables'!B115</f>
        <v>39943443</v>
      </c>
      <c r="L5" s="347">
        <f t="shared" si="0"/>
        <v>43950007.032999992</v>
      </c>
    </row>
    <row r="6" spans="1:28" x14ac:dyDescent="0.2">
      <c r="A6" s="328" t="s">
        <v>70</v>
      </c>
      <c r="B6" s="327">
        <f>'Input - Adjustments &amp; Variables'!B8</f>
        <v>43929197.81000001</v>
      </c>
      <c r="C6" s="327">
        <f>'Input - Adjustments &amp; Variables'!B20</f>
        <v>42394150.290000021</v>
      </c>
      <c r="D6" s="327">
        <f>'Input - Adjustments &amp; Variables'!B32</f>
        <v>40508542.919999994</v>
      </c>
      <c r="E6" s="327">
        <f>'Input - Adjustments &amp; Variables'!B44</f>
        <v>41905954.449999988</v>
      </c>
      <c r="F6" s="327">
        <f>'Input - Adjustments &amp; Variables'!B56</f>
        <v>37785791.490000002</v>
      </c>
      <c r="G6" s="327">
        <f>'Input - Adjustments &amp; Variables'!B68</f>
        <v>36143916.349999994</v>
      </c>
      <c r="H6" s="327">
        <f>'Input - Adjustments &amp; Variables'!B80</f>
        <v>35639117.619999968</v>
      </c>
      <c r="I6" s="327">
        <f>'Input - Adjustments &amp; Variables'!B92</f>
        <v>38285930.12999998</v>
      </c>
      <c r="J6" s="327">
        <f>'Input - Adjustments &amp; Variables'!B104</f>
        <v>36296821.840000033</v>
      </c>
      <c r="K6" s="327">
        <f>'Input - Adjustments &amp; Variables'!B116</f>
        <v>34785312</v>
      </c>
      <c r="L6" s="347">
        <f t="shared" si="0"/>
        <v>38767473.489999995</v>
      </c>
    </row>
    <row r="7" spans="1:28" x14ac:dyDescent="0.2">
      <c r="A7" s="328" t="s">
        <v>69</v>
      </c>
      <c r="B7" s="327">
        <f>'Input - Adjustments &amp; Variables'!B9</f>
        <v>43129960.770000003</v>
      </c>
      <c r="C7" s="327">
        <f>'Input - Adjustments &amp; Variables'!B21</f>
        <v>44171430.339999989</v>
      </c>
      <c r="D7" s="327">
        <f>'Input - Adjustments &amp; Variables'!B33</f>
        <v>40367332.749999978</v>
      </c>
      <c r="E7" s="327">
        <f>'Input - Adjustments &amp; Variables'!B45</f>
        <v>40009171.760000005</v>
      </c>
      <c r="F7" s="327">
        <f>'Input - Adjustments &amp; Variables'!B57</f>
        <v>36307057.780000001</v>
      </c>
      <c r="G7" s="327">
        <f>'Input - Adjustments &amp; Variables'!B69</f>
        <v>35571116.150000006</v>
      </c>
      <c r="H7" s="327">
        <f>'Input - Adjustments &amp; Variables'!B81</f>
        <v>36632679.980000012</v>
      </c>
      <c r="I7" s="327">
        <f>'Input - Adjustments &amp; Variables'!B93</f>
        <v>36063657.63000001</v>
      </c>
      <c r="J7" s="327">
        <f>'Input - Adjustments &amp; Variables'!B105</f>
        <v>35335301.459999986</v>
      </c>
      <c r="K7" s="327">
        <f>'Input - Adjustments &amp; Variables'!B117</f>
        <v>35305256</v>
      </c>
      <c r="L7" s="347">
        <f t="shared" si="0"/>
        <v>38289296.461999997</v>
      </c>
    </row>
    <row r="8" spans="1:28" x14ac:dyDescent="0.2">
      <c r="A8" s="328" t="s">
        <v>68</v>
      </c>
      <c r="B8" s="327">
        <f>'Input - Adjustments &amp; Variables'!B10</f>
        <v>45531832.089999981</v>
      </c>
      <c r="C8" s="327">
        <f>'Input - Adjustments &amp; Variables'!B22</f>
        <v>47092605</v>
      </c>
      <c r="D8" s="327">
        <f>'Input - Adjustments &amp; Variables'!B34</f>
        <v>41861470.480000004</v>
      </c>
      <c r="E8" s="327">
        <f>'Input - Adjustments &amp; Variables'!B46</f>
        <v>45061481.739999995</v>
      </c>
      <c r="F8" s="327">
        <f>'Input - Adjustments &amp; Variables'!B58</f>
        <v>37811947.970000021</v>
      </c>
      <c r="G8" s="327">
        <f>'Input - Adjustments &amp; Variables'!B70</f>
        <v>39220373.289999992</v>
      </c>
      <c r="H8" s="327">
        <f>'Input - Adjustments &amp; Variables'!B82</f>
        <v>38109511.749999993</v>
      </c>
      <c r="I8" s="327">
        <f>'Input - Adjustments &amp; Variables'!B94</f>
        <v>38564071.070000008</v>
      </c>
      <c r="J8" s="327">
        <f>'Input - Adjustments &amp; Variables'!B106</f>
        <v>36918421.580000013</v>
      </c>
      <c r="K8" s="327">
        <f>'Input - Adjustments &amp; Variables'!B118</f>
        <v>39004716</v>
      </c>
      <c r="L8" s="347">
        <f t="shared" si="0"/>
        <v>40917643.097000003</v>
      </c>
    </row>
    <row r="9" spans="1:28" x14ac:dyDescent="0.2">
      <c r="A9" s="328" t="s">
        <v>67</v>
      </c>
      <c r="B9" s="327">
        <f>'Input - Adjustments &amp; Variables'!B11</f>
        <v>56530774.029999986</v>
      </c>
      <c r="C9" s="327">
        <f>'Input - Adjustments &amp; Variables'!B23</f>
        <v>56616414.859999955</v>
      </c>
      <c r="D9" s="327">
        <f>'Input - Adjustments &amp; Variables'!B35</f>
        <v>51710807.499999985</v>
      </c>
      <c r="E9" s="327">
        <f>'Input - Adjustments &amp; Variables'!B47</f>
        <v>46747535.099999979</v>
      </c>
      <c r="F9" s="327">
        <f>'Input - Adjustments &amp; Variables'!B59</f>
        <v>44310484.200000025</v>
      </c>
      <c r="G9" s="327">
        <f>'Input - Adjustments &amp; Variables'!B71</f>
        <v>47066419.799999982</v>
      </c>
      <c r="H9" s="327">
        <f>'Input - Adjustments &amp; Variables'!B83</f>
        <v>43845120.699999988</v>
      </c>
      <c r="I9" s="327">
        <f>'Input - Adjustments &amp; Variables'!B95</f>
        <v>49628857.740000024</v>
      </c>
      <c r="J9" s="327">
        <f>'Input - Adjustments &amp; Variables'!B107</f>
        <v>48958080.650000021</v>
      </c>
      <c r="K9" s="327">
        <f>'Input - Adjustments &amp; Variables'!B119</f>
        <v>51209111</v>
      </c>
      <c r="L9" s="347">
        <f t="shared" si="0"/>
        <v>49662360.557999991</v>
      </c>
    </row>
    <row r="10" spans="1:28" x14ac:dyDescent="0.2">
      <c r="A10" s="328" t="s">
        <v>66</v>
      </c>
      <c r="B10" s="327">
        <f>'Input - Adjustments &amp; Variables'!B12</f>
        <v>53168646.089999974</v>
      </c>
      <c r="C10" s="327">
        <f>'Input - Adjustments &amp; Variables'!B24</f>
        <v>53263093.910000011</v>
      </c>
      <c r="D10" s="327">
        <f>'Input - Adjustments &amp; Variables'!B36</f>
        <v>47450772.329999983</v>
      </c>
      <c r="E10" s="327">
        <f>'Input - Adjustments &amp; Variables'!B48</f>
        <v>44915574.590000011</v>
      </c>
      <c r="F10" s="327">
        <f>'Input - Adjustments &amp; Variables'!B60</f>
        <v>43495493.139999993</v>
      </c>
      <c r="G10" s="327">
        <f>'Input - Adjustments &amp; Variables'!B72</f>
        <v>50793950.229999974</v>
      </c>
      <c r="H10" s="327">
        <f>'Input - Adjustments &amp; Variables'!B84</f>
        <v>43171748.199999966</v>
      </c>
      <c r="I10" s="327">
        <f>'Input - Adjustments &amp; Variables'!B96</f>
        <v>48629695.239999965</v>
      </c>
      <c r="J10" s="327">
        <f>'Input - Adjustments &amp; Variables'!B108</f>
        <v>45777930.170000002</v>
      </c>
      <c r="K10" s="327">
        <f>'Input - Adjustments &amp; Variables'!B120</f>
        <v>45776807</v>
      </c>
      <c r="L10" s="347">
        <f t="shared" si="0"/>
        <v>47644371.089999989</v>
      </c>
    </row>
    <row r="11" spans="1:28" x14ac:dyDescent="0.2">
      <c r="A11" s="328" t="s">
        <v>65</v>
      </c>
      <c r="B11" s="327">
        <f>'Input - Adjustments &amp; Variables'!B13</f>
        <v>45998198.719999947</v>
      </c>
      <c r="C11" s="327">
        <f>'Input - Adjustments &amp; Variables'!B25</f>
        <v>44675833.469999984</v>
      </c>
      <c r="D11" s="327">
        <f>'Input - Adjustments &amp; Variables'!B37</f>
        <v>40219617.969999991</v>
      </c>
      <c r="E11" s="327">
        <f>'Input - Adjustments &amp; Variables'!B49</f>
        <v>39557943.620000012</v>
      </c>
      <c r="F11" s="327">
        <f>'Input - Adjustments &amp; Variables'!B61</f>
        <v>41484817.669999972</v>
      </c>
      <c r="G11" s="327">
        <f>'Input - Adjustments &amp; Variables'!B73</f>
        <v>39568638.049999982</v>
      </c>
      <c r="H11" s="327">
        <f>'Input - Adjustments &amp; Variables'!B85</f>
        <v>38578980.680000037</v>
      </c>
      <c r="I11" s="327">
        <f>'Input - Adjustments &amp; Variables'!B97</f>
        <v>41064153.550000027</v>
      </c>
      <c r="J11" s="327">
        <f>'Input - Adjustments &amp; Variables'!B109</f>
        <v>37514501.140000001</v>
      </c>
      <c r="K11" s="327">
        <f>'Input - Adjustments &amp; Variables'!B121</f>
        <v>36368524</v>
      </c>
      <c r="L11" s="347">
        <f t="shared" si="0"/>
        <v>40503120.886999995</v>
      </c>
    </row>
    <row r="12" spans="1:28" x14ac:dyDescent="0.2">
      <c r="A12" s="328" t="s">
        <v>64</v>
      </c>
      <c r="B12" s="327">
        <f>'Input - Adjustments &amp; Variables'!B14</f>
        <v>43453458.649999976</v>
      </c>
      <c r="C12" s="327">
        <f>'Input - Adjustments &amp; Variables'!B26</f>
        <v>43218262.50000003</v>
      </c>
      <c r="D12" s="327">
        <f>'Input - Adjustments &amp; Variables'!B38</f>
        <v>40606721.039999992</v>
      </c>
      <c r="E12" s="327">
        <f>'Input - Adjustments &amp; Variables'!B50</f>
        <v>39850442.429999992</v>
      </c>
      <c r="F12" s="327">
        <f>'Input - Adjustments &amp; Variables'!B62</f>
        <v>38178097.399999984</v>
      </c>
      <c r="G12" s="327">
        <f>'Input - Adjustments &amp; Variables'!B74</f>
        <v>35855555.68999996</v>
      </c>
      <c r="H12" s="327">
        <f>'Input - Adjustments &amp; Variables'!B86</f>
        <v>35892870.779999956</v>
      </c>
      <c r="I12" s="327">
        <f>'Input - Adjustments &amp; Variables'!B98</f>
        <v>37443471.689999975</v>
      </c>
      <c r="J12" s="327">
        <f>'Input - Adjustments &amp; Variables'!B110</f>
        <v>36374484.030000001</v>
      </c>
      <c r="K12" s="327">
        <f>'Input - Adjustments &amp; Variables'!B122</f>
        <v>35464048</v>
      </c>
      <c r="L12" s="347">
        <f t="shared" si="0"/>
        <v>38633741.220999993</v>
      </c>
    </row>
    <row r="13" spans="1:28" x14ac:dyDescent="0.2">
      <c r="A13" s="328" t="s">
        <v>63</v>
      </c>
      <c r="B13" s="327">
        <f>'Input - Adjustments &amp; Variables'!B15</f>
        <v>42419852.18999999</v>
      </c>
      <c r="C13" s="327">
        <f>'Input - Adjustments &amp; Variables'!B27</f>
        <v>44348257.809999987</v>
      </c>
      <c r="D13" s="327">
        <f>'Input - Adjustments &amp; Variables'!B39</f>
        <v>41891121.289999954</v>
      </c>
      <c r="E13" s="327">
        <f>'Input - Adjustments &amp; Variables'!B51</f>
        <v>43491696.789999977</v>
      </c>
      <c r="F13" s="327">
        <f>'Input - Adjustments &amp; Variables'!B63</f>
        <v>36946837.530000001</v>
      </c>
      <c r="G13" s="327">
        <f>'Input - Adjustments &amp; Variables'!B75</f>
        <v>36559281.450000003</v>
      </c>
      <c r="H13" s="327">
        <f>'Input - Adjustments &amp; Variables'!B87</f>
        <v>38713504.909999996</v>
      </c>
      <c r="I13" s="327">
        <f>'Input - Adjustments &amp; Variables'!B99</f>
        <v>39843675.400000006</v>
      </c>
      <c r="J13" s="327">
        <f>'Input - Adjustments &amp; Variables'!B111</f>
        <v>40089238.080000013</v>
      </c>
      <c r="K13" s="327">
        <f>'Input - Adjustments &amp; Variables'!B123</f>
        <v>36859381</v>
      </c>
      <c r="L13" s="347">
        <f t="shared" si="0"/>
        <v>40116284.644999996</v>
      </c>
    </row>
    <row r="14" spans="1:28" x14ac:dyDescent="0.2">
      <c r="A14" s="328" t="s">
        <v>62</v>
      </c>
      <c r="B14" s="327">
        <f>'Input - Adjustments &amp; Variables'!B16</f>
        <v>46217938.279999964</v>
      </c>
      <c r="C14" s="327">
        <f>'Input - Adjustments &amp; Variables'!B28</f>
        <v>45574164.490000024</v>
      </c>
      <c r="D14" s="327">
        <f>'Input - Adjustments &amp; Variables'!B40</f>
        <v>46416068.759999998</v>
      </c>
      <c r="E14" s="327">
        <f>'Input - Adjustments &amp; Variables'!B52</f>
        <v>44870993.049999982</v>
      </c>
      <c r="F14" s="327">
        <f>'Input - Adjustments &amp; Variables'!B64</f>
        <v>39604094.129999995</v>
      </c>
      <c r="G14" s="327">
        <f>'Input - Adjustments &amp; Variables'!B76</f>
        <v>42534516.759999998</v>
      </c>
      <c r="H14" s="327">
        <f>'Input - Adjustments &amp; Variables'!B88</f>
        <v>43791007.450000025</v>
      </c>
      <c r="I14" s="327">
        <f>'Input - Adjustments &amp; Variables'!B100</f>
        <v>41914947.409999989</v>
      </c>
      <c r="J14" s="327">
        <f>'Input - Adjustments &amp; Variables'!B112</f>
        <v>42739198.629999965</v>
      </c>
      <c r="K14" s="327">
        <f>'Input - Adjustments &amp; Variables'!B124</f>
        <v>42748295</v>
      </c>
      <c r="L14" s="347">
        <f t="shared" si="0"/>
        <v>43641122.39599999</v>
      </c>
    </row>
    <row r="15" spans="1:28" x14ac:dyDescent="0.2">
      <c r="A15" s="343" t="s">
        <v>77</v>
      </c>
      <c r="B15" s="348">
        <f>SUM(B3:B14)</f>
        <v>570956950.18999982</v>
      </c>
      <c r="C15" s="348">
        <f t="shared" ref="C15:K15" si="1">SUM(C3:C14)</f>
        <v>563572078.28000009</v>
      </c>
      <c r="D15" s="348">
        <f t="shared" si="1"/>
        <v>533186625.53999984</v>
      </c>
      <c r="E15" s="348">
        <f t="shared" si="1"/>
        <v>535323948.29999995</v>
      </c>
      <c r="F15" s="348">
        <f t="shared" si="1"/>
        <v>496797371.39999998</v>
      </c>
      <c r="G15" s="348">
        <f t="shared" si="1"/>
        <v>488555532.25999981</v>
      </c>
      <c r="H15" s="348">
        <f t="shared" si="1"/>
        <v>476330269.50999999</v>
      </c>
      <c r="I15" s="348">
        <f t="shared" si="1"/>
        <v>499580482.79999995</v>
      </c>
      <c r="J15" s="348">
        <f t="shared" si="1"/>
        <v>489885593.67000008</v>
      </c>
      <c r="K15" s="348">
        <f t="shared" si="1"/>
        <v>482685186</v>
      </c>
      <c r="L15" s="348">
        <f>SUM(L3:L14)</f>
        <v>513687403.79499996</v>
      </c>
    </row>
    <row r="16" spans="1:28" x14ac:dyDescent="0.2">
      <c r="A16" s="343"/>
      <c r="B16" s="348"/>
      <c r="C16" s="348"/>
      <c r="D16" s="348"/>
      <c r="E16" s="348"/>
      <c r="F16" s="348"/>
      <c r="G16" s="348"/>
      <c r="H16" s="348"/>
      <c r="I16" s="348"/>
      <c r="J16" s="348"/>
      <c r="K16" s="348"/>
      <c r="L16" s="376"/>
      <c r="M16"/>
    </row>
    <row r="17" spans="1:14" x14ac:dyDescent="0.2">
      <c r="A17" s="245" t="s">
        <v>185</v>
      </c>
      <c r="B17" s="349">
        <v>540401755.88500011</v>
      </c>
      <c r="C17" s="349">
        <v>538207566.01900005</v>
      </c>
      <c r="D17" s="349">
        <v>505167326.16600001</v>
      </c>
      <c r="E17" s="349">
        <v>511104041.29000002</v>
      </c>
      <c r="F17" s="349">
        <v>473917460</v>
      </c>
      <c r="G17" s="349">
        <v>465705113</v>
      </c>
      <c r="H17" s="349">
        <v>453559560</v>
      </c>
      <c r="I17" s="349">
        <v>477262946</v>
      </c>
      <c r="J17" s="349">
        <v>469366151</v>
      </c>
      <c r="K17" s="349"/>
      <c r="L17" s="349"/>
      <c r="M17"/>
    </row>
    <row r="18" spans="1:14" x14ac:dyDescent="0.2">
      <c r="A18" s="245" t="s">
        <v>186</v>
      </c>
      <c r="B18" s="349">
        <v>30415477</v>
      </c>
      <c r="C18" s="349">
        <v>25753614</v>
      </c>
      <c r="D18" s="349">
        <v>28773383</v>
      </c>
      <c r="E18" s="349">
        <v>25551837.039999977</v>
      </c>
      <c r="F18" s="349">
        <v>25547003</v>
      </c>
      <c r="G18" s="349">
        <v>26890231</v>
      </c>
      <c r="H18" s="349">
        <v>25935553</v>
      </c>
      <c r="I18" s="349">
        <v>25806794</v>
      </c>
      <c r="J18" s="349">
        <v>24105298</v>
      </c>
      <c r="K18" s="349"/>
      <c r="L18" s="349"/>
      <c r="M18"/>
    </row>
    <row r="19" spans="1:14" x14ac:dyDescent="0.2">
      <c r="A19" s="245" t="s">
        <v>243</v>
      </c>
      <c r="B19" s="349">
        <v>-218749.77</v>
      </c>
      <c r="C19" s="349">
        <v>-575520.96</v>
      </c>
      <c r="D19" s="349">
        <v>-725168</v>
      </c>
      <c r="E19" s="349">
        <v>-1333324.74</v>
      </c>
      <c r="F19" s="349">
        <v>-2667090.94</v>
      </c>
      <c r="G19" s="349">
        <v>-3567157.9</v>
      </c>
      <c r="H19" s="349">
        <v>-3165152.14</v>
      </c>
      <c r="I19" s="349">
        <v>-3479734.9</v>
      </c>
      <c r="J19" s="349">
        <v>-3643028.82</v>
      </c>
      <c r="K19" s="349"/>
      <c r="L19" s="349"/>
      <c r="M19"/>
    </row>
    <row r="20" spans="1:14" x14ac:dyDescent="0.2">
      <c r="A20" s="441" t="s">
        <v>77</v>
      </c>
      <c r="B20" s="367">
        <f t="shared" ref="B20:J20" si="2">SUM(B17:B19)</f>
        <v>570598483.11500013</v>
      </c>
      <c r="C20" s="367">
        <f t="shared" si="2"/>
        <v>563385659.05900002</v>
      </c>
      <c r="D20" s="367">
        <f t="shared" si="2"/>
        <v>533215541.16600001</v>
      </c>
      <c r="E20" s="367">
        <f t="shared" si="2"/>
        <v>535322553.58999997</v>
      </c>
      <c r="F20" s="367">
        <f t="shared" si="2"/>
        <v>496797372.06</v>
      </c>
      <c r="G20" s="367">
        <f t="shared" si="2"/>
        <v>489028186.10000002</v>
      </c>
      <c r="H20" s="367">
        <f t="shared" si="2"/>
        <v>476329960.86000001</v>
      </c>
      <c r="I20" s="367">
        <f t="shared" si="2"/>
        <v>499590005.10000002</v>
      </c>
      <c r="J20" s="367">
        <f t="shared" si="2"/>
        <v>489828420.18000001</v>
      </c>
      <c r="K20" s="367"/>
      <c r="L20" s="367"/>
      <c r="M20"/>
    </row>
    <row r="21" spans="1:14" x14ac:dyDescent="0.2">
      <c r="A21" s="363" t="s">
        <v>184</v>
      </c>
      <c r="B21" s="368">
        <f t="shared" ref="B21:J21" si="3">B20-B15</f>
        <v>-358467.07499969006</v>
      </c>
      <c r="C21" s="368">
        <f t="shared" si="3"/>
        <v>-186419.22100007534</v>
      </c>
      <c r="D21" s="368">
        <f t="shared" si="3"/>
        <v>28915.626000165939</v>
      </c>
      <c r="E21" s="368">
        <f t="shared" si="3"/>
        <v>-1394.7099999785423</v>
      </c>
      <c r="F21" s="368">
        <f t="shared" si="3"/>
        <v>0.6600000262260437</v>
      </c>
      <c r="G21" s="368">
        <f t="shared" si="3"/>
        <v>472653.84000021219</v>
      </c>
      <c r="H21" s="368">
        <f t="shared" si="3"/>
        <v>-308.64999997615814</v>
      </c>
      <c r="I21" s="368">
        <f t="shared" si="3"/>
        <v>9522.3000000715256</v>
      </c>
      <c r="J21" s="368">
        <f t="shared" si="3"/>
        <v>-57173.490000069141</v>
      </c>
      <c r="K21" s="368"/>
      <c r="L21" s="368"/>
      <c r="M21"/>
    </row>
    <row r="22" spans="1:14" x14ac:dyDescent="0.2">
      <c r="B22" s="479">
        <f>B21/B20</f>
        <v>-6.2822998239103897E-4</v>
      </c>
      <c r="C22" s="479">
        <f t="shared" ref="C22:J22" si="4">C21/C20</f>
        <v>-3.3089095897727273E-4</v>
      </c>
      <c r="D22" s="479">
        <f t="shared" si="4"/>
        <v>5.422877573473419E-5</v>
      </c>
      <c r="E22" s="479">
        <f t="shared" si="4"/>
        <v>-2.6053637953889416E-6</v>
      </c>
      <c r="F22" s="479">
        <f t="shared" si="4"/>
        <v>1.3285094957111269E-9</v>
      </c>
      <c r="G22" s="479">
        <f t="shared" si="4"/>
        <v>9.6651655964787378E-4</v>
      </c>
      <c r="H22" s="479">
        <f t="shared" si="4"/>
        <v>-6.4797519647703763E-7</v>
      </c>
      <c r="I22" s="479">
        <f t="shared" si="4"/>
        <v>1.9060229193667521E-5</v>
      </c>
      <c r="J22" s="479">
        <f t="shared" si="4"/>
        <v>-1.1672146336274093E-4</v>
      </c>
      <c r="K22" s="360"/>
      <c r="L22" s="360"/>
      <c r="M22"/>
    </row>
    <row r="23" spans="1:14" x14ac:dyDescent="0.2">
      <c r="M23"/>
    </row>
    <row r="24" spans="1:14" ht="15.75" x14ac:dyDescent="0.2">
      <c r="A24" s="346" t="s">
        <v>219</v>
      </c>
      <c r="B24" s="346">
        <f>B2</f>
        <v>2011</v>
      </c>
      <c r="C24" s="346">
        <f t="shared" ref="C24:K24" si="5">C2</f>
        <v>2012</v>
      </c>
      <c r="D24" s="346">
        <f t="shared" si="5"/>
        <v>2013</v>
      </c>
      <c r="E24" s="346">
        <f t="shared" si="5"/>
        <v>2014</v>
      </c>
      <c r="F24" s="346">
        <f t="shared" si="5"/>
        <v>2015</v>
      </c>
      <c r="G24" s="346">
        <f t="shared" si="5"/>
        <v>2016</v>
      </c>
      <c r="H24" s="346">
        <f t="shared" si="5"/>
        <v>2017</v>
      </c>
      <c r="I24" s="346">
        <f t="shared" si="5"/>
        <v>2018</v>
      </c>
      <c r="J24" s="346">
        <f t="shared" si="5"/>
        <v>2019</v>
      </c>
      <c r="K24" s="346">
        <f t="shared" si="5"/>
        <v>2020</v>
      </c>
      <c r="L24" s="346" t="s">
        <v>99</v>
      </c>
    </row>
    <row r="25" spans="1:14" x14ac:dyDescent="0.2">
      <c r="A25" s="328" t="s">
        <v>73</v>
      </c>
      <c r="B25" s="327">
        <f>'Input - Adjustments &amp; Variables'!H5</f>
        <v>50205498.639999986</v>
      </c>
      <c r="C25" s="327">
        <f>'Input - Adjustments &amp; Variables'!H17</f>
        <v>46829264.830000035</v>
      </c>
      <c r="D25" s="327">
        <f>'Input - Adjustments &amp; Variables'!H29</f>
        <v>48092056.929999977</v>
      </c>
      <c r="E25" s="327">
        <f>'Input - Adjustments &amp; Variables'!H41</f>
        <v>50496524.50999999</v>
      </c>
      <c r="F25" s="327">
        <f>'Input - Adjustments &amp; Variables'!H53</f>
        <v>48336983.890000008</v>
      </c>
      <c r="G25" s="327">
        <f>'Input - Adjustments &amp; Variables'!H65</f>
        <v>44548270.089999981</v>
      </c>
      <c r="H25" s="327">
        <f>'Input - Adjustments &amp; Variables'!H77</f>
        <v>43131421.930000015</v>
      </c>
      <c r="I25" s="327">
        <f>'Input - Adjustments &amp; Variables'!H89</f>
        <v>47094719.809999973</v>
      </c>
      <c r="J25" s="327">
        <f>'Input - Adjustments &amp; Variables'!H101</f>
        <v>46678584.361240797</v>
      </c>
      <c r="K25" s="327">
        <f>'Input - Adjustments &amp; Variables'!H113</f>
        <v>43498988.446185999</v>
      </c>
      <c r="L25" s="347">
        <f>AVERAGE(B25:K25)</f>
        <v>46891231.343742684</v>
      </c>
      <c r="N25" s="454"/>
    </row>
    <row r="26" spans="1:14" x14ac:dyDescent="0.2">
      <c r="A26" s="328" t="s">
        <v>72</v>
      </c>
      <c r="B26" s="327">
        <f>'Input - Adjustments &amp; Variables'!H6</f>
        <v>45182973.399999991</v>
      </c>
      <c r="C26" s="327">
        <f>'Input - Adjustments &amp; Variables'!H18</f>
        <v>43072943.990000039</v>
      </c>
      <c r="D26" s="327">
        <f>'Input - Adjustments &amp; Variables'!H30</f>
        <v>43415700.269999988</v>
      </c>
      <c r="E26" s="327">
        <f>'Input - Adjustments &amp; Variables'!H42</f>
        <v>44559480.000000007</v>
      </c>
      <c r="F26" s="327">
        <f>'Input - Adjustments &amp; Variables'!H54</f>
        <v>45806080.270000018</v>
      </c>
      <c r="G26" s="327">
        <f>'Input - Adjustments &amp; Variables'!H66</f>
        <v>41158165.13000001</v>
      </c>
      <c r="H26" s="327">
        <f>'Input - Adjustments &amp; Variables'!H78</f>
        <v>37533890.269999996</v>
      </c>
      <c r="I26" s="327">
        <f>'Input - Adjustments &amp; Variables'!H90</f>
        <v>39631601.94000002</v>
      </c>
      <c r="J26" s="327">
        <f>'Input - Adjustments &amp; Variables'!H102</f>
        <v>41194466.296595894</v>
      </c>
      <c r="K26" s="327">
        <f>'Input - Adjustments &amp; Variables'!H114</f>
        <v>40767224.431953996</v>
      </c>
      <c r="L26" s="347">
        <f t="shared" ref="L26:L36" si="6">AVERAGE(B26:K26)</f>
        <v>42232252.599854991</v>
      </c>
      <c r="N26" s="454"/>
    </row>
    <row r="27" spans="1:14" x14ac:dyDescent="0.2">
      <c r="A27" s="328" t="s">
        <v>71</v>
      </c>
      <c r="B27" s="327">
        <f>'Input - Adjustments &amp; Variables'!H7</f>
        <v>46925210.189999983</v>
      </c>
      <c r="C27" s="327">
        <f>'Input - Adjustments &amp; Variables'!H19</f>
        <v>41849534.660000004</v>
      </c>
      <c r="D27" s="327">
        <f>'Input - Adjustments &amp; Variables'!H31</f>
        <v>43520435.069999963</v>
      </c>
      <c r="E27" s="327">
        <f>'Input - Adjustments &amp; Variables'!H43</f>
        <v>45832980.779999994</v>
      </c>
      <c r="F27" s="327">
        <f>'Input - Adjustments &amp; Variables'!H55</f>
        <v>44467250.839999989</v>
      </c>
      <c r="G27" s="327">
        <f>'Input - Adjustments &amp; Variables'!H67</f>
        <v>39809145.920000002</v>
      </c>
      <c r="H27" s="327">
        <f>'Input - Adjustments &amp; Variables'!H79</f>
        <v>41563416.729999989</v>
      </c>
      <c r="I27" s="327">
        <f>'Input - Adjustments &amp; Variables'!H91</f>
        <v>41656909.649999991</v>
      </c>
      <c r="J27" s="327">
        <f>'Input - Adjustments &amp; Variables'!H103</f>
        <v>42090500.865451977</v>
      </c>
      <c r="K27" s="327">
        <f>'Input - Adjustments &amp; Variables'!H115</f>
        <v>39452645.148519002</v>
      </c>
      <c r="L27" s="347">
        <f t="shared" si="6"/>
        <v>42716802.985397086</v>
      </c>
      <c r="N27" s="454"/>
    </row>
    <row r="28" spans="1:14" x14ac:dyDescent="0.2">
      <c r="A28" s="328" t="s">
        <v>70</v>
      </c>
      <c r="B28" s="327">
        <f>'Input - Adjustments &amp; Variables'!H8</f>
        <v>40611158.420000009</v>
      </c>
      <c r="C28" s="327">
        <f>'Input - Adjustments &amp; Variables'!H20</f>
        <v>38334680.740000024</v>
      </c>
      <c r="D28" s="327">
        <f>'Input - Adjustments &amp; Variables'!H32</f>
        <v>38293525.819999993</v>
      </c>
      <c r="E28" s="327">
        <f>'Input - Adjustments &amp; Variables'!H44</f>
        <v>38389928.019999988</v>
      </c>
      <c r="F28" s="327">
        <f>'Input - Adjustments &amp; Variables'!H56</f>
        <v>37066329.080000006</v>
      </c>
      <c r="G28" s="327">
        <f>'Input - Adjustments &amp; Variables'!H68</f>
        <v>36222797.579999998</v>
      </c>
      <c r="H28" s="327">
        <f>'Input - Adjustments &amp; Variables'!H80</f>
        <v>34947464.999999963</v>
      </c>
      <c r="I28" s="327">
        <f>'Input - Adjustments &amp; Variables'!H92</f>
        <v>38614769.37999998</v>
      </c>
      <c r="J28" s="327">
        <f>'Input - Adjustments &amp; Variables'!H104</f>
        <v>36539750.223109335</v>
      </c>
      <c r="K28" s="327">
        <f>'Input - Adjustments &amp; Variables'!H116</f>
        <v>34488962.138490997</v>
      </c>
      <c r="L28" s="347">
        <f t="shared" si="6"/>
        <v>37350936.640160032</v>
      </c>
      <c r="N28" s="454"/>
    </row>
    <row r="29" spans="1:14" x14ac:dyDescent="0.2">
      <c r="A29" s="328" t="s">
        <v>69</v>
      </c>
      <c r="B29" s="327">
        <f>'Input - Adjustments &amp; Variables'!H9</f>
        <v>40093910.980000004</v>
      </c>
      <c r="C29" s="327">
        <f>'Input - Adjustments &amp; Variables'!H21</f>
        <v>39723386.149999991</v>
      </c>
      <c r="D29" s="327">
        <f>'Input - Adjustments &amp; Variables'!H33</f>
        <v>37947559.23999998</v>
      </c>
      <c r="E29" s="327">
        <f>'Input - Adjustments &amp; Variables'!H45</f>
        <v>36955318.370000005</v>
      </c>
      <c r="F29" s="327">
        <f>'Input - Adjustments &amp; Variables'!H57</f>
        <v>36561145.590000004</v>
      </c>
      <c r="G29" s="327">
        <f>'Input - Adjustments &amp; Variables'!H69</f>
        <v>35890391.610000007</v>
      </c>
      <c r="H29" s="327">
        <f>'Input - Adjustments &amp; Variables'!H81</f>
        <v>35633124.31000001</v>
      </c>
      <c r="I29" s="327">
        <f>'Input - Adjustments &amp; Variables'!H93</f>
        <v>36061874.070000015</v>
      </c>
      <c r="J29" s="327">
        <f>'Input - Adjustments &amp; Variables'!H105</f>
        <v>35532005.062857084</v>
      </c>
      <c r="K29" s="327">
        <f>'Input - Adjustments &amp; Variables'!H117</f>
        <v>35010609.220485002</v>
      </c>
      <c r="L29" s="347">
        <f t="shared" si="6"/>
        <v>36940932.460334204</v>
      </c>
      <c r="N29" s="454"/>
    </row>
    <row r="30" spans="1:14" x14ac:dyDescent="0.2">
      <c r="A30" s="328" t="s">
        <v>68</v>
      </c>
      <c r="B30" s="327">
        <f>'Input - Adjustments &amp; Variables'!H10</f>
        <v>42370710.179999977</v>
      </c>
      <c r="C30" s="327">
        <f>'Input - Adjustments &amp; Variables'!H22</f>
        <v>42958922.740000002</v>
      </c>
      <c r="D30" s="327">
        <f>'Input - Adjustments &amp; Variables'!H34</f>
        <v>39558051.280000001</v>
      </c>
      <c r="E30" s="327">
        <f>'Input - Adjustments &amp; Variables'!H46</f>
        <v>40743556.069999993</v>
      </c>
      <c r="F30" s="327">
        <f>'Input - Adjustments &amp; Variables'!H58</f>
        <v>38156279.170000024</v>
      </c>
      <c r="G30" s="327">
        <f>'Input - Adjustments &amp; Variables'!H70</f>
        <v>39662848.999999993</v>
      </c>
      <c r="H30" s="327">
        <f>'Input - Adjustments &amp; Variables'!H82</f>
        <v>38155784.75999999</v>
      </c>
      <c r="I30" s="327">
        <f>'Input - Adjustments &amp; Variables'!H94</f>
        <v>39000367.49000001</v>
      </c>
      <c r="J30" s="327">
        <f>'Input - Adjustments &amp; Variables'!H106</f>
        <v>37150892.568689317</v>
      </c>
      <c r="K30" s="327">
        <f>'Input - Adjustments &amp; Variables'!H118</f>
        <v>39038298.938343003</v>
      </c>
      <c r="L30" s="347">
        <f t="shared" si="6"/>
        <v>39679571.219703227</v>
      </c>
      <c r="N30" s="454"/>
    </row>
    <row r="31" spans="1:14" x14ac:dyDescent="0.2">
      <c r="A31" s="328" t="s">
        <v>67</v>
      </c>
      <c r="B31" s="327">
        <f>'Input - Adjustments &amp; Variables'!H11</f>
        <v>52548651.229999989</v>
      </c>
      <c r="C31" s="327">
        <f>'Input - Adjustments &amp; Variables'!H23</f>
        <v>51833830.459999956</v>
      </c>
      <c r="D31" s="327">
        <f>'Input - Adjustments &amp; Variables'!H35</f>
        <v>48777836.719999984</v>
      </c>
      <c r="E31" s="327">
        <f>'Input - Adjustments &amp; Variables'!H47</f>
        <v>44141053.73999998</v>
      </c>
      <c r="F31" s="327">
        <f>'Input - Adjustments &amp; Variables'!H59</f>
        <v>44608127.150000028</v>
      </c>
      <c r="G31" s="327">
        <f>'Input - Adjustments &amp; Variables'!H71</f>
        <v>47528891.869999982</v>
      </c>
      <c r="H31" s="327">
        <f>'Input - Adjustments &amp; Variables'!H83</f>
        <v>44273987.489999987</v>
      </c>
      <c r="I31" s="327">
        <f>'Input - Adjustments &amp; Variables'!H95</f>
        <v>50076315.430000022</v>
      </c>
      <c r="J31" s="327">
        <f>'Input - Adjustments &amp; Variables'!H107</f>
        <v>49164277.317227118</v>
      </c>
      <c r="K31" s="327">
        <f>'Input - Adjustments &amp; Variables'!H119</f>
        <v>51707560.195568003</v>
      </c>
      <c r="L31" s="347">
        <f t="shared" si="6"/>
        <v>48466053.160279505</v>
      </c>
      <c r="N31" s="454"/>
    </row>
    <row r="32" spans="1:14" x14ac:dyDescent="0.2">
      <c r="A32" s="328" t="s">
        <v>66</v>
      </c>
      <c r="B32" s="327">
        <f>'Input - Adjustments &amp; Variables'!H12</f>
        <v>49452682.169999979</v>
      </c>
      <c r="C32" s="327">
        <f>'Input - Adjustments &amp; Variables'!H24</f>
        <v>48709367.330000013</v>
      </c>
      <c r="D32" s="327">
        <f>'Input - Adjustments &amp; Variables'!H36</f>
        <v>44931328.109999985</v>
      </c>
      <c r="E32" s="327">
        <f>'Input - Adjustments &amp; Variables'!H48</f>
        <v>43108351.670000009</v>
      </c>
      <c r="F32" s="327">
        <f>'Input - Adjustments &amp; Variables'!H60</f>
        <v>43859864.359999992</v>
      </c>
      <c r="G32" s="327">
        <f>'Input - Adjustments &amp; Variables'!H72</f>
        <v>51243328.889999971</v>
      </c>
      <c r="H32" s="327">
        <f>'Input - Adjustments &amp; Variables'!H84</f>
        <v>43579956.819999963</v>
      </c>
      <c r="I32" s="327">
        <f>'Input - Adjustments &amp; Variables'!H96</f>
        <v>49158088.359999962</v>
      </c>
      <c r="J32" s="327">
        <f>'Input - Adjustments &amp; Variables'!H108</f>
        <v>45907059.6220171</v>
      </c>
      <c r="K32" s="327">
        <f>'Input - Adjustments &amp; Variables'!H120</f>
        <v>46254925.913176</v>
      </c>
      <c r="L32" s="347">
        <f t="shared" si="6"/>
        <v>46620495.324519292</v>
      </c>
      <c r="N32" s="454"/>
    </row>
    <row r="33" spans="1:14" x14ac:dyDescent="0.2">
      <c r="A33" s="328" t="s">
        <v>65</v>
      </c>
      <c r="B33" s="327">
        <f>'Input - Adjustments &amp; Variables'!H13</f>
        <v>41925405.219999947</v>
      </c>
      <c r="C33" s="327">
        <f>'Input - Adjustments &amp; Variables'!H25</f>
        <v>40386345.149999984</v>
      </c>
      <c r="D33" s="327">
        <f>'Input - Adjustments &amp; Variables'!H37</f>
        <v>38566846.929999992</v>
      </c>
      <c r="E33" s="327">
        <f>'Input - Adjustments &amp; Variables'!H49</f>
        <v>38472316.730000012</v>
      </c>
      <c r="F33" s="327">
        <f>'Input - Adjustments &amp; Variables'!H61</f>
        <v>41747991.089999974</v>
      </c>
      <c r="G33" s="327">
        <f>'Input - Adjustments &amp; Variables'!H73</f>
        <v>39994231.909999982</v>
      </c>
      <c r="H33" s="327">
        <f>'Input - Adjustments &amp; Variables'!H85</f>
        <v>38972985.410000034</v>
      </c>
      <c r="I33" s="327">
        <f>'Input - Adjustments &amp; Variables'!H97</f>
        <v>41496541.200000033</v>
      </c>
      <c r="J33" s="327">
        <f>'Input - Adjustments &amp; Variables'!H109</f>
        <v>37534147.384912297</v>
      </c>
      <c r="K33" s="327">
        <f>'Input - Adjustments &amp; Variables'!H121</f>
        <v>36708175.699644998</v>
      </c>
      <c r="L33" s="347">
        <f t="shared" si="6"/>
        <v>39580498.672455728</v>
      </c>
      <c r="N33" s="454"/>
    </row>
    <row r="34" spans="1:14" x14ac:dyDescent="0.2">
      <c r="A34" s="328" t="s">
        <v>64</v>
      </c>
      <c r="B34" s="327">
        <f>'Input - Adjustments &amp; Variables'!H14</f>
        <v>40507085.799999975</v>
      </c>
      <c r="C34" s="327">
        <f>'Input - Adjustments &amp; Variables'!H26</f>
        <v>40191611.080000028</v>
      </c>
      <c r="D34" s="327">
        <f>'Input - Adjustments &amp; Variables'!H38</f>
        <v>39059441.109999992</v>
      </c>
      <c r="E34" s="327">
        <f>'Input - Adjustments &amp; Variables'!H50</f>
        <v>38196496.659999996</v>
      </c>
      <c r="F34" s="327">
        <f>'Input - Adjustments &amp; Variables'!H62</f>
        <v>36786433.089999989</v>
      </c>
      <c r="G34" s="327">
        <f>'Input - Adjustments &amp; Variables'!H74</f>
        <v>36210143.149999961</v>
      </c>
      <c r="H34" s="327">
        <f>'Input - Adjustments &amp; Variables'!H86</f>
        <v>36256780.259999961</v>
      </c>
      <c r="I34" s="327">
        <f>'Input - Adjustments &amp; Variables'!H98</f>
        <v>37763351.549999975</v>
      </c>
      <c r="J34" s="327">
        <f>'Input - Adjustments &amp; Variables'!H110</f>
        <v>36176530.247700997</v>
      </c>
      <c r="K34" s="327">
        <f>'Input - Adjustments &amp; Variables'!H122</f>
        <v>35798053.227309003</v>
      </c>
      <c r="L34" s="347">
        <f t="shared" si="6"/>
        <v>37694592.617500983</v>
      </c>
      <c r="N34" s="454"/>
    </row>
    <row r="35" spans="1:14" x14ac:dyDescent="0.2">
      <c r="A35" s="328" t="s">
        <v>63</v>
      </c>
      <c r="B35" s="327">
        <f>'Input - Adjustments &amp; Variables'!H15</f>
        <v>40896333.469999991</v>
      </c>
      <c r="C35" s="327">
        <f>'Input - Adjustments &amp; Variables'!H27</f>
        <v>42546571.04999999</v>
      </c>
      <c r="D35" s="327">
        <f>'Input - Adjustments &amp; Variables'!H39</f>
        <v>41311170.689999953</v>
      </c>
      <c r="E35" s="327">
        <f>'Input - Adjustments &amp; Variables'!H51</f>
        <v>40658384.449999973</v>
      </c>
      <c r="F35" s="327">
        <f>'Input - Adjustments &amp; Variables'!H63</f>
        <v>37158577.840000004</v>
      </c>
      <c r="G35" s="327">
        <f>'Input - Adjustments &amp; Variables'!H75</f>
        <v>36789736.969999999</v>
      </c>
      <c r="H35" s="327">
        <f>'Input - Adjustments &amp; Variables'!H87</f>
        <v>38948951.189999998</v>
      </c>
      <c r="I35" s="327">
        <f>'Input - Adjustments &amp; Variables'!H99</f>
        <v>40051454.890000001</v>
      </c>
      <c r="J35" s="327">
        <f>'Input - Adjustments &amp; Variables'!H111</f>
        <v>39737440.884876117</v>
      </c>
      <c r="K35" s="327">
        <f>'Input - Adjustments &amp; Variables'!H123</f>
        <v>36898345.409837998</v>
      </c>
      <c r="L35" s="347">
        <f t="shared" si="6"/>
        <v>39499696.684471406</v>
      </c>
      <c r="N35" s="454"/>
    </row>
    <row r="36" spans="1:14" x14ac:dyDescent="0.2">
      <c r="A36" s="328" t="s">
        <v>62</v>
      </c>
      <c r="B36" s="327">
        <f>'Input - Adjustments &amp; Variables'!H16</f>
        <v>44967258.239999965</v>
      </c>
      <c r="C36" s="327">
        <f>'Input - Adjustments &amp; Variables'!H28</f>
        <v>44574933.650000021</v>
      </c>
      <c r="D36" s="327">
        <f>'Input - Adjustments &amp; Variables'!H40</f>
        <v>46300078.549999997</v>
      </c>
      <c r="E36" s="327">
        <f>'Input - Adjustments &amp; Variables'!H52</f>
        <v>43373534.73999998</v>
      </c>
      <c r="F36" s="327">
        <f>'Input - Adjustments &amp; Variables'!H64</f>
        <v>39769879.449999996</v>
      </c>
      <c r="G36" s="327">
        <f>'Input - Adjustments &amp; Variables'!H76</f>
        <v>42575323.980000004</v>
      </c>
      <c r="H36" s="327">
        <f>'Input - Adjustments &amp; Variables'!H88</f>
        <v>43911242.710000023</v>
      </c>
      <c r="I36" s="327">
        <f>'Input - Adjustments &amp; Variables'!H100</f>
        <v>42019274.18999999</v>
      </c>
      <c r="J36" s="327">
        <f>'Input - Adjustments &amp; Variables'!H112</f>
        <v>42323845.702785067</v>
      </c>
      <c r="K36" s="327">
        <f>'Input - Adjustments &amp; Variables'!H124</f>
        <v>42870245.835357003</v>
      </c>
      <c r="L36" s="347">
        <f t="shared" si="6"/>
        <v>43268561.704814211</v>
      </c>
      <c r="N36" s="454"/>
    </row>
    <row r="37" spans="1:14" x14ac:dyDescent="0.2">
      <c r="A37" s="343" t="s">
        <v>77</v>
      </c>
      <c r="B37" s="348">
        <f>SUM(B25:B36)</f>
        <v>535686877.93999976</v>
      </c>
      <c r="C37" s="348">
        <f t="shared" ref="C37:K37" si="7">SUM(C25:C36)</f>
        <v>521011391.83000016</v>
      </c>
      <c r="D37" s="348">
        <f t="shared" si="7"/>
        <v>509774030.71999979</v>
      </c>
      <c r="E37" s="348">
        <f t="shared" si="7"/>
        <v>504927925.73999989</v>
      </c>
      <c r="F37" s="348">
        <f t="shared" si="7"/>
        <v>494324941.81999999</v>
      </c>
      <c r="G37" s="348">
        <f t="shared" si="7"/>
        <v>491633276.0999999</v>
      </c>
      <c r="H37" s="348">
        <f t="shared" si="7"/>
        <v>476909006.87999994</v>
      </c>
      <c r="I37" s="348">
        <f t="shared" si="7"/>
        <v>502625267.95999998</v>
      </c>
      <c r="J37" s="348">
        <f t="shared" si="7"/>
        <v>490029500.53746313</v>
      </c>
      <c r="K37" s="348">
        <f t="shared" si="7"/>
        <v>482494034.60487103</v>
      </c>
      <c r="L37" s="348">
        <f>SUM(L25:L36)</f>
        <v>500941625.41323334</v>
      </c>
    </row>
    <row r="38" spans="1:14" x14ac:dyDescent="0.2">
      <c r="B38" s="360"/>
      <c r="C38" s="360"/>
      <c r="D38" s="360"/>
      <c r="E38" s="360"/>
      <c r="F38" s="360"/>
      <c r="G38" s="360"/>
      <c r="H38" s="360"/>
      <c r="I38" s="360"/>
      <c r="J38" s="360"/>
      <c r="K38" s="360"/>
      <c r="L38" s="360"/>
    </row>
    <row r="39" spans="1:14" x14ac:dyDescent="0.2">
      <c r="B39" s="360"/>
      <c r="C39" s="360"/>
      <c r="D39" s="360"/>
      <c r="E39" s="360"/>
      <c r="F39" s="360"/>
      <c r="G39" s="360"/>
      <c r="H39" s="360"/>
      <c r="I39" s="360"/>
      <c r="J39" s="360"/>
      <c r="K39" s="360"/>
      <c r="L39" s="360"/>
    </row>
    <row r="40" spans="1:14" x14ac:dyDescent="0.2">
      <c r="B40" s="360" t="s">
        <v>57</v>
      </c>
      <c r="C40" s="360"/>
      <c r="D40" s="360"/>
      <c r="E40" s="360"/>
      <c r="F40" s="360"/>
      <c r="G40" s="360"/>
      <c r="H40" s="360"/>
      <c r="I40" s="360"/>
      <c r="J40" s="360"/>
      <c r="K40" s="360"/>
      <c r="L40" s="360"/>
    </row>
    <row r="41" spans="1:14" ht="15.75" x14ac:dyDescent="0.2">
      <c r="A41" s="346" t="s">
        <v>48</v>
      </c>
      <c r="B41" s="346">
        <f>B2</f>
        <v>2011</v>
      </c>
      <c r="C41" s="346">
        <f t="shared" ref="C41:K41" si="8">C2</f>
        <v>2012</v>
      </c>
      <c r="D41" s="346">
        <f t="shared" si="8"/>
        <v>2013</v>
      </c>
      <c r="E41" s="346">
        <f t="shared" si="8"/>
        <v>2014</v>
      </c>
      <c r="F41" s="346">
        <f t="shared" si="8"/>
        <v>2015</v>
      </c>
      <c r="G41" s="346">
        <f t="shared" si="8"/>
        <v>2016</v>
      </c>
      <c r="H41" s="346">
        <f t="shared" si="8"/>
        <v>2017</v>
      </c>
      <c r="I41" s="346">
        <f t="shared" si="8"/>
        <v>2018</v>
      </c>
      <c r="J41" s="346">
        <f t="shared" si="8"/>
        <v>2019</v>
      </c>
      <c r="K41" s="346">
        <f t="shared" si="8"/>
        <v>2020</v>
      </c>
      <c r="L41" s="346" t="s">
        <v>99</v>
      </c>
    </row>
    <row r="42" spans="1:14" x14ac:dyDescent="0.2">
      <c r="A42" s="245" t="s">
        <v>73</v>
      </c>
      <c r="B42" s="351">
        <f>'Input - Adjustments &amp; Variables'!J5</f>
        <v>794.6</v>
      </c>
      <c r="C42" s="351">
        <f>'Input - Adjustments &amp; Variables'!J17</f>
        <v>600.79999999999995</v>
      </c>
      <c r="D42" s="351">
        <f>'Input - Adjustments &amp; Variables'!J29</f>
        <v>617.29999999999995</v>
      </c>
      <c r="E42" s="351">
        <f>'Input - Adjustments &amp; Variables'!J41</f>
        <v>783.2</v>
      </c>
      <c r="F42" s="351">
        <f>'Input - Adjustments &amp; Variables'!J53</f>
        <v>771.7</v>
      </c>
      <c r="G42" s="351">
        <f>'Input - Adjustments &amp; Variables'!J65</f>
        <v>657.2</v>
      </c>
      <c r="H42" s="351">
        <f>'Input - Adjustments &amp; Variables'!J77</f>
        <v>593.9</v>
      </c>
      <c r="I42" s="351">
        <f>'Input - Adjustments &amp; Variables'!J89</f>
        <v>731</v>
      </c>
      <c r="J42" s="351">
        <f>'Input - Adjustments &amp; Variables'!J101</f>
        <v>726.3</v>
      </c>
      <c r="K42" s="351">
        <f>'Input - Adjustments &amp; Variables'!J113</f>
        <v>566.4</v>
      </c>
      <c r="L42" s="347">
        <f>AVERAGE(B42:K42)</f>
        <v>684.24</v>
      </c>
    </row>
    <row r="43" spans="1:14" x14ac:dyDescent="0.2">
      <c r="A43" s="245" t="s">
        <v>72</v>
      </c>
      <c r="B43" s="351">
        <f>'Input - Adjustments &amp; Variables'!J6</f>
        <v>645.29999999999995</v>
      </c>
      <c r="C43" s="351">
        <f>'Input - Adjustments &amp; Variables'!J18</f>
        <v>533.20000000000005</v>
      </c>
      <c r="D43" s="351">
        <f>'Input - Adjustments &amp; Variables'!J30</f>
        <v>640.1</v>
      </c>
      <c r="E43" s="351">
        <f>'Input - Adjustments &amp; Variables'!J42</f>
        <v>743.7</v>
      </c>
      <c r="F43" s="351">
        <f>'Input - Adjustments &amp; Variables'!J54</f>
        <v>871.9</v>
      </c>
      <c r="G43" s="351">
        <f>'Input - Adjustments &amp; Variables'!J66</f>
        <v>587.1</v>
      </c>
      <c r="H43" s="351">
        <f>'Input - Adjustments &amp; Variables'!J78</f>
        <v>487.8</v>
      </c>
      <c r="I43" s="351">
        <f>'Input - Adjustments &amp; Variables'!J90</f>
        <v>540.29999999999995</v>
      </c>
      <c r="J43" s="351">
        <f>'Input - Adjustments &amp; Variables'!J102</f>
        <v>587.79999999999995</v>
      </c>
      <c r="K43" s="351">
        <f>'Input - Adjustments &amp; Variables'!J114</f>
        <v>586.90000000000009</v>
      </c>
      <c r="L43" s="347">
        <f t="shared" ref="L43:L53" si="9">AVERAGE(B43:K43)</f>
        <v>622.41000000000008</v>
      </c>
    </row>
    <row r="44" spans="1:14" x14ac:dyDescent="0.2">
      <c r="A44" s="245" t="s">
        <v>71</v>
      </c>
      <c r="B44" s="351">
        <f>'Input - Adjustments &amp; Variables'!J7</f>
        <v>568.6</v>
      </c>
      <c r="C44" s="351">
        <f>'Input - Adjustments &amp; Variables'!J19</f>
        <v>333.8</v>
      </c>
      <c r="D44" s="351">
        <f>'Input - Adjustments &amp; Variables'!J31</f>
        <v>555.4</v>
      </c>
      <c r="E44" s="351">
        <f>'Input - Adjustments &amp; Variables'!J43</f>
        <v>692.3</v>
      </c>
      <c r="F44" s="351">
        <f>'Input - Adjustments &amp; Variables'!J55</f>
        <v>637</v>
      </c>
      <c r="G44" s="351">
        <f>'Input - Adjustments &amp; Variables'!J67</f>
        <v>448.8</v>
      </c>
      <c r="H44" s="351">
        <f>'Input - Adjustments &amp; Variables'!J79</f>
        <v>555.29999999999995</v>
      </c>
      <c r="I44" s="351">
        <f>'Input - Adjustments &amp; Variables'!J91</f>
        <v>577.70000000000005</v>
      </c>
      <c r="J44" s="351">
        <f>'Input - Adjustments &amp; Variables'!J103</f>
        <v>598</v>
      </c>
      <c r="K44" s="351">
        <f>'Input - Adjustments &amp; Variables'!J115</f>
        <v>433.8</v>
      </c>
      <c r="L44" s="347">
        <f t="shared" si="9"/>
        <v>540.07000000000005</v>
      </c>
    </row>
    <row r="45" spans="1:14" x14ac:dyDescent="0.2">
      <c r="A45" s="245" t="s">
        <v>70</v>
      </c>
      <c r="B45" s="351">
        <f>'Input - Adjustments &amp; Variables'!J8</f>
        <v>324.89999999999998</v>
      </c>
      <c r="C45" s="351">
        <f>'Input - Adjustments &amp; Variables'!J20</f>
        <v>340.5</v>
      </c>
      <c r="D45" s="351">
        <f>'Input - Adjustments &amp; Variables'!J32</f>
        <v>339.9</v>
      </c>
      <c r="E45" s="351">
        <f>'Input - Adjustments &amp; Variables'!J44</f>
        <v>338.4</v>
      </c>
      <c r="F45" s="351">
        <f>'Input - Adjustments &amp; Variables'!J56</f>
        <v>330</v>
      </c>
      <c r="G45" s="351">
        <f>'Input - Adjustments &amp; Variables'!J68</f>
        <v>384.1</v>
      </c>
      <c r="H45" s="351">
        <f>'Input - Adjustments &amp; Variables'!J80</f>
        <v>261.8</v>
      </c>
      <c r="I45" s="351">
        <f>'Input - Adjustments &amp; Variables'!J92</f>
        <v>438.3</v>
      </c>
      <c r="J45" s="351">
        <f>'Input - Adjustments &amp; Variables'!J104</f>
        <v>334.1</v>
      </c>
      <c r="K45" s="351">
        <f>'Input - Adjustments &amp; Variables'!J116</f>
        <v>372.9</v>
      </c>
      <c r="L45" s="347">
        <f t="shared" si="9"/>
        <v>346.49</v>
      </c>
    </row>
    <row r="46" spans="1:14" x14ac:dyDescent="0.2">
      <c r="A46" s="245" t="s">
        <v>69</v>
      </c>
      <c r="B46" s="351">
        <f>'Input - Adjustments &amp; Variables'!J9</f>
        <v>136</v>
      </c>
      <c r="C46" s="351">
        <f>'Input - Adjustments &amp; Variables'!J21</f>
        <v>82.3</v>
      </c>
      <c r="D46" s="351">
        <f>'Input - Adjustments &amp; Variables'!J33</f>
        <v>116.5</v>
      </c>
      <c r="E46" s="351">
        <f>'Input - Adjustments &amp; Variables'!J45</f>
        <v>147.69999999999999</v>
      </c>
      <c r="F46" s="351">
        <f>'Input - Adjustments &amp; Variables'!J57</f>
        <v>102.7</v>
      </c>
      <c r="G46" s="351">
        <f>'Input - Adjustments &amp; Variables'!J69</f>
        <v>153.1</v>
      </c>
      <c r="H46" s="351">
        <f>'Input - Adjustments &amp; Variables'!J81</f>
        <v>168.3</v>
      </c>
      <c r="I46" s="351">
        <f>'Input - Adjustments &amp; Variables'!J93</f>
        <v>83.6</v>
      </c>
      <c r="J46" s="351">
        <f>'Input - Adjustments &amp; Variables'!J105</f>
        <v>173.7</v>
      </c>
      <c r="K46" s="351">
        <f>'Input - Adjustments &amp; Variables'!J117</f>
        <v>207.90000000000003</v>
      </c>
      <c r="L46" s="347">
        <f t="shared" si="9"/>
        <v>137.18</v>
      </c>
    </row>
    <row r="47" spans="1:14" x14ac:dyDescent="0.2">
      <c r="A47" s="245" t="s">
        <v>68</v>
      </c>
      <c r="B47" s="351">
        <f>'Input - Adjustments &amp; Variables'!J10</f>
        <v>22.7</v>
      </c>
      <c r="C47" s="351">
        <f>'Input - Adjustments &amp; Variables'!J22</f>
        <v>31.6</v>
      </c>
      <c r="D47" s="351">
        <f>'Input - Adjustments &amp; Variables'!J34</f>
        <v>42.8</v>
      </c>
      <c r="E47" s="351">
        <f>'Input - Adjustments &amp; Variables'!J46</f>
        <v>21.3</v>
      </c>
      <c r="F47" s="351">
        <f>'Input - Adjustments &amp; Variables'!J58</f>
        <v>35.9</v>
      </c>
      <c r="G47" s="351">
        <f>'Input - Adjustments &amp; Variables'!J70</f>
        <v>29.2</v>
      </c>
      <c r="H47" s="351">
        <f>'Input - Adjustments &amp; Variables'!J82</f>
        <v>32.6</v>
      </c>
      <c r="I47" s="351">
        <f>'Input - Adjustments &amp; Variables'!J94</f>
        <v>21.2</v>
      </c>
      <c r="J47" s="351">
        <f>'Input - Adjustments &amp; Variables'!J106</f>
        <v>33.6</v>
      </c>
      <c r="K47" s="351">
        <f>'Input - Adjustments &amp; Variables'!J118</f>
        <v>27.5</v>
      </c>
      <c r="L47" s="347">
        <f t="shared" si="9"/>
        <v>29.839999999999996</v>
      </c>
    </row>
    <row r="48" spans="1:14" x14ac:dyDescent="0.2">
      <c r="A48" s="245" t="s">
        <v>67</v>
      </c>
      <c r="B48" s="351">
        <f>'Input - Adjustments &amp; Variables'!J11</f>
        <v>0.2</v>
      </c>
      <c r="C48" s="351">
        <f>'Input - Adjustments &amp; Variables'!J23</f>
        <v>0</v>
      </c>
      <c r="D48" s="351">
        <f>'Input - Adjustments &amp; Variables'!J35</f>
        <v>5.5</v>
      </c>
      <c r="E48" s="351">
        <f>'Input - Adjustments &amp; Variables'!J47</f>
        <v>13.7</v>
      </c>
      <c r="F48" s="351">
        <f>'Input - Adjustments &amp; Variables'!J59</f>
        <v>7.6</v>
      </c>
      <c r="G48" s="351">
        <f>'Input - Adjustments &amp; Variables'!J71</f>
        <v>0</v>
      </c>
      <c r="H48" s="351">
        <f>'Input - Adjustments &amp; Variables'!J83</f>
        <v>2.2000000000000002</v>
      </c>
      <c r="I48" s="351">
        <f>'Input - Adjustments &amp; Variables'!J95</f>
        <v>0</v>
      </c>
      <c r="J48" s="351">
        <f>'Input - Adjustments &amp; Variables'!J107</f>
        <v>0</v>
      </c>
      <c r="K48" s="351">
        <f>'Input - Adjustments &amp; Variables'!J119</f>
        <v>0</v>
      </c>
      <c r="L48" s="347">
        <f t="shared" si="9"/>
        <v>2.92</v>
      </c>
    </row>
    <row r="49" spans="1:13" x14ac:dyDescent="0.2">
      <c r="A49" s="245" t="s">
        <v>66</v>
      </c>
      <c r="B49" s="351">
        <f>'Input - Adjustments &amp; Variables'!J12</f>
        <v>4.0999999999999996</v>
      </c>
      <c r="C49" s="351">
        <f>'Input - Adjustments &amp; Variables'!J24</f>
        <v>6</v>
      </c>
      <c r="D49" s="351">
        <f>'Input - Adjustments &amp; Variables'!J36</f>
        <v>19.100000000000001</v>
      </c>
      <c r="E49" s="351">
        <f>'Input - Adjustments &amp; Variables'!J48</f>
        <v>12</v>
      </c>
      <c r="F49" s="351">
        <f>'Input - Adjustments &amp; Variables'!J60</f>
        <v>12</v>
      </c>
      <c r="G49" s="351">
        <f>'Input - Adjustments &amp; Variables'!J72</f>
        <v>0.1</v>
      </c>
      <c r="H49" s="351">
        <f>'Input - Adjustments &amp; Variables'!J84</f>
        <v>19.2</v>
      </c>
      <c r="I49" s="351">
        <f>'Input - Adjustments &amp; Variables'!J96</f>
        <v>1.6</v>
      </c>
      <c r="J49" s="351">
        <f>'Input - Adjustments &amp; Variables'!J108</f>
        <v>4.5999999999999996</v>
      </c>
      <c r="K49" s="351">
        <f>'Input - Adjustments &amp; Variables'!J120</f>
        <v>1.5999999999999999</v>
      </c>
      <c r="L49" s="347">
        <f t="shared" si="9"/>
        <v>8.0299999999999976</v>
      </c>
    </row>
    <row r="50" spans="1:13" x14ac:dyDescent="0.2">
      <c r="A50" s="245" t="s">
        <v>65</v>
      </c>
      <c r="B50" s="351">
        <f>'Input - Adjustments &amp; Variables'!J13</f>
        <v>55.5</v>
      </c>
      <c r="C50" s="351">
        <f>'Input - Adjustments &amp; Variables'!J25</f>
        <v>86.1</v>
      </c>
      <c r="D50" s="351">
        <f>'Input - Adjustments &amp; Variables'!J37</f>
        <v>110.4</v>
      </c>
      <c r="E50" s="351">
        <f>'Input - Adjustments &amp; Variables'!J49</f>
        <v>85.3</v>
      </c>
      <c r="F50" s="351">
        <f>'Input - Adjustments &amp; Variables'!J61</f>
        <v>37</v>
      </c>
      <c r="G50" s="351">
        <f>'Input - Adjustments &amp; Variables'!J73</f>
        <v>34.299999999999997</v>
      </c>
      <c r="H50" s="351">
        <f>'Input - Adjustments &amp; Variables'!J85</f>
        <v>66.5</v>
      </c>
      <c r="I50" s="351">
        <f>'Input - Adjustments &amp; Variables'!J97</f>
        <v>57.9</v>
      </c>
      <c r="J50" s="351">
        <f>'Input - Adjustments &amp; Variables'!J109</f>
        <v>32</v>
      </c>
      <c r="K50" s="351">
        <f>'Input - Adjustments &amp; Variables'!J121</f>
        <v>74.999999999999986</v>
      </c>
      <c r="L50" s="347">
        <f t="shared" si="9"/>
        <v>64</v>
      </c>
    </row>
    <row r="51" spans="1:13" x14ac:dyDescent="0.2">
      <c r="A51" s="245" t="s">
        <v>64</v>
      </c>
      <c r="B51" s="351">
        <f>'Input - Adjustments &amp; Variables'!J14</f>
        <v>238.8</v>
      </c>
      <c r="C51" s="351">
        <f>'Input - Adjustments &amp; Variables'!J26</f>
        <v>227.4</v>
      </c>
      <c r="D51" s="351">
        <f>'Input - Adjustments &amp; Variables'!J38</f>
        <v>211.5</v>
      </c>
      <c r="E51" s="351">
        <f>'Input - Adjustments &amp; Variables'!J50</f>
        <v>225.1</v>
      </c>
      <c r="F51" s="351">
        <f>'Input - Adjustments &amp; Variables'!J62</f>
        <v>252.3</v>
      </c>
      <c r="G51" s="351">
        <f>'Input - Adjustments &amp; Variables'!J74</f>
        <v>198.7</v>
      </c>
      <c r="H51" s="351">
        <f>'Input - Adjustments &amp; Variables'!J86</f>
        <v>152</v>
      </c>
      <c r="I51" s="351">
        <f>'Input - Adjustments &amp; Variables'!J98</f>
        <v>258.2</v>
      </c>
      <c r="J51" s="351">
        <f>'Input - Adjustments &amp; Variables'!J110</f>
        <v>220.9</v>
      </c>
      <c r="K51" s="351">
        <f>'Input - Adjustments &amp; Variables'!J122</f>
        <v>252.50000000000006</v>
      </c>
      <c r="L51" s="347">
        <f t="shared" si="9"/>
        <v>223.74000000000007</v>
      </c>
    </row>
    <row r="52" spans="1:13" x14ac:dyDescent="0.2">
      <c r="A52" s="245" t="s">
        <v>63</v>
      </c>
      <c r="B52" s="351">
        <f>'Input - Adjustments &amp; Variables'!J15</f>
        <v>320</v>
      </c>
      <c r="C52" s="351">
        <f>'Input - Adjustments &amp; Variables'!J27</f>
        <v>432.4</v>
      </c>
      <c r="D52" s="351">
        <f>'Input - Adjustments &amp; Variables'!J39</f>
        <v>460.7</v>
      </c>
      <c r="E52" s="351">
        <f>'Input - Adjustments &amp; Variables'!J51</f>
        <v>465.7</v>
      </c>
      <c r="F52" s="351">
        <f>'Input - Adjustments &amp; Variables'!J63</f>
        <v>341.4</v>
      </c>
      <c r="G52" s="351">
        <f>'Input - Adjustments &amp; Variables'!J75</f>
        <v>356.7</v>
      </c>
      <c r="H52" s="351">
        <f>'Input - Adjustments &amp; Variables'!J87</f>
        <v>426.4</v>
      </c>
      <c r="I52" s="351">
        <f>'Input - Adjustments &amp; Variables'!J99</f>
        <v>479.8</v>
      </c>
      <c r="J52" s="351">
        <f>'Input - Adjustments &amp; Variables'!J111</f>
        <v>502.7</v>
      </c>
      <c r="K52" s="351">
        <f>'Input - Adjustments &amp; Variables'!J123</f>
        <v>329.20000000000005</v>
      </c>
      <c r="L52" s="347">
        <f t="shared" si="9"/>
        <v>411.5</v>
      </c>
    </row>
    <row r="53" spans="1:13" x14ac:dyDescent="0.2">
      <c r="A53" s="245" t="s">
        <v>62</v>
      </c>
      <c r="B53" s="351">
        <f>'Input - Adjustments &amp; Variables'!J16</f>
        <v>512</v>
      </c>
      <c r="C53" s="351">
        <f>'Input - Adjustments &amp; Variables'!J28</f>
        <v>505.1</v>
      </c>
      <c r="D53" s="351">
        <f>'Input - Adjustments &amp; Variables'!J40</f>
        <v>656.4</v>
      </c>
      <c r="E53" s="351">
        <f>'Input - Adjustments &amp; Variables'!J52</f>
        <v>540.79999999999995</v>
      </c>
      <c r="F53" s="351">
        <f>'Input - Adjustments &amp; Variables'!J64</f>
        <v>418</v>
      </c>
      <c r="G53" s="351">
        <f>'Input - Adjustments &amp; Variables'!J76</f>
        <v>581.20000000000005</v>
      </c>
      <c r="H53" s="351">
        <f>'Input - Adjustments &amp; Variables'!J88</f>
        <v>711.3</v>
      </c>
      <c r="I53" s="351">
        <f>'Input - Adjustments &amp; Variables'!J100</f>
        <v>550.4</v>
      </c>
      <c r="J53" s="351">
        <f>'Input - Adjustments &amp; Variables'!J112</f>
        <v>564.6</v>
      </c>
      <c r="K53" s="351">
        <f>'Input - Adjustments &amp; Variables'!J124</f>
        <v>540.4</v>
      </c>
      <c r="L53" s="347">
        <f t="shared" si="9"/>
        <v>558.02</v>
      </c>
    </row>
    <row r="54" spans="1:13" x14ac:dyDescent="0.2">
      <c r="A54" s="245" t="s">
        <v>132</v>
      </c>
      <c r="B54" s="467">
        <f>SUM(B42:B53)</f>
        <v>3622.7</v>
      </c>
      <c r="C54" s="467">
        <f t="shared" ref="C54:K54" si="10">SUM(C42:C53)</f>
        <v>3179.2</v>
      </c>
      <c r="D54" s="467">
        <f t="shared" si="10"/>
        <v>3775.6000000000004</v>
      </c>
      <c r="E54" s="467">
        <f t="shared" si="10"/>
        <v>4069.2</v>
      </c>
      <c r="F54" s="467">
        <f t="shared" si="10"/>
        <v>3817.5</v>
      </c>
      <c r="G54" s="467">
        <f t="shared" si="10"/>
        <v>3430.5</v>
      </c>
      <c r="H54" s="467">
        <f t="shared" si="10"/>
        <v>3477.2999999999993</v>
      </c>
      <c r="I54" s="467">
        <f t="shared" si="10"/>
        <v>3740</v>
      </c>
      <c r="J54" s="467">
        <f t="shared" si="10"/>
        <v>3778.2999999999993</v>
      </c>
      <c r="K54" s="467">
        <f t="shared" si="10"/>
        <v>3394.1</v>
      </c>
      <c r="L54" s="467">
        <f>SUM(L42:L53)</f>
        <v>3628.4400000000005</v>
      </c>
    </row>
    <row r="55" spans="1:13" s="298" customFormat="1" x14ac:dyDescent="0.2">
      <c r="A55" s="337"/>
      <c r="B55" s="352"/>
      <c r="C55" s="353"/>
      <c r="D55" s="353"/>
      <c r="E55" s="353"/>
      <c r="F55" s="353"/>
      <c r="G55" s="353"/>
      <c r="H55" s="353"/>
      <c r="I55" s="353"/>
      <c r="J55" s="353"/>
      <c r="K55" s="353"/>
      <c r="L55" s="353"/>
      <c r="M55" s="354"/>
    </row>
    <row r="56" spans="1:13" s="298" customFormat="1" x14ac:dyDescent="0.2">
      <c r="B56" s="354"/>
      <c r="C56" s="354"/>
      <c r="D56" s="354"/>
      <c r="E56" s="354"/>
      <c r="F56" s="354"/>
      <c r="G56" s="354"/>
      <c r="H56" s="354"/>
      <c r="I56" s="354"/>
      <c r="J56" s="354"/>
      <c r="K56" s="354"/>
      <c r="L56" s="354"/>
      <c r="M56" s="354"/>
    </row>
    <row r="57" spans="1:13" s="298" customFormat="1" x14ac:dyDescent="0.2">
      <c r="B57" s="354"/>
      <c r="C57" s="354"/>
      <c r="D57" s="354"/>
      <c r="E57" s="354"/>
      <c r="F57" s="354"/>
      <c r="G57" s="354"/>
      <c r="H57" s="354"/>
      <c r="I57" s="354"/>
      <c r="J57" s="354"/>
      <c r="K57" s="354"/>
      <c r="L57" s="354"/>
      <c r="M57" s="354"/>
    </row>
    <row r="58" spans="1:13" ht="15.75" x14ac:dyDescent="0.2">
      <c r="A58" s="346" t="s">
        <v>49</v>
      </c>
      <c r="B58" s="356">
        <f t="shared" ref="B58:L58" si="11">B41</f>
        <v>2011</v>
      </c>
      <c r="C58" s="346">
        <f t="shared" si="11"/>
        <v>2012</v>
      </c>
      <c r="D58" s="346">
        <f t="shared" si="11"/>
        <v>2013</v>
      </c>
      <c r="E58" s="346">
        <f t="shared" si="11"/>
        <v>2014</v>
      </c>
      <c r="F58" s="346">
        <f t="shared" si="11"/>
        <v>2015</v>
      </c>
      <c r="G58" s="346">
        <f t="shared" si="11"/>
        <v>2016</v>
      </c>
      <c r="H58" s="346">
        <f t="shared" si="11"/>
        <v>2017</v>
      </c>
      <c r="I58" s="346">
        <f t="shared" si="11"/>
        <v>2018</v>
      </c>
      <c r="J58" s="346">
        <f t="shared" si="11"/>
        <v>2019</v>
      </c>
      <c r="K58" s="346">
        <f t="shared" si="11"/>
        <v>2020</v>
      </c>
      <c r="L58" s="346" t="str">
        <f t="shared" si="11"/>
        <v>Avg</v>
      </c>
    </row>
    <row r="59" spans="1:13" x14ac:dyDescent="0.2">
      <c r="A59" s="245" t="s">
        <v>57</v>
      </c>
      <c r="B59" s="350"/>
      <c r="C59" s="350"/>
      <c r="D59" s="350"/>
      <c r="E59" s="350"/>
      <c r="F59" s="350"/>
      <c r="G59" s="350"/>
      <c r="H59" s="350"/>
      <c r="I59" s="350"/>
      <c r="J59" s="350"/>
      <c r="K59" s="350"/>
      <c r="L59" s="350"/>
    </row>
    <row r="60" spans="1:13" x14ac:dyDescent="0.2">
      <c r="A60" s="245" t="s">
        <v>73</v>
      </c>
      <c r="B60" s="351">
        <f>'Input - Adjustments &amp; Variables'!K5</f>
        <v>0</v>
      </c>
      <c r="C60" s="351">
        <f>'Input - Adjustments &amp; Variables'!K17</f>
        <v>0</v>
      </c>
      <c r="D60" s="351">
        <f>'Input - Adjustments &amp; Variables'!K29</f>
        <v>0</v>
      </c>
      <c r="E60" s="351">
        <f>'Input - Adjustments &amp; Variables'!K41</f>
        <v>0</v>
      </c>
      <c r="F60" s="351">
        <f>'Input - Adjustments &amp; Variables'!K53</f>
        <v>0</v>
      </c>
      <c r="G60" s="351">
        <f>'Input - Adjustments &amp; Variables'!K65</f>
        <v>0</v>
      </c>
      <c r="H60" s="351">
        <f>'Input - Adjustments &amp; Variables'!K77</f>
        <v>0</v>
      </c>
      <c r="I60" s="351">
        <f>'Input - Adjustments &amp; Variables'!K89</f>
        <v>0</v>
      </c>
      <c r="J60" s="351">
        <f>'Input - Adjustments &amp; Variables'!K101</f>
        <v>0</v>
      </c>
      <c r="K60" s="351">
        <f>'Input - Adjustments &amp; Variables'!K113</f>
        <v>0</v>
      </c>
      <c r="L60" s="347">
        <f>AVERAGE(B60:K60)</f>
        <v>0</v>
      </c>
    </row>
    <row r="61" spans="1:13" x14ac:dyDescent="0.2">
      <c r="A61" s="245" t="s">
        <v>72</v>
      </c>
      <c r="B61" s="351">
        <f>'Input - Adjustments &amp; Variables'!K6</f>
        <v>0</v>
      </c>
      <c r="C61" s="351">
        <f>'Input - Adjustments &amp; Variables'!K18</f>
        <v>0</v>
      </c>
      <c r="D61" s="351">
        <f>'Input - Adjustments &amp; Variables'!K30</f>
        <v>0</v>
      </c>
      <c r="E61" s="351">
        <f>'Input - Adjustments &amp; Variables'!K42</f>
        <v>0</v>
      </c>
      <c r="F61" s="351">
        <f>'Input - Adjustments &amp; Variables'!K54</f>
        <v>0</v>
      </c>
      <c r="G61" s="351">
        <f>'Input - Adjustments &amp; Variables'!K66</f>
        <v>0</v>
      </c>
      <c r="H61" s="351">
        <f>'Input - Adjustments &amp; Variables'!K78</f>
        <v>0</v>
      </c>
      <c r="I61" s="351">
        <f>'Input - Adjustments &amp; Variables'!K90</f>
        <v>0</v>
      </c>
      <c r="J61" s="351">
        <f>'Input - Adjustments &amp; Variables'!K102</f>
        <v>0</v>
      </c>
      <c r="K61" s="351">
        <f>'Input - Adjustments &amp; Variables'!K114</f>
        <v>0</v>
      </c>
      <c r="L61" s="347">
        <f t="shared" ref="L61:L71" si="12">AVERAGE(B61:K61)</f>
        <v>0</v>
      </c>
    </row>
    <row r="62" spans="1:13" x14ac:dyDescent="0.2">
      <c r="A62" s="245" t="s">
        <v>71</v>
      </c>
      <c r="B62" s="351">
        <f>'Input - Adjustments &amp; Variables'!K7</f>
        <v>0</v>
      </c>
      <c r="C62" s="351">
        <f>'Input - Adjustments &amp; Variables'!K19</f>
        <v>0</v>
      </c>
      <c r="D62" s="351">
        <f>'Input - Adjustments &amp; Variables'!K31</f>
        <v>0</v>
      </c>
      <c r="E62" s="351">
        <f>'Input - Adjustments &amp; Variables'!K43</f>
        <v>0</v>
      </c>
      <c r="F62" s="351">
        <f>'Input - Adjustments &amp; Variables'!K55</f>
        <v>0</v>
      </c>
      <c r="G62" s="351">
        <f>'Input - Adjustments &amp; Variables'!K67</f>
        <v>0</v>
      </c>
      <c r="H62" s="351">
        <f>'Input - Adjustments &amp; Variables'!K79</f>
        <v>0</v>
      </c>
      <c r="I62" s="351">
        <f>'Input - Adjustments &amp; Variables'!K91</f>
        <v>0</v>
      </c>
      <c r="J62" s="351">
        <f>'Input - Adjustments &amp; Variables'!K103</f>
        <v>0</v>
      </c>
      <c r="K62" s="351">
        <f>'Input - Adjustments &amp; Variables'!K115</f>
        <v>0</v>
      </c>
      <c r="L62" s="347">
        <f t="shared" si="12"/>
        <v>0</v>
      </c>
    </row>
    <row r="63" spans="1:13" x14ac:dyDescent="0.2">
      <c r="A63" s="245" t="s">
        <v>70</v>
      </c>
      <c r="B63" s="351">
        <f>'Input - Adjustments &amp; Variables'!K8</f>
        <v>0.4</v>
      </c>
      <c r="C63" s="351">
        <f>'Input - Adjustments &amp; Variables'!K20</f>
        <v>0</v>
      </c>
      <c r="D63" s="351">
        <f>'Input - Adjustments &amp; Variables'!K32</f>
        <v>0</v>
      </c>
      <c r="E63" s="351">
        <f>'Input - Adjustments &amp; Variables'!K44</f>
        <v>0</v>
      </c>
      <c r="F63" s="351">
        <f>'Input - Adjustments &amp; Variables'!K56</f>
        <v>0</v>
      </c>
      <c r="G63" s="351">
        <f>'Input - Adjustments &amp; Variables'!K68</f>
        <v>0</v>
      </c>
      <c r="H63" s="351">
        <f>'Input - Adjustments &amp; Variables'!K80</f>
        <v>0.5</v>
      </c>
      <c r="I63" s="351">
        <f>'Input - Adjustments &amp; Variables'!K92</f>
        <v>0</v>
      </c>
      <c r="J63" s="351">
        <f>'Input - Adjustments &amp; Variables'!K104</f>
        <v>0</v>
      </c>
      <c r="K63" s="351">
        <f>'Input - Adjustments &amp; Variables'!K116</f>
        <v>0</v>
      </c>
      <c r="L63" s="347">
        <f t="shared" si="12"/>
        <v>0.09</v>
      </c>
    </row>
    <row r="64" spans="1:13" x14ac:dyDescent="0.2">
      <c r="A64" s="245" t="s">
        <v>69</v>
      </c>
      <c r="B64" s="351">
        <f>'Input - Adjustments &amp; Variables'!K9</f>
        <v>12.5</v>
      </c>
      <c r="C64" s="351">
        <f>'Input - Adjustments &amp; Variables'!K21</f>
        <v>28.9</v>
      </c>
      <c r="D64" s="351">
        <f>'Input - Adjustments &amp; Variables'!K33</f>
        <v>24.2</v>
      </c>
      <c r="E64" s="351">
        <f>'Input - Adjustments &amp; Variables'!K45</f>
        <v>7.3</v>
      </c>
      <c r="F64" s="351">
        <f>'Input - Adjustments &amp; Variables'!K57</f>
        <v>34.200000000000003</v>
      </c>
      <c r="G64" s="351">
        <f>'Input - Adjustments &amp; Variables'!K69</f>
        <v>24.4</v>
      </c>
      <c r="H64" s="351">
        <f>'Input - Adjustments &amp; Variables'!K81</f>
        <v>6.5</v>
      </c>
      <c r="I64" s="351">
        <f>'Input - Adjustments &amp; Variables'!K93</f>
        <v>30</v>
      </c>
      <c r="J64" s="351">
        <f>'Input - Adjustments &amp; Variables'!K105</f>
        <v>1.8</v>
      </c>
      <c r="K64" s="351">
        <f>'Input - Adjustments &amp; Variables'!K117</f>
        <v>22.8</v>
      </c>
      <c r="L64" s="347">
        <f t="shared" si="12"/>
        <v>19.260000000000002</v>
      </c>
    </row>
    <row r="65" spans="1:12" x14ac:dyDescent="0.2">
      <c r="A65" s="245" t="s">
        <v>68</v>
      </c>
      <c r="B65" s="351">
        <f>'Input - Adjustments &amp; Variables'!K10</f>
        <v>40.200000000000003</v>
      </c>
      <c r="C65" s="351">
        <f>'Input - Adjustments &amp; Variables'!K22</f>
        <v>64.599999999999994</v>
      </c>
      <c r="D65" s="351">
        <f>'Input - Adjustments &amp; Variables'!K34</f>
        <v>48.5</v>
      </c>
      <c r="E65" s="351">
        <f>'Input - Adjustments &amp; Variables'!K46</f>
        <v>69</v>
      </c>
      <c r="F65" s="351">
        <f>'Input - Adjustments &amp; Variables'!K58</f>
        <v>28.6</v>
      </c>
      <c r="G65" s="351">
        <f>'Input - Adjustments &amp; Variables'!K70</f>
        <v>51.7</v>
      </c>
      <c r="H65" s="351">
        <f>'Input - Adjustments &amp; Variables'!K82</f>
        <v>62.2</v>
      </c>
      <c r="I65" s="351">
        <f>'Input - Adjustments &amp; Variables'!K94</f>
        <v>47.8</v>
      </c>
      <c r="J65" s="351">
        <f>'Input - Adjustments &amp; Variables'!K106</f>
        <v>31.8</v>
      </c>
      <c r="K65" s="351">
        <f>'Input - Adjustments &amp; Variables'!K118</f>
        <v>73.699999999999989</v>
      </c>
      <c r="L65" s="347">
        <f t="shared" si="12"/>
        <v>51.81</v>
      </c>
    </row>
    <row r="66" spans="1:12" x14ac:dyDescent="0.2">
      <c r="A66" s="245" t="s">
        <v>67</v>
      </c>
      <c r="B66" s="351">
        <f>'Input - Adjustments &amp; Variables'!K11</f>
        <v>158.6</v>
      </c>
      <c r="C66" s="351">
        <f>'Input - Adjustments &amp; Variables'!K23</f>
        <v>152.9</v>
      </c>
      <c r="D66" s="351">
        <f>'Input - Adjustments &amp; Variables'!K35</f>
        <v>117</v>
      </c>
      <c r="E66" s="351">
        <f>'Input - Adjustments &amp; Variables'!K47</f>
        <v>51</v>
      </c>
      <c r="F66" s="351">
        <f>'Input - Adjustments &amp; Variables'!K59</f>
        <v>79.099999999999994</v>
      </c>
      <c r="G66" s="351">
        <f>'Input - Adjustments &amp; Variables'!K71</f>
        <v>140.69999999999999</v>
      </c>
      <c r="H66" s="351">
        <f>'Input - Adjustments &amp; Variables'!K83</f>
        <v>88.1</v>
      </c>
      <c r="I66" s="351">
        <f>'Input - Adjustments &amp; Variables'!K95</f>
        <v>137.5</v>
      </c>
      <c r="J66" s="351">
        <f>'Input - Adjustments &amp; Variables'!K107</f>
        <v>143.80000000000001</v>
      </c>
      <c r="K66" s="351">
        <f>'Input - Adjustments &amp; Variables'!K119</f>
        <v>168.5</v>
      </c>
      <c r="L66" s="347">
        <f t="shared" si="12"/>
        <v>123.72</v>
      </c>
    </row>
    <row r="67" spans="1:12" x14ac:dyDescent="0.2">
      <c r="A67" s="245" t="s">
        <v>66</v>
      </c>
      <c r="B67" s="351">
        <f>'Input - Adjustments &amp; Variables'!K12</f>
        <v>88.8</v>
      </c>
      <c r="C67" s="351">
        <f>'Input - Adjustments &amp; Variables'!K24</f>
        <v>76.599999999999994</v>
      </c>
      <c r="D67" s="351">
        <f>'Input - Adjustments &amp; Variables'!K36</f>
        <v>113</v>
      </c>
      <c r="E67" s="351">
        <f>'Input - Adjustments &amp; Variables'!K48</f>
        <v>59</v>
      </c>
      <c r="F67" s="351">
        <f>'Input - Adjustments &amp; Variables'!K60</f>
        <v>59</v>
      </c>
      <c r="G67" s="351">
        <f>'Input - Adjustments &amp; Variables'!K72</f>
        <v>159.30000000000001</v>
      </c>
      <c r="H67" s="351">
        <f>'Input - Adjustments &amp; Variables'!K84</f>
        <v>50.8</v>
      </c>
      <c r="I67" s="351">
        <f>'Input - Adjustments &amp; Variables'!K96</f>
        <v>124</v>
      </c>
      <c r="J67" s="351">
        <f>'Input - Adjustments &amp; Variables'!K108</f>
        <v>76</v>
      </c>
      <c r="K67" s="351">
        <f>'Input - Adjustments &amp; Variables'!K120</f>
        <v>95.6</v>
      </c>
      <c r="L67" s="347">
        <f t="shared" si="12"/>
        <v>90.210000000000008</v>
      </c>
    </row>
    <row r="68" spans="1:12" x14ac:dyDescent="0.2">
      <c r="A68" s="245" t="s">
        <v>65</v>
      </c>
      <c r="B68" s="351">
        <f>'Input - Adjustments &amp; Variables'!K13</f>
        <v>29.5</v>
      </c>
      <c r="C68" s="351">
        <f>'Input - Adjustments &amp; Variables'!K25</f>
        <v>28.9</v>
      </c>
      <c r="D68" s="351">
        <f>'Input - Adjustments &amp; Variables'!K37</f>
        <v>22.9</v>
      </c>
      <c r="E68" s="351">
        <f>'Input - Adjustments &amp; Variables'!K49</f>
        <v>27.5</v>
      </c>
      <c r="F68" s="351">
        <f>'Input - Adjustments &amp; Variables'!K61</f>
        <v>54.4</v>
      </c>
      <c r="G68" s="351">
        <f>'Input - Adjustments &amp; Variables'!K73</f>
        <v>48.1</v>
      </c>
      <c r="H68" s="351">
        <f>'Input - Adjustments &amp; Variables'!K85</f>
        <v>49.3</v>
      </c>
      <c r="I68" s="351">
        <f>'Input - Adjustments &amp; Variables'!K97</f>
        <v>69.3</v>
      </c>
      <c r="J68" s="351">
        <f>'Input - Adjustments &amp; Variables'!K109</f>
        <v>11.6</v>
      </c>
      <c r="K68" s="351">
        <f>'Input - Adjustments &amp; Variables'!K121</f>
        <v>23.399999999999995</v>
      </c>
      <c r="L68" s="347">
        <f t="shared" si="12"/>
        <v>36.489999999999995</v>
      </c>
    </row>
    <row r="69" spans="1:12" x14ac:dyDescent="0.2">
      <c r="A69" s="245" t="s">
        <v>64</v>
      </c>
      <c r="B69" s="351">
        <f>'Input - Adjustments &amp; Variables'!K14</f>
        <v>0</v>
      </c>
      <c r="C69" s="351">
        <f>'Input - Adjustments &amp; Variables'!K26</f>
        <v>0.8</v>
      </c>
      <c r="D69" s="351">
        <f>'Input - Adjustments &amp; Variables'!K38</f>
        <v>4.2</v>
      </c>
      <c r="E69" s="351">
        <f>'Input - Adjustments &amp; Variables'!K50</f>
        <v>5.9</v>
      </c>
      <c r="F69" s="351">
        <f>'Input - Adjustments &amp; Variables'!K62</f>
        <v>0.9</v>
      </c>
      <c r="G69" s="351">
        <f>'Input - Adjustments &amp; Variables'!K74</f>
        <v>5.0999999999999996</v>
      </c>
      <c r="H69" s="351">
        <f>'Input - Adjustments &amp; Variables'!K86</f>
        <v>6.4</v>
      </c>
      <c r="I69" s="351">
        <f>'Input - Adjustments &amp; Variables'!K98</f>
        <v>11.1</v>
      </c>
      <c r="J69" s="351">
        <f>'Input - Adjustments &amp; Variables'!K110</f>
        <v>3.9</v>
      </c>
      <c r="K69" s="351">
        <f>'Input - Adjustments &amp; Variables'!K122</f>
        <v>0</v>
      </c>
      <c r="L69" s="347">
        <f t="shared" si="12"/>
        <v>3.8299999999999996</v>
      </c>
    </row>
    <row r="70" spans="1:12" x14ac:dyDescent="0.2">
      <c r="A70" s="245" t="s">
        <v>63</v>
      </c>
      <c r="B70" s="351">
        <f>'Input - Adjustments &amp; Variables'!K15</f>
        <v>0</v>
      </c>
      <c r="C70" s="351">
        <f>'Input - Adjustments &amp; Variables'!K27</f>
        <v>0</v>
      </c>
      <c r="D70" s="351">
        <f>'Input - Adjustments &amp; Variables'!K39</f>
        <v>0</v>
      </c>
      <c r="E70" s="351">
        <f>'Input - Adjustments &amp; Variables'!K51</f>
        <v>0</v>
      </c>
      <c r="F70" s="351">
        <f>'Input - Adjustments &amp; Variables'!K63</f>
        <v>0</v>
      </c>
      <c r="G70" s="351">
        <f>'Input - Adjustments &amp; Variables'!K75</f>
        <v>0</v>
      </c>
      <c r="H70" s="351">
        <f>'Input - Adjustments &amp; Variables'!K87</f>
        <v>0</v>
      </c>
      <c r="I70" s="351">
        <f>'Input - Adjustments &amp; Variables'!K99</f>
        <v>0</v>
      </c>
      <c r="J70" s="351">
        <f>'Input - Adjustments &amp; Variables'!K111</f>
        <v>0</v>
      </c>
      <c r="K70" s="351">
        <f>'Input - Adjustments &amp; Variables'!K123</f>
        <v>0</v>
      </c>
      <c r="L70" s="347">
        <f t="shared" si="12"/>
        <v>0</v>
      </c>
    </row>
    <row r="71" spans="1:12" x14ac:dyDescent="0.2">
      <c r="A71" s="245" t="s">
        <v>62</v>
      </c>
      <c r="B71" s="351">
        <f>'Input - Adjustments &amp; Variables'!K16</f>
        <v>0</v>
      </c>
      <c r="C71" s="351">
        <f>'Input - Adjustments &amp; Variables'!K28</f>
        <v>0</v>
      </c>
      <c r="D71" s="351">
        <f>'Input - Adjustments &amp; Variables'!K40</f>
        <v>0</v>
      </c>
      <c r="E71" s="351">
        <f>'Input - Adjustments &amp; Variables'!K52</f>
        <v>0</v>
      </c>
      <c r="F71" s="351">
        <f>'Input - Adjustments &amp; Variables'!K64</f>
        <v>0</v>
      </c>
      <c r="G71" s="351">
        <f>'Input - Adjustments &amp; Variables'!K76</f>
        <v>0</v>
      </c>
      <c r="H71" s="351">
        <f>'Input - Adjustments &amp; Variables'!K88</f>
        <v>0</v>
      </c>
      <c r="I71" s="351">
        <f>'Input - Adjustments &amp; Variables'!K100</f>
        <v>0</v>
      </c>
      <c r="J71" s="351">
        <f>'Input - Adjustments &amp; Variables'!K112</f>
        <v>0</v>
      </c>
      <c r="K71" s="351">
        <f>'Input - Adjustments &amp; Variables'!K124</f>
        <v>0</v>
      </c>
      <c r="L71" s="347">
        <f t="shared" si="12"/>
        <v>0</v>
      </c>
    </row>
    <row r="72" spans="1:12" x14ac:dyDescent="0.2">
      <c r="A72" s="245" t="s">
        <v>132</v>
      </c>
      <c r="B72" s="467">
        <f>SUM(B60:B71)</f>
        <v>330</v>
      </c>
      <c r="C72" s="467">
        <f t="shared" ref="C72:K72" si="13">SUM(C60:C71)</f>
        <v>352.7</v>
      </c>
      <c r="D72" s="467">
        <f t="shared" si="13"/>
        <v>329.79999999999995</v>
      </c>
      <c r="E72" s="467">
        <f t="shared" si="13"/>
        <v>219.70000000000002</v>
      </c>
      <c r="F72" s="467">
        <f t="shared" si="13"/>
        <v>256.2</v>
      </c>
      <c r="G72" s="467">
        <f t="shared" si="13"/>
        <v>429.30000000000007</v>
      </c>
      <c r="H72" s="467">
        <f t="shared" si="13"/>
        <v>263.8</v>
      </c>
      <c r="I72" s="467">
        <f t="shared" si="13"/>
        <v>419.70000000000005</v>
      </c>
      <c r="J72" s="467">
        <f t="shared" si="13"/>
        <v>268.89999999999998</v>
      </c>
      <c r="K72" s="467">
        <f t="shared" si="13"/>
        <v>384</v>
      </c>
      <c r="L72" s="467">
        <f>SUM(L60:L71)</f>
        <v>325.41000000000003</v>
      </c>
    </row>
    <row r="76" spans="1:12" ht="15.75" x14ac:dyDescent="0.2">
      <c r="A76" s="346" t="s">
        <v>167</v>
      </c>
      <c r="B76" s="346">
        <f t="shared" ref="B76:L76" si="14">B58</f>
        <v>2011</v>
      </c>
      <c r="C76" s="346">
        <f t="shared" si="14"/>
        <v>2012</v>
      </c>
      <c r="D76" s="346">
        <f t="shared" si="14"/>
        <v>2013</v>
      </c>
      <c r="E76" s="346">
        <f t="shared" si="14"/>
        <v>2014</v>
      </c>
      <c r="F76" s="346">
        <f t="shared" si="14"/>
        <v>2015</v>
      </c>
      <c r="G76" s="346">
        <f t="shared" si="14"/>
        <v>2016</v>
      </c>
      <c r="H76" s="346">
        <f t="shared" si="14"/>
        <v>2017</v>
      </c>
      <c r="I76" s="346">
        <f t="shared" si="14"/>
        <v>2018</v>
      </c>
      <c r="J76" s="346">
        <f t="shared" si="14"/>
        <v>2019</v>
      </c>
      <c r="K76" s="346">
        <f t="shared" si="14"/>
        <v>2020</v>
      </c>
      <c r="L76" s="346" t="str">
        <f t="shared" si="14"/>
        <v>Avg</v>
      </c>
    </row>
    <row r="77" spans="1:12" x14ac:dyDescent="0.2">
      <c r="A77" s="245" t="s">
        <v>131</v>
      </c>
      <c r="B77" s="355">
        <f t="shared" ref="B77:K77" si="15">B15</f>
        <v>570956950.18999982</v>
      </c>
      <c r="C77" s="355">
        <f t="shared" si="15"/>
        <v>563572078.28000009</v>
      </c>
      <c r="D77" s="355">
        <f t="shared" si="15"/>
        <v>533186625.53999984</v>
      </c>
      <c r="E77" s="355">
        <f t="shared" si="15"/>
        <v>535323948.29999995</v>
      </c>
      <c r="F77" s="355">
        <f t="shared" si="15"/>
        <v>496797371.39999998</v>
      </c>
      <c r="G77" s="355">
        <f t="shared" si="15"/>
        <v>488555532.25999981</v>
      </c>
      <c r="H77" s="355">
        <f t="shared" si="15"/>
        <v>476330269.50999999</v>
      </c>
      <c r="I77" s="355">
        <f t="shared" si="15"/>
        <v>499580482.79999995</v>
      </c>
      <c r="J77" s="355">
        <f t="shared" si="15"/>
        <v>489885593.67000008</v>
      </c>
      <c r="K77" s="355">
        <f t="shared" si="15"/>
        <v>482685186</v>
      </c>
      <c r="L77" s="355"/>
    </row>
    <row r="78" spans="1:12" x14ac:dyDescent="0.2">
      <c r="A78" s="245" t="s">
        <v>48</v>
      </c>
      <c r="B78" s="344">
        <f t="shared" ref="B78:K78" si="16">SUM(B42:B53)</f>
        <v>3622.7</v>
      </c>
      <c r="C78" s="344">
        <f t="shared" si="16"/>
        <v>3179.2</v>
      </c>
      <c r="D78" s="344">
        <f t="shared" si="16"/>
        <v>3775.6000000000004</v>
      </c>
      <c r="E78" s="344">
        <f t="shared" si="16"/>
        <v>4069.2</v>
      </c>
      <c r="F78" s="344">
        <f t="shared" si="16"/>
        <v>3817.5</v>
      </c>
      <c r="G78" s="344">
        <f t="shared" si="16"/>
        <v>3430.5</v>
      </c>
      <c r="H78" s="344">
        <f t="shared" si="16"/>
        <v>3477.2999999999993</v>
      </c>
      <c r="I78" s="344">
        <f t="shared" si="16"/>
        <v>3740</v>
      </c>
      <c r="J78" s="344">
        <f t="shared" si="16"/>
        <v>3778.2999999999993</v>
      </c>
      <c r="K78" s="344">
        <f t="shared" si="16"/>
        <v>3394.1</v>
      </c>
      <c r="L78" s="344"/>
    </row>
    <row r="79" spans="1:12" x14ac:dyDescent="0.2">
      <c r="A79" s="245" t="s">
        <v>49</v>
      </c>
      <c r="B79" s="344">
        <f t="shared" ref="B79:K79" si="17">SUM(B60:B72)</f>
        <v>660</v>
      </c>
      <c r="C79" s="344">
        <f t="shared" si="17"/>
        <v>705.4</v>
      </c>
      <c r="D79" s="344">
        <f t="shared" si="17"/>
        <v>659.59999999999991</v>
      </c>
      <c r="E79" s="344">
        <f t="shared" si="17"/>
        <v>439.40000000000003</v>
      </c>
      <c r="F79" s="344">
        <f t="shared" si="17"/>
        <v>512.4</v>
      </c>
      <c r="G79" s="344">
        <f t="shared" si="17"/>
        <v>858.60000000000014</v>
      </c>
      <c r="H79" s="344">
        <f t="shared" si="17"/>
        <v>527.6</v>
      </c>
      <c r="I79" s="344">
        <f t="shared" si="17"/>
        <v>839.40000000000009</v>
      </c>
      <c r="J79" s="344">
        <f t="shared" si="17"/>
        <v>537.79999999999995</v>
      </c>
      <c r="K79" s="344">
        <f t="shared" si="17"/>
        <v>768</v>
      </c>
      <c r="L79" s="344"/>
    </row>
    <row r="80" spans="1:12" x14ac:dyDescent="0.2">
      <c r="B80" s="12"/>
      <c r="C80" s="12"/>
      <c r="D80" s="12"/>
      <c r="E80" s="12"/>
      <c r="F80" s="12"/>
      <c r="G80" s="12"/>
      <c r="H80" s="12"/>
      <c r="I80" s="12"/>
      <c r="J80" s="12"/>
      <c r="K80" s="12"/>
      <c r="L80" s="12"/>
    </row>
    <row r="81" spans="2:12" x14ac:dyDescent="0.2">
      <c r="B81" s="12"/>
      <c r="C81" s="12"/>
      <c r="D81" s="12"/>
      <c r="E81" s="12"/>
      <c r="F81" s="12"/>
      <c r="G81" s="12"/>
      <c r="H81" s="12"/>
      <c r="I81" s="12"/>
      <c r="J81" s="12"/>
      <c r="K81" s="12"/>
      <c r="L81" s="12"/>
    </row>
  </sheetData>
  <sheetProtection selectLockedCells="1" selectUnlockedCells="1"/>
  <pageMargins left="0.7" right="0.7" top="0.75" bottom="0.75" header="0.3" footer="0.3"/>
  <pageSetup orientation="portrait" horizontalDpi="4294967292"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B2:P66"/>
  <sheetViews>
    <sheetView showGridLines="0" topLeftCell="A4" zoomScaleNormal="100" workbookViewId="0">
      <selection activeCell="O35" sqref="O35"/>
    </sheetView>
  </sheetViews>
  <sheetFormatPr defaultColWidth="10.5" defaultRowHeight="12.75" x14ac:dyDescent="0.2"/>
  <cols>
    <col min="1" max="1" width="15.33203125" style="144" customWidth="1"/>
    <col min="2" max="2" width="35.33203125" style="144" bestFit="1" customWidth="1"/>
    <col min="3" max="3" width="13.83203125" style="144" customWidth="1"/>
    <col min="4" max="5" width="15.6640625" style="144" bestFit="1" customWidth="1"/>
    <col min="6" max="6" width="13.5" style="144" customWidth="1"/>
    <col min="7" max="7" width="15.6640625" style="144" bestFit="1" customWidth="1"/>
    <col min="8" max="8" width="13.5" style="144" customWidth="1"/>
    <col min="9" max="9" width="15.6640625" style="144" bestFit="1" customWidth="1"/>
    <col min="10" max="10" width="13.5" style="144" customWidth="1"/>
    <col min="11" max="11" width="15.6640625" style="144" bestFit="1" customWidth="1"/>
    <col min="12" max="12" width="14.5" style="144" bestFit="1" customWidth="1"/>
    <col min="13" max="13" width="15.6640625" style="144" bestFit="1" customWidth="1"/>
    <col min="14" max="14" width="14" style="144" bestFit="1" customWidth="1"/>
    <col min="15" max="15" width="16.83203125" style="144" bestFit="1" customWidth="1"/>
    <col min="16" max="16" width="16.33203125" style="144" bestFit="1" customWidth="1"/>
    <col min="17" max="17" width="11.33203125" style="144" customWidth="1"/>
    <col min="18" max="19" width="10.5" style="144"/>
    <col min="20" max="21" width="1.83203125" style="144" customWidth="1"/>
    <col min="22" max="16384" width="10.5" style="144"/>
  </cols>
  <sheetData>
    <row r="2" spans="2:16" ht="23.25" x14ac:dyDescent="0.2">
      <c r="B2" s="429" t="s">
        <v>245</v>
      </c>
      <c r="C2" s="429"/>
      <c r="D2" s="429"/>
      <c r="E2" s="429"/>
      <c r="F2" s="429"/>
      <c r="G2" s="429"/>
      <c r="H2" s="429"/>
      <c r="I2" s="429"/>
      <c r="J2" s="429"/>
      <c r="K2" s="429"/>
    </row>
    <row r="3" spans="2:16" x14ac:dyDescent="0.2">
      <c r="B3" s="144" t="s">
        <v>276</v>
      </c>
    </row>
    <row r="4" spans="2:16" s="154" customFormat="1" ht="47.25" x14ac:dyDescent="0.2">
      <c r="B4" s="346"/>
      <c r="C4" s="346" t="s">
        <v>74</v>
      </c>
      <c r="D4" s="357" t="s">
        <v>231</v>
      </c>
      <c r="E4" s="346">
        <v>2017</v>
      </c>
      <c r="F4" s="346" t="s">
        <v>139</v>
      </c>
      <c r="G4" s="346">
        <v>2018</v>
      </c>
      <c r="H4" s="346" t="s">
        <v>139</v>
      </c>
      <c r="I4" s="346">
        <v>2019</v>
      </c>
      <c r="J4" s="346" t="s">
        <v>139</v>
      </c>
      <c r="K4" s="346">
        <v>2020</v>
      </c>
      <c r="L4" s="346" t="s">
        <v>139</v>
      </c>
      <c r="M4" s="346">
        <v>2021</v>
      </c>
      <c r="N4" s="346" t="s">
        <v>139</v>
      </c>
      <c r="O4" s="346">
        <v>2022</v>
      </c>
      <c r="P4" s="346" t="s">
        <v>139</v>
      </c>
    </row>
    <row r="5" spans="2:16" x14ac:dyDescent="0.2">
      <c r="B5" s="316" t="s">
        <v>59</v>
      </c>
      <c r="C5" s="314" t="s">
        <v>134</v>
      </c>
      <c r="D5" s="338">
        <v>27.72</v>
      </c>
      <c r="E5" s="338">
        <f>D5</f>
        <v>27.72</v>
      </c>
      <c r="F5" s="313">
        <f>E5-D5</f>
        <v>0</v>
      </c>
      <c r="G5" s="338">
        <v>30.57</v>
      </c>
      <c r="H5" s="313">
        <f>G5-E5</f>
        <v>2.8500000000000014</v>
      </c>
      <c r="I5" s="338">
        <v>33.56</v>
      </c>
      <c r="J5" s="313">
        <f>I5-G5</f>
        <v>2.990000000000002</v>
      </c>
      <c r="K5" s="338">
        <v>36.76</v>
      </c>
      <c r="L5" s="313">
        <f>K5-I5</f>
        <v>3.1999999999999957</v>
      </c>
      <c r="M5" s="338">
        <v>37.4</v>
      </c>
      <c r="N5" s="313">
        <f>M5-K5</f>
        <v>0.64000000000000057</v>
      </c>
      <c r="O5" s="338">
        <v>42.42</v>
      </c>
      <c r="P5" s="313">
        <f>O5-M5</f>
        <v>5.0200000000000031</v>
      </c>
    </row>
    <row r="6" spans="2:16" x14ac:dyDescent="0.2">
      <c r="B6" s="316"/>
      <c r="C6" s="314" t="s">
        <v>135</v>
      </c>
      <c r="D6" s="339">
        <v>1.2200000000000001E-2</v>
      </c>
      <c r="E6" s="339">
        <f>D6</f>
        <v>1.2200000000000001E-2</v>
      </c>
      <c r="F6" s="313">
        <f>E6-D6</f>
        <v>0</v>
      </c>
      <c r="G6" s="339">
        <v>8.2000000000000007E-3</v>
      </c>
      <c r="H6" s="312">
        <f>G6-E6</f>
        <v>-4.0000000000000001E-3</v>
      </c>
      <c r="I6" s="339">
        <v>4.1000000000000003E-3</v>
      </c>
      <c r="J6" s="312">
        <f>I6-G6</f>
        <v>-4.1000000000000003E-3</v>
      </c>
      <c r="K6" s="339">
        <v>0</v>
      </c>
      <c r="L6" s="312">
        <f>K6-I6</f>
        <v>-4.1000000000000003E-3</v>
      </c>
      <c r="M6" s="339">
        <v>0</v>
      </c>
      <c r="N6" s="312">
        <f>M6-K6</f>
        <v>0</v>
      </c>
      <c r="O6" s="339">
        <v>0</v>
      </c>
      <c r="P6" s="312">
        <f>O6-M6</f>
        <v>0</v>
      </c>
    </row>
    <row r="7" spans="2:16" x14ac:dyDescent="0.2">
      <c r="B7" s="316"/>
      <c r="C7" s="311"/>
      <c r="D7" s="310"/>
      <c r="E7" s="311"/>
      <c r="F7" s="311"/>
      <c r="G7" s="311"/>
      <c r="H7" s="311"/>
      <c r="I7" s="311"/>
      <c r="J7" s="311"/>
      <c r="K7" s="311"/>
      <c r="L7" s="311"/>
      <c r="M7" s="311"/>
      <c r="N7" s="311"/>
      <c r="O7" s="311"/>
      <c r="P7" s="311"/>
    </row>
    <row r="8" spans="2:16" x14ac:dyDescent="0.2">
      <c r="B8" s="316"/>
      <c r="C8" s="314" t="s">
        <v>104</v>
      </c>
      <c r="D8" s="340">
        <f>'Final LF '!C7</f>
        <v>26074</v>
      </c>
      <c r="E8" s="340">
        <f>'Final LF '!D7</f>
        <v>26228.416666666668</v>
      </c>
      <c r="F8" s="498">
        <f t="shared" ref="F8:F66" si="0">E8-D8</f>
        <v>154.41666666666788</v>
      </c>
      <c r="G8" s="340">
        <f>'Final LF '!E7</f>
        <v>26464.833333333332</v>
      </c>
      <c r="H8" s="498">
        <f>G8-E8</f>
        <v>236.41666666666424</v>
      </c>
      <c r="I8" s="340">
        <f>'Final LF '!F7</f>
        <v>26647</v>
      </c>
      <c r="J8" s="498">
        <f>I8-G8</f>
        <v>182.16666666666788</v>
      </c>
      <c r="K8" s="340">
        <f>'Final LF '!G7</f>
        <v>26915.666666666668</v>
      </c>
      <c r="L8" s="498">
        <f>K8-I8</f>
        <v>268.66666666666788</v>
      </c>
      <c r="M8" s="340">
        <f>'Final LF '!H7</f>
        <v>27070.725516638435</v>
      </c>
      <c r="N8" s="498">
        <f>M8-K8</f>
        <v>155.0588499717669</v>
      </c>
      <c r="O8" s="340">
        <f>'Final LF '!I7</f>
        <v>27226.677647361976</v>
      </c>
      <c r="P8" s="498">
        <f>O8-M8</f>
        <v>155.9521307235409</v>
      </c>
    </row>
    <row r="9" spans="2:16" x14ac:dyDescent="0.2">
      <c r="B9" s="316"/>
      <c r="C9" s="314" t="s">
        <v>75</v>
      </c>
      <c r="D9" s="340">
        <f>'Final LF '!C6</f>
        <v>201294289</v>
      </c>
      <c r="E9" s="340">
        <f>'Final LF '!D6</f>
        <v>192333396.59142745</v>
      </c>
      <c r="F9" s="498">
        <f t="shared" si="0"/>
        <v>-8960892.4085725546</v>
      </c>
      <c r="G9" s="340">
        <f>'Final LF '!E6</f>
        <v>213384791.97681683</v>
      </c>
      <c r="H9" s="498">
        <f>G9-E9</f>
        <v>21051395.385389388</v>
      </c>
      <c r="I9" s="340">
        <f>'Final LF '!F6</f>
        <v>208333695.23086321</v>
      </c>
      <c r="J9" s="498">
        <f>I9-G9</f>
        <v>-5051096.7459536195</v>
      </c>
      <c r="K9" s="340">
        <f>'Final LF '!G6</f>
        <v>220200219.65924728</v>
      </c>
      <c r="L9" s="498">
        <f>K9-I9</f>
        <v>11866524.428384066</v>
      </c>
      <c r="M9" s="340">
        <f>'Final LF '!H6</f>
        <v>206258605.37430316</v>
      </c>
      <c r="N9" s="498">
        <f>M9-K9</f>
        <v>-13941614.284944117</v>
      </c>
      <c r="O9" s="340">
        <f>'Final LF '!I6</f>
        <v>207937090.9889625</v>
      </c>
      <c r="P9" s="498">
        <f>O9-M9</f>
        <v>1678485.6146593392</v>
      </c>
    </row>
    <row r="10" spans="2:16" x14ac:dyDescent="0.2">
      <c r="B10" s="316"/>
      <c r="C10" s="309" t="s">
        <v>136</v>
      </c>
      <c r="D10" s="499">
        <f>(D8*D5*12)+(D6*D9)</f>
        <v>11129045.685799999</v>
      </c>
      <c r="E10" s="499">
        <f>(E8*E5*12)+(E6*E9)</f>
        <v>11071087.958415415</v>
      </c>
      <c r="F10" s="499">
        <f t="shared" si="0"/>
        <v>-57957.727384584025</v>
      </c>
      <c r="G10" s="499">
        <f>(G8*G5*12)+(G6*G9)</f>
        <v>11458114.754209897</v>
      </c>
      <c r="H10" s="499">
        <f>G10-E10</f>
        <v>387026.79579448141</v>
      </c>
      <c r="I10" s="499">
        <f>(I8*I5*12)+(I6*I9)</f>
        <v>11585447.99044654</v>
      </c>
      <c r="J10" s="499">
        <f>I10-G10</f>
        <v>127333.23623664305</v>
      </c>
      <c r="K10" s="499">
        <f>(K8*K5*12)+(K6*K9)</f>
        <v>11873038.879999999</v>
      </c>
      <c r="L10" s="499">
        <f>K10-I10</f>
        <v>287590.88955345936</v>
      </c>
      <c r="M10" s="499">
        <f>(M8*M5*12)+(M6*M9)</f>
        <v>12149341.611867329</v>
      </c>
      <c r="N10" s="499">
        <f>M10-K10</f>
        <v>276302.73186733015</v>
      </c>
      <c r="O10" s="499">
        <f>(O8*O5*12)+(O6*O9)</f>
        <v>13859467.989613142</v>
      </c>
      <c r="P10" s="499">
        <f>O10-M10</f>
        <v>1710126.3777458128</v>
      </c>
    </row>
    <row r="11" spans="2:16" x14ac:dyDescent="0.2">
      <c r="B11" s="316"/>
      <c r="C11" s="308"/>
      <c r="D11" s="308"/>
      <c r="E11" s="307"/>
      <c r="F11" s="307"/>
      <c r="G11" s="307"/>
      <c r="H11" s="307"/>
      <c r="I11" s="307"/>
      <c r="J11" s="307"/>
      <c r="K11" s="307"/>
      <c r="L11" s="307"/>
      <c r="M11" s="307"/>
      <c r="N11" s="307"/>
      <c r="O11" s="307"/>
      <c r="P11" s="307"/>
    </row>
    <row r="12" spans="2:16" x14ac:dyDescent="0.2">
      <c r="B12" s="316"/>
      <c r="C12" s="311"/>
      <c r="D12" s="311"/>
      <c r="E12" s="311"/>
      <c r="F12" s="311"/>
      <c r="G12" s="311"/>
      <c r="H12" s="311"/>
      <c r="I12" s="311"/>
      <c r="J12" s="311"/>
      <c r="K12" s="311"/>
      <c r="L12" s="311"/>
      <c r="M12" s="311"/>
      <c r="N12" s="311"/>
      <c r="O12" s="311"/>
      <c r="P12" s="311"/>
    </row>
    <row r="13" spans="2:16" x14ac:dyDescent="0.2">
      <c r="B13" s="316" t="s">
        <v>58</v>
      </c>
      <c r="C13" s="314" t="s">
        <v>134</v>
      </c>
      <c r="D13" s="338">
        <v>30.02</v>
      </c>
      <c r="E13" s="338">
        <f>D13</f>
        <v>30.02</v>
      </c>
      <c r="F13" s="313">
        <f t="shared" si="0"/>
        <v>0</v>
      </c>
      <c r="G13" s="338">
        <v>30.25</v>
      </c>
      <c r="H13" s="313">
        <f>G13-E13</f>
        <v>0.23000000000000043</v>
      </c>
      <c r="I13" s="338">
        <v>30.57</v>
      </c>
      <c r="J13" s="313">
        <f>I13-G13</f>
        <v>0.32000000000000028</v>
      </c>
      <c r="K13" s="338">
        <v>31.04</v>
      </c>
      <c r="L13" s="313">
        <f>K13-I13</f>
        <v>0.46999999999999886</v>
      </c>
      <c r="M13" s="338">
        <v>31.58</v>
      </c>
      <c r="N13" s="313">
        <f>M13-K13</f>
        <v>0.53999999999999915</v>
      </c>
      <c r="O13" s="338">
        <v>35.71</v>
      </c>
      <c r="P13" s="313">
        <f>O13-M13</f>
        <v>4.1300000000000026</v>
      </c>
    </row>
    <row r="14" spans="2:16" x14ac:dyDescent="0.2">
      <c r="B14" s="316"/>
      <c r="C14" s="314" t="s">
        <v>135</v>
      </c>
      <c r="D14" s="339">
        <v>2.4400000000000002E-2</v>
      </c>
      <c r="E14" s="339">
        <f>D14</f>
        <v>2.4400000000000002E-2</v>
      </c>
      <c r="F14" s="312">
        <f t="shared" si="0"/>
        <v>0</v>
      </c>
      <c r="G14" s="339">
        <v>2.46E-2</v>
      </c>
      <c r="H14" s="312">
        <f>G14-E14</f>
        <v>1.9999999999999879E-4</v>
      </c>
      <c r="I14" s="339">
        <v>2.4899999999999999E-2</v>
      </c>
      <c r="J14" s="312">
        <f>I14-G14</f>
        <v>2.9999999999999818E-4</v>
      </c>
      <c r="K14" s="339">
        <v>2.53E-2</v>
      </c>
      <c r="L14" s="312">
        <f>K14-I14</f>
        <v>4.0000000000000105E-4</v>
      </c>
      <c r="M14" s="339">
        <v>2.5700000000000001E-2</v>
      </c>
      <c r="N14" s="312">
        <f>M14-K14</f>
        <v>4.0000000000000105E-4</v>
      </c>
      <c r="O14" s="339">
        <v>2.9100000000000001E-2</v>
      </c>
      <c r="P14" s="312">
        <f>O14-M14</f>
        <v>3.4000000000000002E-3</v>
      </c>
    </row>
    <row r="15" spans="2:16" x14ac:dyDescent="0.2">
      <c r="B15" s="316"/>
      <c r="C15" s="311"/>
      <c r="D15" s="311"/>
      <c r="E15" s="311"/>
      <c r="F15" s="311"/>
      <c r="G15" s="311"/>
      <c r="H15" s="311"/>
      <c r="I15" s="311"/>
      <c r="J15" s="311"/>
      <c r="K15" s="311"/>
      <c r="L15" s="311"/>
      <c r="M15" s="311"/>
      <c r="N15" s="311"/>
      <c r="O15" s="311"/>
      <c r="P15" s="311"/>
    </row>
    <row r="16" spans="2:16" x14ac:dyDescent="0.2">
      <c r="B16" s="316"/>
      <c r="C16" s="314" t="s">
        <v>104</v>
      </c>
      <c r="D16" s="340">
        <f>'Final LF '!C11</f>
        <v>2489</v>
      </c>
      <c r="E16" s="340">
        <f>'Final LF '!D11</f>
        <v>2506.6666666666665</v>
      </c>
      <c r="F16" s="498">
        <f t="shared" si="0"/>
        <v>17.666666666666515</v>
      </c>
      <c r="G16" s="340">
        <f>'Final LF '!E11</f>
        <v>2490.75</v>
      </c>
      <c r="H16" s="498">
        <f>G16-E16</f>
        <v>-15.916666666666515</v>
      </c>
      <c r="I16" s="340">
        <f>'Final LF '!F11</f>
        <v>2495.6666666666665</v>
      </c>
      <c r="J16" s="498">
        <f>I16-G16</f>
        <v>4.9166666666665151</v>
      </c>
      <c r="K16" s="340">
        <f>'Final LF '!G11</f>
        <v>2513.5833333333335</v>
      </c>
      <c r="L16" s="498">
        <f>K16-I16</f>
        <v>17.91666666666697</v>
      </c>
      <c r="M16" s="340">
        <f>'Final LF '!H11</f>
        <v>2514.3158811278504</v>
      </c>
      <c r="N16" s="498">
        <f>M16-K16</f>
        <v>0.7325477945169041</v>
      </c>
      <c r="O16" s="340">
        <f>'Final LF '!I11</f>
        <v>2515.0486424129103</v>
      </c>
      <c r="P16" s="498">
        <f>O16-M16</f>
        <v>0.73276128505995075</v>
      </c>
    </row>
    <row r="17" spans="2:16" x14ac:dyDescent="0.2">
      <c r="B17" s="316"/>
      <c r="C17" s="314" t="s">
        <v>75</v>
      </c>
      <c r="D17" s="340">
        <f>'Final LF '!C10</f>
        <v>69390323</v>
      </c>
      <c r="E17" s="340">
        <f>'Final LF '!D10</f>
        <v>66385178.073323995</v>
      </c>
      <c r="F17" s="498">
        <f t="shared" si="0"/>
        <v>-3005144.9266760051</v>
      </c>
      <c r="G17" s="340">
        <f>'Final LF '!E10</f>
        <v>68552191.048737228</v>
      </c>
      <c r="H17" s="498">
        <f>G17-E17</f>
        <v>2167012.975413233</v>
      </c>
      <c r="I17" s="340">
        <f>'Final LF '!F10</f>
        <v>68296619.869135812</v>
      </c>
      <c r="J17" s="498">
        <f>I17-G17</f>
        <v>-255571.17960141599</v>
      </c>
      <c r="K17" s="340">
        <f>'Final LF '!G10</f>
        <v>63219121.669230707</v>
      </c>
      <c r="L17" s="498">
        <f>K17-I17</f>
        <v>-5077498.1999051049</v>
      </c>
      <c r="M17" s="340">
        <f>'Final LF '!H10</f>
        <v>66411371.048883222</v>
      </c>
      <c r="N17" s="498">
        <f>M17-K17</f>
        <v>3192249.3796525151</v>
      </c>
      <c r="O17" s="340">
        <f>'Final LF '!I10</f>
        <v>66588570.906844519</v>
      </c>
      <c r="P17" s="498">
        <f>O17-M17</f>
        <v>177199.85796129704</v>
      </c>
    </row>
    <row r="18" spans="2:16" x14ac:dyDescent="0.2">
      <c r="B18" s="316"/>
      <c r="C18" s="309" t="s">
        <v>136</v>
      </c>
      <c r="D18" s="499">
        <f>(D16*D13*12)+(D14*D17)</f>
        <v>2589761.2412</v>
      </c>
      <c r="E18" s="499">
        <f>(E16*E13*12)+(E14*E17)</f>
        <v>2522799.9449891057</v>
      </c>
      <c r="F18" s="499">
        <f t="shared" si="0"/>
        <v>-66961.296210894361</v>
      </c>
      <c r="G18" s="499">
        <f>(G16*G13*12)+(G14*G17)</f>
        <v>2590526.1497989357</v>
      </c>
      <c r="H18" s="499">
        <f>G18-E18</f>
        <v>67726.204809830058</v>
      </c>
      <c r="I18" s="499">
        <f>(I16*I13*12)+(I14*I17)</f>
        <v>2616096.1947414814</v>
      </c>
      <c r="J18" s="499">
        <f>I18-G18</f>
        <v>25570.044942545705</v>
      </c>
      <c r="K18" s="499">
        <f>(K16*K13*12)+(K14*K17)</f>
        <v>2535703.298231537</v>
      </c>
      <c r="L18" s="499">
        <f>K18-I18</f>
        <v>-80392.896509944461</v>
      </c>
      <c r="M18" s="499">
        <f>(M16*M13*12)+(M14*M17)</f>
        <v>2659597.3822685089</v>
      </c>
      <c r="N18" s="499">
        <f>M18-K18</f>
        <v>123894.08403697191</v>
      </c>
      <c r="O18" s="499">
        <f>(O16*O13*12)+(O14*O17)</f>
        <v>3015476.057635956</v>
      </c>
      <c r="P18" s="499">
        <f>O18-M18</f>
        <v>355878.67536744708</v>
      </c>
    </row>
    <row r="19" spans="2:16" x14ac:dyDescent="0.2">
      <c r="B19" s="316"/>
      <c r="C19" s="308"/>
      <c r="D19" s="308"/>
      <c r="E19" s="307"/>
      <c r="F19" s="307"/>
      <c r="G19" s="307"/>
      <c r="H19" s="307"/>
      <c r="I19" s="307"/>
      <c r="J19" s="307"/>
      <c r="K19" s="307"/>
      <c r="L19" s="307"/>
      <c r="M19" s="307"/>
      <c r="N19" s="307"/>
      <c r="O19" s="307"/>
      <c r="P19" s="307"/>
    </row>
    <row r="20" spans="2:16" x14ac:dyDescent="0.2">
      <c r="B20" s="316"/>
      <c r="C20" s="311"/>
      <c r="D20" s="311"/>
      <c r="E20" s="311"/>
      <c r="F20" s="311"/>
      <c r="G20" s="311"/>
      <c r="H20" s="311"/>
      <c r="I20" s="311"/>
      <c r="J20" s="311"/>
      <c r="K20" s="311"/>
      <c r="L20" s="311"/>
      <c r="M20" s="311"/>
      <c r="N20" s="311"/>
      <c r="O20" s="311"/>
      <c r="P20" s="311"/>
    </row>
    <row r="21" spans="2:16" x14ac:dyDescent="0.2">
      <c r="B21" s="316" t="s">
        <v>137</v>
      </c>
      <c r="C21" s="314" t="s">
        <v>134</v>
      </c>
      <c r="D21" s="338">
        <v>161.31</v>
      </c>
      <c r="E21" s="338">
        <f>D21</f>
        <v>161.31</v>
      </c>
      <c r="F21" s="313">
        <f t="shared" si="0"/>
        <v>0</v>
      </c>
      <c r="G21" s="338">
        <v>162.52000000000001</v>
      </c>
      <c r="H21" s="313">
        <f>G21-E21</f>
        <v>1.210000000000008</v>
      </c>
      <c r="I21" s="338">
        <v>164.23</v>
      </c>
      <c r="J21" s="313">
        <f>I21-G21</f>
        <v>1.7099999999999795</v>
      </c>
      <c r="K21" s="338">
        <v>166.78</v>
      </c>
      <c r="L21" s="313">
        <f>K21-I21</f>
        <v>2.5500000000000114</v>
      </c>
      <c r="M21" s="338">
        <v>169.7</v>
      </c>
      <c r="N21" s="313">
        <f>M21-K21</f>
        <v>2.9199999999999875</v>
      </c>
      <c r="O21" s="338">
        <v>169.7</v>
      </c>
      <c r="P21" s="313">
        <f>O21-M21</f>
        <v>0</v>
      </c>
    </row>
    <row r="22" spans="2:16" x14ac:dyDescent="0.2">
      <c r="B22" s="316"/>
      <c r="C22" s="314" t="s">
        <v>135</v>
      </c>
      <c r="D22" s="339">
        <v>7.0853999999999999</v>
      </c>
      <c r="E22" s="339">
        <f>D22</f>
        <v>7.0853999999999999</v>
      </c>
      <c r="F22" s="312">
        <f t="shared" si="0"/>
        <v>0</v>
      </c>
      <c r="G22" s="339">
        <v>7.1384999999999996</v>
      </c>
      <c r="H22" s="312">
        <f>G22-E22</f>
        <v>5.3099999999999703E-2</v>
      </c>
      <c r="I22" s="339">
        <v>7.2134999999999998</v>
      </c>
      <c r="J22" s="312">
        <f>I22-G22</f>
        <v>7.5000000000000178E-2</v>
      </c>
      <c r="K22" s="339">
        <v>7.3253000000000004</v>
      </c>
      <c r="L22" s="312">
        <f>K22-I22</f>
        <v>0.11180000000000057</v>
      </c>
      <c r="M22" s="339">
        <v>7.4535</v>
      </c>
      <c r="N22" s="312">
        <f>M22-K22</f>
        <v>0.12819999999999965</v>
      </c>
      <c r="O22" s="339">
        <v>8.4793000000000003</v>
      </c>
      <c r="P22" s="312">
        <f>O22-M22</f>
        <v>1.0258000000000003</v>
      </c>
    </row>
    <row r="23" spans="2:16" x14ac:dyDescent="0.2">
      <c r="B23" s="316"/>
      <c r="C23" s="311"/>
      <c r="D23" s="311"/>
      <c r="E23" s="311"/>
      <c r="F23" s="311"/>
      <c r="G23" s="311"/>
      <c r="H23" s="311"/>
      <c r="I23" s="311"/>
      <c r="J23" s="311"/>
      <c r="K23" s="311"/>
      <c r="L23" s="311"/>
      <c r="M23" s="311"/>
      <c r="N23" s="311"/>
      <c r="O23" s="311"/>
      <c r="P23" s="311"/>
    </row>
    <row r="24" spans="2:16" x14ac:dyDescent="0.2">
      <c r="B24" s="316"/>
      <c r="C24" s="314" t="s">
        <v>104</v>
      </c>
      <c r="D24" s="340">
        <f>'Final LF '!C16</f>
        <v>217</v>
      </c>
      <c r="E24" s="340">
        <f>'Final LF '!D16</f>
        <v>198</v>
      </c>
      <c r="F24" s="498">
        <f t="shared" si="0"/>
        <v>-19</v>
      </c>
      <c r="G24" s="340">
        <f>'Final LF '!E16</f>
        <v>197.66666666666666</v>
      </c>
      <c r="H24" s="498">
        <f>G24-E24</f>
        <v>-0.33333333333334281</v>
      </c>
      <c r="I24" s="340">
        <f>'Final LF '!F16</f>
        <v>190.33333333333334</v>
      </c>
      <c r="J24" s="498">
        <f>I24-G24</f>
        <v>-7.3333333333333144</v>
      </c>
      <c r="K24" s="340">
        <f>'Final LF '!G16</f>
        <v>193.16666666666666</v>
      </c>
      <c r="L24" s="498">
        <f>K24-I24</f>
        <v>2.8333333333333144</v>
      </c>
      <c r="M24" s="340">
        <f>'Final LF '!H16</f>
        <v>189.97493534710117</v>
      </c>
      <c r="N24" s="498">
        <f>M24-K24</f>
        <v>-3.1917313195654913</v>
      </c>
      <c r="O24" s="340">
        <f>'Final LF '!I16</f>
        <v>186.83594164004455</v>
      </c>
      <c r="P24" s="498">
        <f>O24-M24</f>
        <v>-3.1389937070566134</v>
      </c>
    </row>
    <row r="25" spans="2:16" x14ac:dyDescent="0.2">
      <c r="B25" s="316"/>
      <c r="C25" s="314" t="s">
        <v>75</v>
      </c>
      <c r="D25" s="340">
        <f>'Final LF '!C14</f>
        <v>190144345</v>
      </c>
      <c r="E25" s="340">
        <f>'Final LF '!D14</f>
        <v>185980426.04825354</v>
      </c>
      <c r="F25" s="498">
        <f t="shared" si="0"/>
        <v>-4163918.9517464638</v>
      </c>
      <c r="G25" s="340">
        <f>'Final LF '!E14</f>
        <v>186317853.54878309</v>
      </c>
      <c r="H25" s="498">
        <f>G25-E25</f>
        <v>337427.50052955747</v>
      </c>
      <c r="I25" s="340">
        <f>'Final LF '!F14</f>
        <v>183204907.69893607</v>
      </c>
      <c r="J25" s="498">
        <f>I25-G25</f>
        <v>-3112945.8498470187</v>
      </c>
      <c r="K25" s="340">
        <f>'Final LF '!G14</f>
        <v>169630766.96221483</v>
      </c>
      <c r="L25" s="498">
        <f>K25-I25</f>
        <v>-13574140.736721247</v>
      </c>
      <c r="M25" s="340">
        <f>'Final LF '!H14</f>
        <v>178767211.80250752</v>
      </c>
      <c r="N25" s="498">
        <f>M25-K25</f>
        <v>9136444.8402926922</v>
      </c>
      <c r="O25" s="340">
        <f>'Final LF '!I14</f>
        <v>176291004.53621852</v>
      </c>
      <c r="P25" s="498">
        <f>O25-M25</f>
        <v>-2476207.2662889957</v>
      </c>
    </row>
    <row r="26" spans="2:16" x14ac:dyDescent="0.2">
      <c r="B26" s="316"/>
      <c r="C26" s="314" t="s">
        <v>76</v>
      </c>
      <c r="D26" s="340">
        <f>'Final LF '!C15</f>
        <v>610067</v>
      </c>
      <c r="E26" s="340">
        <f>'Final LF '!D15</f>
        <v>588371.79999999993</v>
      </c>
      <c r="F26" s="498">
        <f t="shared" si="0"/>
        <v>-21695.20000000007</v>
      </c>
      <c r="G26" s="340">
        <f>'Final LF '!E15</f>
        <v>580250.94000000006</v>
      </c>
      <c r="H26" s="498">
        <f>G26-E26</f>
        <v>-8120.8599999998696</v>
      </c>
      <c r="I26" s="340">
        <f>'Final LF '!F15</f>
        <v>553966.00999999966</v>
      </c>
      <c r="J26" s="498">
        <f>I26-G26</f>
        <v>-26284.9300000004</v>
      </c>
      <c r="K26" s="340">
        <f>'Final LF '!G15</f>
        <v>527483.83000000007</v>
      </c>
      <c r="L26" s="498">
        <f>K26-I26</f>
        <v>-26482.179999999586</v>
      </c>
      <c r="M26" s="340">
        <f>'Final LF '!H15</f>
        <v>529536.43363855162</v>
      </c>
      <c r="N26" s="498">
        <f>M26-K26</f>
        <v>2052.6036385515472</v>
      </c>
      <c r="O26" s="340">
        <f>'Final LF '!I15</f>
        <v>522201.52053273475</v>
      </c>
      <c r="P26" s="498">
        <f>O26-M26</f>
        <v>-7334.9131058168714</v>
      </c>
    </row>
    <row r="27" spans="2:16" x14ac:dyDescent="0.2">
      <c r="B27" s="316"/>
      <c r="C27" s="309" t="s">
        <v>136</v>
      </c>
      <c r="D27" s="499">
        <f>(D24*D21*12)+(D22*D26)</f>
        <v>4742619.9618000006</v>
      </c>
      <c r="E27" s="499">
        <f>(E24*E21*12)+(E22*E26)</f>
        <v>4552122.1117199995</v>
      </c>
      <c r="F27" s="499">
        <f t="shared" si="0"/>
        <v>-190497.85008000117</v>
      </c>
      <c r="G27" s="499">
        <f>(G24*G21*12)+(G22*G26)</f>
        <v>4527618.7751900004</v>
      </c>
      <c r="H27" s="499">
        <f>G27-E27</f>
        <v>-24503.33652999904</v>
      </c>
      <c r="I27" s="499">
        <f>(I24*I21*12)+(I22*I26)</f>
        <v>4371135.1331349974</v>
      </c>
      <c r="J27" s="499">
        <f>I27-G27</f>
        <v>-156483.64205500297</v>
      </c>
      <c r="K27" s="499">
        <f>(K24*K21*12)+(K22*K26)</f>
        <v>4250573.3398990007</v>
      </c>
      <c r="L27" s="499">
        <f>K27-I27</f>
        <v>-120561.79323599674</v>
      </c>
      <c r="M27" s="499">
        <f>(M24*M21*12)+(M22*M26)</f>
        <v>4333764.7664657813</v>
      </c>
      <c r="N27" s="499">
        <f>M27-K27</f>
        <v>83191.426566780545</v>
      </c>
      <c r="O27" s="499">
        <f>(O24*O21*12)+(O22*O26)</f>
        <v>4808376.0646090042</v>
      </c>
      <c r="P27" s="499">
        <f>O27-M27</f>
        <v>474611.29814322293</v>
      </c>
    </row>
    <row r="28" spans="2:16" x14ac:dyDescent="0.2">
      <c r="B28" s="432"/>
      <c r="C28" s="430"/>
      <c r="D28" s="430"/>
      <c r="E28" s="431"/>
      <c r="F28" s="431"/>
      <c r="G28" s="431"/>
      <c r="H28" s="431"/>
      <c r="I28" s="431"/>
      <c r="J28" s="431"/>
      <c r="K28" s="431"/>
      <c r="L28" s="431"/>
      <c r="M28" s="431"/>
      <c r="N28" s="431"/>
      <c r="O28" s="431"/>
      <c r="P28" s="431"/>
    </row>
    <row r="29" spans="2:16" x14ac:dyDescent="0.2">
      <c r="B29" s="316" t="s">
        <v>188</v>
      </c>
      <c r="C29" s="314" t="s">
        <v>134</v>
      </c>
      <c r="D29" s="338">
        <v>580.48</v>
      </c>
      <c r="E29" s="338">
        <f>D29</f>
        <v>580.48</v>
      </c>
      <c r="F29" s="313">
        <f t="shared" si="0"/>
        <v>0</v>
      </c>
      <c r="G29" s="338">
        <v>584.83000000000004</v>
      </c>
      <c r="H29" s="313">
        <f>G29-E29</f>
        <v>4.3500000000000227</v>
      </c>
      <c r="I29" s="338">
        <v>590.97</v>
      </c>
      <c r="J29" s="313">
        <f>I29-G29</f>
        <v>6.1399999999999864</v>
      </c>
      <c r="K29" s="338">
        <v>600.13</v>
      </c>
      <c r="L29" s="313">
        <f>K29-I29</f>
        <v>9.1599999999999682</v>
      </c>
      <c r="M29" s="338">
        <v>610.63</v>
      </c>
      <c r="N29" s="313">
        <f>M29-K29</f>
        <v>10.5</v>
      </c>
      <c r="O29" s="338">
        <v>610.63</v>
      </c>
      <c r="P29" s="313">
        <f>O29-M29</f>
        <v>0</v>
      </c>
    </row>
    <row r="30" spans="2:16" x14ac:dyDescent="0.2">
      <c r="B30" s="316"/>
      <c r="C30" s="314" t="s">
        <v>135</v>
      </c>
      <c r="D30" s="339">
        <v>8.1509</v>
      </c>
      <c r="E30" s="339">
        <f>D30</f>
        <v>8.1509</v>
      </c>
      <c r="F30" s="312">
        <f t="shared" si="0"/>
        <v>0</v>
      </c>
      <c r="G30" s="339">
        <v>8.2119999999999997</v>
      </c>
      <c r="H30" s="312">
        <f>G30-E30</f>
        <v>6.109999999999971E-2</v>
      </c>
      <c r="I30" s="339">
        <v>8.2981999999999996</v>
      </c>
      <c r="J30" s="312">
        <f>I30-G30</f>
        <v>8.6199999999999832E-2</v>
      </c>
      <c r="K30" s="339">
        <v>8.4268000000000001</v>
      </c>
      <c r="L30" s="312">
        <f>K30-I30</f>
        <v>0.12860000000000049</v>
      </c>
      <c r="M30" s="339">
        <v>8.5742999999999991</v>
      </c>
      <c r="N30" s="312">
        <f>M30-K30</f>
        <v>0.14749999999999908</v>
      </c>
      <c r="O30" s="339">
        <v>9.7651000000000003</v>
      </c>
      <c r="P30" s="312">
        <f>O30-M30</f>
        <v>1.1908000000000012</v>
      </c>
    </row>
    <row r="31" spans="2:16" x14ac:dyDescent="0.2">
      <c r="B31" s="316"/>
      <c r="C31" s="311"/>
      <c r="D31" s="311"/>
      <c r="E31" s="311"/>
      <c r="F31" s="311"/>
      <c r="G31" s="311"/>
      <c r="H31" s="311"/>
      <c r="I31" s="311"/>
      <c r="J31" s="311"/>
      <c r="K31" s="311"/>
      <c r="L31" s="311"/>
      <c r="M31" s="311"/>
      <c r="N31" s="311"/>
      <c r="O31" s="311"/>
      <c r="P31" s="311"/>
    </row>
    <row r="32" spans="2:16" x14ac:dyDescent="0.2">
      <c r="B32" s="316"/>
      <c r="C32" s="314" t="s">
        <v>104</v>
      </c>
      <c r="D32" s="340">
        <f>'Final LF '!C21</f>
        <v>1</v>
      </c>
      <c r="E32" s="340">
        <f>'Final LF '!D21</f>
        <v>1</v>
      </c>
      <c r="F32" s="498">
        <f t="shared" si="0"/>
        <v>0</v>
      </c>
      <c r="G32" s="340">
        <f>'Final LF '!E21</f>
        <v>1</v>
      </c>
      <c r="H32" s="498">
        <f>G32-E32</f>
        <v>0</v>
      </c>
      <c r="I32" s="340">
        <f>'Final LF '!F21</f>
        <v>1</v>
      </c>
      <c r="J32" s="498">
        <f>I32-G32</f>
        <v>0</v>
      </c>
      <c r="K32" s="340">
        <f>'Final LF '!G21</f>
        <v>1</v>
      </c>
      <c r="L32" s="498">
        <f>K32-I32</f>
        <v>0</v>
      </c>
      <c r="M32" s="340">
        <f>'Final LF '!H21</f>
        <v>1</v>
      </c>
      <c r="N32" s="498">
        <f>M32-K32</f>
        <v>0</v>
      </c>
      <c r="O32" s="340">
        <f>'Final LF '!I21</f>
        <v>1</v>
      </c>
      <c r="P32" s="498">
        <f>O32-M32</f>
        <v>0</v>
      </c>
    </row>
    <row r="33" spans="2:16" x14ac:dyDescent="0.2">
      <c r="B33" s="316"/>
      <c r="C33" s="314" t="s">
        <v>75</v>
      </c>
      <c r="D33" s="340">
        <f>'Final LF '!C19</f>
        <v>5205754</v>
      </c>
      <c r="E33" s="340">
        <f>'Final LF '!D19</f>
        <v>4768119.9723423496</v>
      </c>
      <c r="F33" s="498">
        <f t="shared" si="0"/>
        <v>-437634.02765765041</v>
      </c>
      <c r="G33" s="340">
        <f>'Final LF '!E19</f>
        <v>5218945.2166489204</v>
      </c>
      <c r="H33" s="498">
        <f>G33-E33</f>
        <v>450825.24430657085</v>
      </c>
      <c r="I33" s="340">
        <f>'Final LF '!F19</f>
        <v>5234524.4083762597</v>
      </c>
      <c r="J33" s="498">
        <f>I33-G33</f>
        <v>15579.19172733929</v>
      </c>
      <c r="K33" s="340">
        <f>'Final LF '!G19</f>
        <v>5321959.9988488881</v>
      </c>
      <c r="L33" s="498">
        <f>K33-I33</f>
        <v>87435.590472628362</v>
      </c>
      <c r="M33" s="340">
        <f>'Final LF '!H19</f>
        <v>5173257.7887748284</v>
      </c>
      <c r="N33" s="498">
        <f>M33-K33</f>
        <v>-148702.21007405967</v>
      </c>
      <c r="O33" s="340">
        <f>'Final LF '!I19</f>
        <v>5185553.4832486585</v>
      </c>
      <c r="P33" s="498">
        <f>O33-M33</f>
        <v>12295.694473830052</v>
      </c>
    </row>
    <row r="34" spans="2:16" x14ac:dyDescent="0.2">
      <c r="B34" s="316"/>
      <c r="C34" s="314" t="s">
        <v>76</v>
      </c>
      <c r="D34" s="340">
        <f>'Final LF '!C20</f>
        <v>13921</v>
      </c>
      <c r="E34" s="340">
        <f>'Final LF '!D20</f>
        <v>12501.41</v>
      </c>
      <c r="F34" s="498">
        <f t="shared" si="0"/>
        <v>-1419.5900000000001</v>
      </c>
      <c r="G34" s="340">
        <f>'Final LF '!E20</f>
        <v>13532.36</v>
      </c>
      <c r="H34" s="498">
        <f>G34-E34</f>
        <v>1030.9500000000007</v>
      </c>
      <c r="I34" s="340">
        <f>'Final LF '!F20</f>
        <v>13275.64</v>
      </c>
      <c r="J34" s="498">
        <f>I34-G34</f>
        <v>-256.72000000000116</v>
      </c>
      <c r="K34" s="340">
        <f>'Final LF '!G20</f>
        <v>14339.56</v>
      </c>
      <c r="L34" s="498">
        <f>K34-I34</f>
        <v>1063.92</v>
      </c>
      <c r="M34" s="340">
        <f>'Final LF '!H20</f>
        <v>13830.232760291723</v>
      </c>
      <c r="N34" s="498">
        <f>M34-K34</f>
        <v>-509.32723970827647</v>
      </c>
      <c r="O34" s="340">
        <f>'Final LF '!I20</f>
        <v>13863.10417777482</v>
      </c>
      <c r="P34" s="498">
        <f>O34-M34</f>
        <v>32.871417483096593</v>
      </c>
    </row>
    <row r="35" spans="2:16" x14ac:dyDescent="0.2">
      <c r="B35" s="316"/>
      <c r="C35" s="309" t="s">
        <v>136</v>
      </c>
      <c r="D35" s="499">
        <f>(D32*D29*12)+(D30*D34)</f>
        <v>120434.43889999999</v>
      </c>
      <c r="E35" s="499">
        <f>(E32*E29*12)+(E30*E34)</f>
        <v>108863.502769</v>
      </c>
      <c r="F35" s="499">
        <f t="shared" si="0"/>
        <v>-11570.936130999995</v>
      </c>
      <c r="G35" s="499">
        <f>(G32*G29*12)+(G30*G34)</f>
        <v>118145.70032</v>
      </c>
      <c r="H35" s="499">
        <f>G35-E35</f>
        <v>9282.1975510000048</v>
      </c>
      <c r="I35" s="499">
        <f>(I32*I29*12)+(I30*I34)</f>
        <v>117255.55584799999</v>
      </c>
      <c r="J35" s="499">
        <f>I35-G35</f>
        <v>-890.1444720000145</v>
      </c>
      <c r="K35" s="499">
        <f>(K32*K29*12)+(K30*K34)</f>
        <v>128038.16420799999</v>
      </c>
      <c r="L35" s="499">
        <f>K35-I35</f>
        <v>10782.608359999998</v>
      </c>
      <c r="M35" s="499">
        <f>(M32*M29*12)+(M30*M34)</f>
        <v>125912.1247565693</v>
      </c>
      <c r="N35" s="499">
        <f>M35-K35</f>
        <v>-2126.0394514306827</v>
      </c>
      <c r="O35" s="499">
        <f>(O32*O29*12)+(O30*O34)</f>
        <v>142702.1586063889</v>
      </c>
      <c r="P35" s="499">
        <f>O35-M35</f>
        <v>16790.033849819592</v>
      </c>
    </row>
    <row r="36" spans="2:16" x14ac:dyDescent="0.2">
      <c r="B36" s="316"/>
      <c r="C36" s="430"/>
      <c r="D36" s="430"/>
      <c r="E36" s="431"/>
      <c r="F36" s="431"/>
      <c r="G36" s="431"/>
      <c r="H36" s="431"/>
      <c r="I36" s="431"/>
      <c r="J36" s="431"/>
      <c r="K36" s="431"/>
      <c r="L36" s="431"/>
      <c r="M36" s="431"/>
      <c r="N36" s="431"/>
      <c r="O36" s="431"/>
      <c r="P36" s="431"/>
    </row>
    <row r="37" spans="2:16" x14ac:dyDescent="0.2">
      <c r="B37" s="316" t="s">
        <v>130</v>
      </c>
      <c r="C37" s="314" t="s">
        <v>134</v>
      </c>
      <c r="D37" s="338">
        <v>47.33</v>
      </c>
      <c r="E37" s="338">
        <f>D37</f>
        <v>47.33</v>
      </c>
      <c r="F37" s="313">
        <f t="shared" si="0"/>
        <v>0</v>
      </c>
      <c r="G37" s="338">
        <v>47.68</v>
      </c>
      <c r="H37" s="313">
        <f>G37-E37</f>
        <v>0.35000000000000142</v>
      </c>
      <c r="I37" s="338">
        <v>48.18</v>
      </c>
      <c r="J37" s="313">
        <f>I37-G37</f>
        <v>0.5</v>
      </c>
      <c r="K37" s="338">
        <v>48.93</v>
      </c>
      <c r="L37" s="313">
        <f>K37-I37</f>
        <v>0.75</v>
      </c>
      <c r="M37" s="338">
        <v>49.79</v>
      </c>
      <c r="N37" s="313">
        <f>M37-K37</f>
        <v>0.85999999999999943</v>
      </c>
      <c r="O37" s="338">
        <v>49.79</v>
      </c>
      <c r="P37" s="313">
        <f>O37-M37</f>
        <v>0</v>
      </c>
    </row>
    <row r="38" spans="2:16" x14ac:dyDescent="0.2">
      <c r="B38" s="306"/>
      <c r="C38" s="314" t="s">
        <v>135</v>
      </c>
      <c r="D38" s="339">
        <v>2.5700000000000001E-2</v>
      </c>
      <c r="E38" s="339">
        <f>D38</f>
        <v>2.5700000000000001E-2</v>
      </c>
      <c r="F38" s="312">
        <f t="shared" si="0"/>
        <v>0</v>
      </c>
      <c r="G38" s="339">
        <v>2.5899999999999999E-2</v>
      </c>
      <c r="H38" s="312">
        <f>G38-E38</f>
        <v>1.9999999999999879E-4</v>
      </c>
      <c r="I38" s="339">
        <v>2.6200000000000001E-2</v>
      </c>
      <c r="J38" s="312">
        <f>I38-G38</f>
        <v>3.0000000000000165E-4</v>
      </c>
      <c r="K38" s="339">
        <v>2.6599999999999999E-2</v>
      </c>
      <c r="L38" s="312">
        <f>K38-I38</f>
        <v>3.9999999999999758E-4</v>
      </c>
      <c r="M38" s="339">
        <v>2.7099999999999999E-2</v>
      </c>
      <c r="N38" s="312">
        <f>M38-K38</f>
        <v>5.0000000000000044E-4</v>
      </c>
      <c r="O38" s="339">
        <v>3.3500000000000002E-2</v>
      </c>
      <c r="P38" s="312">
        <f>O38-M38</f>
        <v>6.4000000000000029E-3</v>
      </c>
    </row>
    <row r="39" spans="2:16" x14ac:dyDescent="0.2">
      <c r="B39" s="316"/>
      <c r="C39" s="311"/>
      <c r="D39" s="311"/>
      <c r="E39" s="311"/>
      <c r="F39" s="311"/>
      <c r="G39" s="311"/>
      <c r="H39" s="311"/>
      <c r="I39" s="311"/>
      <c r="J39" s="311"/>
      <c r="K39" s="311"/>
      <c r="L39" s="311"/>
      <c r="M39" s="311"/>
      <c r="N39" s="311"/>
      <c r="O39" s="311"/>
      <c r="P39" s="311"/>
    </row>
    <row r="40" spans="2:16" x14ac:dyDescent="0.2">
      <c r="B40" s="316"/>
      <c r="C40" s="314" t="s">
        <v>104</v>
      </c>
      <c r="D40" s="340">
        <f>'Final LF '!C36</f>
        <v>35</v>
      </c>
      <c r="E40" s="340">
        <f>'Final LF '!D36</f>
        <v>49.25</v>
      </c>
      <c r="F40" s="498">
        <f t="shared" si="0"/>
        <v>14.25</v>
      </c>
      <c r="G40" s="340">
        <f>'Final LF '!E36</f>
        <v>48.083333333333336</v>
      </c>
      <c r="H40" s="498">
        <f>G40-E40</f>
        <v>-1.1666666666666643</v>
      </c>
      <c r="I40" s="340">
        <f>'Final LF '!F36</f>
        <v>47.166666666666664</v>
      </c>
      <c r="J40" s="498">
        <f>I40-G40</f>
        <v>-0.9166666666666714</v>
      </c>
      <c r="K40" s="340">
        <f>'Final LF '!G36</f>
        <v>46</v>
      </c>
      <c r="L40" s="498">
        <f>K40-I40</f>
        <v>-1.1666666666666643</v>
      </c>
      <c r="M40" s="340">
        <f>'Final LF '!H36</f>
        <v>47.156888088177865</v>
      </c>
      <c r="N40" s="498">
        <f>M40-K40</f>
        <v>1.1568880881778654</v>
      </c>
      <c r="O40" s="340">
        <f>'Final LF '!I36</f>
        <v>48.342871612194159</v>
      </c>
      <c r="P40" s="498">
        <f>O40-M40</f>
        <v>1.1859835240162937</v>
      </c>
    </row>
    <row r="41" spans="2:16" x14ac:dyDescent="0.2">
      <c r="B41" s="316"/>
      <c r="C41" s="314" t="s">
        <v>75</v>
      </c>
      <c r="D41" s="340">
        <f>'Final LF '!C34</f>
        <v>1462761</v>
      </c>
      <c r="E41" s="340">
        <f>'Final LF '!D34</f>
        <v>1308270.2299999995</v>
      </c>
      <c r="F41" s="498">
        <f t="shared" si="0"/>
        <v>-154490.77000000048</v>
      </c>
      <c r="G41" s="340">
        <f>'Final LF '!E34</f>
        <v>1307305.7299999995</v>
      </c>
      <c r="H41" s="498">
        <f>G41-E41</f>
        <v>-964.5</v>
      </c>
      <c r="I41" s="340">
        <f>'Final LF '!F34</f>
        <v>1299487.2900000005</v>
      </c>
      <c r="J41" s="498">
        <f>I41-G41</f>
        <v>-7818.4399999990128</v>
      </c>
      <c r="K41" s="340">
        <f>'Final LF '!G34</f>
        <v>1307649.58</v>
      </c>
      <c r="L41" s="498">
        <f>K41-I41</f>
        <v>8162.2899999995716</v>
      </c>
      <c r="M41" s="340">
        <f>'Final LF '!H34</f>
        <v>1307290.5787320843</v>
      </c>
      <c r="N41" s="498">
        <f>M41-K41</f>
        <v>-359.00126791582443</v>
      </c>
      <c r="O41" s="340">
        <f>'Final LF '!I34</f>
        <v>1340168.5982608297</v>
      </c>
      <c r="P41" s="498">
        <f>O41-M41</f>
        <v>32878.019528745441</v>
      </c>
    </row>
    <row r="42" spans="2:16" x14ac:dyDescent="0.2">
      <c r="B42" s="316"/>
      <c r="C42" s="309" t="s">
        <v>136</v>
      </c>
      <c r="D42" s="499">
        <f>(D40*D37*12)+(D38*D41)</f>
        <v>57471.557699999998</v>
      </c>
      <c r="E42" s="499">
        <f>(E40*E37*12)+(E38*E41)</f>
        <v>61594.574910999989</v>
      </c>
      <c r="F42" s="499">
        <f t="shared" si="0"/>
        <v>4123.0172109999912</v>
      </c>
      <c r="G42" s="499">
        <f>(G40*G37*12)+(G38*G41)</f>
        <v>61370.578406999986</v>
      </c>
      <c r="H42" s="499">
        <f>G42-E42</f>
        <v>-223.99650400000246</v>
      </c>
      <c r="I42" s="499">
        <f>(I40*I37*12)+(I38*I41)</f>
        <v>61316.446998000014</v>
      </c>
      <c r="J42" s="499">
        <f>I42-G42</f>
        <v>-54.131408999972336</v>
      </c>
      <c r="K42" s="499">
        <f>(K40*K37*12)+(K38*K41)</f>
        <v>61792.838828</v>
      </c>
      <c r="L42" s="499">
        <f>K42-I42</f>
        <v>476.39182999998593</v>
      </c>
      <c r="M42" s="499">
        <f>(M40*M37*12)+(M38*M41)</f>
        <v>63602.872178563994</v>
      </c>
      <c r="N42" s="499">
        <f>M42-K42</f>
        <v>1810.0333505639937</v>
      </c>
      <c r="O42" s="499">
        <f>(O40*O37*12)+(O38*O41)</f>
        <v>73779.546972591561</v>
      </c>
      <c r="P42" s="499">
        <f>O42-M42</f>
        <v>10176.674794027567</v>
      </c>
    </row>
    <row r="43" spans="2:16" x14ac:dyDescent="0.2">
      <c r="B43" s="316"/>
      <c r="C43" s="308"/>
      <c r="D43" s="308"/>
      <c r="E43" s="307"/>
      <c r="F43" s="307"/>
      <c r="G43" s="307"/>
      <c r="H43" s="307"/>
      <c r="I43" s="307"/>
      <c r="J43" s="307"/>
      <c r="K43" s="307"/>
      <c r="L43" s="307"/>
      <c r="M43" s="307"/>
      <c r="N43" s="307"/>
      <c r="O43" s="307"/>
      <c r="P43" s="307"/>
    </row>
    <row r="44" spans="2:16" x14ac:dyDescent="0.2">
      <c r="B44" s="316"/>
      <c r="C44" s="311"/>
      <c r="D44" s="311"/>
      <c r="E44" s="311"/>
      <c r="F44" s="311"/>
      <c r="G44" s="311"/>
      <c r="H44" s="311"/>
      <c r="I44" s="311"/>
      <c r="J44" s="311"/>
      <c r="K44" s="311"/>
      <c r="L44" s="311"/>
      <c r="M44" s="311"/>
      <c r="N44" s="311"/>
      <c r="O44" s="311"/>
      <c r="P44" s="311"/>
    </row>
    <row r="45" spans="2:16" x14ac:dyDescent="0.2">
      <c r="B45" s="316" t="s">
        <v>168</v>
      </c>
      <c r="C45" s="314" t="s">
        <v>134</v>
      </c>
      <c r="D45" s="338">
        <v>5.41</v>
      </c>
      <c r="E45" s="338">
        <f>D45</f>
        <v>5.41</v>
      </c>
      <c r="F45" s="313">
        <f t="shared" si="0"/>
        <v>0</v>
      </c>
      <c r="G45" s="338">
        <v>5.45</v>
      </c>
      <c r="H45" s="313">
        <f>G45-E45</f>
        <v>4.0000000000000036E-2</v>
      </c>
      <c r="I45" s="338">
        <v>5.51</v>
      </c>
      <c r="J45" s="313">
        <f>I45-G45</f>
        <v>5.9999999999999609E-2</v>
      </c>
      <c r="K45" s="338">
        <v>5.6</v>
      </c>
      <c r="L45" s="313">
        <f>K45-I45</f>
        <v>8.9999999999999858E-2</v>
      </c>
      <c r="M45" s="338">
        <v>5.7</v>
      </c>
      <c r="N45" s="313">
        <f>M45-K45</f>
        <v>0.10000000000000053</v>
      </c>
      <c r="O45" s="338">
        <v>6.45</v>
      </c>
      <c r="P45" s="313">
        <f>O45-M45</f>
        <v>0.75</v>
      </c>
    </row>
    <row r="46" spans="2:16" x14ac:dyDescent="0.2">
      <c r="B46" s="316"/>
      <c r="C46" s="314" t="s">
        <v>135</v>
      </c>
      <c r="D46" s="339">
        <v>6.2694999999999999</v>
      </c>
      <c r="E46" s="339">
        <f>D46</f>
        <v>6.2694999999999999</v>
      </c>
      <c r="F46" s="312">
        <f t="shared" si="0"/>
        <v>0</v>
      </c>
      <c r="G46" s="339">
        <v>6.3164999999999996</v>
      </c>
      <c r="H46" s="312">
        <f>G46-E46</f>
        <v>4.6999999999999709E-2</v>
      </c>
      <c r="I46" s="339">
        <v>6.3827999999999996</v>
      </c>
      <c r="J46" s="312">
        <f>I46-G46</f>
        <v>6.6300000000000026E-2</v>
      </c>
      <c r="K46" s="339">
        <v>6.4817</v>
      </c>
      <c r="L46" s="312">
        <f>K46-I46</f>
        <v>9.8900000000000432E-2</v>
      </c>
      <c r="M46" s="339">
        <v>6.5951000000000004</v>
      </c>
      <c r="N46" s="312">
        <f>M46-K46</f>
        <v>0.11340000000000039</v>
      </c>
      <c r="O46" s="339">
        <v>7.4381000000000004</v>
      </c>
      <c r="P46" s="312">
        <f>O46-M46</f>
        <v>0.84299999999999997</v>
      </c>
    </row>
    <row r="47" spans="2:16" x14ac:dyDescent="0.2">
      <c r="B47" s="316"/>
      <c r="C47" s="311"/>
      <c r="D47" s="311"/>
      <c r="E47" s="311"/>
      <c r="F47" s="311"/>
      <c r="G47" s="311"/>
      <c r="H47" s="311"/>
      <c r="I47" s="311"/>
      <c r="J47" s="311"/>
      <c r="K47" s="311"/>
      <c r="L47" s="311"/>
      <c r="M47" s="311"/>
      <c r="N47" s="311"/>
      <c r="O47" s="311"/>
      <c r="P47" s="311"/>
    </row>
    <row r="48" spans="2:16" x14ac:dyDescent="0.2">
      <c r="B48" s="311"/>
      <c r="C48" s="314" t="s">
        <v>104</v>
      </c>
      <c r="D48" s="340">
        <f>'Final LF '!C31</f>
        <v>695</v>
      </c>
      <c r="E48" s="340">
        <f>'Final LF '!D31</f>
        <v>705.66666666666663</v>
      </c>
      <c r="F48" s="498">
        <f t="shared" si="0"/>
        <v>10.666666666666629</v>
      </c>
      <c r="G48" s="340">
        <f>'Final LF '!E31</f>
        <v>698.25</v>
      </c>
      <c r="H48" s="498">
        <f>G48-E48</f>
        <v>-7.4166666666666288</v>
      </c>
      <c r="I48" s="340">
        <f>'Final LF '!F31</f>
        <v>669.41666666666663</v>
      </c>
      <c r="J48" s="498">
        <f>I48-G48</f>
        <v>-28.833333333333371</v>
      </c>
      <c r="K48" s="340">
        <f>'Final LF '!G31</f>
        <v>644.66666666666663</v>
      </c>
      <c r="L48" s="498">
        <f>K48-I48</f>
        <v>-24.75</v>
      </c>
      <c r="M48" s="340">
        <f>'Final LF '!H31</f>
        <v>626.96516530576287</v>
      </c>
      <c r="N48" s="498">
        <f>M48-K48</f>
        <v>-17.701501360903762</v>
      </c>
      <c r="O48" s="340">
        <f>'Final LF '!I31</f>
        <v>609.74971846982817</v>
      </c>
      <c r="P48" s="498">
        <f>O48-M48</f>
        <v>-17.215446835934699</v>
      </c>
    </row>
    <row r="49" spans="2:16" x14ac:dyDescent="0.2">
      <c r="B49" s="311"/>
      <c r="C49" s="314" t="s">
        <v>75</v>
      </c>
      <c r="D49" s="340">
        <f>'Final LF '!C29</f>
        <v>629014</v>
      </c>
      <c r="E49" s="340">
        <f>'Final LF '!D29</f>
        <v>631149.96201329515</v>
      </c>
      <c r="F49" s="498">
        <f t="shared" si="0"/>
        <v>2135.9620132951532</v>
      </c>
      <c r="G49" s="340">
        <f>'Final LF '!E29</f>
        <v>606042.11775878421</v>
      </c>
      <c r="H49" s="498">
        <f>G49-E49</f>
        <v>-25107.844254510943</v>
      </c>
      <c r="I49" s="340">
        <f>'Final LF '!F29</f>
        <v>565913.01442882093</v>
      </c>
      <c r="J49" s="498">
        <f>I49-G49</f>
        <v>-40129.103329963284</v>
      </c>
      <c r="K49" s="340">
        <f>'Final LF '!G29</f>
        <v>525914.78338748356</v>
      </c>
      <c r="L49" s="498">
        <f>K49-I49</f>
        <v>-39998.231041337363</v>
      </c>
      <c r="M49" s="340">
        <f>'Final LF '!H29</f>
        <v>528556.71089588641</v>
      </c>
      <c r="N49" s="498">
        <f>M49-K49</f>
        <v>2641.9275084028486</v>
      </c>
      <c r="O49" s="340">
        <f>'Final LF '!I29</f>
        <v>514043.40065197996</v>
      </c>
      <c r="P49" s="498">
        <f>O49-M49</f>
        <v>-14513.310243906453</v>
      </c>
    </row>
    <row r="50" spans="2:16" x14ac:dyDescent="0.2">
      <c r="B50" s="311"/>
      <c r="C50" s="314" t="s">
        <v>76</v>
      </c>
      <c r="D50" s="340">
        <f>'Final LF '!C30</f>
        <v>1916</v>
      </c>
      <c r="E50" s="340">
        <f>'Final LF '!D30</f>
        <v>2037.9700000000007</v>
      </c>
      <c r="F50" s="498">
        <f t="shared" si="0"/>
        <v>121.97000000000071</v>
      </c>
      <c r="G50" s="340">
        <f>'Final LF '!E30</f>
        <v>1951.2900000000013</v>
      </c>
      <c r="H50" s="498">
        <f>G50-E50</f>
        <v>-86.679999999999382</v>
      </c>
      <c r="I50" s="340">
        <f>'Final LF '!F30</f>
        <v>1856.1200000000003</v>
      </c>
      <c r="J50" s="498">
        <f>I50-G50</f>
        <v>-95.170000000000982</v>
      </c>
      <c r="K50" s="340">
        <f>'Final LF '!G30</f>
        <v>1722.9099999999978</v>
      </c>
      <c r="L50" s="498">
        <f>K50-I50</f>
        <v>-133.21000000000254</v>
      </c>
      <c r="M50" s="340">
        <f>'Final LF '!H30</f>
        <v>1606.8086012797885</v>
      </c>
      <c r="N50" s="498">
        <f>M50-K50</f>
        <v>-116.10139872020932</v>
      </c>
      <c r="O50" s="340">
        <f>'Final LF '!I30</f>
        <v>1614.8803877717298</v>
      </c>
      <c r="P50" s="498">
        <f>O50-M50</f>
        <v>8.0717864919413387</v>
      </c>
    </row>
    <row r="51" spans="2:16" x14ac:dyDescent="0.2">
      <c r="B51" s="311"/>
      <c r="C51" s="309" t="s">
        <v>136</v>
      </c>
      <c r="D51" s="499">
        <f>(D48*D45*12)+(D46*D50)</f>
        <v>57131.762000000002</v>
      </c>
      <c r="E51" s="499">
        <f>(E48*E45*12)+(E46*E50)</f>
        <v>58588.932915000012</v>
      </c>
      <c r="F51" s="499">
        <f t="shared" si="0"/>
        <v>1457.1709150000097</v>
      </c>
      <c r="G51" s="499">
        <f>(G48*G45*12)+(G46*G50)</f>
        <v>57990.873285000009</v>
      </c>
      <c r="H51" s="499">
        <f>G51-E51</f>
        <v>-598.05963000000338</v>
      </c>
      <c r="I51" s="499">
        <f>(I48*I45*12)+(I46*I50)</f>
        <v>56109.072736000002</v>
      </c>
      <c r="J51" s="499">
        <f>I51-G51</f>
        <v>-1881.8005490000069</v>
      </c>
      <c r="K51" s="499">
        <f>(K48*K45*12)+(K46*K50)</f>
        <v>54488.985746999977</v>
      </c>
      <c r="L51" s="499">
        <f>K51-I51</f>
        <v>-1620.0869890000249</v>
      </c>
      <c r="M51" s="499">
        <f>(M48*M45*12)+(M46*M50)</f>
        <v>53481.480713214522</v>
      </c>
      <c r="N51" s="499">
        <f>M51-K51</f>
        <v>-1007.5050337854555</v>
      </c>
      <c r="O51" s="499">
        <f>(O48*O45*12)+(O46*O50)</f>
        <v>59206.27002184961</v>
      </c>
      <c r="P51" s="499">
        <f>O51-M51</f>
        <v>5724.7893086350887</v>
      </c>
    </row>
    <row r="52" spans="2:16" x14ac:dyDescent="0.2">
      <c r="B52" s="311"/>
      <c r="C52" s="308"/>
      <c r="D52" s="308"/>
      <c r="E52" s="307"/>
      <c r="F52" s="307"/>
      <c r="G52" s="307"/>
      <c r="H52" s="307"/>
      <c r="I52" s="307"/>
      <c r="J52" s="307"/>
      <c r="K52" s="307"/>
      <c r="L52" s="307"/>
      <c r="M52" s="307"/>
      <c r="N52" s="307"/>
      <c r="O52" s="307"/>
      <c r="P52" s="307"/>
    </row>
    <row r="53" spans="2:16" x14ac:dyDescent="0.2">
      <c r="B53" s="316"/>
      <c r="C53" s="311"/>
      <c r="D53" s="311"/>
      <c r="E53" s="311"/>
      <c r="F53" s="311"/>
      <c r="G53" s="311"/>
      <c r="H53" s="311"/>
      <c r="I53" s="311"/>
      <c r="J53" s="311"/>
      <c r="K53" s="311"/>
      <c r="L53" s="311"/>
      <c r="M53" s="311"/>
      <c r="N53" s="311"/>
      <c r="O53" s="311"/>
      <c r="P53" s="311"/>
    </row>
    <row r="54" spans="2:16" x14ac:dyDescent="0.2">
      <c r="B54" s="316" t="s">
        <v>138</v>
      </c>
      <c r="C54" s="314" t="s">
        <v>134</v>
      </c>
      <c r="D54" s="338">
        <v>3.89</v>
      </c>
      <c r="E54" s="338">
        <f>D54</f>
        <v>3.89</v>
      </c>
      <c r="F54" s="313">
        <f t="shared" si="0"/>
        <v>0</v>
      </c>
      <c r="G54" s="338">
        <v>3.92</v>
      </c>
      <c r="H54" s="313">
        <f>G54-E54</f>
        <v>2.9999999999999805E-2</v>
      </c>
      <c r="I54" s="338">
        <v>3.96</v>
      </c>
      <c r="J54" s="313">
        <f>I54-G54</f>
        <v>4.0000000000000036E-2</v>
      </c>
      <c r="K54" s="338">
        <v>4.0199999999999996</v>
      </c>
      <c r="L54" s="313">
        <f>K54-I54</f>
        <v>5.9999999999999609E-2</v>
      </c>
      <c r="M54" s="338">
        <v>4.09</v>
      </c>
      <c r="N54" s="313">
        <f>M54-K54</f>
        <v>7.0000000000000284E-2</v>
      </c>
      <c r="O54" s="338">
        <v>4.12</v>
      </c>
      <c r="P54" s="313">
        <f>O54-M54</f>
        <v>3.0000000000000249E-2</v>
      </c>
    </row>
    <row r="55" spans="2:16" x14ac:dyDescent="0.2">
      <c r="B55" s="316"/>
      <c r="C55" s="314" t="s">
        <v>135</v>
      </c>
      <c r="D55" s="339">
        <v>8.4588000000000001</v>
      </c>
      <c r="E55" s="339">
        <f>D55</f>
        <v>8.4588000000000001</v>
      </c>
      <c r="F55" s="312">
        <f t="shared" si="0"/>
        <v>0</v>
      </c>
      <c r="G55" s="339">
        <v>8.5221999999999998</v>
      </c>
      <c r="H55" s="312">
        <f>G55-E55</f>
        <v>6.3399999999999679E-2</v>
      </c>
      <c r="I55" s="339">
        <v>8.6117000000000008</v>
      </c>
      <c r="J55" s="312">
        <f>I55-G55</f>
        <v>8.9500000000001023E-2</v>
      </c>
      <c r="K55" s="339">
        <v>8.7452000000000005</v>
      </c>
      <c r="L55" s="312">
        <f>K55-I55</f>
        <v>0.13349999999999973</v>
      </c>
      <c r="M55" s="339">
        <v>8.8981999999999992</v>
      </c>
      <c r="N55" s="312">
        <f>M55-K55</f>
        <v>0.15299999999999869</v>
      </c>
      <c r="O55" s="339">
        <v>9.0446000000000009</v>
      </c>
      <c r="P55" s="312">
        <f>O55-M55</f>
        <v>0.14640000000000164</v>
      </c>
    </row>
    <row r="56" spans="2:16" x14ac:dyDescent="0.2">
      <c r="B56" s="316"/>
      <c r="C56" s="311"/>
      <c r="D56" s="311"/>
      <c r="E56" s="311"/>
      <c r="F56" s="311"/>
      <c r="G56" s="311"/>
      <c r="H56" s="311"/>
      <c r="I56" s="311"/>
      <c r="J56" s="311"/>
      <c r="K56" s="311"/>
      <c r="L56" s="311"/>
      <c r="M56" s="311"/>
      <c r="N56" s="311"/>
      <c r="O56" s="311"/>
      <c r="P56" s="311"/>
    </row>
    <row r="57" spans="2:16" x14ac:dyDescent="0.2">
      <c r="B57" s="311"/>
      <c r="C57" s="314" t="s">
        <v>104</v>
      </c>
      <c r="D57" s="340">
        <f>'Final LF '!C26</f>
        <v>5713</v>
      </c>
      <c r="E57" s="340">
        <f>'Final LF '!D26</f>
        <v>5742.916666666667</v>
      </c>
      <c r="F57" s="498">
        <f t="shared" si="0"/>
        <v>29.91666666666697</v>
      </c>
      <c r="G57" s="340">
        <f>'Final LF '!E26</f>
        <v>5774.416666666667</v>
      </c>
      <c r="H57" s="498">
        <f>G57-E57</f>
        <v>31.5</v>
      </c>
      <c r="I57" s="340">
        <f>'Final LF '!F26</f>
        <v>5878.666666666667</v>
      </c>
      <c r="J57" s="498">
        <f>I57-G57</f>
        <v>104.25</v>
      </c>
      <c r="K57" s="340">
        <f>'Final LF '!G26</f>
        <v>5997.166666666667</v>
      </c>
      <c r="L57" s="498">
        <f>K57-I57</f>
        <v>118.5</v>
      </c>
      <c r="M57" s="340">
        <f>'Final LF '!H26</f>
        <v>6030.3829767656025</v>
      </c>
      <c r="N57" s="498">
        <f>M57-K57</f>
        <v>33.216310098935537</v>
      </c>
      <c r="O57" s="340">
        <f>'Final LF '!I26</f>
        <v>6063.7832609506213</v>
      </c>
      <c r="P57" s="498">
        <f>O57-M57</f>
        <v>33.400284185018791</v>
      </c>
    </row>
    <row r="58" spans="2:16" x14ac:dyDescent="0.2">
      <c r="B58" s="311"/>
      <c r="C58" s="314" t="s">
        <v>75</v>
      </c>
      <c r="D58" s="340">
        <f>'Final LF '!C24</f>
        <v>2991556</v>
      </c>
      <c r="E58" s="340">
        <f>'Final LF '!D24</f>
        <v>1392668.2526115859</v>
      </c>
      <c r="F58" s="498">
        <f t="shared" si="0"/>
        <v>-1598887.7473884141</v>
      </c>
      <c r="G58" s="340">
        <f>'Final LF '!E24</f>
        <v>1390046.9705603039</v>
      </c>
      <c r="H58" s="498">
        <f>G58-E58</f>
        <v>-2621.2820512820035</v>
      </c>
      <c r="I58" s="340">
        <f>'Final LF '!F24</f>
        <v>1401777.7587844254</v>
      </c>
      <c r="J58" s="498">
        <f>I58-G58</f>
        <v>11730.788224121556</v>
      </c>
      <c r="K58" s="340">
        <f>'Final LF '!G24</f>
        <v>1425844.3209876544</v>
      </c>
      <c r="L58" s="498">
        <f>K58-I58</f>
        <v>24066.562203228939</v>
      </c>
      <c r="M58" s="340">
        <f>'Final LF '!H24</f>
        <v>1441120.2815711428</v>
      </c>
      <c r="N58" s="498">
        <f>M58-K58</f>
        <v>15275.960583488457</v>
      </c>
      <c r="O58" s="340">
        <f>'Final LF '!I24</f>
        <v>1449102.1671553131</v>
      </c>
      <c r="P58" s="498">
        <f>O58-M58</f>
        <v>7981.8855841702316</v>
      </c>
    </row>
    <row r="59" spans="2:16" x14ac:dyDescent="0.2">
      <c r="B59" s="311"/>
      <c r="C59" s="314" t="s">
        <v>76</v>
      </c>
      <c r="D59" s="340">
        <f>'Final LF '!C25</f>
        <v>9240</v>
      </c>
      <c r="E59" s="340">
        <f>'Final LF '!D25</f>
        <v>4209.0200000000004</v>
      </c>
      <c r="F59" s="498">
        <f t="shared" si="0"/>
        <v>-5030.9799999999996</v>
      </c>
      <c r="G59" s="340">
        <f>'Final LF '!E25</f>
        <v>4251.8</v>
      </c>
      <c r="H59" s="498">
        <f>G59-E59</f>
        <v>42.779999999999745</v>
      </c>
      <c r="I59" s="340">
        <f>'Final LF '!F25</f>
        <v>4285.630000000001</v>
      </c>
      <c r="J59" s="498">
        <f>I59-G59</f>
        <v>33.830000000000837</v>
      </c>
      <c r="K59" s="340">
        <f>'Final LF '!G25</f>
        <v>4348.49</v>
      </c>
      <c r="L59" s="498">
        <f>K59-I59</f>
        <v>62.859999999998763</v>
      </c>
      <c r="M59" s="340">
        <f>'Final LF '!H25</f>
        <v>4356.3310852224058</v>
      </c>
      <c r="N59" s="498">
        <f>M59-K59</f>
        <v>7.8410852224060363</v>
      </c>
      <c r="O59" s="340">
        <f>'Final LF '!I25</f>
        <v>4403.0031804623595</v>
      </c>
      <c r="P59" s="498">
        <f>O59-M59</f>
        <v>46.672095239953705</v>
      </c>
    </row>
    <row r="60" spans="2:16" x14ac:dyDescent="0.2">
      <c r="B60" s="311"/>
      <c r="C60" s="309" t="s">
        <v>136</v>
      </c>
      <c r="D60" s="499">
        <f>(D57*D54*12)+(D55*D59)</f>
        <v>344842.152</v>
      </c>
      <c r="E60" s="499">
        <f>(E57*E54*12)+(E55*E59)</f>
        <v>303682.60837600002</v>
      </c>
      <c r="F60" s="499">
        <f t="shared" si="0"/>
        <v>-41159.543623999984</v>
      </c>
      <c r="G60" s="499">
        <f>(G57*G54*12)+(G55*G59)</f>
        <v>307863.24995999999</v>
      </c>
      <c r="H60" s="499">
        <f>G60-E60</f>
        <v>4180.6415839999681</v>
      </c>
      <c r="I60" s="499">
        <f>(I57*I54*12)+(I55*I59)</f>
        <v>316260.799871</v>
      </c>
      <c r="J60" s="499">
        <f>I60-G60</f>
        <v>8397.5499110000092</v>
      </c>
      <c r="K60" s="499">
        <f>(K57*K54*12)+(K55*K59)</f>
        <v>327331.73474799993</v>
      </c>
      <c r="L60" s="499">
        <f>K60-I60</f>
        <v>11070.934876999934</v>
      </c>
      <c r="M60" s="499">
        <f>(M57*M54*12)+(M55*M59)</f>
        <v>334734.70176218176</v>
      </c>
      <c r="N60" s="499">
        <f>M60-K60</f>
        <v>7402.9670141818351</v>
      </c>
      <c r="O60" s="499">
        <f>(O57*O54*12)+(O55*O59)</f>
        <v>339616.84698740859</v>
      </c>
      <c r="P60" s="499">
        <f>O60-M60</f>
        <v>4882.1452252268209</v>
      </c>
    </row>
    <row r="61" spans="2:16" x14ac:dyDescent="0.2">
      <c r="B61" s="311"/>
      <c r="C61" s="308"/>
      <c r="D61" s="308"/>
      <c r="E61" s="307"/>
      <c r="F61" s="307"/>
      <c r="G61" s="307"/>
      <c r="H61" s="307"/>
      <c r="I61" s="307"/>
      <c r="J61" s="307"/>
      <c r="K61" s="307"/>
      <c r="L61" s="307"/>
      <c r="M61" s="307"/>
      <c r="N61" s="307"/>
      <c r="O61" s="307"/>
      <c r="P61" s="307"/>
    </row>
    <row r="62" spans="2:16" x14ac:dyDescent="0.2">
      <c r="B62" s="311"/>
      <c r="C62" s="311"/>
      <c r="D62" s="311"/>
      <c r="E62" s="311"/>
      <c r="F62" s="311"/>
      <c r="G62" s="311"/>
      <c r="H62" s="311"/>
      <c r="I62" s="311"/>
      <c r="J62" s="311"/>
      <c r="K62" s="311"/>
      <c r="L62" s="311"/>
      <c r="M62" s="311"/>
      <c r="N62" s="311"/>
      <c r="O62" s="311"/>
      <c r="P62" s="311"/>
    </row>
    <row r="63" spans="2:16" x14ac:dyDescent="0.2">
      <c r="B63" s="316" t="s">
        <v>77</v>
      </c>
      <c r="C63" s="315" t="s">
        <v>104</v>
      </c>
      <c r="D63" s="305">
        <f t="shared" ref="D63:E64" si="1">D8+D16+D24+D40+D48+D57</f>
        <v>35223</v>
      </c>
      <c r="E63" s="305">
        <f t="shared" si="1"/>
        <v>35430.916666666672</v>
      </c>
      <c r="F63" s="326">
        <f t="shared" si="0"/>
        <v>207.91666666667152</v>
      </c>
      <c r="G63" s="305">
        <f>G8+G16+G24+G40+G48+G57</f>
        <v>35674</v>
      </c>
      <c r="H63" s="326">
        <f>G63-E63</f>
        <v>243.08333333332848</v>
      </c>
      <c r="I63" s="305">
        <f>I8+I16+I24+I40+I48+I57</f>
        <v>35928.25</v>
      </c>
      <c r="J63" s="326">
        <f>I63-G63</f>
        <v>254.25</v>
      </c>
      <c r="K63" s="305">
        <f>K8+K16+K24+K40+K48+K57</f>
        <v>36310.25</v>
      </c>
      <c r="L63" s="326">
        <f>K63-I63</f>
        <v>382</v>
      </c>
      <c r="M63" s="305">
        <f>M8+M16+M24+M40+M48+M57</f>
        <v>36479.521363272928</v>
      </c>
      <c r="N63" s="326">
        <f>M63-K63</f>
        <v>169.27136327292828</v>
      </c>
      <c r="O63" s="305">
        <f>O8+O16+O24+O40+O48+O57</f>
        <v>36650.438082447574</v>
      </c>
      <c r="P63" s="326">
        <f>O63-M63</f>
        <v>170.91671917464555</v>
      </c>
    </row>
    <row r="64" spans="2:16" x14ac:dyDescent="0.2">
      <c r="B64" s="316"/>
      <c r="C64" s="315" t="s">
        <v>75</v>
      </c>
      <c r="D64" s="305">
        <f t="shared" si="1"/>
        <v>465912288</v>
      </c>
      <c r="E64" s="305">
        <f t="shared" si="1"/>
        <v>448031089.15762985</v>
      </c>
      <c r="F64" s="498">
        <f t="shared" si="0"/>
        <v>-17881198.842370152</v>
      </c>
      <c r="G64" s="305">
        <f>G9+G17+G25+G41+G49+G58</f>
        <v>471558231.39265627</v>
      </c>
      <c r="H64" s="498">
        <f>G64-E64</f>
        <v>23527142.235026419</v>
      </c>
      <c r="I64" s="305">
        <f>I9+I17+I25+I41+I49+I58</f>
        <v>463102400.86214828</v>
      </c>
      <c r="J64" s="498">
        <f>I64-G64</f>
        <v>-8455830.5305079818</v>
      </c>
      <c r="K64" s="305">
        <f>K9+K17+K25+K41+K49+K58</f>
        <v>456309516.97506791</v>
      </c>
      <c r="L64" s="498">
        <f>K64-I64</f>
        <v>-6792883.8870803714</v>
      </c>
      <c r="M64" s="305">
        <f>M9+M17+M25+M41+M49+M58</f>
        <v>454714155.796893</v>
      </c>
      <c r="N64" s="498">
        <f>M64-K64</f>
        <v>-1595361.1781749129</v>
      </c>
      <c r="O64" s="305">
        <f>O9+O17+O25+O41+O49+O58</f>
        <v>454119980.59809369</v>
      </c>
      <c r="P64" s="498">
        <f>O64-M64</f>
        <v>-594175.19879931211</v>
      </c>
    </row>
    <row r="65" spans="2:16" x14ac:dyDescent="0.2">
      <c r="B65" s="316"/>
      <c r="C65" s="315" t="s">
        <v>76</v>
      </c>
      <c r="D65" s="305">
        <f>D26+D34+D50+D59</f>
        <v>635144</v>
      </c>
      <c r="E65" s="305">
        <f>E26+E34+E50+E59</f>
        <v>607120.19999999995</v>
      </c>
      <c r="F65" s="498">
        <f t="shared" si="0"/>
        <v>-28023.800000000047</v>
      </c>
      <c r="G65" s="305">
        <f>G26+G34+G50+G59</f>
        <v>599986.39000000013</v>
      </c>
      <c r="H65" s="498">
        <f>G65-E65</f>
        <v>-7133.809999999823</v>
      </c>
      <c r="I65" s="305">
        <f>I26+I34+I50+I59</f>
        <v>573383.39999999967</v>
      </c>
      <c r="J65" s="498">
        <f>I65-G65</f>
        <v>-26602.990000000456</v>
      </c>
      <c r="K65" s="305">
        <f>K26+K34+K50+K59</f>
        <v>547894.79000000015</v>
      </c>
      <c r="L65" s="498">
        <f>K65-I65</f>
        <v>-25488.60999999952</v>
      </c>
      <c r="M65" s="305">
        <f>M26+M34+M50+M59</f>
        <v>549329.80608534557</v>
      </c>
      <c r="N65" s="498">
        <f>M65-K65</f>
        <v>1435.0160853454145</v>
      </c>
      <c r="O65" s="305">
        <f>O26+O34+O50+O59</f>
        <v>542082.50827874371</v>
      </c>
      <c r="P65" s="498">
        <f>O65-M65</f>
        <v>-7247.297806601855</v>
      </c>
    </row>
    <row r="66" spans="2:16" x14ac:dyDescent="0.2">
      <c r="B66" s="316"/>
      <c r="C66" s="304" t="s">
        <v>169</v>
      </c>
      <c r="D66" s="499">
        <f>D10+D18+D27+D35+D42+D51+D60</f>
        <v>19041306.799399998</v>
      </c>
      <c r="E66" s="499">
        <f>E10+E18+E27+E35+E42+E51+E60</f>
        <v>18678739.63409552</v>
      </c>
      <c r="F66" s="499">
        <f t="shared" si="0"/>
        <v>-362567.16530447826</v>
      </c>
      <c r="G66" s="499">
        <f>G10+G18+G27+G35+G42+G51+G60</f>
        <v>19121630.081170835</v>
      </c>
      <c r="H66" s="499">
        <f>G66-E66</f>
        <v>442890.44707531482</v>
      </c>
      <c r="I66" s="499">
        <f>I10+I18+I27+I35+I42+I51+I60</f>
        <v>19123621.193776019</v>
      </c>
      <c r="J66" s="499">
        <f>I66-G66</f>
        <v>1991.1126051843166</v>
      </c>
      <c r="K66" s="499">
        <f>K10+K18+K27+K35+K42+K51+K60</f>
        <v>19230967.241661534</v>
      </c>
      <c r="L66" s="499">
        <f>K66-I66</f>
        <v>107346.0478855148</v>
      </c>
      <c r="M66" s="499">
        <f>M10+M18+M27+M35+M42+M51+M60</f>
        <v>19720434.94001215</v>
      </c>
      <c r="N66" s="499">
        <f>M66-K66</f>
        <v>489467.6983506158</v>
      </c>
      <c r="O66" s="499">
        <f>O10+O18+O27+O35+O42+O51+O60</f>
        <v>22298624.934446335</v>
      </c>
      <c r="P66" s="499">
        <f>O66-M66</f>
        <v>2578189.9944341853</v>
      </c>
    </row>
  </sheetData>
  <sheetProtection selectLockedCells="1" selectUnlockedCells="1"/>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P114"/>
  <sheetViews>
    <sheetView showGridLines="0" topLeftCell="A82" zoomScaleNormal="100" workbookViewId="0">
      <selection activeCell="A43" sqref="A43"/>
    </sheetView>
  </sheetViews>
  <sheetFormatPr defaultColWidth="10.5" defaultRowHeight="12.75" x14ac:dyDescent="0.2"/>
  <cols>
    <col min="1" max="1" width="15.33203125" style="144" customWidth="1"/>
    <col min="2" max="4" width="10.83203125" style="144" customWidth="1"/>
    <col min="5" max="5" width="15.83203125" style="144" customWidth="1"/>
    <col min="6" max="6" width="10.83203125" style="144" customWidth="1"/>
    <col min="7" max="8" width="15.83203125" style="144" customWidth="1"/>
    <col min="9" max="9" width="10.83203125" style="144" customWidth="1"/>
    <col min="10" max="10" width="15.1640625" style="144" bestFit="1" customWidth="1"/>
    <col min="11" max="11" width="15.83203125" style="144" customWidth="1"/>
    <col min="12" max="12" width="10.5" style="144" customWidth="1"/>
    <col min="13" max="13" width="15.83203125" style="144" customWidth="1"/>
    <col min="14" max="14" width="10.5" style="144"/>
    <col min="15" max="16" width="10.5" style="144" customWidth="1"/>
    <col min="17" max="16384" width="10.5" style="144"/>
  </cols>
  <sheetData>
    <row r="2" spans="2:10" ht="23.25" x14ac:dyDescent="0.2">
      <c r="B2" s="152" t="s">
        <v>105</v>
      </c>
    </row>
    <row r="3" spans="2:10" ht="20.25" x14ac:dyDescent="0.2">
      <c r="B3" s="561"/>
      <c r="C3" s="561"/>
      <c r="D3" s="561"/>
      <c r="E3" s="561"/>
      <c r="F3" s="561"/>
      <c r="G3" s="561"/>
      <c r="H3" s="561"/>
      <c r="I3" s="561"/>
      <c r="J3" s="561"/>
    </row>
    <row r="4" spans="2:10" x14ac:dyDescent="0.2">
      <c r="B4" s="163"/>
      <c r="C4" s="168" t="s">
        <v>57</v>
      </c>
      <c r="D4" s="168"/>
      <c r="E4" s="168"/>
      <c r="F4" s="168"/>
      <c r="G4" s="168"/>
      <c r="H4" s="168"/>
      <c r="I4" s="168"/>
    </row>
    <row r="5" spans="2:10" ht="15.75" customHeight="1" x14ac:dyDescent="0.2">
      <c r="B5" s="562" t="s">
        <v>59</v>
      </c>
      <c r="C5" s="562"/>
      <c r="D5" s="562"/>
      <c r="E5" s="562"/>
      <c r="F5" s="562"/>
      <c r="G5" s="562"/>
      <c r="H5" s="562"/>
      <c r="I5" s="562"/>
    </row>
    <row r="6" spans="2:10" x14ac:dyDescent="0.2">
      <c r="B6" s="299" t="s">
        <v>74</v>
      </c>
      <c r="C6" s="232" t="s">
        <v>109</v>
      </c>
      <c r="D6" s="232" t="s">
        <v>108</v>
      </c>
      <c r="E6" s="232" t="s">
        <v>112</v>
      </c>
      <c r="F6" s="232" t="s">
        <v>108</v>
      </c>
      <c r="G6" s="232" t="s">
        <v>272</v>
      </c>
      <c r="H6" s="232" t="s">
        <v>264</v>
      </c>
      <c r="I6" s="232" t="s">
        <v>108</v>
      </c>
    </row>
    <row r="7" spans="2:10" x14ac:dyDescent="0.2">
      <c r="B7" s="303">
        <f>'Bridge&amp;Test Year Class Forecast'!A5</f>
        <v>2011</v>
      </c>
      <c r="C7" s="302">
        <f>'Input - Customer Data'!E6</f>
        <v>25559.5</v>
      </c>
      <c r="D7" s="301"/>
      <c r="E7" s="302">
        <f>'Bridge&amp;Test Year Class Forecast'!B5</f>
        <v>206782921.40000001</v>
      </c>
      <c r="F7" s="301"/>
      <c r="G7" s="302">
        <f>-'HDD,CDD'!AK6*'Bridge&amp;Test Year Class Forecast'!D5</f>
        <v>-145748.35311384819</v>
      </c>
      <c r="H7" s="302">
        <f>E7+G7</f>
        <v>206637173.04688615</v>
      </c>
      <c r="I7" s="492"/>
    </row>
    <row r="8" spans="2:10" x14ac:dyDescent="0.2">
      <c r="B8" s="303">
        <f>'Input - Customer Data'!D7</f>
        <v>2012</v>
      </c>
      <c r="C8" s="302">
        <f>'Input - Customer Data'!E7</f>
        <v>25711</v>
      </c>
      <c r="D8" s="490">
        <f>(C8-C7)/C7</f>
        <v>5.9273459965961776E-3</v>
      </c>
      <c r="E8" s="302">
        <f>'Bridge&amp;Test Year Class Forecast'!B6</f>
        <v>202637718.53299999</v>
      </c>
      <c r="F8" s="301">
        <f>(E8-E7)/E7</f>
        <v>-2.0046156805094899E-2</v>
      </c>
      <c r="G8" s="302">
        <f>-'HDD,CDD'!AK7*'Bridge&amp;Test Year Class Forecast'!D6</f>
        <v>1457142.0212214079</v>
      </c>
      <c r="H8" s="302">
        <f t="shared" ref="H8:H16" si="0">E8+G8</f>
        <v>204094860.55422139</v>
      </c>
      <c r="I8" s="492">
        <f>(H8-H7)/H7</f>
        <v>-1.230326787372329E-2</v>
      </c>
    </row>
    <row r="9" spans="2:10" x14ac:dyDescent="0.2">
      <c r="B9" s="303">
        <f>'Input - Customer Data'!D8</f>
        <v>2013</v>
      </c>
      <c r="C9" s="302">
        <f>'Input - Customer Data'!E8</f>
        <v>25797.833333333332</v>
      </c>
      <c r="D9" s="490">
        <f t="shared" ref="D9:D18" si="1">(C9-C8)/C8</f>
        <v>3.3772833936187669E-3</v>
      </c>
      <c r="E9" s="302">
        <f>'Bridge&amp;Test Year Class Forecast'!B7</f>
        <v>206257082.428</v>
      </c>
      <c r="F9" s="301">
        <f t="shared" ref="F9:F16" si="2">(E9-E8)/E8</f>
        <v>1.7861254662766987E-2</v>
      </c>
      <c r="G9" s="302">
        <f>-'HDD,CDD'!AK8*'Bridge&amp;Test Year Class Forecast'!D7</f>
        <v>-1040318.206941211</v>
      </c>
      <c r="H9" s="302">
        <f t="shared" si="0"/>
        <v>205216764.22105879</v>
      </c>
      <c r="I9" s="492">
        <f t="shared" ref="I9:I18" si="3">(H9-H8)/H8</f>
        <v>5.4969716718532499E-3</v>
      </c>
    </row>
    <row r="10" spans="2:10" x14ac:dyDescent="0.2">
      <c r="B10" s="303">
        <f>'Input - Customer Data'!D9</f>
        <v>2014</v>
      </c>
      <c r="C10" s="302">
        <f>'Input - Customer Data'!E9</f>
        <v>25863.166666666668</v>
      </c>
      <c r="D10" s="490">
        <f t="shared" si="1"/>
        <v>2.5325124202937878E-3</v>
      </c>
      <c r="E10" s="302">
        <f>'Bridge&amp;Test Year Class Forecast'!B8</f>
        <v>202495777.38000003</v>
      </c>
      <c r="F10" s="301">
        <f t="shared" si="2"/>
        <v>-1.8236004328786967E-2</v>
      </c>
      <c r="G10" s="302">
        <f>-'HDD,CDD'!AK9*'Bridge&amp;Test Year Class Forecast'!D8</f>
        <v>1724449.3137493369</v>
      </c>
      <c r="H10" s="302">
        <f t="shared" si="0"/>
        <v>204220226.69374937</v>
      </c>
      <c r="I10" s="492">
        <f t="shared" si="3"/>
        <v>-4.8560239758772871E-3</v>
      </c>
    </row>
    <row r="11" spans="2:10" x14ac:dyDescent="0.2">
      <c r="B11" s="303">
        <f>'Input - Customer Data'!D10</f>
        <v>2015</v>
      </c>
      <c r="C11" s="302">
        <f>'Input - Customer Data'!E10</f>
        <v>25920.25</v>
      </c>
      <c r="D11" s="490">
        <f t="shared" si="1"/>
        <v>2.2071285418773976E-3</v>
      </c>
      <c r="E11" s="302">
        <f>'Bridge&amp;Test Year Class Forecast'!B9</f>
        <v>199739669.07999998</v>
      </c>
      <c r="F11" s="301">
        <f t="shared" si="2"/>
        <v>-1.3610695174289868E-2</v>
      </c>
      <c r="G11" s="302">
        <f>-'HDD,CDD'!AK10*'Bridge&amp;Test Year Class Forecast'!D9</f>
        <v>1717527.0323034846</v>
      </c>
      <c r="H11" s="302">
        <f t="shared" si="0"/>
        <v>201457196.11230347</v>
      </c>
      <c r="I11" s="492">
        <f t="shared" si="3"/>
        <v>-1.3529661709706013E-2</v>
      </c>
    </row>
    <row r="12" spans="2:10" x14ac:dyDescent="0.2">
      <c r="B12" s="303">
        <f>'Input - Customer Data'!D11</f>
        <v>2016</v>
      </c>
      <c r="C12" s="302">
        <f>'Input - Customer Data'!E11</f>
        <v>26029.416666666668</v>
      </c>
      <c r="D12" s="490">
        <f t="shared" si="1"/>
        <v>4.2116363332401451E-3</v>
      </c>
      <c r="E12" s="302">
        <f>'Bridge&amp;Test Year Class Forecast'!B10</f>
        <v>202182964.05000001</v>
      </c>
      <c r="F12" s="301">
        <f t="shared" si="2"/>
        <v>1.2232397206092481E-2</v>
      </c>
      <c r="G12" s="302">
        <f>-'HDD,CDD'!AK11*'Bridge&amp;Test Year Class Forecast'!D10</f>
        <v>-3134817.0486493818</v>
      </c>
      <c r="H12" s="302">
        <f t="shared" si="0"/>
        <v>199048147.00135064</v>
      </c>
      <c r="I12" s="492">
        <f t="shared" si="3"/>
        <v>-1.1958118932668387E-2</v>
      </c>
    </row>
    <row r="13" spans="2:10" x14ac:dyDescent="0.2">
      <c r="B13" s="303">
        <f>'Input - Customer Data'!D12</f>
        <v>2017</v>
      </c>
      <c r="C13" s="302">
        <f>'Input - Customer Data'!E12</f>
        <v>26228.416666666668</v>
      </c>
      <c r="D13" s="490">
        <f t="shared" si="1"/>
        <v>7.6451963003396793E-3</v>
      </c>
      <c r="E13" s="302">
        <f>'Bridge&amp;Test Year Class Forecast'!B11</f>
        <v>192333396.59142745</v>
      </c>
      <c r="F13" s="301">
        <f t="shared" si="2"/>
        <v>-4.8716109712076239E-2</v>
      </c>
      <c r="G13" s="302">
        <f>-'HDD,CDD'!AK12*'Bridge&amp;Test Year Class Forecast'!D11</f>
        <v>3390356.0415153946</v>
      </c>
      <c r="H13" s="302">
        <f t="shared" si="0"/>
        <v>195723752.63294283</v>
      </c>
      <c r="I13" s="492">
        <f t="shared" si="3"/>
        <v>-1.6701458508856442E-2</v>
      </c>
    </row>
    <row r="14" spans="2:10" x14ac:dyDescent="0.2">
      <c r="B14" s="303">
        <f>'Input - Customer Data'!D13</f>
        <v>2018</v>
      </c>
      <c r="C14" s="302">
        <f>'Input - Customer Data'!E13</f>
        <v>26464.833333333332</v>
      </c>
      <c r="D14" s="490">
        <f t="shared" si="1"/>
        <v>9.0137605205549039E-3</v>
      </c>
      <c r="E14" s="302">
        <f>'Bridge&amp;Test Year Class Forecast'!B12</f>
        <v>213384791.97681683</v>
      </c>
      <c r="F14" s="301">
        <f t="shared" si="2"/>
        <v>0.1094526263169403</v>
      </c>
      <c r="G14" s="302">
        <f>-'HDD,CDD'!AK13*'Bridge&amp;Test Year Class Forecast'!D12</f>
        <v>-4729194.001622038</v>
      </c>
      <c r="H14" s="302">
        <f t="shared" si="0"/>
        <v>208655597.97519478</v>
      </c>
      <c r="I14" s="492">
        <f t="shared" si="3"/>
        <v>6.6071926213800591E-2</v>
      </c>
    </row>
    <row r="15" spans="2:10" x14ac:dyDescent="0.2">
      <c r="B15" s="303">
        <f>'Input - Customer Data'!D14</f>
        <v>2019</v>
      </c>
      <c r="C15" s="302">
        <f>'Input - Customer Data'!E14</f>
        <v>26647</v>
      </c>
      <c r="D15" s="490">
        <f t="shared" si="1"/>
        <v>6.8833483427693815E-3</v>
      </c>
      <c r="E15" s="302">
        <f>'Bridge&amp;Test Year Class Forecast'!B13</f>
        <v>208333695.23086321</v>
      </c>
      <c r="F15" s="301">
        <f t="shared" si="2"/>
        <v>-2.3671306184287002E-2</v>
      </c>
      <c r="G15" s="302">
        <f>-'HDD,CDD'!AK14*'Bridge&amp;Test Year Class Forecast'!D13</f>
        <v>1502591.4812315893</v>
      </c>
      <c r="H15" s="302">
        <f t="shared" si="0"/>
        <v>209836286.71209481</v>
      </c>
      <c r="I15" s="492">
        <f t="shared" si="3"/>
        <v>5.6585528898217873E-3</v>
      </c>
    </row>
    <row r="16" spans="2:10" x14ac:dyDescent="0.2">
      <c r="B16" s="303">
        <f>'Input - Customer Data'!D15</f>
        <v>2020</v>
      </c>
      <c r="C16" s="302">
        <f>'Input - Customer Data'!E15</f>
        <v>26915.666666666668</v>
      </c>
      <c r="D16" s="490">
        <f t="shared" si="1"/>
        <v>1.0082435796399891E-2</v>
      </c>
      <c r="E16" s="302">
        <f>'Bridge&amp;Test Year Class Forecast'!B14</f>
        <v>220200219.65924728</v>
      </c>
      <c r="F16" s="301">
        <f t="shared" si="2"/>
        <v>5.6959218311921543E-2</v>
      </c>
      <c r="G16" s="302">
        <f>-'HDD,CDD'!AK15*'Bridge&amp;Test Year Class Forecast'!D14</f>
        <v>-1153307.4167449975</v>
      </c>
      <c r="H16" s="302">
        <f t="shared" si="0"/>
        <v>219046912.24250227</v>
      </c>
      <c r="I16" s="492">
        <f t="shared" si="3"/>
        <v>4.3894341034755667E-2</v>
      </c>
    </row>
    <row r="17" spans="2:16" x14ac:dyDescent="0.2">
      <c r="B17" s="433">
        <f>'Input - Customer Data'!D24</f>
        <v>2021</v>
      </c>
      <c r="C17" s="364">
        <f>'Input - Customer Data'!E24</f>
        <v>27070.725516638435</v>
      </c>
      <c r="D17" s="491">
        <f t="shared" si="1"/>
        <v>5.7609143363258159E-3</v>
      </c>
      <c r="E17" s="434"/>
      <c r="F17" s="434"/>
      <c r="G17" s="434"/>
      <c r="H17" s="364">
        <f>'Bridge&amp;Test Year Class Forecast'!G26</f>
        <v>206258605.37430316</v>
      </c>
      <c r="I17" s="493">
        <f t="shared" si="3"/>
        <v>-5.838158930102353E-2</v>
      </c>
    </row>
    <row r="18" spans="2:16" x14ac:dyDescent="0.2">
      <c r="B18" s="433">
        <f>'Input - Customer Data'!D25</f>
        <v>2022</v>
      </c>
      <c r="C18" s="364">
        <f>'Input - Customer Data'!E25</f>
        <v>27226.677647361976</v>
      </c>
      <c r="D18" s="491">
        <f t="shared" si="1"/>
        <v>5.7609143363257223E-3</v>
      </c>
      <c r="E18" s="434"/>
      <c r="F18" s="434"/>
      <c r="G18" s="434"/>
      <c r="H18" s="364">
        <f>'Bridge&amp;Test Year Class Forecast'!G27</f>
        <v>207937090.9889625</v>
      </c>
      <c r="I18" s="493">
        <f t="shared" si="3"/>
        <v>8.1377725385728527E-3</v>
      </c>
      <c r="O18" s="144" t="s">
        <v>57</v>
      </c>
      <c r="P18" s="144" t="s">
        <v>57</v>
      </c>
    </row>
    <row r="20" spans="2:16" x14ac:dyDescent="0.2">
      <c r="C20" s="168"/>
      <c r="D20" s="168"/>
      <c r="E20" s="168"/>
      <c r="F20" s="168"/>
      <c r="G20" s="168"/>
      <c r="H20" s="168"/>
      <c r="I20" s="168"/>
    </row>
    <row r="21" spans="2:16" ht="15.75" x14ac:dyDescent="0.2">
      <c r="B21" s="562" t="s">
        <v>95</v>
      </c>
      <c r="C21" s="562"/>
      <c r="D21" s="562"/>
      <c r="E21" s="562"/>
      <c r="F21" s="562"/>
      <c r="G21" s="562"/>
      <c r="H21" s="562"/>
      <c r="I21" s="562"/>
    </row>
    <row r="22" spans="2:16" x14ac:dyDescent="0.2">
      <c r="B22" s="299" t="s">
        <v>74</v>
      </c>
      <c r="C22" s="232" t="s">
        <v>109</v>
      </c>
      <c r="D22" s="232" t="s">
        <v>108</v>
      </c>
      <c r="E22" s="232" t="s">
        <v>112</v>
      </c>
      <c r="F22" s="232" t="s">
        <v>108</v>
      </c>
      <c r="G22" s="232" t="s">
        <v>272</v>
      </c>
      <c r="H22" s="232" t="s">
        <v>264</v>
      </c>
      <c r="I22" s="232" t="s">
        <v>108</v>
      </c>
    </row>
    <row r="23" spans="2:16" x14ac:dyDescent="0.2">
      <c r="B23" s="300">
        <f>B7</f>
        <v>2011</v>
      </c>
      <c r="C23" s="195">
        <f>'Input - Customer Data'!G6</f>
        <v>2507</v>
      </c>
      <c r="D23" s="494"/>
      <c r="E23" s="195">
        <f>'Bridge&amp;Test Year Class Forecast'!B33</f>
        <v>71478285.230000004</v>
      </c>
      <c r="F23" s="301"/>
      <c r="G23" s="195">
        <f>-'HDD,CDD'!AK6*'Bridge&amp;Test Year Class Forecast'!D33</f>
        <v>-50380.574397254837</v>
      </c>
      <c r="H23" s="302">
        <f>E23+G23</f>
        <v>71427904.655602753</v>
      </c>
      <c r="I23" s="301"/>
    </row>
    <row r="24" spans="2:16" x14ac:dyDescent="0.2">
      <c r="B24" s="300">
        <f t="shared" ref="B24:B34" si="4">B8</f>
        <v>2012</v>
      </c>
      <c r="C24" s="195">
        <f>'Input - Customer Data'!G7</f>
        <v>2530.9166666666665</v>
      </c>
      <c r="D24" s="495">
        <f t="shared" ref="D24:D34" si="5">(C24-C23)/C23</f>
        <v>9.5399547932455194E-3</v>
      </c>
      <c r="E24" s="195">
        <f>'Bridge&amp;Test Year Class Forecast'!B34</f>
        <v>70359939.605000004</v>
      </c>
      <c r="F24" s="492">
        <f>(E24-E23)/E23</f>
        <v>-1.5645949275383868E-2</v>
      </c>
      <c r="G24" s="195">
        <f>-'HDD,CDD'!AK7*'Bridge&amp;Test Year Class Forecast'!D34</f>
        <v>505949.36298766895</v>
      </c>
      <c r="H24" s="302">
        <f t="shared" ref="H24:H32" si="6">E24+G24</f>
        <v>70865888.967987671</v>
      </c>
      <c r="I24" s="492">
        <f>(H24-H23)/H23</f>
        <v>-7.8682930757229992E-3</v>
      </c>
    </row>
    <row r="25" spans="2:16" x14ac:dyDescent="0.2">
      <c r="B25" s="300">
        <f t="shared" si="4"/>
        <v>2013</v>
      </c>
      <c r="C25" s="195">
        <f>'Input - Customer Data'!G8</f>
        <v>2524.5833333333335</v>
      </c>
      <c r="D25" s="495">
        <f t="shared" si="5"/>
        <v>-2.5023871456322272E-3</v>
      </c>
      <c r="E25" s="195">
        <f>'Bridge&amp;Test Year Class Forecast'!B35</f>
        <v>68674576.604000002</v>
      </c>
      <c r="F25" s="492">
        <f t="shared" ref="F25:F32" si="7">(E25-E24)/E24</f>
        <v>-2.3953445816776039E-2</v>
      </c>
      <c r="G25" s="195">
        <f>-'HDD,CDD'!AK8*'Bridge&amp;Test Year Class Forecast'!D35</f>
        <v>-346380.40814942447</v>
      </c>
      <c r="H25" s="302">
        <f t="shared" si="6"/>
        <v>68328196.195850581</v>
      </c>
      <c r="I25" s="492">
        <f t="shared" ref="I25:I34" si="8">(H25-H24)/H24</f>
        <v>-3.5809792399322693E-2</v>
      </c>
    </row>
    <row r="26" spans="2:16" x14ac:dyDescent="0.2">
      <c r="B26" s="300">
        <f t="shared" si="4"/>
        <v>2014</v>
      </c>
      <c r="C26" s="195">
        <f>'Input - Customer Data'!G9</f>
        <v>2512.4166666666665</v>
      </c>
      <c r="D26" s="495">
        <f t="shared" si="5"/>
        <v>-4.8192771084338551E-3</v>
      </c>
      <c r="E26" s="195">
        <f>'Bridge&amp;Test Year Class Forecast'!B36</f>
        <v>69135015.260000005</v>
      </c>
      <c r="F26" s="492">
        <f t="shared" si="7"/>
        <v>6.7046449904604819E-3</v>
      </c>
      <c r="G26" s="195">
        <f>-'HDD,CDD'!AK9*'Bridge&amp;Test Year Class Forecast'!D36</f>
        <v>588752.17628578551</v>
      </c>
      <c r="H26" s="302">
        <f t="shared" si="6"/>
        <v>69723767.436285794</v>
      </c>
      <c r="I26" s="492">
        <f t="shared" si="8"/>
        <v>2.0424529229998357E-2</v>
      </c>
    </row>
    <row r="27" spans="2:16" x14ac:dyDescent="0.2">
      <c r="B27" s="300">
        <f t="shared" si="4"/>
        <v>2015</v>
      </c>
      <c r="C27" s="195">
        <f>'Input - Customer Data'!G10</f>
        <v>2492.1666666666665</v>
      </c>
      <c r="D27" s="495">
        <f t="shared" si="5"/>
        <v>-8.0599688215197852E-3</v>
      </c>
      <c r="E27" s="195">
        <f>'Bridge&amp;Test Year Class Forecast'!B37</f>
        <v>68487698.590000004</v>
      </c>
      <c r="F27" s="492">
        <f t="shared" si="7"/>
        <v>-9.3630798744399057E-3</v>
      </c>
      <c r="G27" s="195">
        <f>-'HDD,CDD'!AK10*'Bridge&amp;Test Year Class Forecast'!D37</f>
        <v>588913.93107027304</v>
      </c>
      <c r="H27" s="302">
        <f t="shared" si="6"/>
        <v>69076612.521070272</v>
      </c>
      <c r="I27" s="492">
        <f t="shared" si="8"/>
        <v>-9.2816974614416525E-3</v>
      </c>
    </row>
    <row r="28" spans="2:16" x14ac:dyDescent="0.2">
      <c r="B28" s="300">
        <f t="shared" si="4"/>
        <v>2016</v>
      </c>
      <c r="C28" s="195">
        <f>'Input - Customer Data'!G11</f>
        <v>2502.6666666666665</v>
      </c>
      <c r="D28" s="495">
        <f t="shared" si="5"/>
        <v>4.2132013642747273E-3</v>
      </c>
      <c r="E28" s="195">
        <f>'Bridge&amp;Test Year Class Forecast'!B38</f>
        <v>69095397.390000001</v>
      </c>
      <c r="F28" s="492">
        <f t="shared" si="7"/>
        <v>8.8731087846588563E-3</v>
      </c>
      <c r="G28" s="195">
        <f>-'HDD,CDD'!AK11*'Bridge&amp;Test Year Class Forecast'!D38</f>
        <v>-1071313.9494176686</v>
      </c>
      <c r="H28" s="302">
        <f t="shared" si="6"/>
        <v>68024083.440582335</v>
      </c>
      <c r="I28" s="492">
        <f t="shared" si="8"/>
        <v>-1.5237126461099787E-2</v>
      </c>
    </row>
    <row r="29" spans="2:16" x14ac:dyDescent="0.2">
      <c r="B29" s="300">
        <f t="shared" si="4"/>
        <v>2017</v>
      </c>
      <c r="C29" s="195">
        <f>'Input - Customer Data'!G12</f>
        <v>2506.6666666666665</v>
      </c>
      <c r="D29" s="495">
        <f t="shared" si="5"/>
        <v>1.5982951518380395E-3</v>
      </c>
      <c r="E29" s="195">
        <f>'Bridge&amp;Test Year Class Forecast'!B39</f>
        <v>66385178.073323995</v>
      </c>
      <c r="F29" s="492">
        <f t="shared" si="7"/>
        <v>-3.9224310432408753E-2</v>
      </c>
      <c r="G29" s="195">
        <f>-'HDD,CDD'!AK12*'Bridge&amp;Test Year Class Forecast'!D39</f>
        <v>1170204.413464827</v>
      </c>
      <c r="H29" s="302">
        <f t="shared" si="6"/>
        <v>67555382.486788824</v>
      </c>
      <c r="I29" s="492">
        <f t="shared" si="8"/>
        <v>-6.8902207878024794E-3</v>
      </c>
    </row>
    <row r="30" spans="2:16" x14ac:dyDescent="0.2">
      <c r="B30" s="300">
        <f t="shared" si="4"/>
        <v>2018</v>
      </c>
      <c r="C30" s="195">
        <f>'Input - Customer Data'!G13</f>
        <v>2490.75</v>
      </c>
      <c r="D30" s="495">
        <f t="shared" si="5"/>
        <v>-6.3497340425531313E-3</v>
      </c>
      <c r="E30" s="195">
        <f>'Bridge&amp;Test Year Class Forecast'!B40</f>
        <v>68552191.048737228</v>
      </c>
      <c r="F30" s="492">
        <f t="shared" si="7"/>
        <v>3.2643024215732556E-2</v>
      </c>
      <c r="G30" s="195">
        <f>-'HDD,CDD'!AK13*'Bridge&amp;Test Year Class Forecast'!D40</f>
        <v>-1519305.1374577736</v>
      </c>
      <c r="H30" s="302">
        <f t="shared" si="6"/>
        <v>67032885.911279455</v>
      </c>
      <c r="I30" s="492">
        <f t="shared" si="8"/>
        <v>-7.7343441229357135E-3</v>
      </c>
    </row>
    <row r="31" spans="2:16" x14ac:dyDescent="0.2">
      <c r="B31" s="300">
        <f t="shared" si="4"/>
        <v>2019</v>
      </c>
      <c r="C31" s="195">
        <f>'Input - Customer Data'!G14</f>
        <v>2495.6666666666665</v>
      </c>
      <c r="D31" s="495">
        <f t="shared" si="5"/>
        <v>1.9739703569874598E-3</v>
      </c>
      <c r="E31" s="195">
        <f>'Bridge&amp;Test Year Class Forecast'!B41</f>
        <v>68296619.869135812</v>
      </c>
      <c r="F31" s="492">
        <f t="shared" si="7"/>
        <v>-3.7281256177460103E-3</v>
      </c>
      <c r="G31" s="195">
        <f>-'HDD,CDD'!AK14*'Bridge&amp;Test Year Class Forecast'!D41</f>
        <v>492584.35654662561</v>
      </c>
      <c r="H31" s="302">
        <f t="shared" si="6"/>
        <v>68789204.225682437</v>
      </c>
      <c r="I31" s="492">
        <f t="shared" si="8"/>
        <v>2.620084590610549E-2</v>
      </c>
    </row>
    <row r="32" spans="2:16" x14ac:dyDescent="0.2">
      <c r="B32" s="300">
        <f t="shared" si="4"/>
        <v>2020</v>
      </c>
      <c r="C32" s="195">
        <f>'Input - Customer Data'!G15</f>
        <v>2513.5833333333335</v>
      </c>
      <c r="D32" s="495">
        <f t="shared" si="5"/>
        <v>7.1791104581275427E-3</v>
      </c>
      <c r="E32" s="195">
        <f>'Bridge&amp;Test Year Class Forecast'!B42</f>
        <v>63219121.669230707</v>
      </c>
      <c r="F32" s="492">
        <f t="shared" si="7"/>
        <v>-7.4344794949357321E-2</v>
      </c>
      <c r="G32" s="195">
        <f>-'HDD,CDD'!AK15*'Bridge&amp;Test Year Class Forecast'!D42</f>
        <v>-331112.66652710742</v>
      </c>
      <c r="H32" s="302">
        <f t="shared" si="6"/>
        <v>62888009.0027036</v>
      </c>
      <c r="I32" s="490">
        <f t="shared" si="8"/>
        <v>-8.5786647620145429E-2</v>
      </c>
    </row>
    <row r="33" spans="2:14" x14ac:dyDescent="0.2">
      <c r="B33" s="435">
        <f t="shared" si="4"/>
        <v>2021</v>
      </c>
      <c r="C33" s="364">
        <f>'Input - Customer Data'!G24</f>
        <v>2514.3158811278504</v>
      </c>
      <c r="D33" s="496">
        <f t="shared" si="5"/>
        <v>2.9143565077090639E-4</v>
      </c>
      <c r="E33" s="434"/>
      <c r="F33" s="434"/>
      <c r="G33" s="434"/>
      <c r="H33" s="364">
        <f>'Bridge&amp;Test Year Class Forecast'!G54</f>
        <v>66411371.048883222</v>
      </c>
      <c r="I33" s="434">
        <f t="shared" si="8"/>
        <v>5.6025975413343913E-2</v>
      </c>
    </row>
    <row r="34" spans="2:14" x14ac:dyDescent="0.2">
      <c r="B34" s="435">
        <f t="shared" si="4"/>
        <v>2022</v>
      </c>
      <c r="C34" s="364">
        <f>'Input - Customer Data'!G25</f>
        <v>2515.0486424129103</v>
      </c>
      <c r="D34" s="496">
        <f t="shared" si="5"/>
        <v>2.9143565077083906E-4</v>
      </c>
      <c r="E34" s="434"/>
      <c r="F34" s="434"/>
      <c r="G34" s="434"/>
      <c r="H34" s="364">
        <f>'Bridge&amp;Test Year Class Forecast'!G55</f>
        <v>66588570.906844519</v>
      </c>
      <c r="I34" s="434">
        <f t="shared" si="8"/>
        <v>2.6682156257678532E-3</v>
      </c>
    </row>
    <row r="36" spans="2:14" x14ac:dyDescent="0.2">
      <c r="C36" s="168"/>
      <c r="D36" s="168"/>
      <c r="E36" s="168"/>
      <c r="F36" s="168"/>
      <c r="G36" s="168"/>
      <c r="H36" s="168"/>
      <c r="I36" s="168"/>
      <c r="J36" s="168"/>
      <c r="K36" s="168"/>
      <c r="L36" s="163"/>
    </row>
    <row r="37" spans="2:14" ht="15.75" x14ac:dyDescent="0.2">
      <c r="B37" s="563" t="s">
        <v>269</v>
      </c>
      <c r="C37" s="555"/>
      <c r="D37" s="555"/>
      <c r="E37" s="555"/>
      <c r="F37" s="555"/>
      <c r="G37" s="555"/>
      <c r="H37" s="555"/>
      <c r="I37" s="555"/>
      <c r="J37" s="555"/>
      <c r="K37" s="555"/>
      <c r="L37" s="555"/>
      <c r="M37" s="555"/>
      <c r="N37" s="555"/>
    </row>
    <row r="38" spans="2:14" x14ac:dyDescent="0.2">
      <c r="B38" s="299" t="s">
        <v>74</v>
      </c>
      <c r="C38" s="232" t="s">
        <v>109</v>
      </c>
      <c r="D38" s="232" t="s">
        <v>108</v>
      </c>
      <c r="E38" s="232" t="s">
        <v>112</v>
      </c>
      <c r="F38" s="232" t="s">
        <v>108</v>
      </c>
      <c r="G38" s="232" t="s">
        <v>274</v>
      </c>
      <c r="H38" s="232" t="s">
        <v>271</v>
      </c>
      <c r="I38" s="232" t="s">
        <v>108</v>
      </c>
      <c r="J38" s="232" t="s">
        <v>272</v>
      </c>
      <c r="K38" s="232" t="s">
        <v>270</v>
      </c>
      <c r="L38" s="232" t="s">
        <v>108</v>
      </c>
      <c r="M38" s="232" t="s">
        <v>76</v>
      </c>
      <c r="N38" s="232" t="s">
        <v>108</v>
      </c>
    </row>
    <row r="39" spans="2:14" x14ac:dyDescent="0.2">
      <c r="B39" s="303">
        <f>B23</f>
        <v>2011</v>
      </c>
      <c r="C39" s="302">
        <f>'Input - Customer Data'!I6</f>
        <v>224.41666666666666</v>
      </c>
      <c r="D39" s="497"/>
      <c r="E39" s="302">
        <f>'Input - Customer Data'!D74</f>
        <v>250365636.15600002</v>
      </c>
      <c r="F39" s="301"/>
      <c r="G39" s="302">
        <f>H39-E39</f>
        <v>-35488822.020000011</v>
      </c>
      <c r="H39" s="302">
        <f>'Bridge&amp;Test Year Class Forecast'!B61</f>
        <v>214876814.13600001</v>
      </c>
      <c r="I39" s="301"/>
      <c r="J39" s="302">
        <f>-'HDD,CDD'!AK6*'Bridge&amp;Test Year Class Forecast'!D61</f>
        <v>-151453.23206886687</v>
      </c>
      <c r="K39" s="302">
        <f>H39+J39</f>
        <v>214725360.90393114</v>
      </c>
      <c r="L39" s="301"/>
      <c r="M39" s="302">
        <f>'Bridge&amp;Test Year Class Forecast'!M5</f>
        <v>753237.76</v>
      </c>
      <c r="N39" s="302"/>
    </row>
    <row r="40" spans="2:14" x14ac:dyDescent="0.2">
      <c r="B40" s="303">
        <f t="shared" ref="B40:B50" si="9">B24</f>
        <v>2012</v>
      </c>
      <c r="C40" s="302">
        <f>'Input - Customer Data'!I7</f>
        <v>224.5</v>
      </c>
      <c r="D40" s="495">
        <f t="shared" ref="D40:D50" si="10">(C40-C39)/C39</f>
        <v>3.7133308577798503E-4</v>
      </c>
      <c r="E40" s="302">
        <f>'Input - Customer Data'!E74</f>
        <v>252871258.60249999</v>
      </c>
      <c r="F40" s="301">
        <f>(E40-E39)/E39</f>
        <v>1.0007852854609601E-2</v>
      </c>
      <c r="G40" s="302">
        <f t="shared" ref="G40:G48" si="11">H40-E40</f>
        <v>-43136207.409999996</v>
      </c>
      <c r="H40" s="302">
        <f>'Bridge&amp;Test Year Class Forecast'!B62</f>
        <v>209735051.1925</v>
      </c>
      <c r="I40" s="301">
        <f>(H40-H39)/H39</f>
        <v>-2.3928886716673318E-2</v>
      </c>
      <c r="J40" s="302">
        <f>-'HDD,CDD'!AK7*'Bridge&amp;Test Year Class Forecast'!D62</f>
        <v>1508178.0362911315</v>
      </c>
      <c r="K40" s="302">
        <f t="shared" ref="K40:K48" si="12">H40+J40</f>
        <v>211243229.22879112</v>
      </c>
      <c r="L40" s="301">
        <f>(K40-K39)/K39</f>
        <v>-1.6216676318443545E-2</v>
      </c>
      <c r="M40" s="302">
        <f>'Bridge&amp;Test Year Class Forecast'!M6</f>
        <v>760470.64199999999</v>
      </c>
      <c r="N40" s="301">
        <f t="shared" ref="N40:N48" si="13">(M40-M39)/M39</f>
        <v>9.6023890252129457E-3</v>
      </c>
    </row>
    <row r="41" spans="2:14" x14ac:dyDescent="0.2">
      <c r="B41" s="303">
        <f t="shared" si="9"/>
        <v>2013</v>
      </c>
      <c r="C41" s="302">
        <f>'Input - Customer Data'!I8</f>
        <v>225.08333333333334</v>
      </c>
      <c r="D41" s="495">
        <f t="shared" si="10"/>
        <v>2.5983667409057586E-3</v>
      </c>
      <c r="E41" s="302">
        <f>'Input - Customer Data'!F74</f>
        <v>218765504.61700001</v>
      </c>
      <c r="F41" s="301">
        <f t="shared" ref="F41:F48" si="14">(E41-E40)/E40</f>
        <v>-0.13487398359934763</v>
      </c>
      <c r="G41" s="302">
        <f t="shared" si="11"/>
        <v>-24137762.819999993</v>
      </c>
      <c r="H41" s="302">
        <f>'Bridge&amp;Test Year Class Forecast'!B63</f>
        <v>194627741.79700002</v>
      </c>
      <c r="I41" s="301">
        <f t="shared" ref="I41:I48" si="15">(H41-H40)/H40</f>
        <v>-7.2030446554372615E-2</v>
      </c>
      <c r="J41" s="302">
        <f>-'HDD,CDD'!AK8*'Bridge&amp;Test Year Class Forecast'!D63</f>
        <v>-981662.21001381485</v>
      </c>
      <c r="K41" s="302">
        <f t="shared" si="12"/>
        <v>193646079.58698621</v>
      </c>
      <c r="L41" s="301">
        <f t="shared" ref="L41:L50" si="16">(K41-K40)/K40</f>
        <v>-8.3302786584207936E-2</v>
      </c>
      <c r="M41" s="302">
        <f>'Bridge&amp;Test Year Class Forecast'!M7</f>
        <v>689936.48</v>
      </c>
      <c r="N41" s="301">
        <f t="shared" si="13"/>
        <v>-9.2750670577497474E-2</v>
      </c>
    </row>
    <row r="42" spans="2:14" x14ac:dyDescent="0.2">
      <c r="B42" s="303">
        <f t="shared" si="9"/>
        <v>2014</v>
      </c>
      <c r="C42" s="302">
        <f>'Input - Customer Data'!I9</f>
        <v>225.08333333333334</v>
      </c>
      <c r="D42" s="495">
        <f t="shared" si="10"/>
        <v>0</v>
      </c>
      <c r="E42" s="302">
        <f>'Input - Customer Data'!G74</f>
        <v>227548065.41000003</v>
      </c>
      <c r="F42" s="301">
        <f t="shared" si="14"/>
        <v>4.0146003860964882E-2</v>
      </c>
      <c r="G42" s="302">
        <f t="shared" si="11"/>
        <v>-31780370.300000012</v>
      </c>
      <c r="H42" s="302">
        <f>'Bridge&amp;Test Year Class Forecast'!B64</f>
        <v>195767695.11000001</v>
      </c>
      <c r="I42" s="301">
        <f t="shared" si="15"/>
        <v>5.8570957175723892E-3</v>
      </c>
      <c r="J42" s="302">
        <f>-'HDD,CDD'!AK9*'Bridge&amp;Test Year Class Forecast'!D64</f>
        <v>1667153.1221770158</v>
      </c>
      <c r="K42" s="302">
        <f t="shared" si="12"/>
        <v>197434848.23217702</v>
      </c>
      <c r="L42" s="301">
        <f t="shared" si="16"/>
        <v>1.956542912343796E-2</v>
      </c>
      <c r="M42" s="302">
        <f>'Bridge&amp;Test Year Class Forecast'!M8</f>
        <v>664361.51</v>
      </c>
      <c r="N42" s="301">
        <f t="shared" si="13"/>
        <v>-3.7068586371893211E-2</v>
      </c>
    </row>
    <row r="43" spans="2:14" x14ac:dyDescent="0.2">
      <c r="B43" s="303">
        <f t="shared" si="9"/>
        <v>2015</v>
      </c>
      <c r="C43" s="302">
        <f>'Input - Customer Data'!I10</f>
        <v>219.66666666666666</v>
      </c>
      <c r="D43" s="495">
        <f t="shared" si="10"/>
        <v>-2.4065161051462506E-2</v>
      </c>
      <c r="E43" s="302">
        <f>'Input - Customer Data'!H74</f>
        <v>194707775.59</v>
      </c>
      <c r="F43" s="301">
        <f t="shared" si="14"/>
        <v>-0.14432243034379494</v>
      </c>
      <c r="G43" s="302">
        <f t="shared" si="11"/>
        <v>-5397637.5200000107</v>
      </c>
      <c r="H43" s="302">
        <f>'Bridge&amp;Test Year Class Forecast'!B65</f>
        <v>189310138.06999999</v>
      </c>
      <c r="I43" s="301">
        <f t="shared" si="15"/>
        <v>-3.2985815337773589E-2</v>
      </c>
      <c r="J43" s="302">
        <f>-'HDD,CDD'!AK10*'Bridge&amp;Test Year Class Forecast'!D65</f>
        <v>1627845.2904320294</v>
      </c>
      <c r="K43" s="302">
        <f t="shared" si="12"/>
        <v>190937983.36043203</v>
      </c>
      <c r="L43" s="301">
        <f t="shared" si="16"/>
        <v>-3.2906373570408841E-2</v>
      </c>
      <c r="M43" s="302">
        <f>'Bridge&amp;Test Year Class Forecast'!M9</f>
        <v>615145.36</v>
      </c>
      <c r="N43" s="301">
        <f t="shared" si="13"/>
        <v>-7.4080375306510488E-2</v>
      </c>
    </row>
    <row r="44" spans="2:14" x14ac:dyDescent="0.2">
      <c r="B44" s="303">
        <f t="shared" si="9"/>
        <v>2016</v>
      </c>
      <c r="C44" s="302">
        <f>'Input - Customer Data'!I11</f>
        <v>205.58333333333334</v>
      </c>
      <c r="D44" s="495">
        <f t="shared" si="10"/>
        <v>-6.4112291350531023E-2</v>
      </c>
      <c r="E44" s="302">
        <f>'Input - Customer Data'!I74</f>
        <v>185839670.57999998</v>
      </c>
      <c r="F44" s="301">
        <f t="shared" si="14"/>
        <v>-4.5545715794492785E-2</v>
      </c>
      <c r="G44" s="302">
        <f t="shared" si="11"/>
        <v>-629787.06000000238</v>
      </c>
      <c r="H44" s="302">
        <f>'Bridge&amp;Test Year Class Forecast'!B66</f>
        <v>185209883.51999998</v>
      </c>
      <c r="I44" s="301">
        <f t="shared" si="15"/>
        <v>-2.1658927471089197E-2</v>
      </c>
      <c r="J44" s="302">
        <f>-'HDD,CDD'!AK11*'Bridge&amp;Test Year Class Forecast'!D66</f>
        <v>-2871651.9374663015</v>
      </c>
      <c r="K44" s="302">
        <f t="shared" si="12"/>
        <v>182338231.58253369</v>
      </c>
      <c r="L44" s="301">
        <f t="shared" si="16"/>
        <v>-4.5039502494716631E-2</v>
      </c>
      <c r="M44" s="302">
        <f>'Bridge&amp;Test Year Class Forecast'!M10</f>
        <v>580036.22</v>
      </c>
      <c r="N44" s="301">
        <f t="shared" si="13"/>
        <v>-5.7074542511383025E-2</v>
      </c>
    </row>
    <row r="45" spans="2:14" x14ac:dyDescent="0.2">
      <c r="B45" s="303">
        <f t="shared" si="9"/>
        <v>2017</v>
      </c>
      <c r="C45" s="302">
        <f>'Input - Customer Data'!I12</f>
        <v>198</v>
      </c>
      <c r="D45" s="495">
        <f t="shared" si="10"/>
        <v>-3.6886907174706163E-2</v>
      </c>
      <c r="E45" s="302">
        <f>'Input - Customer Data'!J74</f>
        <v>185980426.04825354</v>
      </c>
      <c r="F45" s="301">
        <f t="shared" si="14"/>
        <v>7.5740269994161824E-4</v>
      </c>
      <c r="G45" s="302">
        <f t="shared" si="11"/>
        <v>-2784373.7700000107</v>
      </c>
      <c r="H45" s="302">
        <f>'Bridge&amp;Test Year Class Forecast'!B67</f>
        <v>183196052.27825353</v>
      </c>
      <c r="I45" s="301">
        <f t="shared" si="15"/>
        <v>-1.0873238530647804E-2</v>
      </c>
      <c r="J45" s="302">
        <f>-'HDD,CDD'!AK12*'Bridge&amp;Test Year Class Forecast'!D67</f>
        <v>3229287.5477197813</v>
      </c>
      <c r="K45" s="302">
        <f t="shared" si="12"/>
        <v>186425339.8259733</v>
      </c>
      <c r="L45" s="301">
        <f t="shared" si="16"/>
        <v>2.241498235431566E-2</v>
      </c>
      <c r="M45" s="302">
        <f>'Bridge&amp;Test Year Class Forecast'!M11</f>
        <v>588371.79999999993</v>
      </c>
      <c r="N45" s="301">
        <f t="shared" si="13"/>
        <v>1.4370792223975182E-2</v>
      </c>
    </row>
    <row r="46" spans="2:14" x14ac:dyDescent="0.2">
      <c r="B46" s="303">
        <f t="shared" si="9"/>
        <v>2018</v>
      </c>
      <c r="C46" s="302">
        <f>'Input - Customer Data'!I13</f>
        <v>197.66666666666666</v>
      </c>
      <c r="D46" s="495">
        <f t="shared" si="10"/>
        <v>-1.6835016835017313E-3</v>
      </c>
      <c r="E46" s="302">
        <f>'Input - Customer Data'!K74</f>
        <v>186317853.54878309</v>
      </c>
      <c r="F46" s="301">
        <f t="shared" si="14"/>
        <v>1.8143172789700473E-3</v>
      </c>
      <c r="G46" s="302">
        <f t="shared" si="11"/>
        <v>-482443.74000000954</v>
      </c>
      <c r="H46" s="302">
        <f>'Bridge&amp;Test Year Class Forecast'!B68</f>
        <v>185835409.80878308</v>
      </c>
      <c r="I46" s="301">
        <f t="shared" si="15"/>
        <v>1.4407283878151923E-2</v>
      </c>
      <c r="J46" s="302">
        <f>-'HDD,CDD'!AK13*'Bridge&amp;Test Year Class Forecast'!D68</f>
        <v>-4118623.9057381041</v>
      </c>
      <c r="K46" s="302">
        <f t="shared" si="12"/>
        <v>181716785.90304497</v>
      </c>
      <c r="L46" s="301">
        <f t="shared" si="16"/>
        <v>-2.5257048893265979E-2</v>
      </c>
      <c r="M46" s="302">
        <f>'Bridge&amp;Test Year Class Forecast'!M12</f>
        <v>580250.94000000006</v>
      </c>
      <c r="N46" s="301">
        <f t="shared" si="13"/>
        <v>-1.3802259047765155E-2</v>
      </c>
    </row>
    <row r="47" spans="2:14" x14ac:dyDescent="0.2">
      <c r="B47" s="303">
        <f t="shared" si="9"/>
        <v>2019</v>
      </c>
      <c r="C47" s="302">
        <f>'Input - Customer Data'!I14</f>
        <v>190.33333333333334</v>
      </c>
      <c r="D47" s="495">
        <f t="shared" si="10"/>
        <v>-3.7099494097807661E-2</v>
      </c>
      <c r="E47" s="302">
        <f>'Input - Customer Data'!L74</f>
        <v>183204907.69893607</v>
      </c>
      <c r="F47" s="301">
        <f t="shared" si="14"/>
        <v>-1.6707716359731273E-2</v>
      </c>
      <c r="G47" s="302">
        <f t="shared" si="11"/>
        <v>-3499121.9525369108</v>
      </c>
      <c r="H47" s="302">
        <f>'Bridge&amp;Test Year Class Forecast'!B69</f>
        <v>179705785.74639916</v>
      </c>
      <c r="I47" s="301">
        <f t="shared" si="15"/>
        <v>-3.2984155542213664E-2</v>
      </c>
      <c r="J47" s="302">
        <f>-'HDD,CDD'!AK14*'Bridge&amp;Test Year Class Forecast'!D69</f>
        <v>1296114.7859031796</v>
      </c>
      <c r="K47" s="302">
        <f t="shared" si="12"/>
        <v>181001900.53230235</v>
      </c>
      <c r="L47" s="301">
        <f t="shared" si="16"/>
        <v>-3.9340634779004196E-3</v>
      </c>
      <c r="M47" s="302">
        <f>'Bridge&amp;Test Year Class Forecast'!M13</f>
        <v>553966.00999999966</v>
      </c>
      <c r="N47" s="301">
        <f t="shared" si="13"/>
        <v>-4.5299245874552821E-2</v>
      </c>
    </row>
    <row r="48" spans="2:14" x14ac:dyDescent="0.2">
      <c r="B48" s="303">
        <f t="shared" si="9"/>
        <v>2020</v>
      </c>
      <c r="C48" s="302">
        <f>'Input - Customer Data'!I15</f>
        <v>193.16666666666666</v>
      </c>
      <c r="D48" s="495">
        <f t="shared" si="10"/>
        <v>1.48861646234675E-2</v>
      </c>
      <c r="E48" s="302">
        <f>'Input - Customer Data'!M74</f>
        <v>169630766.96221483</v>
      </c>
      <c r="F48" s="301">
        <f t="shared" si="14"/>
        <v>-7.4092669826443067E-2</v>
      </c>
      <c r="G48" s="302">
        <f t="shared" si="11"/>
        <v>-4037299.3951289952</v>
      </c>
      <c r="H48" s="302">
        <f>'Bridge&amp;Test Year Class Forecast'!B70</f>
        <v>165593467.56708583</v>
      </c>
      <c r="I48" s="301">
        <f t="shared" si="15"/>
        <v>-7.853012701120618E-2</v>
      </c>
      <c r="J48" s="302">
        <f>-'HDD,CDD'!AK15*'Bridge&amp;Test Year Class Forecast'!D70</f>
        <v>-867302.37874048401</v>
      </c>
      <c r="K48" s="302">
        <f t="shared" si="12"/>
        <v>164726165.18834534</v>
      </c>
      <c r="L48" s="301">
        <f t="shared" si="16"/>
        <v>-8.9920245566992657E-2</v>
      </c>
      <c r="M48" s="302">
        <f>'Bridge&amp;Test Year Class Forecast'!M14</f>
        <v>527483.83000000007</v>
      </c>
      <c r="N48" s="301">
        <f t="shared" si="13"/>
        <v>-4.7804701952741835E-2</v>
      </c>
    </row>
    <row r="49" spans="2:14" x14ac:dyDescent="0.2">
      <c r="B49" s="435">
        <f t="shared" si="9"/>
        <v>2021</v>
      </c>
      <c r="C49" s="364">
        <f>'Input - Customer Data'!I24</f>
        <v>189.97493534710117</v>
      </c>
      <c r="D49" s="496">
        <f t="shared" si="10"/>
        <v>-1.6523199238475367E-2</v>
      </c>
      <c r="E49" s="434"/>
      <c r="F49" s="434"/>
      <c r="G49" s="364"/>
      <c r="H49" s="364"/>
      <c r="I49" s="434"/>
      <c r="J49" s="434"/>
      <c r="K49" s="364">
        <f>'Bridge&amp;Test Year Class Forecast'!G82-'Bridge&amp;Test Year Class Forecast'!E82</f>
        <v>175049437.08150616</v>
      </c>
      <c r="L49" s="434">
        <f>(K49-K48)/K48</f>
        <v>6.2669290463705937E-2</v>
      </c>
      <c r="M49" s="364">
        <f>'Bridge&amp;Test Year Class Forecast'!O15</f>
        <v>529536.43363855162</v>
      </c>
      <c r="N49" s="434">
        <f>(M49-M48)/M48</f>
        <v>3.8913110162098179E-3</v>
      </c>
    </row>
    <row r="50" spans="2:14" x14ac:dyDescent="0.2">
      <c r="B50" s="435">
        <f t="shared" si="9"/>
        <v>2022</v>
      </c>
      <c r="C50" s="364">
        <f>'Input - Customer Data'!I25</f>
        <v>186.83594164004455</v>
      </c>
      <c r="D50" s="496">
        <f t="shared" si="10"/>
        <v>-1.6523199238475283E-2</v>
      </c>
      <c r="E50" s="434"/>
      <c r="F50" s="434"/>
      <c r="G50" s="364"/>
      <c r="H50" s="364"/>
      <c r="I50" s="434"/>
      <c r="J50" s="434"/>
      <c r="K50" s="364">
        <f>'Bridge&amp;Test Year Class Forecast'!G83-'Bridge&amp;Test Year Class Forecast'!E82</f>
        <v>172573229.81521717</v>
      </c>
      <c r="L50" s="434">
        <f t="shared" si="16"/>
        <v>-1.414575966408866E-2</v>
      </c>
      <c r="M50" s="364">
        <f>'Bridge&amp;Test Year Class Forecast'!O16</f>
        <v>522201.52053273475</v>
      </c>
      <c r="N50" s="434">
        <f>(M50-M49)/M49</f>
        <v>-1.3851574018084468E-2</v>
      </c>
    </row>
    <row r="52" spans="2:14" ht="13.5" thickBot="1" x14ac:dyDescent="0.25"/>
    <row r="53" spans="2:14" ht="15.75" customHeight="1" x14ac:dyDescent="0.2">
      <c r="B53" s="543" t="s">
        <v>188</v>
      </c>
      <c r="C53" s="544"/>
      <c r="D53" s="544"/>
      <c r="E53" s="544"/>
      <c r="F53" s="544"/>
      <c r="G53" s="544"/>
      <c r="H53" s="544"/>
      <c r="I53" s="544"/>
      <c r="J53" s="544"/>
      <c r="K53" s="548"/>
    </row>
    <row r="54" spans="2:14" x14ac:dyDescent="0.2">
      <c r="B54" s="299" t="s">
        <v>74</v>
      </c>
      <c r="C54" s="232" t="s">
        <v>109</v>
      </c>
      <c r="D54" s="232" t="s">
        <v>108</v>
      </c>
      <c r="E54" s="232" t="s">
        <v>112</v>
      </c>
      <c r="F54" s="232" t="s">
        <v>108</v>
      </c>
      <c r="G54" s="232" t="s">
        <v>272</v>
      </c>
      <c r="H54" s="232" t="s">
        <v>264</v>
      </c>
      <c r="I54" s="232" t="s">
        <v>108</v>
      </c>
      <c r="J54" s="232" t="s">
        <v>76</v>
      </c>
      <c r="K54" s="232" t="s">
        <v>108</v>
      </c>
    </row>
    <row r="55" spans="2:14" x14ac:dyDescent="0.2">
      <c r="B55" s="303">
        <f>B39</f>
        <v>2011</v>
      </c>
      <c r="C55" s="302">
        <f>'Input - Customer Data'!K6</f>
        <v>1</v>
      </c>
      <c r="D55" s="302"/>
      <c r="E55" s="302">
        <f>'Bridge&amp;Test Year Class Forecast'!B89</f>
        <v>5010546.66</v>
      </c>
      <c r="F55" s="301"/>
      <c r="G55" s="302">
        <f>-'HDD,CDD'!AK6*'Bridge&amp;Test Year Class Forecast'!D89</f>
        <v>-3531.621078524392</v>
      </c>
      <c r="H55" s="302">
        <f>E55+G55</f>
        <v>5007015.0389214754</v>
      </c>
      <c r="I55" s="301"/>
      <c r="J55" s="302">
        <f>'Bridge&amp;Test Year Class Forecast'!M27</f>
        <v>12008.64</v>
      </c>
      <c r="K55" s="301"/>
    </row>
    <row r="56" spans="2:14" x14ac:dyDescent="0.2">
      <c r="B56" s="303">
        <f t="shared" ref="B56:B66" si="17">B40</f>
        <v>2012</v>
      </c>
      <c r="C56" s="302">
        <f>'Input - Customer Data'!K7</f>
        <v>1</v>
      </c>
      <c r="D56" s="490">
        <f>(C56-C55)/C55</f>
        <v>0</v>
      </c>
      <c r="E56" s="302">
        <f>'Bridge&amp;Test Year Class Forecast'!B90</f>
        <v>5264498.6195</v>
      </c>
      <c r="F56" s="301">
        <f>(E56-E55)/E55</f>
        <v>5.0683483606158028E-2</v>
      </c>
      <c r="G56" s="302">
        <f>-'HDD,CDD'!AK7*'Bridge&amp;Test Year Class Forecast'!D90</f>
        <v>37856.338961328584</v>
      </c>
      <c r="H56" s="302">
        <f t="shared" ref="H56:H64" si="18">E56+G56</f>
        <v>5302354.9584613284</v>
      </c>
      <c r="I56" s="301">
        <f>(H56-H55)/H55</f>
        <v>5.8985227175085544E-2</v>
      </c>
      <c r="J56" s="302">
        <f>'Bridge&amp;Test Year Class Forecast'!M28</f>
        <v>12682.68</v>
      </c>
      <c r="K56" s="301">
        <f>(J56-J55)/J55</f>
        <v>5.6129586697577817E-2</v>
      </c>
    </row>
    <row r="57" spans="2:14" x14ac:dyDescent="0.2">
      <c r="B57" s="303">
        <f t="shared" si="17"/>
        <v>2013</v>
      </c>
      <c r="C57" s="302">
        <f>'Input - Customer Data'!K8</f>
        <v>1</v>
      </c>
      <c r="D57" s="490">
        <f t="shared" ref="D57:D64" si="19">(C57-C56)/C56</f>
        <v>0</v>
      </c>
      <c r="E57" s="302">
        <f>'Bridge&amp;Test Year Class Forecast'!B91</f>
        <v>4854403.5</v>
      </c>
      <c r="F57" s="301">
        <f t="shared" ref="F57:F64" si="20">(E57-E56)/E56</f>
        <v>-7.7898229088898333E-2</v>
      </c>
      <c r="G57" s="302">
        <f>-'HDD,CDD'!AK8*'Bridge&amp;Test Year Class Forecast'!D91</f>
        <v>-24484.610591018281</v>
      </c>
      <c r="H57" s="302">
        <f t="shared" si="18"/>
        <v>4829918.8894089814</v>
      </c>
      <c r="I57" s="301">
        <f t="shared" ref="I57:I66" si="21">(H57-H56)/H56</f>
        <v>-8.9099291306110814E-2</v>
      </c>
      <c r="J57" s="302">
        <f>'Bridge&amp;Test Year Class Forecast'!M29</f>
        <v>12041.64</v>
      </c>
      <c r="K57" s="301">
        <f t="shared" ref="K57:K64" si="22">(J57-J56)/J56</f>
        <v>-5.0544522135700092E-2</v>
      </c>
    </row>
    <row r="58" spans="2:14" x14ac:dyDescent="0.2">
      <c r="B58" s="303">
        <f t="shared" si="17"/>
        <v>2014</v>
      </c>
      <c r="C58" s="302">
        <f>'Input - Customer Data'!K9</f>
        <v>1</v>
      </c>
      <c r="D58" s="490">
        <f t="shared" si="19"/>
        <v>0</v>
      </c>
      <c r="E58" s="302">
        <f>'Bridge&amp;Test Year Class Forecast'!B92</f>
        <v>4975331.1999999993</v>
      </c>
      <c r="F58" s="301">
        <f t="shared" si="20"/>
        <v>2.4910928809275795E-2</v>
      </c>
      <c r="G58" s="302">
        <f>-'HDD,CDD'!AK9*'Bridge&amp;Test Year Class Forecast'!D92</f>
        <v>42369.804370859238</v>
      </c>
      <c r="H58" s="302">
        <f t="shared" si="18"/>
        <v>5017701.0043708589</v>
      </c>
      <c r="I58" s="301">
        <f t="shared" si="21"/>
        <v>3.8878937568422735E-2</v>
      </c>
      <c r="J58" s="302">
        <f>'Bridge&amp;Test Year Class Forecast'!M30</f>
        <v>12958.4</v>
      </c>
      <c r="K58" s="301">
        <f t="shared" si="22"/>
        <v>7.6132486936995314E-2</v>
      </c>
    </row>
    <row r="59" spans="2:14" x14ac:dyDescent="0.2">
      <c r="B59" s="303">
        <f t="shared" si="17"/>
        <v>2015</v>
      </c>
      <c r="C59" s="302">
        <f>'Input - Customer Data'!K10</f>
        <v>1</v>
      </c>
      <c r="D59" s="490">
        <f t="shared" si="19"/>
        <v>0</v>
      </c>
      <c r="E59" s="302">
        <f>'Bridge&amp;Test Year Class Forecast'!B93</f>
        <v>5138938.0000000009</v>
      </c>
      <c r="F59" s="301">
        <f t="shared" si="20"/>
        <v>3.288359978929678E-2</v>
      </c>
      <c r="G59" s="302">
        <f>-'HDD,CDD'!AK10*'Bridge&amp;Test Year Class Forecast'!D93</f>
        <v>44188.84327277272</v>
      </c>
      <c r="H59" s="302">
        <f t="shared" si="18"/>
        <v>5183126.8432727735</v>
      </c>
      <c r="I59" s="301">
        <f t="shared" si="21"/>
        <v>3.2968452834836952E-2</v>
      </c>
      <c r="J59" s="302">
        <f>'Bridge&amp;Test Year Class Forecast'!M31</f>
        <v>13742.4</v>
      </c>
      <c r="K59" s="301">
        <f t="shared" si="22"/>
        <v>6.0501296456352639E-2</v>
      </c>
    </row>
    <row r="60" spans="2:14" x14ac:dyDescent="0.2">
      <c r="B60" s="303">
        <f t="shared" si="17"/>
        <v>2016</v>
      </c>
      <c r="C60" s="302">
        <f>'Input - Customer Data'!K11</f>
        <v>1</v>
      </c>
      <c r="D60" s="490">
        <f t="shared" si="19"/>
        <v>0</v>
      </c>
      <c r="E60" s="302">
        <f>'Bridge&amp;Test Year Class Forecast'!B94</f>
        <v>5604942.4199999999</v>
      </c>
      <c r="F60" s="301">
        <f t="shared" si="20"/>
        <v>9.0681074572216844E-2</v>
      </c>
      <c r="G60" s="302">
        <f>-'HDD,CDD'!AK11*'Bridge&amp;Test Year Class Forecast'!D94</f>
        <v>-86903.805854626466</v>
      </c>
      <c r="H60" s="302">
        <f t="shared" si="18"/>
        <v>5518038.6141453739</v>
      </c>
      <c r="I60" s="301">
        <f t="shared" si="21"/>
        <v>6.4615777502587138E-2</v>
      </c>
      <c r="J60" s="302">
        <f>'Bridge&amp;Test Year Class Forecast'!M32</f>
        <v>16375.72</v>
      </c>
      <c r="K60" s="301">
        <f t="shared" si="22"/>
        <v>0.19162009547095121</v>
      </c>
    </row>
    <row r="61" spans="2:14" x14ac:dyDescent="0.2">
      <c r="B61" s="303">
        <f t="shared" si="17"/>
        <v>2017</v>
      </c>
      <c r="C61" s="302">
        <f>'Input - Customer Data'!K12</f>
        <v>1</v>
      </c>
      <c r="D61" s="490">
        <f t="shared" si="19"/>
        <v>0</v>
      </c>
      <c r="E61" s="302">
        <f>'Bridge&amp;Test Year Class Forecast'!B95</f>
        <v>4768119.9723423496</v>
      </c>
      <c r="F61" s="301">
        <f t="shared" si="20"/>
        <v>-0.14930081077579568</v>
      </c>
      <c r="G61" s="302">
        <f>-'HDD,CDD'!AK12*'Bridge&amp;Test Year Class Forecast'!D95</f>
        <v>84050.01232958844</v>
      </c>
      <c r="H61" s="302">
        <f t="shared" si="18"/>
        <v>4852169.9846719382</v>
      </c>
      <c r="I61" s="301">
        <f t="shared" si="21"/>
        <v>-0.12067125223924598</v>
      </c>
      <c r="J61" s="302">
        <f>'Bridge&amp;Test Year Class Forecast'!M33</f>
        <v>12501.41</v>
      </c>
      <c r="K61" s="301">
        <f t="shared" si="22"/>
        <v>-0.23658868129157068</v>
      </c>
    </row>
    <row r="62" spans="2:14" x14ac:dyDescent="0.2">
      <c r="B62" s="303">
        <f t="shared" si="17"/>
        <v>2018</v>
      </c>
      <c r="C62" s="302">
        <f>'Input - Customer Data'!K13</f>
        <v>1</v>
      </c>
      <c r="D62" s="490">
        <f t="shared" si="19"/>
        <v>0</v>
      </c>
      <c r="E62" s="302">
        <f>'Bridge&amp;Test Year Class Forecast'!B96</f>
        <v>5218945.2166489204</v>
      </c>
      <c r="F62" s="301">
        <f t="shared" si="20"/>
        <v>9.4549895330150832E-2</v>
      </c>
      <c r="G62" s="302">
        <f>-'HDD,CDD'!AK13*'Bridge&amp;Test Year Class Forecast'!D96</f>
        <v>-115666.18307105789</v>
      </c>
      <c r="H62" s="302">
        <f t="shared" si="18"/>
        <v>5103279.0335778622</v>
      </c>
      <c r="I62" s="301">
        <f t="shared" si="21"/>
        <v>5.1751906816781025E-2</v>
      </c>
      <c r="J62" s="302">
        <f>'Bridge&amp;Test Year Class Forecast'!M34</f>
        <v>13532.36</v>
      </c>
      <c r="K62" s="301">
        <f t="shared" si="22"/>
        <v>8.2466697756493124E-2</v>
      </c>
    </row>
    <row r="63" spans="2:14" x14ac:dyDescent="0.2">
      <c r="B63" s="303">
        <f t="shared" si="17"/>
        <v>2019</v>
      </c>
      <c r="C63" s="302">
        <f>'Input - Customer Data'!K14</f>
        <v>1</v>
      </c>
      <c r="D63" s="490">
        <f t="shared" si="19"/>
        <v>0</v>
      </c>
      <c r="E63" s="302">
        <f>'Bridge&amp;Test Year Class Forecast'!B97</f>
        <v>5234524.4083762597</v>
      </c>
      <c r="F63" s="301">
        <f t="shared" si="20"/>
        <v>2.9851226791268513E-3</v>
      </c>
      <c r="G63" s="302">
        <f>-'HDD,CDD'!AK14*'Bridge&amp;Test Year Class Forecast'!D97</f>
        <v>37753.622982634035</v>
      </c>
      <c r="H63" s="302">
        <f t="shared" si="18"/>
        <v>5272278.031358894</v>
      </c>
      <c r="I63" s="301">
        <f t="shared" si="21"/>
        <v>3.3115766680417651E-2</v>
      </c>
      <c r="J63" s="302">
        <f>'Bridge&amp;Test Year Class Forecast'!M35</f>
        <v>13275.64</v>
      </c>
      <c r="K63" s="301">
        <f t="shared" si="22"/>
        <v>-1.8970822532063968E-2</v>
      </c>
    </row>
    <row r="64" spans="2:14" x14ac:dyDescent="0.2">
      <c r="B64" s="303">
        <f t="shared" si="17"/>
        <v>2020</v>
      </c>
      <c r="C64" s="302">
        <f>'Input - Customer Data'!K15</f>
        <v>1</v>
      </c>
      <c r="D64" s="490">
        <f t="shared" si="19"/>
        <v>0</v>
      </c>
      <c r="E64" s="302">
        <f>'Bridge&amp;Test Year Class Forecast'!B98</f>
        <v>5321959.9988488881</v>
      </c>
      <c r="F64" s="301">
        <f t="shared" si="20"/>
        <v>1.6703636023306028E-2</v>
      </c>
      <c r="G64" s="302">
        <f>-'HDD,CDD'!AK15*'Bridge&amp;Test Year Class Forecast'!D98</f>
        <v>-27873.977363831673</v>
      </c>
      <c r="H64" s="302">
        <f t="shared" si="18"/>
        <v>5294086.0214850567</v>
      </c>
      <c r="I64" s="301">
        <f t="shared" si="21"/>
        <v>4.1363505483685403E-3</v>
      </c>
      <c r="J64" s="302">
        <f>'Bridge&amp;Test Year Class Forecast'!M36</f>
        <v>14339.56</v>
      </c>
      <c r="K64" s="301">
        <f t="shared" si="22"/>
        <v>8.0140769107930027E-2</v>
      </c>
    </row>
    <row r="65" spans="2:11" x14ac:dyDescent="0.2">
      <c r="B65" s="435">
        <f t="shared" si="17"/>
        <v>2021</v>
      </c>
      <c r="C65" s="364">
        <f>'Input - Customer Data'!K19</f>
        <v>1</v>
      </c>
      <c r="D65" s="491">
        <f>(C65-C64)/C64</f>
        <v>0</v>
      </c>
      <c r="E65" s="434"/>
      <c r="F65" s="434"/>
      <c r="G65" s="364"/>
      <c r="H65" s="364">
        <f>'Bridge&amp;Test Year Class Forecast'!G110</f>
        <v>5173257.7887748284</v>
      </c>
      <c r="I65" s="434">
        <f t="shared" si="21"/>
        <v>-2.2823246962718313E-2</v>
      </c>
      <c r="J65" s="364">
        <f>'Bridge&amp;Test Year Class Forecast'!M37</f>
        <v>13830.232760291723</v>
      </c>
      <c r="K65" s="434">
        <f>(J65-J64)/J64</f>
        <v>-3.5519028457517282E-2</v>
      </c>
    </row>
    <row r="66" spans="2:11" x14ac:dyDescent="0.2">
      <c r="B66" s="435">
        <f t="shared" si="17"/>
        <v>2022</v>
      </c>
      <c r="C66" s="364">
        <f>'Input - Customer Data'!K20</f>
        <v>1</v>
      </c>
      <c r="D66" s="491">
        <f>(C66-C65)/C65</f>
        <v>0</v>
      </c>
      <c r="E66" s="434"/>
      <c r="F66" s="434"/>
      <c r="G66" s="364"/>
      <c r="H66" s="364">
        <f>'Bridge&amp;Test Year Class Forecast'!G111</f>
        <v>5185553.4832486585</v>
      </c>
      <c r="I66" s="434">
        <f t="shared" si="21"/>
        <v>2.3767797731846676E-3</v>
      </c>
      <c r="J66" s="364">
        <f>'Bridge&amp;Test Year Class Forecast'!M38</f>
        <v>13863.10417777482</v>
      </c>
      <c r="K66" s="434">
        <f>(J66-J65)/J65</f>
        <v>2.3767797731846152E-3</v>
      </c>
    </row>
    <row r="68" spans="2:11" ht="13.5" thickBot="1" x14ac:dyDescent="0.25">
      <c r="B68" s="149"/>
      <c r="C68" s="150" t="s">
        <v>57</v>
      </c>
      <c r="D68" s="150"/>
      <c r="E68" s="150"/>
      <c r="F68" s="150"/>
      <c r="G68" s="150"/>
      <c r="H68" s="150"/>
      <c r="I68" s="150"/>
      <c r="J68" s="150"/>
      <c r="K68" s="150"/>
    </row>
    <row r="69" spans="2:11" ht="15.75" customHeight="1" x14ac:dyDescent="0.2">
      <c r="B69" s="543" t="s">
        <v>125</v>
      </c>
      <c r="C69" s="544"/>
      <c r="D69" s="544"/>
      <c r="E69" s="544"/>
      <c r="F69" s="544"/>
      <c r="G69" s="544"/>
      <c r="H69" s="544"/>
    </row>
    <row r="70" spans="2:11" x14ac:dyDescent="0.2">
      <c r="B70" s="299" t="s">
        <v>74</v>
      </c>
      <c r="C70" s="232" t="s">
        <v>275</v>
      </c>
      <c r="D70" s="232" t="s">
        <v>108</v>
      </c>
      <c r="E70" s="232" t="s">
        <v>273</v>
      </c>
      <c r="F70" s="232" t="s">
        <v>108</v>
      </c>
      <c r="G70" s="232" t="s">
        <v>76</v>
      </c>
      <c r="H70" s="232" t="s">
        <v>108</v>
      </c>
    </row>
    <row r="71" spans="2:11" x14ac:dyDescent="0.2">
      <c r="B71" s="303">
        <f t="shared" ref="B71:B82" si="23">B39</f>
        <v>2011</v>
      </c>
      <c r="C71" s="302">
        <f>'Input - Customer Data'!M6</f>
        <v>5706.333333333333</v>
      </c>
      <c r="D71" s="302"/>
      <c r="E71" s="302">
        <f>'Bridge&amp;Test Year Class Forecast'!L48</f>
        <v>4475401.3080000002</v>
      </c>
      <c r="F71" s="302"/>
      <c r="G71" s="302">
        <f>'Bridge&amp;Test Year Class Forecast'!M48</f>
        <v>11787.854000000001</v>
      </c>
      <c r="H71" s="301"/>
    </row>
    <row r="72" spans="2:11" x14ac:dyDescent="0.2">
      <c r="B72" s="303">
        <f t="shared" si="23"/>
        <v>2012</v>
      </c>
      <c r="C72" s="302">
        <f>'Input - Customer Data'!M7</f>
        <v>5711</v>
      </c>
      <c r="D72" s="490">
        <f>(C72-C71)/C71</f>
        <v>8.1780477831654359E-4</v>
      </c>
      <c r="E72" s="302">
        <f>'Bridge&amp;Test Year Class Forecast'!L49</f>
        <v>4830575.8319999995</v>
      </c>
      <c r="F72" s="301">
        <f>(E72-E71)/E71</f>
        <v>7.9361491753847269E-2</v>
      </c>
      <c r="G72" s="302">
        <f>'Bridge&amp;Test Year Class Forecast'!M49</f>
        <v>12882.322</v>
      </c>
      <c r="H72" s="301">
        <f>(G72-G71)/G71</f>
        <v>9.2847094984379583E-2</v>
      </c>
    </row>
    <row r="73" spans="2:11" x14ac:dyDescent="0.2">
      <c r="B73" s="303">
        <f t="shared" si="23"/>
        <v>2013</v>
      </c>
      <c r="C73" s="302">
        <f>'Input - Customer Data'!M8</f>
        <v>5699.25</v>
      </c>
      <c r="D73" s="490">
        <f t="shared" ref="D73:F80" si="24">(C73-C72)/C72</f>
        <v>-2.0574330239887936E-3</v>
      </c>
      <c r="E73" s="302">
        <f>'Bridge&amp;Test Year Class Forecast'!L50</f>
        <v>4446652.6829999993</v>
      </c>
      <c r="F73" s="301">
        <f t="shared" si="24"/>
        <v>-7.9477719086141499E-2</v>
      </c>
      <c r="G73" s="302">
        <f>'Bridge&amp;Test Year Class Forecast'!M50</f>
        <v>13844.464000000002</v>
      </c>
      <c r="H73" s="301">
        <f t="shared" ref="H73:H80" si="25">(G73-G72)/G72</f>
        <v>7.4687001303026093E-2</v>
      </c>
    </row>
    <row r="74" spans="2:11" x14ac:dyDescent="0.2">
      <c r="B74" s="303">
        <f t="shared" si="23"/>
        <v>2014</v>
      </c>
      <c r="C74" s="302">
        <f>'Input - Customer Data'!M9</f>
        <v>5708.333333333333</v>
      </c>
      <c r="D74" s="490">
        <f t="shared" si="24"/>
        <v>1.5937769589565347E-3</v>
      </c>
      <c r="E74" s="302">
        <f>'Bridge&amp;Test Year Class Forecast'!L51</f>
        <v>4336774.25</v>
      </c>
      <c r="F74" s="301">
        <f t="shared" si="24"/>
        <v>-2.4710369986861255E-2</v>
      </c>
      <c r="G74" s="302">
        <f>'Bridge&amp;Test Year Class Forecast'!M51</f>
        <v>13285.41</v>
      </c>
      <c r="H74" s="301">
        <f t="shared" si="25"/>
        <v>-4.0381050505097334E-2</v>
      </c>
    </row>
    <row r="75" spans="2:11" x14ac:dyDescent="0.2">
      <c r="B75" s="303">
        <f t="shared" si="23"/>
        <v>2015</v>
      </c>
      <c r="C75" s="302">
        <f>'Input - Customer Data'!M10</f>
        <v>5699.583333333333</v>
      </c>
      <c r="D75" s="490">
        <f t="shared" si="24"/>
        <v>-1.5328467153284673E-3</v>
      </c>
      <c r="E75" s="302">
        <f>'Bridge&amp;Test Year Class Forecast'!L52</f>
        <v>3697574.9299999997</v>
      </c>
      <c r="F75" s="301">
        <f t="shared" si="24"/>
        <v>-0.14739049882525018</v>
      </c>
      <c r="G75" s="302">
        <f>'Bridge&amp;Test Year Class Forecast'!M52</f>
        <v>11208.64</v>
      </c>
      <c r="H75" s="301">
        <f t="shared" si="25"/>
        <v>-0.15631960172851275</v>
      </c>
    </row>
    <row r="76" spans="2:11" x14ac:dyDescent="0.2">
      <c r="B76" s="303">
        <f t="shared" si="23"/>
        <v>2016</v>
      </c>
      <c r="C76" s="302">
        <f>'Input - Customer Data'!M11</f>
        <v>5735.75</v>
      </c>
      <c r="D76" s="490">
        <f t="shared" si="24"/>
        <v>6.3454930916003165E-3</v>
      </c>
      <c r="E76" s="302">
        <f>'Bridge&amp;Test Year Class Forecast'!L53</f>
        <v>2159285.8400000003</v>
      </c>
      <c r="F76" s="301">
        <f t="shared" si="24"/>
        <v>-0.41602648198396336</v>
      </c>
      <c r="G76" s="302">
        <f>'Bridge&amp;Test Year Class Forecast'!M53</f>
        <v>6413.35</v>
      </c>
      <c r="H76" s="301">
        <f t="shared" si="25"/>
        <v>-0.42782085962257682</v>
      </c>
    </row>
    <row r="77" spans="2:11" x14ac:dyDescent="0.2">
      <c r="B77" s="303">
        <f t="shared" si="23"/>
        <v>2017</v>
      </c>
      <c r="C77" s="302">
        <f>'Input - Customer Data'!M12</f>
        <v>5742.916666666667</v>
      </c>
      <c r="D77" s="490">
        <f t="shared" si="24"/>
        <v>1.2494733324616607E-3</v>
      </c>
      <c r="E77" s="302">
        <f>'Bridge&amp;Test Year Class Forecast'!L54</f>
        <v>1392668.2526115859</v>
      </c>
      <c r="F77" s="301">
        <f t="shared" si="24"/>
        <v>-0.35503293412437437</v>
      </c>
      <c r="G77" s="302">
        <f>'Bridge&amp;Test Year Class Forecast'!M54</f>
        <v>4209.0200000000004</v>
      </c>
      <c r="H77" s="301">
        <f t="shared" si="25"/>
        <v>-0.34370960574426779</v>
      </c>
    </row>
    <row r="78" spans="2:11" x14ac:dyDescent="0.2">
      <c r="B78" s="303">
        <f t="shared" si="23"/>
        <v>2018</v>
      </c>
      <c r="C78" s="302">
        <f>'Input - Customer Data'!M13</f>
        <v>5774.416666666667</v>
      </c>
      <c r="D78" s="490">
        <f t="shared" si="24"/>
        <v>5.4850177755205688E-3</v>
      </c>
      <c r="E78" s="302">
        <f>'Bridge&amp;Test Year Class Forecast'!L55</f>
        <v>1390046.9705603039</v>
      </c>
      <c r="F78" s="301">
        <f t="shared" si="24"/>
        <v>-1.882201340029453E-3</v>
      </c>
      <c r="G78" s="302">
        <f>'Bridge&amp;Test Year Class Forecast'!M55</f>
        <v>4251.8</v>
      </c>
      <c r="H78" s="301">
        <f t="shared" si="25"/>
        <v>1.016388613026304E-2</v>
      </c>
    </row>
    <row r="79" spans="2:11" x14ac:dyDescent="0.2">
      <c r="B79" s="303">
        <f t="shared" si="23"/>
        <v>2019</v>
      </c>
      <c r="C79" s="302">
        <f>'Input - Customer Data'!M14</f>
        <v>5878.666666666667</v>
      </c>
      <c r="D79" s="490">
        <f t="shared" si="24"/>
        <v>1.8053771665247572E-2</v>
      </c>
      <c r="E79" s="302">
        <f>'Bridge&amp;Test Year Class Forecast'!L56</f>
        <v>1401777.7587844254</v>
      </c>
      <c r="F79" s="301">
        <f t="shared" si="24"/>
        <v>8.4391308154091217E-3</v>
      </c>
      <c r="G79" s="302">
        <f>'Bridge&amp;Test Year Class Forecast'!M56</f>
        <v>4285.630000000001</v>
      </c>
      <c r="H79" s="301">
        <f t="shared" si="25"/>
        <v>7.9566301331202866E-3</v>
      </c>
    </row>
    <row r="80" spans="2:11" x14ac:dyDescent="0.2">
      <c r="B80" s="303">
        <f t="shared" si="23"/>
        <v>2020</v>
      </c>
      <c r="C80" s="302">
        <f>'Input - Customer Data'!M15</f>
        <v>5997.166666666667</v>
      </c>
      <c r="D80" s="490">
        <f t="shared" si="24"/>
        <v>2.0157632116126104E-2</v>
      </c>
      <c r="E80" s="302">
        <f>'Bridge&amp;Test Year Class Forecast'!L57</f>
        <v>1425844.3209876544</v>
      </c>
      <c r="F80" s="301">
        <f t="shared" si="24"/>
        <v>1.7168600409310713E-2</v>
      </c>
      <c r="G80" s="302">
        <f>'Bridge&amp;Test Year Class Forecast'!M57</f>
        <v>4348.49</v>
      </c>
      <c r="H80" s="301">
        <f t="shared" si="25"/>
        <v>1.4667621796561708E-2</v>
      </c>
    </row>
    <row r="81" spans="2:9" x14ac:dyDescent="0.2">
      <c r="B81" s="435">
        <f t="shared" si="23"/>
        <v>2021</v>
      </c>
      <c r="C81" s="364">
        <f>'Input - Customer Data'!M19</f>
        <v>6030.3829767656025</v>
      </c>
      <c r="D81" s="491">
        <f>(C81-C80)/C80</f>
        <v>5.5386671648726682E-3</v>
      </c>
      <c r="E81" s="364">
        <f>'Bridge&amp;Test Year Class Forecast'!L58</f>
        <v>1441120.2815711428</v>
      </c>
      <c r="F81" s="434">
        <f t="shared" ref="F81:F82" si="26">(E81-E80)/E80</f>
        <v>1.0713624452988738E-2</v>
      </c>
      <c r="G81" s="364">
        <f>'Bridge&amp;Test Year Class Forecast'!M58</f>
        <v>4356.3310852224058</v>
      </c>
      <c r="H81" s="434">
        <f>(G81-G80)/G80</f>
        <v>1.8031742564444293E-3</v>
      </c>
    </row>
    <row r="82" spans="2:9" x14ac:dyDescent="0.2">
      <c r="B82" s="435">
        <f t="shared" si="23"/>
        <v>2022</v>
      </c>
      <c r="C82" s="364">
        <f>'Input - Customer Data'!M20</f>
        <v>6063.7832609506213</v>
      </c>
      <c r="D82" s="491">
        <f>(C82-C81)/C81</f>
        <v>5.538667164872676E-3</v>
      </c>
      <c r="E82" s="364">
        <f>'Bridge&amp;Test Year Class Forecast'!L59</f>
        <v>1449102.1671553131</v>
      </c>
      <c r="F82" s="434">
        <f t="shared" si="26"/>
        <v>5.5386671648727298E-3</v>
      </c>
      <c r="G82" s="364">
        <f>'Bridge&amp;Test Year Class Forecast'!M59</f>
        <v>4403.0031804623595</v>
      </c>
      <c r="H82" s="434">
        <f>(G82-G81)/G81</f>
        <v>1.0713624452988731E-2</v>
      </c>
    </row>
    <row r="84" spans="2:9" ht="13.5" thickBot="1" x14ac:dyDescent="0.25">
      <c r="B84" s="163"/>
      <c r="C84" s="168"/>
      <c r="D84" s="168"/>
      <c r="E84" s="168"/>
      <c r="F84" s="168"/>
      <c r="G84" s="168"/>
      <c r="H84" s="168"/>
      <c r="I84" s="168"/>
    </row>
    <row r="85" spans="2:9" ht="15.75" customHeight="1" x14ac:dyDescent="0.2">
      <c r="B85" s="543" t="s">
        <v>168</v>
      </c>
      <c r="C85" s="544"/>
      <c r="D85" s="544"/>
      <c r="E85" s="544"/>
      <c r="F85" s="544"/>
      <c r="G85" s="544"/>
      <c r="H85" s="544"/>
    </row>
    <row r="86" spans="2:9" x14ac:dyDescent="0.2">
      <c r="B86" s="299" t="s">
        <v>74</v>
      </c>
      <c r="C86" s="232" t="s">
        <v>275</v>
      </c>
      <c r="D86" s="232" t="s">
        <v>108</v>
      </c>
      <c r="E86" s="232" t="s">
        <v>273</v>
      </c>
      <c r="F86" s="232" t="s">
        <v>108</v>
      </c>
      <c r="G86" s="232" t="s">
        <v>76</v>
      </c>
      <c r="H86" s="232" t="s">
        <v>108</v>
      </c>
    </row>
    <row r="87" spans="2:9" x14ac:dyDescent="0.2">
      <c r="B87" s="303">
        <f t="shared" ref="B87:B98" si="27">B55</f>
        <v>2011</v>
      </c>
      <c r="C87" s="302">
        <f>'Input - Customer Data'!O6</f>
        <v>828.25</v>
      </c>
      <c r="D87" s="302"/>
      <c r="E87" s="302">
        <f>'Bridge&amp;Test Year Class Forecast'!L70</f>
        <v>761036.95</v>
      </c>
      <c r="F87" s="302"/>
      <c r="G87" s="302">
        <f>'Bridge&amp;Test Year Class Forecast'!M70</f>
        <v>2333.1769999999997</v>
      </c>
      <c r="H87" s="301"/>
    </row>
    <row r="88" spans="2:9" x14ac:dyDescent="0.2">
      <c r="B88" s="303">
        <f t="shared" si="27"/>
        <v>2012</v>
      </c>
      <c r="C88" s="302">
        <f>'Input - Customer Data'!O7</f>
        <v>781.91666666666663</v>
      </c>
      <c r="D88" s="490">
        <f t="shared" ref="D88:D98" si="28">(C88-C87)/C87</f>
        <v>-5.5941241573598997E-2</v>
      </c>
      <c r="E88" s="302">
        <f>'Bridge&amp;Test Year Class Forecast'!L71</f>
        <v>713312.87300000002</v>
      </c>
      <c r="F88" s="301">
        <f>(E88-E87)/E87</f>
        <v>-6.2709277125111915E-2</v>
      </c>
      <c r="G88" s="302">
        <f>'Bridge&amp;Test Year Class Forecast'!M71</f>
        <v>2174.4479999999999</v>
      </c>
      <c r="H88" s="301">
        <f t="shared" ref="H88:H98" si="29">(G88-G87)/G87</f>
        <v>-6.8031272380963737E-2</v>
      </c>
    </row>
    <row r="89" spans="2:9" x14ac:dyDescent="0.2">
      <c r="B89" s="303">
        <f t="shared" si="27"/>
        <v>2013</v>
      </c>
      <c r="C89" s="302">
        <f>'Input - Customer Data'!O8</f>
        <v>772.91666666666663</v>
      </c>
      <c r="D89" s="490">
        <f t="shared" si="28"/>
        <v>-1.1510177981455825E-2</v>
      </c>
      <c r="E89" s="302">
        <f>'Bridge&amp;Test Year Class Forecast'!L72</f>
        <v>636304.67499999993</v>
      </c>
      <c r="F89" s="301">
        <f t="shared" ref="F89:F96" si="30">(E89-E88)/E88</f>
        <v>-0.10795851429979743</v>
      </c>
      <c r="G89" s="302">
        <f>'Bridge&amp;Test Year Class Forecast'!M72</f>
        <v>2091</v>
      </c>
      <c r="H89" s="301">
        <f t="shared" si="29"/>
        <v>-3.8376636277344812E-2</v>
      </c>
    </row>
    <row r="90" spans="2:9" x14ac:dyDescent="0.2">
      <c r="B90" s="303">
        <f t="shared" si="27"/>
        <v>2014</v>
      </c>
      <c r="C90" s="302">
        <f>'Input - Customer Data'!O9</f>
        <v>773.33333333333337</v>
      </c>
      <c r="D90" s="490">
        <f t="shared" si="28"/>
        <v>5.3908355795158054E-4</v>
      </c>
      <c r="E90" s="302">
        <f>'Bridge&amp;Test Year Class Forecast'!L73</f>
        <v>697285.83000000007</v>
      </c>
      <c r="F90" s="301">
        <f t="shared" si="30"/>
        <v>9.5836408871269332E-2</v>
      </c>
      <c r="G90" s="302">
        <f>'Bridge&amp;Test Year Class Forecast'!M73</f>
        <v>2125.66</v>
      </c>
      <c r="H90" s="301">
        <f t="shared" si="29"/>
        <v>1.6575801052128098E-2</v>
      </c>
    </row>
    <row r="91" spans="2:9" x14ac:dyDescent="0.2">
      <c r="B91" s="303">
        <f t="shared" si="27"/>
        <v>2015</v>
      </c>
      <c r="C91" s="302">
        <f>'Input - Customer Data'!O10</f>
        <v>760.75</v>
      </c>
      <c r="D91" s="490">
        <f t="shared" si="28"/>
        <v>-1.6271551724137981E-2</v>
      </c>
      <c r="E91" s="302">
        <f>'Bridge&amp;Test Year Class Forecast'!L74</f>
        <v>690656.66999999993</v>
      </c>
      <c r="F91" s="301">
        <f t="shared" si="30"/>
        <v>-9.5070912311528664E-3</v>
      </c>
      <c r="G91" s="302">
        <f>'Bridge&amp;Test Year Class Forecast'!M74</f>
        <v>2268.02</v>
      </c>
      <c r="H91" s="301">
        <f t="shared" si="29"/>
        <v>6.6972140417564496E-2</v>
      </c>
    </row>
    <row r="92" spans="2:9" x14ac:dyDescent="0.2">
      <c r="B92" s="303">
        <f t="shared" si="27"/>
        <v>2016</v>
      </c>
      <c r="C92" s="302">
        <f>'Input - Customer Data'!O11</f>
        <v>732.5</v>
      </c>
      <c r="D92" s="490">
        <f t="shared" si="28"/>
        <v>-3.7134406835359846E-2</v>
      </c>
      <c r="E92" s="302">
        <f>'Bridge&amp;Test Year Class Forecast'!L75</f>
        <v>667141.85</v>
      </c>
      <c r="F92" s="301">
        <f t="shared" si="30"/>
        <v>-3.4047046848906783E-2</v>
      </c>
      <c r="G92" s="302">
        <f>'Bridge&amp;Test Year Class Forecast'!M75</f>
        <v>2173.14</v>
      </c>
      <c r="H92" s="301">
        <f t="shared" si="29"/>
        <v>-4.1833846262378689E-2</v>
      </c>
    </row>
    <row r="93" spans="2:9" x14ac:dyDescent="0.2">
      <c r="B93" s="303">
        <f t="shared" si="27"/>
        <v>2017</v>
      </c>
      <c r="C93" s="302">
        <f>'Input - Customer Data'!O12</f>
        <v>705.66666666666663</v>
      </c>
      <c r="D93" s="490">
        <f t="shared" si="28"/>
        <v>-3.6632536973833951E-2</v>
      </c>
      <c r="E93" s="302">
        <f>'Bridge&amp;Test Year Class Forecast'!L76</f>
        <v>631149.96201329515</v>
      </c>
      <c r="F93" s="301">
        <f t="shared" si="30"/>
        <v>-5.3949378212002179E-2</v>
      </c>
      <c r="G93" s="302">
        <f>'Bridge&amp;Test Year Class Forecast'!M76</f>
        <v>2037.9700000000007</v>
      </c>
      <c r="H93" s="301">
        <f t="shared" si="29"/>
        <v>-6.2200318433234474E-2</v>
      </c>
    </row>
    <row r="94" spans="2:9" x14ac:dyDescent="0.2">
      <c r="B94" s="303">
        <f t="shared" si="27"/>
        <v>2018</v>
      </c>
      <c r="C94" s="302">
        <f>'Input - Customer Data'!O13</f>
        <v>698.25</v>
      </c>
      <c r="D94" s="490">
        <f t="shared" si="28"/>
        <v>-1.0510155880963575E-2</v>
      </c>
      <c r="E94" s="302">
        <f>'Bridge&amp;Test Year Class Forecast'!L77</f>
        <v>606042.11775878421</v>
      </c>
      <c r="F94" s="301">
        <f t="shared" si="30"/>
        <v>-3.9781107130894583E-2</v>
      </c>
      <c r="G94" s="302">
        <f>'Bridge&amp;Test Year Class Forecast'!M77</f>
        <v>1951.2900000000013</v>
      </c>
      <c r="H94" s="301">
        <f t="shared" si="29"/>
        <v>-4.2532520105791227E-2</v>
      </c>
    </row>
    <row r="95" spans="2:9" x14ac:dyDescent="0.2">
      <c r="B95" s="303">
        <f t="shared" si="27"/>
        <v>2019</v>
      </c>
      <c r="C95" s="302">
        <f>'Input - Customer Data'!O14</f>
        <v>669.41666666666663</v>
      </c>
      <c r="D95" s="490">
        <f t="shared" si="28"/>
        <v>-4.1293710466642854E-2</v>
      </c>
      <c r="E95" s="302">
        <f>'Bridge&amp;Test Year Class Forecast'!L78</f>
        <v>565913.01442882093</v>
      </c>
      <c r="F95" s="301">
        <f t="shared" si="30"/>
        <v>-6.6215040430466249E-2</v>
      </c>
      <c r="G95" s="302">
        <f>'Bridge&amp;Test Year Class Forecast'!M78</f>
        <v>1856.1200000000003</v>
      </c>
      <c r="H95" s="301">
        <f t="shared" si="29"/>
        <v>-4.8772863080321693E-2</v>
      </c>
    </row>
    <row r="96" spans="2:9" x14ac:dyDescent="0.2">
      <c r="B96" s="303">
        <f t="shared" si="27"/>
        <v>2020</v>
      </c>
      <c r="C96" s="302">
        <f>'Input - Customer Data'!O15</f>
        <v>644.66666666666663</v>
      </c>
      <c r="D96" s="490">
        <f t="shared" si="28"/>
        <v>-3.6972488484999379E-2</v>
      </c>
      <c r="E96" s="302">
        <f>'Bridge&amp;Test Year Class Forecast'!L79</f>
        <v>525914.78338748356</v>
      </c>
      <c r="F96" s="301">
        <f t="shared" si="30"/>
        <v>-7.0679115025668385E-2</v>
      </c>
      <c r="G96" s="302">
        <f>'Bridge&amp;Test Year Class Forecast'!M79</f>
        <v>1722.9099999999978</v>
      </c>
      <c r="H96" s="301">
        <f t="shared" si="29"/>
        <v>-7.1767989138634636E-2</v>
      </c>
    </row>
    <row r="97" spans="2:12" x14ac:dyDescent="0.2">
      <c r="B97" s="435">
        <f t="shared" si="27"/>
        <v>2021</v>
      </c>
      <c r="C97" s="364">
        <f>'Input - Customer Data'!O24</f>
        <v>626.96516530576287</v>
      </c>
      <c r="D97" s="491">
        <f t="shared" si="28"/>
        <v>-2.7458378532942754E-2</v>
      </c>
      <c r="E97" s="364">
        <f>'Bridge&amp;Test Year Class Forecast'!L80</f>
        <v>528556.71089588641</v>
      </c>
      <c r="F97" s="434">
        <f t="shared" ref="F97:F98" si="31">(E97-E96)/E96</f>
        <v>5.0234897208742829E-3</v>
      </c>
      <c r="G97" s="364">
        <f>'Bridge&amp;Test Year Class Forecast'!M80</f>
        <v>1606.8086012797885</v>
      </c>
      <c r="H97" s="434">
        <f t="shared" si="29"/>
        <v>-6.7386804139629733E-2</v>
      </c>
    </row>
    <row r="98" spans="2:12" x14ac:dyDescent="0.2">
      <c r="B98" s="435">
        <f t="shared" si="27"/>
        <v>2022</v>
      </c>
      <c r="C98" s="364">
        <f>'Input - Customer Data'!O25</f>
        <v>609.74971846982817</v>
      </c>
      <c r="D98" s="491">
        <f t="shared" si="28"/>
        <v>-2.745837853294281E-2</v>
      </c>
      <c r="E98" s="364">
        <f>'Bridge&amp;Test Year Class Forecast'!L81</f>
        <v>514043.40065197996</v>
      </c>
      <c r="F98" s="434">
        <f t="shared" si="31"/>
        <v>-2.7458378532942786E-2</v>
      </c>
      <c r="G98" s="364">
        <f>'Bridge&amp;Test Year Class Forecast'!M81</f>
        <v>1614.8803877717298</v>
      </c>
      <c r="H98" s="434">
        <f t="shared" si="29"/>
        <v>5.0234897208742439E-3</v>
      </c>
    </row>
    <row r="101" spans="2:12" s="154" customFormat="1" ht="15.75" x14ac:dyDescent="0.2">
      <c r="B101" s="558" t="s">
        <v>129</v>
      </c>
      <c r="C101" s="559"/>
      <c r="D101" s="559"/>
      <c r="E101" s="559"/>
      <c r="F101" s="560"/>
      <c r="G101" s="144"/>
      <c r="H101" s="144"/>
      <c r="I101" s="144"/>
      <c r="J101" s="144"/>
      <c r="K101" s="144"/>
      <c r="L101" s="144"/>
    </row>
    <row r="102" spans="2:12" x14ac:dyDescent="0.2">
      <c r="B102" s="299" t="s">
        <v>74</v>
      </c>
      <c r="C102" s="232" t="s">
        <v>109</v>
      </c>
      <c r="D102" s="232" t="s">
        <v>108</v>
      </c>
      <c r="E102" s="232" t="s">
        <v>273</v>
      </c>
      <c r="F102" s="232" t="s">
        <v>108</v>
      </c>
    </row>
    <row r="103" spans="2:12" x14ac:dyDescent="0.2">
      <c r="B103" s="300">
        <f>B87</f>
        <v>2011</v>
      </c>
      <c r="C103" s="195">
        <f>'Input - Customer Data'!Q6</f>
        <v>38.666666666666664</v>
      </c>
      <c r="D103" s="195"/>
      <c r="E103" s="195">
        <f>'Bridge&amp;Test Year Class Forecast'!L91</f>
        <v>1527928.1810000001</v>
      </c>
      <c r="F103" s="302"/>
    </row>
    <row r="104" spans="2:12" x14ac:dyDescent="0.2">
      <c r="B104" s="300">
        <f t="shared" ref="B104:B114" si="32">B88</f>
        <v>2012</v>
      </c>
      <c r="C104" s="195">
        <f>'Input - Customer Data'!Q7</f>
        <v>38.083333333333336</v>
      </c>
      <c r="D104" s="490">
        <f t="shared" ref="D104:D114" si="33">(C104-C103)/C103</f>
        <v>-1.5086206896551603E-2</v>
      </c>
      <c r="E104" s="195">
        <f>'Bridge&amp;Test Year Class Forecast'!L92</f>
        <v>1530261.9540000001</v>
      </c>
      <c r="F104" s="301">
        <f>(E104-E103)/E103</f>
        <v>1.5274101420608883E-3</v>
      </c>
    </row>
    <row r="105" spans="2:12" x14ac:dyDescent="0.2">
      <c r="B105" s="300">
        <f t="shared" si="32"/>
        <v>2013</v>
      </c>
      <c r="C105" s="195">
        <f>'Input - Customer Data'!Q8</f>
        <v>40.083333333333336</v>
      </c>
      <c r="D105" s="490">
        <f t="shared" si="33"/>
        <v>5.2516411378555797E-2</v>
      </c>
      <c r="E105" s="195">
        <f>'Bridge&amp;Test Year Class Forecast'!L93</f>
        <v>1532801.659</v>
      </c>
      <c r="F105" s="301">
        <f t="shared" ref="F105:F114" si="34">(E105-E104)/E104</f>
        <v>1.6596537562482204E-3</v>
      </c>
    </row>
    <row r="106" spans="2:12" x14ac:dyDescent="0.2">
      <c r="B106" s="300">
        <f t="shared" si="32"/>
        <v>2014</v>
      </c>
      <c r="C106" s="195">
        <f>'Input - Customer Data'!Q9</f>
        <v>39.75</v>
      </c>
      <c r="D106" s="490">
        <f t="shared" si="33"/>
        <v>-8.3160083160083755E-3</v>
      </c>
      <c r="E106" s="195">
        <f>'Bridge&amp;Test Year Class Forecast'!L94</f>
        <v>1503002.9500000002</v>
      </c>
      <c r="F106" s="301">
        <f t="shared" si="34"/>
        <v>-1.9440681594408295E-2</v>
      </c>
    </row>
    <row r="107" spans="2:12" x14ac:dyDescent="0.2">
      <c r="B107" s="300">
        <f t="shared" si="32"/>
        <v>2015</v>
      </c>
      <c r="C107" s="195">
        <f>'Input - Customer Data'!Q10</f>
        <v>36.25</v>
      </c>
      <c r="D107" s="490">
        <f t="shared" si="33"/>
        <v>-8.8050314465408799E-2</v>
      </c>
      <c r="E107" s="195">
        <f>'Bridge&amp;Test Year Class Forecast'!L95</f>
        <v>1500542.3199999998</v>
      </c>
      <c r="F107" s="301">
        <f t="shared" si="34"/>
        <v>-1.6371424952960694E-3</v>
      </c>
    </row>
    <row r="108" spans="2:12" x14ac:dyDescent="0.2">
      <c r="B108" s="300">
        <f t="shared" si="32"/>
        <v>2016</v>
      </c>
      <c r="C108" s="195">
        <f>'Input - Customer Data'!Q11</f>
        <v>35.916666666666664</v>
      </c>
      <c r="D108" s="490">
        <f t="shared" si="33"/>
        <v>-9.1954022988506405E-3</v>
      </c>
      <c r="E108" s="195">
        <f>'Bridge&amp;Test Year Class Forecast'!L96</f>
        <v>1416419.3800000001</v>
      </c>
      <c r="F108" s="301">
        <f t="shared" si="34"/>
        <v>-5.6061691082461257E-2</v>
      </c>
    </row>
    <row r="109" spans="2:12" x14ac:dyDescent="0.2">
      <c r="B109" s="300">
        <f t="shared" si="32"/>
        <v>2017</v>
      </c>
      <c r="C109" s="195">
        <f>'Input - Customer Data'!Q12</f>
        <v>49.25</v>
      </c>
      <c r="D109" s="490">
        <f t="shared" si="33"/>
        <v>0.37122969837587017</v>
      </c>
      <c r="E109" s="195">
        <f>'Bridge&amp;Test Year Class Forecast'!L97</f>
        <v>1308270.2299999995</v>
      </c>
      <c r="F109" s="301">
        <f t="shared" si="34"/>
        <v>-7.635390444883676E-2</v>
      </c>
    </row>
    <row r="110" spans="2:12" x14ac:dyDescent="0.2">
      <c r="B110" s="300">
        <f t="shared" si="32"/>
        <v>2018</v>
      </c>
      <c r="C110" s="195">
        <f>'Input - Customer Data'!Q13</f>
        <v>48.083333333333336</v>
      </c>
      <c r="D110" s="490">
        <f t="shared" si="33"/>
        <v>-2.3688663282571864E-2</v>
      </c>
      <c r="E110" s="195">
        <f>'Bridge&amp;Test Year Class Forecast'!L98</f>
        <v>1307305.7299999995</v>
      </c>
      <c r="F110" s="301">
        <f t="shared" si="34"/>
        <v>-7.372330103391563E-4</v>
      </c>
    </row>
    <row r="111" spans="2:12" x14ac:dyDescent="0.2">
      <c r="B111" s="300">
        <f t="shared" si="32"/>
        <v>2019</v>
      </c>
      <c r="C111" s="195">
        <f>'Input - Customer Data'!Q14</f>
        <v>47.166666666666664</v>
      </c>
      <c r="D111" s="490">
        <f t="shared" si="33"/>
        <v>-1.9064124783362314E-2</v>
      </c>
      <c r="E111" s="195">
        <f>'Bridge&amp;Test Year Class Forecast'!L99</f>
        <v>1299487.2900000005</v>
      </c>
      <c r="F111" s="301">
        <f t="shared" si="34"/>
        <v>-5.9805750258579652E-3</v>
      </c>
    </row>
    <row r="112" spans="2:12" x14ac:dyDescent="0.2">
      <c r="B112" s="300">
        <f t="shared" si="32"/>
        <v>2020</v>
      </c>
      <c r="C112" s="195">
        <f>'Input - Customer Data'!Q15</f>
        <v>46</v>
      </c>
      <c r="D112" s="490">
        <f t="shared" si="33"/>
        <v>-2.4734982332155427E-2</v>
      </c>
      <c r="E112" s="195">
        <f>'Bridge&amp;Test Year Class Forecast'!L100</f>
        <v>1307649.58</v>
      </c>
      <c r="F112" s="301">
        <f t="shared" si="34"/>
        <v>6.2811618573041742E-3</v>
      </c>
    </row>
    <row r="113" spans="2:6" x14ac:dyDescent="0.2">
      <c r="B113" s="435">
        <f t="shared" si="32"/>
        <v>2021</v>
      </c>
      <c r="C113" s="364">
        <f>'Input - Customer Data'!Q24</f>
        <v>47.156888088177865</v>
      </c>
      <c r="D113" s="491">
        <f t="shared" si="33"/>
        <v>2.5149741047344899E-2</v>
      </c>
      <c r="E113" s="364">
        <f>'Bridge&amp;Test Year Class Forecast'!L101</f>
        <v>1307290.5787320843</v>
      </c>
      <c r="F113" s="434">
        <f t="shared" si="34"/>
        <v>-2.745393516784706E-4</v>
      </c>
    </row>
    <row r="114" spans="2:6" x14ac:dyDescent="0.2">
      <c r="B114" s="435">
        <f t="shared" si="32"/>
        <v>2022</v>
      </c>
      <c r="C114" s="364">
        <f>'Input - Customer Data'!Q25</f>
        <v>48.342871612194159</v>
      </c>
      <c r="D114" s="491">
        <f t="shared" si="33"/>
        <v>2.514974104734484E-2</v>
      </c>
      <c r="E114" s="364">
        <f>'Bridge&amp;Test Year Class Forecast'!L102</f>
        <v>1340168.5982608297</v>
      </c>
      <c r="F114" s="434">
        <f t="shared" si="34"/>
        <v>2.5149741047344801E-2</v>
      </c>
    </row>
  </sheetData>
  <sheetProtection selectLockedCells="1" selectUnlockedCells="1"/>
  <mergeCells count="8">
    <mergeCell ref="B69:H69"/>
    <mergeCell ref="B85:H85"/>
    <mergeCell ref="B101:F101"/>
    <mergeCell ref="B3:J3"/>
    <mergeCell ref="B5:I5"/>
    <mergeCell ref="B21:I21"/>
    <mergeCell ref="B53:K53"/>
    <mergeCell ref="B37:N37"/>
  </mergeCells>
  <pageMargins left="0.7" right="0.7" top="0.75" bottom="0.75" header="0.3" footer="0.3"/>
  <pageSetup orientation="portrait" verticalDpi="0" r:id="rId1"/>
  <ignoredErrors>
    <ignoredError sqref="E8:E16 E24:E32 E40:E4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K36"/>
  <sheetViews>
    <sheetView topLeftCell="H1" workbookViewId="0">
      <selection activeCell="AK11" sqref="AK11"/>
    </sheetView>
  </sheetViews>
  <sheetFormatPr defaultColWidth="9.33203125" defaultRowHeight="12.75" x14ac:dyDescent="0.2"/>
  <cols>
    <col min="1" max="1" width="9.33203125" style="12"/>
    <col min="2" max="21" width="9.33203125" style="12" customWidth="1"/>
    <col min="22" max="23" width="9.33203125" style="12"/>
    <col min="24" max="24" width="10.6640625" style="12" bestFit="1" customWidth="1"/>
    <col min="25" max="25" width="11.83203125" style="12" bestFit="1" customWidth="1"/>
    <col min="26" max="27" width="9.33203125" style="12"/>
    <col min="28" max="32" width="10.83203125" style="319" customWidth="1"/>
    <col min="33" max="34" width="10.83203125" style="12" customWidth="1"/>
    <col min="35" max="36" width="12.83203125" style="12" customWidth="1"/>
    <col min="37" max="37" width="12.83203125" style="319" customWidth="1"/>
    <col min="38" max="38" width="10.83203125" style="12" customWidth="1"/>
    <col min="39" max="16384" width="9.33203125" style="12"/>
  </cols>
  <sheetData>
    <row r="1" spans="1:37" x14ac:dyDescent="0.2">
      <c r="A1" s="245"/>
      <c r="B1" s="245">
        <v>2001</v>
      </c>
      <c r="C1" s="245">
        <v>2002</v>
      </c>
      <c r="D1" s="245">
        <v>2003</v>
      </c>
      <c r="E1" s="245">
        <v>2004</v>
      </c>
      <c r="F1" s="245">
        <v>2005</v>
      </c>
      <c r="G1" s="245">
        <v>2006</v>
      </c>
      <c r="H1" s="245">
        <v>2007</v>
      </c>
      <c r="I1" s="245">
        <v>2008</v>
      </c>
      <c r="J1" s="245">
        <v>2009</v>
      </c>
      <c r="K1" s="245">
        <v>2010</v>
      </c>
      <c r="L1" s="245">
        <v>2011</v>
      </c>
      <c r="M1" s="245">
        <v>2012</v>
      </c>
      <c r="N1" s="245">
        <v>2013</v>
      </c>
      <c r="O1" s="245">
        <v>2014</v>
      </c>
      <c r="P1" s="245">
        <v>2015</v>
      </c>
      <c r="Q1" s="245">
        <v>2016</v>
      </c>
      <c r="R1" s="245">
        <v>2017</v>
      </c>
      <c r="S1" s="245">
        <v>2018</v>
      </c>
      <c r="T1" s="245">
        <v>2019</v>
      </c>
      <c r="U1" s="245">
        <v>2020</v>
      </c>
      <c r="V1" s="245" t="s">
        <v>244</v>
      </c>
      <c r="W1" s="245" t="s">
        <v>170</v>
      </c>
      <c r="X1" s="245" t="s">
        <v>246</v>
      </c>
      <c r="Y1" s="245" t="s">
        <v>246</v>
      </c>
    </row>
    <row r="2" spans="1:37" x14ac:dyDescent="0.2">
      <c r="A2" s="245"/>
      <c r="B2" s="245"/>
      <c r="C2" s="245"/>
      <c r="D2" s="245"/>
      <c r="E2" s="245"/>
      <c r="F2" s="245"/>
      <c r="G2" s="245"/>
      <c r="H2" s="245"/>
      <c r="I2" s="245"/>
      <c r="J2" s="245"/>
      <c r="K2" s="245"/>
      <c r="L2" s="245"/>
      <c r="M2" s="245"/>
      <c r="N2" s="245"/>
      <c r="O2" s="245"/>
      <c r="P2" s="245"/>
      <c r="Q2" s="245"/>
      <c r="R2" s="245"/>
      <c r="S2" s="245"/>
      <c r="T2" s="245"/>
      <c r="U2" s="245"/>
      <c r="V2" s="245" t="s">
        <v>171</v>
      </c>
      <c r="W2" s="245" t="s">
        <v>171</v>
      </c>
      <c r="X2" s="245" t="s">
        <v>248</v>
      </c>
      <c r="Y2" s="245" t="s">
        <v>247</v>
      </c>
      <c r="AB2" s="565" t="s">
        <v>268</v>
      </c>
      <c r="AC2" s="565"/>
      <c r="AD2" s="565"/>
      <c r="AE2" s="565"/>
      <c r="AF2" s="565"/>
      <c r="AG2" s="565"/>
      <c r="AH2" s="565"/>
      <c r="AI2" s="565"/>
      <c r="AJ2" s="565"/>
      <c r="AK2" s="565"/>
    </row>
    <row r="3" spans="1:37" x14ac:dyDescent="0.2">
      <c r="A3" s="245" t="s">
        <v>48</v>
      </c>
      <c r="B3" s="245"/>
      <c r="C3" s="245"/>
      <c r="D3" s="245"/>
      <c r="E3" s="245"/>
      <c r="F3" s="245"/>
      <c r="G3" s="245"/>
      <c r="H3" s="245"/>
      <c r="I3" s="245"/>
      <c r="J3" s="245"/>
      <c r="K3" s="245"/>
      <c r="L3" s="245"/>
      <c r="M3" s="245"/>
      <c r="N3" s="245"/>
      <c r="O3" s="245"/>
      <c r="P3" s="245"/>
      <c r="Q3" s="245"/>
      <c r="R3" s="245"/>
      <c r="S3" s="245"/>
      <c r="T3" s="245"/>
      <c r="U3" s="245"/>
      <c r="V3" s="245"/>
      <c r="W3" s="245"/>
      <c r="X3" s="245"/>
      <c r="Y3" s="245"/>
    </row>
    <row r="4" spans="1:37" x14ac:dyDescent="0.2">
      <c r="A4" s="245" t="s">
        <v>172</v>
      </c>
      <c r="B4" s="361">
        <v>645.19999999999993</v>
      </c>
      <c r="C4" s="361">
        <v>558.79999999999984</v>
      </c>
      <c r="D4" s="361">
        <v>781.49999999999977</v>
      </c>
      <c r="E4" s="361">
        <v>805.39999999999986</v>
      </c>
      <c r="F4" s="361">
        <v>716.69999999999982</v>
      </c>
      <c r="G4" s="361">
        <v>530.20000000000005</v>
      </c>
      <c r="H4" s="361">
        <v>625.70000000000005</v>
      </c>
      <c r="I4" s="361">
        <v>604.19999999999993</v>
      </c>
      <c r="J4" s="361">
        <v>829.40000000000009</v>
      </c>
      <c r="K4" s="361">
        <v>711.09999999999991</v>
      </c>
      <c r="L4" s="361">
        <v>794.6</v>
      </c>
      <c r="M4" s="361">
        <v>600.80000000000007</v>
      </c>
      <c r="N4" s="361">
        <v>617.29999999999995</v>
      </c>
      <c r="O4" s="361">
        <v>783.19999999999993</v>
      </c>
      <c r="P4" s="361">
        <v>771.65</v>
      </c>
      <c r="Q4" s="361">
        <v>657.2</v>
      </c>
      <c r="R4" s="361">
        <v>593.9</v>
      </c>
      <c r="S4" s="361">
        <v>731</v>
      </c>
      <c r="T4" s="361">
        <v>726.30000000000007</v>
      </c>
      <c r="U4" s="361">
        <v>566.4</v>
      </c>
      <c r="V4" s="362">
        <f>AVERAGE(L4:U4)</f>
        <v>684.2349999999999</v>
      </c>
      <c r="W4" s="361">
        <f>AVERAGE(B4:U4)</f>
        <v>682.52749999999992</v>
      </c>
      <c r="X4" s="361">
        <f>W4-V4</f>
        <v>-1.7074999999999818</v>
      </c>
      <c r="Y4" s="481">
        <f>X4*Forecast!$D$2</f>
        <v>-24722.665779174236</v>
      </c>
      <c r="AB4" s="463"/>
      <c r="AC4" s="564" t="s">
        <v>266</v>
      </c>
      <c r="AD4" s="564"/>
      <c r="AE4" s="564" t="s">
        <v>265</v>
      </c>
      <c r="AF4" s="564"/>
      <c r="AG4" s="564" t="s">
        <v>37</v>
      </c>
      <c r="AH4" s="564"/>
      <c r="AI4" s="564" t="s">
        <v>267</v>
      </c>
      <c r="AJ4" s="564"/>
      <c r="AK4" s="564"/>
    </row>
    <row r="5" spans="1:37" x14ac:dyDescent="0.2">
      <c r="A5" s="245" t="s">
        <v>173</v>
      </c>
      <c r="B5" s="361">
        <v>558.29999999999995</v>
      </c>
      <c r="C5" s="361">
        <v>518.9</v>
      </c>
      <c r="D5" s="361">
        <v>681.19999999999993</v>
      </c>
      <c r="E5" s="361">
        <v>616.79999999999995</v>
      </c>
      <c r="F5" s="361">
        <v>594.69999999999993</v>
      </c>
      <c r="G5" s="361">
        <v>578.70000000000016</v>
      </c>
      <c r="H5" s="361">
        <v>739.30000000000018</v>
      </c>
      <c r="I5" s="361">
        <v>653.5</v>
      </c>
      <c r="J5" s="361">
        <v>605.50000000000011</v>
      </c>
      <c r="K5" s="361">
        <v>632.5</v>
      </c>
      <c r="L5" s="361">
        <v>645.30000000000007</v>
      </c>
      <c r="M5" s="361">
        <v>533.20000000000005</v>
      </c>
      <c r="N5" s="361">
        <v>640.1</v>
      </c>
      <c r="O5" s="361">
        <v>743.69999999999993</v>
      </c>
      <c r="P5" s="361">
        <v>871.9</v>
      </c>
      <c r="Q5" s="361">
        <v>587.1</v>
      </c>
      <c r="R5" s="361">
        <v>487.80000000000007</v>
      </c>
      <c r="S5" s="361">
        <v>540.29999999999984</v>
      </c>
      <c r="T5" s="361">
        <v>587.80000000000007</v>
      </c>
      <c r="U5" s="361">
        <v>586.90000000000009</v>
      </c>
      <c r="V5" s="362">
        <f t="shared" ref="V5:V15" si="0">AVERAGE(L5:U5)</f>
        <v>622.41000000000008</v>
      </c>
      <c r="W5" s="361">
        <f t="shared" ref="W5:W15" si="1">AVERAGE(B5:U5)</f>
        <v>620.17499999999995</v>
      </c>
      <c r="X5" s="361">
        <f t="shared" ref="X5:X15" si="2">W5-V5</f>
        <v>-2.2350000000001273</v>
      </c>
      <c r="Y5" s="481">
        <f>X5*Forecast!$D$2</f>
        <v>-32360.268238042841</v>
      </c>
      <c r="AB5" s="463" t="s">
        <v>74</v>
      </c>
      <c r="AC5" s="463" t="s">
        <v>48</v>
      </c>
      <c r="AD5" s="463" t="s">
        <v>49</v>
      </c>
      <c r="AE5" s="463" t="s">
        <v>48</v>
      </c>
      <c r="AF5" s="463" t="s">
        <v>49</v>
      </c>
      <c r="AG5" s="463" t="s">
        <v>48</v>
      </c>
      <c r="AH5" s="463" t="s">
        <v>49</v>
      </c>
      <c r="AI5" s="463" t="s">
        <v>48</v>
      </c>
      <c r="AJ5" s="463" t="s">
        <v>49</v>
      </c>
      <c r="AK5" s="463" t="s">
        <v>77</v>
      </c>
    </row>
    <row r="6" spans="1:37" x14ac:dyDescent="0.2">
      <c r="A6" s="245" t="s">
        <v>174</v>
      </c>
      <c r="B6" s="361">
        <v>561.60000000000014</v>
      </c>
      <c r="C6" s="361">
        <v>512.29999999999995</v>
      </c>
      <c r="D6" s="361">
        <v>529.79999999999995</v>
      </c>
      <c r="E6" s="361">
        <v>478.59999999999997</v>
      </c>
      <c r="F6" s="361">
        <v>591.40000000000009</v>
      </c>
      <c r="G6" s="361">
        <v>530.4</v>
      </c>
      <c r="H6" s="361">
        <v>538.79999999999984</v>
      </c>
      <c r="I6" s="361">
        <v>602</v>
      </c>
      <c r="J6" s="361">
        <v>528.69999999999993</v>
      </c>
      <c r="K6" s="361">
        <v>468</v>
      </c>
      <c r="L6" s="361">
        <v>568.6</v>
      </c>
      <c r="M6" s="361">
        <v>333.80000000000007</v>
      </c>
      <c r="N6" s="361">
        <v>555.40000000000009</v>
      </c>
      <c r="O6" s="361">
        <v>692.30000000000007</v>
      </c>
      <c r="P6" s="361">
        <v>637</v>
      </c>
      <c r="Q6" s="361">
        <v>448.80000000000007</v>
      </c>
      <c r="R6" s="361">
        <v>555.29999999999995</v>
      </c>
      <c r="S6" s="361">
        <v>577.65000000000009</v>
      </c>
      <c r="T6" s="361">
        <v>598.00000000000023</v>
      </c>
      <c r="U6" s="361">
        <v>433.8</v>
      </c>
      <c r="V6" s="362">
        <f t="shared" si="0"/>
        <v>540.06500000000005</v>
      </c>
      <c r="W6" s="361">
        <f t="shared" si="1"/>
        <v>537.11249999999995</v>
      </c>
      <c r="X6" s="361">
        <f t="shared" si="2"/>
        <v>-2.9525000000001</v>
      </c>
      <c r="Y6" s="481">
        <f>X6*Forecast!$D$2</f>
        <v>-42748.855468822949</v>
      </c>
      <c r="AB6" s="238">
        <v>2011</v>
      </c>
      <c r="AC6" s="488">
        <f>HLOOKUP(AB6,$L$1:$U$16,16,FALSE)</f>
        <v>3622.5999999999995</v>
      </c>
      <c r="AD6" s="488">
        <f>HLOOKUP(AB6,$L$18:$U$33,16,FALSE)</f>
        <v>329.95</v>
      </c>
      <c r="AE6" s="488">
        <f>AC6-$V$16</f>
        <v>-5.7600000000011278</v>
      </c>
      <c r="AF6" s="488">
        <f>AD6-$V$33</f>
        <v>4.5649999999999977</v>
      </c>
      <c r="AG6" s="489">
        <f>Forecast!$D$2</f>
        <v>14478.867220599999</v>
      </c>
      <c r="AH6" s="489">
        <f>Forecast!$E$2</f>
        <v>100979.29113139999</v>
      </c>
      <c r="AI6" s="489">
        <f>AE6*AG6</f>
        <v>-83398.275190672328</v>
      </c>
      <c r="AJ6" s="489">
        <f>AF6*AH6</f>
        <v>460970.46401484072</v>
      </c>
      <c r="AK6" s="489">
        <f>AI6+AJ6</f>
        <v>377572.18882416841</v>
      </c>
    </row>
    <row r="7" spans="1:37" x14ac:dyDescent="0.2">
      <c r="A7" s="245" t="s">
        <v>175</v>
      </c>
      <c r="B7" s="361">
        <v>278.09999999999991</v>
      </c>
      <c r="C7" s="361">
        <v>306.79999999999995</v>
      </c>
      <c r="D7" s="361">
        <v>360.39999999999992</v>
      </c>
      <c r="E7" s="361">
        <v>302.89999999999992</v>
      </c>
      <c r="F7" s="361">
        <v>303.49999999999989</v>
      </c>
      <c r="G7" s="361">
        <v>296.7</v>
      </c>
      <c r="H7" s="361">
        <v>376.09999999999997</v>
      </c>
      <c r="I7" s="361">
        <v>272.8</v>
      </c>
      <c r="J7" s="361">
        <v>316.50000000000006</v>
      </c>
      <c r="K7" s="361">
        <v>253.8</v>
      </c>
      <c r="L7" s="361">
        <v>324.89999999999998</v>
      </c>
      <c r="M7" s="361">
        <v>340.45</v>
      </c>
      <c r="N7" s="361">
        <v>339.90000000000003</v>
      </c>
      <c r="O7" s="361">
        <v>338.40000000000009</v>
      </c>
      <c r="P7" s="361">
        <v>329.99999999999994</v>
      </c>
      <c r="Q7" s="361">
        <v>384.09999999999997</v>
      </c>
      <c r="R7" s="361">
        <v>261.80000000000007</v>
      </c>
      <c r="S7" s="361">
        <v>438.3</v>
      </c>
      <c r="T7" s="361">
        <v>334.04999999999995</v>
      </c>
      <c r="U7" s="361">
        <v>372.9</v>
      </c>
      <c r="V7" s="362">
        <f t="shared" si="0"/>
        <v>346.48000000000008</v>
      </c>
      <c r="W7" s="361">
        <f t="shared" si="1"/>
        <v>326.62</v>
      </c>
      <c r="X7" s="361">
        <f t="shared" si="2"/>
        <v>-19.86000000000007</v>
      </c>
      <c r="Y7" s="481">
        <f>X7*Forecast!$D$2</f>
        <v>-287550.30300111702</v>
      </c>
      <c r="AB7" s="238">
        <v>2012</v>
      </c>
      <c r="AC7" s="488">
        <f t="shared" ref="AC7:AC15" si="3">HLOOKUP(AB7,$L$1:$U$16,16,FALSE)</f>
        <v>3179.1</v>
      </c>
      <c r="AD7" s="488">
        <f t="shared" ref="AD7:AD15" si="4">HLOOKUP(AB7,$L$18:$U$33,16,FALSE)</f>
        <v>352.7</v>
      </c>
      <c r="AE7" s="488">
        <f t="shared" ref="AE7:AE15" si="5">AC7-$V$16</f>
        <v>-449.26000000000067</v>
      </c>
      <c r="AF7" s="488">
        <f t="shared" ref="AF7:AF15" si="6">AD7-$V$33</f>
        <v>27.314999999999998</v>
      </c>
      <c r="AG7" s="489">
        <f>Forecast!$D$2</f>
        <v>14478.867220599999</v>
      </c>
      <c r="AH7" s="489">
        <f>Forecast!$E$2</f>
        <v>100979.29113139999</v>
      </c>
      <c r="AI7" s="489">
        <f t="shared" ref="AI7:AI15" si="7">AE7*AG7</f>
        <v>-6504775.8875267655</v>
      </c>
      <c r="AJ7" s="489">
        <f t="shared" ref="AJ7:AJ15" si="8">AF7*AH7</f>
        <v>2758249.3372541908</v>
      </c>
      <c r="AK7" s="489">
        <f t="shared" ref="AK7:AK15" si="9">AI7+AJ7</f>
        <v>-3746526.5502725746</v>
      </c>
    </row>
    <row r="8" spans="1:37" x14ac:dyDescent="0.2">
      <c r="A8" s="245" t="s">
        <v>69</v>
      </c>
      <c r="B8" s="361">
        <v>119.50000000000001</v>
      </c>
      <c r="C8" s="361">
        <v>220.39999999999998</v>
      </c>
      <c r="D8" s="361">
        <v>149.20000000000002</v>
      </c>
      <c r="E8" s="361">
        <v>117.30000000000003</v>
      </c>
      <c r="F8" s="361">
        <v>178.59999999999991</v>
      </c>
      <c r="G8" s="361">
        <v>146.79999999999995</v>
      </c>
      <c r="H8" s="361">
        <v>144.19999999999999</v>
      </c>
      <c r="I8" s="361">
        <v>216.7</v>
      </c>
      <c r="J8" s="361">
        <v>160.69999999999996</v>
      </c>
      <c r="K8" s="361">
        <v>125.40000000000003</v>
      </c>
      <c r="L8" s="361">
        <v>136.00000000000003</v>
      </c>
      <c r="M8" s="361">
        <v>82.300000000000011</v>
      </c>
      <c r="N8" s="361">
        <v>116.5</v>
      </c>
      <c r="O8" s="361">
        <v>147.69999999999996</v>
      </c>
      <c r="P8" s="361">
        <v>102.64999999999999</v>
      </c>
      <c r="Q8" s="361">
        <v>153.05000000000004</v>
      </c>
      <c r="R8" s="361">
        <v>168.29999999999998</v>
      </c>
      <c r="S8" s="361">
        <v>83.59999999999998</v>
      </c>
      <c r="T8" s="361">
        <v>173.70000000000002</v>
      </c>
      <c r="U8" s="361">
        <v>207.90000000000003</v>
      </c>
      <c r="V8" s="362">
        <f t="shared" si="0"/>
        <v>137.17000000000002</v>
      </c>
      <c r="W8" s="361">
        <f t="shared" si="1"/>
        <v>147.52500000000003</v>
      </c>
      <c r="X8" s="361">
        <f t="shared" si="2"/>
        <v>10.355000000000018</v>
      </c>
      <c r="Y8" s="481">
        <f>X8*Forecast!$D$2</f>
        <v>149928.67006931326</v>
      </c>
      <c r="AB8" s="238">
        <v>2013</v>
      </c>
      <c r="AC8" s="488">
        <f t="shared" si="3"/>
        <v>3775.5000000000005</v>
      </c>
      <c r="AD8" s="488">
        <f t="shared" si="4"/>
        <v>329.75</v>
      </c>
      <c r="AE8" s="488">
        <f t="shared" si="5"/>
        <v>147.13999999999987</v>
      </c>
      <c r="AF8" s="488">
        <f t="shared" si="6"/>
        <v>4.3650000000000091</v>
      </c>
      <c r="AG8" s="489">
        <f>Forecast!$D$2</f>
        <v>14478.867220599999</v>
      </c>
      <c r="AH8" s="489">
        <f>Forecast!$E$2</f>
        <v>100979.29113139999</v>
      </c>
      <c r="AI8" s="489">
        <f t="shared" si="7"/>
        <v>2130420.5228390819</v>
      </c>
      <c r="AJ8" s="489">
        <f t="shared" si="8"/>
        <v>440774.60578856186</v>
      </c>
      <c r="AK8" s="489">
        <f t="shared" si="9"/>
        <v>2571195.1286276439</v>
      </c>
    </row>
    <row r="9" spans="1:37" x14ac:dyDescent="0.2">
      <c r="A9" s="245" t="s">
        <v>176</v>
      </c>
      <c r="B9" s="361">
        <v>35.6</v>
      </c>
      <c r="C9" s="361">
        <v>26.999999999999996</v>
      </c>
      <c r="D9" s="361">
        <v>33.199999999999996</v>
      </c>
      <c r="E9" s="361">
        <v>47</v>
      </c>
      <c r="F9" s="361">
        <v>5.7</v>
      </c>
      <c r="G9" s="361">
        <v>24.099999999999998</v>
      </c>
      <c r="H9" s="361">
        <v>19.599999999999998</v>
      </c>
      <c r="I9" s="361">
        <v>27.2</v>
      </c>
      <c r="J9" s="361">
        <v>44.4</v>
      </c>
      <c r="K9" s="361">
        <v>23.599999999999994</v>
      </c>
      <c r="L9" s="361">
        <v>22.700000000000003</v>
      </c>
      <c r="M9" s="361">
        <v>31.599999999999998</v>
      </c>
      <c r="N9" s="361">
        <v>42.8</v>
      </c>
      <c r="O9" s="361">
        <v>21.3</v>
      </c>
      <c r="P9" s="361">
        <v>35.9</v>
      </c>
      <c r="Q9" s="361">
        <v>29.2</v>
      </c>
      <c r="R9" s="361">
        <v>32.599999999999994</v>
      </c>
      <c r="S9" s="361">
        <v>21.199999999999996</v>
      </c>
      <c r="T9" s="361">
        <v>33.599999999999994</v>
      </c>
      <c r="U9" s="361">
        <v>27.5</v>
      </c>
      <c r="V9" s="362">
        <f t="shared" si="0"/>
        <v>29.839999999999996</v>
      </c>
      <c r="W9" s="361">
        <f t="shared" si="1"/>
        <v>29.290000000000003</v>
      </c>
      <c r="X9" s="361">
        <f t="shared" si="2"/>
        <v>-0.54999999999999361</v>
      </c>
      <c r="Y9" s="481">
        <f>X9*Forecast!$D$2</f>
        <v>-7963.3769713299071</v>
      </c>
      <c r="AB9" s="238">
        <v>2014</v>
      </c>
      <c r="AC9" s="488">
        <f t="shared" si="3"/>
        <v>4069.1499999999996</v>
      </c>
      <c r="AD9" s="488">
        <f t="shared" si="4"/>
        <v>219.6</v>
      </c>
      <c r="AE9" s="488">
        <f t="shared" si="5"/>
        <v>440.78999999999905</v>
      </c>
      <c r="AF9" s="488">
        <f t="shared" si="6"/>
        <v>-105.785</v>
      </c>
      <c r="AG9" s="489">
        <f>Forecast!$D$2</f>
        <v>14478.867220599999</v>
      </c>
      <c r="AH9" s="489">
        <f>Forecast!$E$2</f>
        <v>100979.29113139999</v>
      </c>
      <c r="AI9" s="489">
        <f t="shared" si="7"/>
        <v>6382139.8821682604</v>
      </c>
      <c r="AJ9" s="489">
        <f t="shared" si="8"/>
        <v>-10682094.312335148</v>
      </c>
      <c r="AK9" s="489">
        <f t="shared" si="9"/>
        <v>-4299954.4301668881</v>
      </c>
    </row>
    <row r="10" spans="1:37" x14ac:dyDescent="0.2">
      <c r="A10" s="245" t="s">
        <v>177</v>
      </c>
      <c r="B10" s="361">
        <v>11.399999999999999</v>
      </c>
      <c r="C10" s="361">
        <v>0.7</v>
      </c>
      <c r="D10" s="361">
        <v>0.7</v>
      </c>
      <c r="E10" s="361">
        <v>0.89999999999999991</v>
      </c>
      <c r="F10" s="361">
        <v>0</v>
      </c>
      <c r="G10" s="361">
        <v>2.1</v>
      </c>
      <c r="H10" s="361">
        <v>7.3999999999999995</v>
      </c>
      <c r="I10" s="361">
        <v>5.2</v>
      </c>
      <c r="J10" s="361">
        <v>19.600000000000001</v>
      </c>
      <c r="K10" s="361">
        <v>4.5999999999999996</v>
      </c>
      <c r="L10" s="361">
        <v>0.2</v>
      </c>
      <c r="M10" s="361">
        <v>0</v>
      </c>
      <c r="N10" s="361">
        <v>5.5</v>
      </c>
      <c r="O10" s="361">
        <v>13.700000000000001</v>
      </c>
      <c r="P10" s="361">
        <v>7.6</v>
      </c>
      <c r="Q10" s="361">
        <v>0</v>
      </c>
      <c r="R10" s="361">
        <v>2.2000000000000002</v>
      </c>
      <c r="S10" s="361">
        <v>0</v>
      </c>
      <c r="T10" s="361">
        <v>0</v>
      </c>
      <c r="U10" s="361">
        <v>0</v>
      </c>
      <c r="V10" s="362">
        <f t="shared" si="0"/>
        <v>2.92</v>
      </c>
      <c r="W10" s="361">
        <f t="shared" si="1"/>
        <v>4.09</v>
      </c>
      <c r="X10" s="361">
        <f t="shared" si="2"/>
        <v>1.17</v>
      </c>
      <c r="Y10" s="481">
        <f>X10*Forecast!$D$2</f>
        <v>16940.274648101997</v>
      </c>
      <c r="AB10" s="238">
        <v>2015</v>
      </c>
      <c r="AC10" s="488">
        <f t="shared" si="3"/>
        <v>3817.3</v>
      </c>
      <c r="AD10" s="488">
        <f t="shared" si="4"/>
        <v>256.2</v>
      </c>
      <c r="AE10" s="488">
        <f t="shared" si="5"/>
        <v>188.9399999999996</v>
      </c>
      <c r="AF10" s="488">
        <f t="shared" si="6"/>
        <v>-69.185000000000002</v>
      </c>
      <c r="AG10" s="489">
        <f>Forecast!$D$2</f>
        <v>14478.867220599999</v>
      </c>
      <c r="AH10" s="489">
        <f>Forecast!$E$2</f>
        <v>100979.29113139999</v>
      </c>
      <c r="AI10" s="489">
        <f t="shared" si="7"/>
        <v>2735637.172660158</v>
      </c>
      <c r="AJ10" s="489">
        <f t="shared" si="8"/>
        <v>-6986252.2569259088</v>
      </c>
      <c r="AK10" s="489">
        <f t="shared" si="9"/>
        <v>-4250615.0842657508</v>
      </c>
    </row>
    <row r="11" spans="1:37" x14ac:dyDescent="0.2">
      <c r="A11" s="245" t="s">
        <v>178</v>
      </c>
      <c r="B11" s="361">
        <v>0</v>
      </c>
      <c r="C11" s="361">
        <v>0.5</v>
      </c>
      <c r="D11" s="361">
        <v>4.2</v>
      </c>
      <c r="E11" s="361">
        <v>11.7</v>
      </c>
      <c r="F11" s="361">
        <v>0.7</v>
      </c>
      <c r="G11" s="361">
        <v>11.4</v>
      </c>
      <c r="H11" s="361">
        <v>6</v>
      </c>
      <c r="I11" s="361">
        <v>19</v>
      </c>
      <c r="J11" s="361">
        <v>14.200000000000001</v>
      </c>
      <c r="K11" s="361">
        <v>7.6999999999999993</v>
      </c>
      <c r="L11" s="361">
        <v>4.0999999999999996</v>
      </c>
      <c r="M11" s="361">
        <v>6</v>
      </c>
      <c r="N11" s="361">
        <v>19.099999999999998</v>
      </c>
      <c r="O11" s="361">
        <v>11.999999999999998</v>
      </c>
      <c r="P11" s="361">
        <v>12</v>
      </c>
      <c r="Q11" s="361">
        <v>0.1</v>
      </c>
      <c r="R11" s="361">
        <v>19.200000000000003</v>
      </c>
      <c r="S11" s="361">
        <v>1.6</v>
      </c>
      <c r="T11" s="361">
        <v>4.5999999999999996</v>
      </c>
      <c r="U11" s="361">
        <v>1.5999999999999999</v>
      </c>
      <c r="V11" s="362">
        <f t="shared" si="0"/>
        <v>8.0299999999999976</v>
      </c>
      <c r="W11" s="361">
        <f t="shared" si="1"/>
        <v>7.7849999999999984</v>
      </c>
      <c r="X11" s="361">
        <f t="shared" si="2"/>
        <v>-0.24499999999999922</v>
      </c>
      <c r="Y11" s="481">
        <f>X11*Forecast!$D$2</f>
        <v>-3547.3224690469883</v>
      </c>
      <c r="AB11" s="238">
        <v>2016</v>
      </c>
      <c r="AC11" s="488">
        <f t="shared" si="3"/>
        <v>3430.45</v>
      </c>
      <c r="AD11" s="488">
        <f t="shared" si="4"/>
        <v>429.25</v>
      </c>
      <c r="AE11" s="488">
        <f t="shared" si="5"/>
        <v>-197.91000000000076</v>
      </c>
      <c r="AF11" s="488">
        <f t="shared" si="6"/>
        <v>103.86500000000001</v>
      </c>
      <c r="AG11" s="489">
        <f>Forecast!$D$2</f>
        <v>14478.867220599999</v>
      </c>
      <c r="AH11" s="489">
        <f>Forecast!$E$2</f>
        <v>100979.29113139999</v>
      </c>
      <c r="AI11" s="489">
        <f t="shared" si="7"/>
        <v>-2865512.6116289571</v>
      </c>
      <c r="AJ11" s="489">
        <f t="shared" si="8"/>
        <v>10488214.073362861</v>
      </c>
      <c r="AK11" s="489">
        <f t="shared" si="9"/>
        <v>7622701.4617339037</v>
      </c>
    </row>
    <row r="12" spans="1:37" x14ac:dyDescent="0.2">
      <c r="A12" s="245" t="s">
        <v>179</v>
      </c>
      <c r="B12" s="361">
        <v>71.400000000000006</v>
      </c>
      <c r="C12" s="361">
        <v>21.3</v>
      </c>
      <c r="D12" s="361">
        <v>51.1</v>
      </c>
      <c r="E12" s="361">
        <v>27.7</v>
      </c>
      <c r="F12" s="361">
        <v>20.399999999999999</v>
      </c>
      <c r="G12" s="361">
        <v>91.8</v>
      </c>
      <c r="H12" s="361">
        <v>51.8</v>
      </c>
      <c r="I12" s="361">
        <v>70.100000000000009</v>
      </c>
      <c r="J12" s="361">
        <v>70.8</v>
      </c>
      <c r="K12" s="361">
        <v>88.827272727272728</v>
      </c>
      <c r="L12" s="361">
        <v>55.449999999999996</v>
      </c>
      <c r="M12" s="361">
        <v>86.1</v>
      </c>
      <c r="N12" s="361">
        <v>110.40000000000002</v>
      </c>
      <c r="O12" s="361">
        <v>85.300000000000011</v>
      </c>
      <c r="P12" s="361">
        <v>37</v>
      </c>
      <c r="Q12" s="361">
        <v>34.299999999999997</v>
      </c>
      <c r="R12" s="361">
        <v>66.5</v>
      </c>
      <c r="S12" s="361">
        <v>57.900000000000006</v>
      </c>
      <c r="T12" s="361">
        <v>32</v>
      </c>
      <c r="U12" s="361">
        <v>74.999999999999986</v>
      </c>
      <c r="V12" s="362">
        <f t="shared" si="0"/>
        <v>63.995000000000005</v>
      </c>
      <c r="W12" s="361">
        <f t="shared" si="1"/>
        <v>60.258863636363643</v>
      </c>
      <c r="X12" s="361">
        <f t="shared" si="2"/>
        <v>-3.736136363636362</v>
      </c>
      <c r="Y12" s="481">
        <f>X12*Forecast!$D$2</f>
        <v>-54095.022327146202</v>
      </c>
      <c r="AB12" s="238">
        <v>2017</v>
      </c>
      <c r="AC12" s="488">
        <f t="shared" si="3"/>
        <v>3477.25</v>
      </c>
      <c r="AD12" s="488">
        <f t="shared" si="4"/>
        <v>263.8</v>
      </c>
      <c r="AE12" s="488">
        <f t="shared" si="5"/>
        <v>-151.11000000000058</v>
      </c>
      <c r="AF12" s="488">
        <f t="shared" si="6"/>
        <v>-61.58499999999998</v>
      </c>
      <c r="AG12" s="489">
        <f>Forecast!$D$2</f>
        <v>14478.867220599999</v>
      </c>
      <c r="AH12" s="489">
        <f>Forecast!$E$2</f>
        <v>100979.29113139999</v>
      </c>
      <c r="AI12" s="489">
        <f t="shared" si="7"/>
        <v>-2187901.6257048743</v>
      </c>
      <c r="AJ12" s="489">
        <f t="shared" si="8"/>
        <v>-6218809.6443272661</v>
      </c>
      <c r="AK12" s="489">
        <f t="shared" si="9"/>
        <v>-8406711.2700321414</v>
      </c>
    </row>
    <row r="13" spans="1:37" x14ac:dyDescent="0.2">
      <c r="A13" s="245" t="s">
        <v>180</v>
      </c>
      <c r="B13" s="361">
        <v>209.49999999999997</v>
      </c>
      <c r="C13" s="361">
        <v>259.89999999999998</v>
      </c>
      <c r="D13" s="361">
        <v>263.59999999999997</v>
      </c>
      <c r="E13" s="361">
        <v>208.99999999999994</v>
      </c>
      <c r="F13" s="361">
        <v>212.19999999999996</v>
      </c>
      <c r="G13" s="361">
        <v>288.70000000000005</v>
      </c>
      <c r="H13" s="361">
        <v>131</v>
      </c>
      <c r="I13" s="361">
        <v>293.29999999999995</v>
      </c>
      <c r="J13" s="361">
        <v>290</v>
      </c>
      <c r="K13" s="361">
        <v>256.64999999999998</v>
      </c>
      <c r="L13" s="361">
        <v>238.75</v>
      </c>
      <c r="M13" s="361">
        <v>227.39999999999998</v>
      </c>
      <c r="N13" s="361">
        <v>211.45</v>
      </c>
      <c r="O13" s="361">
        <v>225.04999999999995</v>
      </c>
      <c r="P13" s="361">
        <v>252.3</v>
      </c>
      <c r="Q13" s="361">
        <v>198.70000000000002</v>
      </c>
      <c r="R13" s="361">
        <v>151.95000000000002</v>
      </c>
      <c r="S13" s="361">
        <v>258.2</v>
      </c>
      <c r="T13" s="361">
        <v>220.89999999999998</v>
      </c>
      <c r="U13" s="361">
        <v>252.50000000000006</v>
      </c>
      <c r="V13" s="362">
        <f t="shared" si="0"/>
        <v>223.71999999999997</v>
      </c>
      <c r="W13" s="361">
        <f t="shared" si="1"/>
        <v>232.55249999999995</v>
      </c>
      <c r="X13" s="361">
        <f t="shared" si="2"/>
        <v>8.8324999999999818</v>
      </c>
      <c r="Y13" s="481">
        <f>X13*Forecast!$D$2</f>
        <v>127884.59472594922</v>
      </c>
      <c r="AB13" s="238">
        <v>2018</v>
      </c>
      <c r="AC13" s="488">
        <f t="shared" si="3"/>
        <v>3739.9499999999994</v>
      </c>
      <c r="AD13" s="488">
        <f t="shared" si="4"/>
        <v>419.7000000000001</v>
      </c>
      <c r="AE13" s="488">
        <f t="shared" si="5"/>
        <v>111.58999999999878</v>
      </c>
      <c r="AF13" s="488">
        <f t="shared" si="6"/>
        <v>94.315000000000111</v>
      </c>
      <c r="AG13" s="489">
        <f>Forecast!$D$2</f>
        <v>14478.867220599999</v>
      </c>
      <c r="AH13" s="489">
        <f>Forecast!$E$2</f>
        <v>100979.29113139999</v>
      </c>
      <c r="AI13" s="489">
        <f t="shared" si="7"/>
        <v>1615696.7931467362</v>
      </c>
      <c r="AJ13" s="489">
        <f t="shared" si="8"/>
        <v>9523861.8430580013</v>
      </c>
      <c r="AK13" s="489">
        <f t="shared" si="9"/>
        <v>11139558.636204738</v>
      </c>
    </row>
    <row r="14" spans="1:37" x14ac:dyDescent="0.2">
      <c r="A14" s="245" t="s">
        <v>181</v>
      </c>
      <c r="B14" s="361">
        <v>303.99999999999994</v>
      </c>
      <c r="C14" s="361">
        <v>412.89999999999992</v>
      </c>
      <c r="D14" s="361">
        <v>352.09999999999991</v>
      </c>
      <c r="E14" s="361">
        <v>364.79999999999995</v>
      </c>
      <c r="F14" s="361">
        <v>361.1</v>
      </c>
      <c r="G14" s="361">
        <v>375.00000000000011</v>
      </c>
      <c r="H14" s="361">
        <v>438.2000000000001</v>
      </c>
      <c r="I14" s="361">
        <v>447.40000000000003</v>
      </c>
      <c r="J14" s="361">
        <v>362.29999999999995</v>
      </c>
      <c r="K14" s="361">
        <v>410.41249999999997</v>
      </c>
      <c r="L14" s="361">
        <v>320.00000000000006</v>
      </c>
      <c r="M14" s="361">
        <v>432.34999999999991</v>
      </c>
      <c r="N14" s="361">
        <v>460.65000000000003</v>
      </c>
      <c r="O14" s="361">
        <v>465.7</v>
      </c>
      <c r="P14" s="361">
        <v>341.35</v>
      </c>
      <c r="Q14" s="361">
        <v>356.7</v>
      </c>
      <c r="R14" s="361">
        <v>426.4</v>
      </c>
      <c r="S14" s="361">
        <v>479.79999999999995</v>
      </c>
      <c r="T14" s="361">
        <v>502.69999999999993</v>
      </c>
      <c r="U14" s="361">
        <v>329.20000000000005</v>
      </c>
      <c r="V14" s="362">
        <f t="shared" si="0"/>
        <v>411.48499999999996</v>
      </c>
      <c r="W14" s="361">
        <f t="shared" si="1"/>
        <v>397.15312499999993</v>
      </c>
      <c r="X14" s="361">
        <f t="shared" si="2"/>
        <v>-14.331875000000025</v>
      </c>
      <c r="Y14" s="481">
        <f>X14*Forecast!$D$2</f>
        <v>-207509.31514723698</v>
      </c>
      <c r="AB14" s="238">
        <v>2019</v>
      </c>
      <c r="AC14" s="488">
        <f t="shared" si="3"/>
        <v>3778.2000000000003</v>
      </c>
      <c r="AD14" s="488">
        <f t="shared" si="4"/>
        <v>268.89999999999998</v>
      </c>
      <c r="AE14" s="488">
        <f t="shared" si="5"/>
        <v>149.83999999999969</v>
      </c>
      <c r="AF14" s="488">
        <f t="shared" si="6"/>
        <v>-56.485000000000014</v>
      </c>
      <c r="AG14" s="489">
        <f>Forecast!$D$2</f>
        <v>14478.867220599999</v>
      </c>
      <c r="AH14" s="489">
        <f>Forecast!$E$2</f>
        <v>100979.29113139999</v>
      </c>
      <c r="AI14" s="489">
        <f t="shared" si="7"/>
        <v>2169513.4643346993</v>
      </c>
      <c r="AJ14" s="489">
        <f t="shared" si="8"/>
        <v>-5703815.2595571298</v>
      </c>
      <c r="AK14" s="489">
        <f t="shared" si="9"/>
        <v>-3534301.7952224305</v>
      </c>
    </row>
    <row r="15" spans="1:37" x14ac:dyDescent="0.2">
      <c r="A15" s="245" t="s">
        <v>182</v>
      </c>
      <c r="B15" s="361">
        <v>502.90000000000003</v>
      </c>
      <c r="C15" s="361">
        <v>610.90000000000009</v>
      </c>
      <c r="D15" s="361">
        <v>531.20000000000005</v>
      </c>
      <c r="E15" s="361">
        <v>590.80000000000007</v>
      </c>
      <c r="F15" s="361">
        <v>651.50000000000034</v>
      </c>
      <c r="G15" s="361">
        <v>477.89999999999992</v>
      </c>
      <c r="H15" s="361">
        <v>612.80000000000007</v>
      </c>
      <c r="I15" s="361">
        <v>614.79999999999984</v>
      </c>
      <c r="J15" s="361">
        <v>612.29999999999984</v>
      </c>
      <c r="K15" s="361">
        <v>671.3</v>
      </c>
      <c r="L15" s="361">
        <v>512</v>
      </c>
      <c r="M15" s="361">
        <v>505.1</v>
      </c>
      <c r="N15" s="361">
        <v>656.40000000000009</v>
      </c>
      <c r="O15" s="361">
        <v>540.79999999999995</v>
      </c>
      <c r="P15" s="361">
        <v>417.94999999999987</v>
      </c>
      <c r="Q15" s="361">
        <v>581.20000000000005</v>
      </c>
      <c r="R15" s="361">
        <v>711.30000000000018</v>
      </c>
      <c r="S15" s="361">
        <v>550.4</v>
      </c>
      <c r="T15" s="361">
        <v>564.55000000000007</v>
      </c>
      <c r="U15" s="361">
        <v>540.4</v>
      </c>
      <c r="V15" s="362">
        <f t="shared" si="0"/>
        <v>558.01</v>
      </c>
      <c r="W15" s="361">
        <f t="shared" si="1"/>
        <v>572.82500000000005</v>
      </c>
      <c r="X15" s="361">
        <f t="shared" si="2"/>
        <v>14.815000000000055</v>
      </c>
      <c r="Y15" s="481">
        <f>X15*Forecast!$D$2</f>
        <v>214504.41787318978</v>
      </c>
      <c r="AB15" s="238">
        <v>2020</v>
      </c>
      <c r="AC15" s="488">
        <f t="shared" si="3"/>
        <v>3394.1</v>
      </c>
      <c r="AD15" s="488">
        <f t="shared" si="4"/>
        <v>384</v>
      </c>
      <c r="AE15" s="488">
        <f t="shared" si="5"/>
        <v>-234.26000000000067</v>
      </c>
      <c r="AF15" s="488">
        <f t="shared" si="6"/>
        <v>58.615000000000009</v>
      </c>
      <c r="AG15" s="489">
        <f>Forecast!$D$2</f>
        <v>14478.867220599999</v>
      </c>
      <c r="AH15" s="489">
        <f>Forecast!$E$2</f>
        <v>100979.29113139999</v>
      </c>
      <c r="AI15" s="489">
        <f t="shared" si="7"/>
        <v>-3391819.4350977656</v>
      </c>
      <c r="AJ15" s="489">
        <f t="shared" si="8"/>
        <v>5918901.1496670116</v>
      </c>
      <c r="AK15" s="489">
        <f t="shared" si="9"/>
        <v>2527081.7145692459</v>
      </c>
    </row>
    <row r="16" spans="1:37" x14ac:dyDescent="0.2">
      <c r="A16" s="245" t="s">
        <v>77</v>
      </c>
      <c r="B16" s="480">
        <f>SUM(B4:B15)</f>
        <v>3297.5000000000005</v>
      </c>
      <c r="C16" s="480">
        <f t="shared" ref="C16:Y16" si="10">SUM(C4:C15)</f>
        <v>3450.4</v>
      </c>
      <c r="D16" s="480">
        <f t="shared" si="10"/>
        <v>3738.1999999999989</v>
      </c>
      <c r="E16" s="480">
        <f t="shared" si="10"/>
        <v>3572.8999999999996</v>
      </c>
      <c r="F16" s="480">
        <f t="shared" si="10"/>
        <v>3636.4999999999995</v>
      </c>
      <c r="G16" s="480">
        <f t="shared" si="10"/>
        <v>3353.8000000000006</v>
      </c>
      <c r="H16" s="480">
        <f t="shared" si="10"/>
        <v>3690.9000000000005</v>
      </c>
      <c r="I16" s="480">
        <f t="shared" si="10"/>
        <v>3826.1999999999989</v>
      </c>
      <c r="J16" s="480">
        <f t="shared" si="10"/>
        <v>3854.3999999999992</v>
      </c>
      <c r="K16" s="480">
        <f t="shared" si="10"/>
        <v>3653.8897727272724</v>
      </c>
      <c r="L16" s="480">
        <f t="shared" si="10"/>
        <v>3622.5999999999995</v>
      </c>
      <c r="M16" s="480">
        <f t="shared" si="10"/>
        <v>3179.1</v>
      </c>
      <c r="N16" s="480">
        <f t="shared" si="10"/>
        <v>3775.5000000000005</v>
      </c>
      <c r="O16" s="480">
        <f t="shared" si="10"/>
        <v>4069.1499999999996</v>
      </c>
      <c r="P16" s="480">
        <f t="shared" si="10"/>
        <v>3817.3</v>
      </c>
      <c r="Q16" s="480">
        <f t="shared" si="10"/>
        <v>3430.45</v>
      </c>
      <c r="R16" s="480">
        <f t="shared" si="10"/>
        <v>3477.25</v>
      </c>
      <c r="S16" s="480">
        <f t="shared" si="10"/>
        <v>3739.9499999999994</v>
      </c>
      <c r="T16" s="480">
        <f t="shared" si="10"/>
        <v>3778.2000000000003</v>
      </c>
      <c r="U16" s="480">
        <f t="shared" si="10"/>
        <v>3394.1</v>
      </c>
      <c r="V16" s="480">
        <f t="shared" si="10"/>
        <v>3628.3600000000006</v>
      </c>
      <c r="W16" s="480">
        <f t="shared" si="10"/>
        <v>3617.9144886363629</v>
      </c>
      <c r="X16" s="480">
        <f t="shared" si="10"/>
        <v>-10.445511363636605</v>
      </c>
      <c r="Y16" s="482">
        <f t="shared" si="10"/>
        <v>-151239.17208536284</v>
      </c>
    </row>
    <row r="17" spans="1:25" x14ac:dyDescent="0.2">
      <c r="A17" s="245"/>
      <c r="B17" s="361"/>
      <c r="C17" s="361"/>
      <c r="D17" s="361"/>
      <c r="E17" s="361"/>
      <c r="F17" s="361"/>
      <c r="G17" s="361"/>
      <c r="H17" s="361"/>
      <c r="I17" s="361"/>
      <c r="J17" s="361"/>
      <c r="K17" s="361"/>
      <c r="L17" s="361"/>
      <c r="M17" s="361"/>
      <c r="N17" s="361"/>
      <c r="O17" s="361"/>
      <c r="P17" s="361"/>
      <c r="Q17" s="361"/>
      <c r="R17" s="361"/>
      <c r="S17" s="361"/>
      <c r="T17" s="361"/>
      <c r="U17" s="361"/>
      <c r="V17" s="361"/>
      <c r="W17" s="361"/>
      <c r="X17" s="245"/>
      <c r="Y17" s="245"/>
    </row>
    <row r="18" spans="1:25" x14ac:dyDescent="0.2">
      <c r="A18" s="245"/>
      <c r="B18" s="245">
        <v>2001</v>
      </c>
      <c r="C18" s="245">
        <v>2002</v>
      </c>
      <c r="D18" s="245">
        <v>2003</v>
      </c>
      <c r="E18" s="245">
        <v>2004</v>
      </c>
      <c r="F18" s="245">
        <v>2005</v>
      </c>
      <c r="G18" s="245">
        <v>2006</v>
      </c>
      <c r="H18" s="245">
        <v>2007</v>
      </c>
      <c r="I18" s="245">
        <v>2008</v>
      </c>
      <c r="J18" s="245">
        <v>2009</v>
      </c>
      <c r="K18" s="245">
        <v>2010</v>
      </c>
      <c r="L18" s="245">
        <v>2011</v>
      </c>
      <c r="M18" s="245">
        <v>2012</v>
      </c>
      <c r="N18" s="245">
        <v>2013</v>
      </c>
      <c r="O18" s="245">
        <v>2014</v>
      </c>
      <c r="P18" s="245">
        <v>2015</v>
      </c>
      <c r="Q18" s="245">
        <v>2016</v>
      </c>
      <c r="R18" s="245">
        <v>2017</v>
      </c>
      <c r="S18" s="245">
        <v>2018</v>
      </c>
      <c r="T18" s="245">
        <v>2019</v>
      </c>
      <c r="U18" s="245">
        <v>2020</v>
      </c>
      <c r="V18" s="361" t="s">
        <v>244</v>
      </c>
      <c r="W18" s="361" t="s">
        <v>170</v>
      </c>
      <c r="X18" s="245" t="s">
        <v>246</v>
      </c>
      <c r="Y18" s="245" t="s">
        <v>246</v>
      </c>
    </row>
    <row r="19" spans="1:25" x14ac:dyDescent="0.2">
      <c r="A19" s="245"/>
      <c r="B19" s="361"/>
      <c r="C19" s="361"/>
      <c r="D19" s="361"/>
      <c r="E19" s="361"/>
      <c r="F19" s="361"/>
      <c r="G19" s="361"/>
      <c r="H19" s="361"/>
      <c r="I19" s="361"/>
      <c r="J19" s="361"/>
      <c r="K19" s="361"/>
      <c r="L19" s="361"/>
      <c r="M19" s="361"/>
      <c r="N19" s="361"/>
      <c r="O19" s="361"/>
      <c r="P19" s="361"/>
      <c r="Q19" s="361"/>
      <c r="R19" s="361"/>
      <c r="S19" s="361"/>
      <c r="T19" s="361"/>
      <c r="U19" s="361"/>
      <c r="V19" s="361" t="s">
        <v>171</v>
      </c>
      <c r="W19" s="361" t="s">
        <v>171</v>
      </c>
      <c r="X19" s="245" t="s">
        <v>249</v>
      </c>
      <c r="Y19" s="245" t="s">
        <v>247</v>
      </c>
    </row>
    <row r="20" spans="1:25" x14ac:dyDescent="0.2">
      <c r="A20" s="245" t="s">
        <v>49</v>
      </c>
      <c r="B20" s="361"/>
      <c r="C20" s="361"/>
      <c r="D20" s="361"/>
      <c r="E20" s="361"/>
      <c r="F20" s="361"/>
      <c r="G20" s="361"/>
      <c r="H20" s="361"/>
      <c r="I20" s="361"/>
      <c r="J20" s="361"/>
      <c r="K20" s="361"/>
      <c r="L20" s="361"/>
      <c r="M20" s="361"/>
      <c r="N20" s="361"/>
      <c r="O20" s="361"/>
      <c r="P20" s="361"/>
      <c r="Q20" s="361"/>
      <c r="R20" s="361"/>
      <c r="S20" s="361"/>
      <c r="T20" s="361"/>
      <c r="U20" s="361"/>
      <c r="V20" s="361"/>
      <c r="W20" s="361"/>
      <c r="X20" s="245"/>
      <c r="Y20" s="245"/>
    </row>
    <row r="21" spans="1:25" x14ac:dyDescent="0.2">
      <c r="A21" s="245" t="s">
        <v>172</v>
      </c>
      <c r="B21" s="361">
        <v>0</v>
      </c>
      <c r="C21" s="361">
        <v>0</v>
      </c>
      <c r="D21" s="361">
        <v>0</v>
      </c>
      <c r="E21" s="361">
        <v>0</v>
      </c>
      <c r="F21" s="361">
        <v>0</v>
      </c>
      <c r="G21" s="361">
        <v>0</v>
      </c>
      <c r="H21" s="361">
        <v>0</v>
      </c>
      <c r="I21" s="361">
        <v>0</v>
      </c>
      <c r="J21" s="361">
        <v>0</v>
      </c>
      <c r="K21" s="361">
        <v>0</v>
      </c>
      <c r="L21" s="361">
        <v>0</v>
      </c>
      <c r="M21" s="361">
        <v>0</v>
      </c>
      <c r="N21" s="361">
        <v>0</v>
      </c>
      <c r="O21" s="361">
        <v>0</v>
      </c>
      <c r="P21" s="361">
        <v>0</v>
      </c>
      <c r="Q21" s="361">
        <v>0</v>
      </c>
      <c r="R21" s="361">
        <v>0</v>
      </c>
      <c r="S21" s="361">
        <v>0</v>
      </c>
      <c r="T21" s="361">
        <v>0</v>
      </c>
      <c r="U21" s="361">
        <v>0</v>
      </c>
      <c r="V21" s="362">
        <f>AVERAGE(L21:U21)</f>
        <v>0</v>
      </c>
      <c r="W21" s="361">
        <f>AVERAGE(B21:U21)</f>
        <v>0</v>
      </c>
      <c r="X21" s="361">
        <f>W21-V21</f>
        <v>0</v>
      </c>
      <c r="Y21" s="481">
        <f>X21*Forecast!$E$2</f>
        <v>0</v>
      </c>
    </row>
    <row r="22" spans="1:25" x14ac:dyDescent="0.2">
      <c r="A22" s="245" t="s">
        <v>173</v>
      </c>
      <c r="B22" s="361">
        <v>0</v>
      </c>
      <c r="C22" s="361">
        <v>0</v>
      </c>
      <c r="D22" s="361">
        <v>0</v>
      </c>
      <c r="E22" s="361">
        <v>0</v>
      </c>
      <c r="F22" s="361">
        <v>0</v>
      </c>
      <c r="G22" s="361">
        <v>0</v>
      </c>
      <c r="H22" s="361">
        <v>0</v>
      </c>
      <c r="I22" s="361">
        <v>0</v>
      </c>
      <c r="J22" s="361">
        <v>0</v>
      </c>
      <c r="K22" s="361">
        <v>0</v>
      </c>
      <c r="L22" s="361">
        <v>0</v>
      </c>
      <c r="M22" s="361">
        <v>0</v>
      </c>
      <c r="N22" s="361">
        <v>0</v>
      </c>
      <c r="O22" s="361">
        <v>0</v>
      </c>
      <c r="P22" s="361">
        <v>0</v>
      </c>
      <c r="Q22" s="361">
        <v>0</v>
      </c>
      <c r="R22" s="361">
        <v>0</v>
      </c>
      <c r="S22" s="361">
        <v>0</v>
      </c>
      <c r="T22" s="361">
        <v>0</v>
      </c>
      <c r="U22" s="361">
        <v>0</v>
      </c>
      <c r="V22" s="362">
        <f t="shared" ref="V22:V32" si="11">AVERAGE(L22:U22)</f>
        <v>0</v>
      </c>
      <c r="W22" s="361">
        <f t="shared" ref="W22:W32" si="12">AVERAGE(B22:U22)</f>
        <v>0</v>
      </c>
      <c r="X22" s="361">
        <f t="shared" ref="X22:X32" si="13">W22-V22</f>
        <v>0</v>
      </c>
      <c r="Y22" s="481">
        <f>X22*Forecast!$E$2</f>
        <v>0</v>
      </c>
    </row>
    <row r="23" spans="1:25" x14ac:dyDescent="0.2">
      <c r="A23" s="245" t="s">
        <v>174</v>
      </c>
      <c r="B23" s="361">
        <v>0</v>
      </c>
      <c r="C23" s="361">
        <v>0</v>
      </c>
      <c r="D23" s="361">
        <v>0</v>
      </c>
      <c r="E23" s="361">
        <v>0</v>
      </c>
      <c r="F23" s="361">
        <v>0</v>
      </c>
      <c r="G23" s="361">
        <v>0</v>
      </c>
      <c r="H23" s="361">
        <v>0</v>
      </c>
      <c r="I23" s="361">
        <v>0</v>
      </c>
      <c r="J23" s="361">
        <v>0</v>
      </c>
      <c r="K23" s="361">
        <v>0</v>
      </c>
      <c r="L23" s="361">
        <v>0</v>
      </c>
      <c r="M23" s="361">
        <v>0</v>
      </c>
      <c r="N23" s="361">
        <v>0</v>
      </c>
      <c r="O23" s="361">
        <v>0</v>
      </c>
      <c r="P23" s="361">
        <v>0</v>
      </c>
      <c r="Q23" s="361">
        <v>0</v>
      </c>
      <c r="R23" s="361">
        <v>0</v>
      </c>
      <c r="S23" s="361">
        <v>0</v>
      </c>
      <c r="T23" s="361">
        <v>0</v>
      </c>
      <c r="U23" s="361">
        <v>0</v>
      </c>
      <c r="V23" s="362">
        <f t="shared" si="11"/>
        <v>0</v>
      </c>
      <c r="W23" s="361">
        <f t="shared" si="12"/>
        <v>0</v>
      </c>
      <c r="X23" s="361">
        <f t="shared" si="13"/>
        <v>0</v>
      </c>
      <c r="Y23" s="481">
        <f>X23*Forecast!$E$2</f>
        <v>0</v>
      </c>
    </row>
    <row r="24" spans="1:25" x14ac:dyDescent="0.2">
      <c r="A24" s="245" t="s">
        <v>175</v>
      </c>
      <c r="B24" s="361">
        <v>1.8</v>
      </c>
      <c r="C24" s="361">
        <v>5.0999999999999996</v>
      </c>
      <c r="D24" s="361">
        <v>0</v>
      </c>
      <c r="E24" s="361">
        <v>0.8</v>
      </c>
      <c r="F24" s="361">
        <v>0</v>
      </c>
      <c r="G24" s="361">
        <v>0</v>
      </c>
      <c r="H24" s="361">
        <v>0</v>
      </c>
      <c r="I24" s="361">
        <v>0</v>
      </c>
      <c r="J24" s="361">
        <v>2</v>
      </c>
      <c r="K24" s="361">
        <v>0</v>
      </c>
      <c r="L24" s="361">
        <v>0.4</v>
      </c>
      <c r="M24" s="361">
        <v>0</v>
      </c>
      <c r="N24" s="361">
        <v>0</v>
      </c>
      <c r="O24" s="361">
        <v>0</v>
      </c>
      <c r="P24" s="361">
        <v>0</v>
      </c>
      <c r="Q24" s="361">
        <v>0</v>
      </c>
      <c r="R24" s="361">
        <v>0.5</v>
      </c>
      <c r="S24" s="361">
        <v>0</v>
      </c>
      <c r="T24" s="361">
        <v>0</v>
      </c>
      <c r="U24" s="361">
        <v>0</v>
      </c>
      <c r="V24" s="362">
        <f t="shared" si="11"/>
        <v>0.09</v>
      </c>
      <c r="W24" s="361">
        <f t="shared" si="12"/>
        <v>0.53</v>
      </c>
      <c r="X24" s="361">
        <f t="shared" si="13"/>
        <v>0.44000000000000006</v>
      </c>
      <c r="Y24" s="481">
        <f>X24*Forecast!$E$2</f>
        <v>44430.888097816001</v>
      </c>
    </row>
    <row r="25" spans="1:25" x14ac:dyDescent="0.2">
      <c r="A25" s="245" t="s">
        <v>69</v>
      </c>
      <c r="B25" s="361">
        <v>0.8</v>
      </c>
      <c r="C25" s="361">
        <v>8.8000000000000007</v>
      </c>
      <c r="D25" s="361">
        <v>0</v>
      </c>
      <c r="E25" s="361">
        <v>17.100000000000001</v>
      </c>
      <c r="F25" s="361">
        <v>0</v>
      </c>
      <c r="G25" s="361">
        <v>17.899999999999999</v>
      </c>
      <c r="H25" s="361">
        <v>15.4</v>
      </c>
      <c r="I25" s="361">
        <v>0</v>
      </c>
      <c r="J25" s="361">
        <v>1.8</v>
      </c>
      <c r="K25" s="361">
        <v>27.5</v>
      </c>
      <c r="L25" s="361">
        <v>12.5</v>
      </c>
      <c r="M25" s="361">
        <v>28.9</v>
      </c>
      <c r="N25" s="361">
        <v>24.200000000000003</v>
      </c>
      <c r="O25" s="361">
        <v>7.3</v>
      </c>
      <c r="P25" s="361">
        <v>34.200000000000003</v>
      </c>
      <c r="Q25" s="361">
        <v>24.400000000000002</v>
      </c>
      <c r="R25" s="361">
        <v>6.4999999999999991</v>
      </c>
      <c r="S25" s="361">
        <v>30</v>
      </c>
      <c r="T25" s="361">
        <v>1.8</v>
      </c>
      <c r="U25" s="361">
        <v>22.8</v>
      </c>
      <c r="V25" s="362">
        <f t="shared" si="11"/>
        <v>19.260000000000002</v>
      </c>
      <c r="W25" s="361">
        <f t="shared" si="12"/>
        <v>14.094999999999999</v>
      </c>
      <c r="X25" s="361">
        <f t="shared" si="13"/>
        <v>-5.1650000000000027</v>
      </c>
      <c r="Y25" s="481">
        <f>X25*Forecast!$E$2</f>
        <v>-521558.03869368124</v>
      </c>
    </row>
    <row r="26" spans="1:25" x14ac:dyDescent="0.2">
      <c r="A26" s="245" t="s">
        <v>176</v>
      </c>
      <c r="B26" s="361">
        <v>71.099999999999994</v>
      </c>
      <c r="C26" s="361">
        <v>74.699999999999989</v>
      </c>
      <c r="D26" s="361">
        <v>35.6</v>
      </c>
      <c r="E26" s="361">
        <v>41.999999999999986</v>
      </c>
      <c r="F26" s="361">
        <v>141.19999999999999</v>
      </c>
      <c r="G26" s="361">
        <v>51.5</v>
      </c>
      <c r="H26" s="361">
        <v>84.3</v>
      </c>
      <c r="I26" s="361">
        <v>61.499999999999986</v>
      </c>
      <c r="J26" s="361">
        <v>29.999999999999996</v>
      </c>
      <c r="K26" s="361">
        <v>53.850000000000009</v>
      </c>
      <c r="L26" s="361">
        <v>40.200000000000003</v>
      </c>
      <c r="M26" s="361">
        <v>64.599999999999994</v>
      </c>
      <c r="N26" s="361">
        <v>48.5</v>
      </c>
      <c r="O26" s="361">
        <v>68.95</v>
      </c>
      <c r="P26" s="361">
        <v>28.599999999999998</v>
      </c>
      <c r="Q26" s="361">
        <v>51.699999999999996</v>
      </c>
      <c r="R26" s="361">
        <v>62.20000000000001</v>
      </c>
      <c r="S26" s="361">
        <v>47.800000000000004</v>
      </c>
      <c r="T26" s="361">
        <v>31.799999999999997</v>
      </c>
      <c r="U26" s="361">
        <v>73.699999999999989</v>
      </c>
      <c r="V26" s="362">
        <f t="shared" si="11"/>
        <v>51.804999999999993</v>
      </c>
      <c r="W26" s="361">
        <f t="shared" si="12"/>
        <v>58.190000000000012</v>
      </c>
      <c r="X26" s="361">
        <f t="shared" si="13"/>
        <v>6.3850000000000193</v>
      </c>
      <c r="Y26" s="481">
        <f>X26*Forecast!$E$2</f>
        <v>644752.77387399087</v>
      </c>
    </row>
    <row r="27" spans="1:25" x14ac:dyDescent="0.2">
      <c r="A27" s="245" t="s">
        <v>177</v>
      </c>
      <c r="B27" s="361">
        <v>89.999999999999986</v>
      </c>
      <c r="C27" s="361">
        <v>169.20000000000002</v>
      </c>
      <c r="D27" s="361">
        <v>105.29999999999997</v>
      </c>
      <c r="E27" s="361">
        <v>93.09999999999998</v>
      </c>
      <c r="F27" s="361">
        <v>190.70000000000005</v>
      </c>
      <c r="G27" s="361">
        <v>128.49999999999997</v>
      </c>
      <c r="H27" s="361">
        <v>77.499999999999986</v>
      </c>
      <c r="I27" s="361">
        <v>90.299999999999983</v>
      </c>
      <c r="J27" s="361">
        <v>33.1</v>
      </c>
      <c r="K27" s="361">
        <v>123.99999999999999</v>
      </c>
      <c r="L27" s="361">
        <v>158.6</v>
      </c>
      <c r="M27" s="361">
        <v>152.89999999999998</v>
      </c>
      <c r="N27" s="361">
        <v>117.00000000000001</v>
      </c>
      <c r="O27" s="361">
        <v>51</v>
      </c>
      <c r="P27" s="361">
        <v>79.100000000000009</v>
      </c>
      <c r="Q27" s="361">
        <v>140.69999999999996</v>
      </c>
      <c r="R27" s="361">
        <v>88.1</v>
      </c>
      <c r="S27" s="361">
        <v>137.50000000000003</v>
      </c>
      <c r="T27" s="361">
        <v>143.79999999999998</v>
      </c>
      <c r="U27" s="361">
        <v>168.5</v>
      </c>
      <c r="V27" s="362">
        <f t="shared" si="11"/>
        <v>123.72</v>
      </c>
      <c r="W27" s="361">
        <f t="shared" si="12"/>
        <v>116.94499999999998</v>
      </c>
      <c r="X27" s="361">
        <f t="shared" si="13"/>
        <v>-6.7750000000000199</v>
      </c>
      <c r="Y27" s="481">
        <f>X27*Forecast!$E$2</f>
        <v>-684134.69741523697</v>
      </c>
    </row>
    <row r="28" spans="1:25" x14ac:dyDescent="0.2">
      <c r="A28" s="245" t="s">
        <v>178</v>
      </c>
      <c r="B28" s="361">
        <v>137.5</v>
      </c>
      <c r="C28" s="361">
        <v>141.59999999999997</v>
      </c>
      <c r="D28" s="361">
        <v>127.79999999999997</v>
      </c>
      <c r="E28" s="361">
        <v>61.599999999999994</v>
      </c>
      <c r="F28" s="361">
        <v>144.1</v>
      </c>
      <c r="G28" s="361">
        <v>64.400000000000006</v>
      </c>
      <c r="H28" s="361">
        <v>106.49999999999999</v>
      </c>
      <c r="I28" s="361">
        <v>42.4</v>
      </c>
      <c r="J28" s="361">
        <v>74.199999999999974</v>
      </c>
      <c r="K28" s="361">
        <v>103.40000000000003</v>
      </c>
      <c r="L28" s="361">
        <v>88.8</v>
      </c>
      <c r="M28" s="361">
        <v>76.600000000000009</v>
      </c>
      <c r="N28" s="361">
        <v>112.95</v>
      </c>
      <c r="O28" s="361">
        <v>58.949999999999996</v>
      </c>
      <c r="P28" s="361">
        <v>59</v>
      </c>
      <c r="Q28" s="361">
        <v>159.30000000000001</v>
      </c>
      <c r="R28" s="361">
        <v>50.800000000000004</v>
      </c>
      <c r="S28" s="361">
        <v>124.00000000000001</v>
      </c>
      <c r="T28" s="361">
        <v>76</v>
      </c>
      <c r="U28" s="361">
        <v>95.6</v>
      </c>
      <c r="V28" s="362">
        <f t="shared" si="11"/>
        <v>90.2</v>
      </c>
      <c r="W28" s="361">
        <f t="shared" si="12"/>
        <v>95.274999999999977</v>
      </c>
      <c r="X28" s="361">
        <f t="shared" si="13"/>
        <v>5.0749999999999744</v>
      </c>
      <c r="Y28" s="481">
        <f>X28*Forecast!$E$2</f>
        <v>512469.90249185241</v>
      </c>
    </row>
    <row r="29" spans="1:25" x14ac:dyDescent="0.2">
      <c r="A29" s="245" t="s">
        <v>179</v>
      </c>
      <c r="B29" s="361">
        <v>32.700000000000003</v>
      </c>
      <c r="C29" s="361">
        <v>77.299999999999983</v>
      </c>
      <c r="D29" s="361">
        <v>29.000000000000004</v>
      </c>
      <c r="E29" s="361">
        <v>46.699999999999996</v>
      </c>
      <c r="F29" s="361">
        <v>49.79999999999999</v>
      </c>
      <c r="G29" s="361">
        <v>5.6</v>
      </c>
      <c r="H29" s="361">
        <v>41.800000000000004</v>
      </c>
      <c r="I29" s="361">
        <v>25.500000000000004</v>
      </c>
      <c r="J29" s="361">
        <v>12</v>
      </c>
      <c r="K29" s="361">
        <v>25.490909090909085</v>
      </c>
      <c r="L29" s="361">
        <v>29.45</v>
      </c>
      <c r="M29" s="361">
        <v>28.900000000000002</v>
      </c>
      <c r="N29" s="361">
        <v>22.9</v>
      </c>
      <c r="O29" s="361">
        <v>27.500000000000004</v>
      </c>
      <c r="P29" s="361">
        <v>54.4</v>
      </c>
      <c r="Q29" s="361">
        <v>48.05</v>
      </c>
      <c r="R29" s="361">
        <v>49.3</v>
      </c>
      <c r="S29" s="361">
        <v>69.3</v>
      </c>
      <c r="T29" s="361">
        <v>11.6</v>
      </c>
      <c r="U29" s="361">
        <v>23.399999999999995</v>
      </c>
      <c r="V29" s="362">
        <f t="shared" si="11"/>
        <v>36.480000000000004</v>
      </c>
      <c r="W29" s="361">
        <f t="shared" si="12"/>
        <v>35.534545454545444</v>
      </c>
      <c r="X29" s="361">
        <f t="shared" si="13"/>
        <v>-0.94545454545455954</v>
      </c>
      <c r="Y29" s="481">
        <f>X29*Forecast!$E$2</f>
        <v>-95471.329796961421</v>
      </c>
    </row>
    <row r="30" spans="1:25" x14ac:dyDescent="0.2">
      <c r="A30" s="245" t="s">
        <v>180</v>
      </c>
      <c r="B30" s="361">
        <v>3.7</v>
      </c>
      <c r="C30" s="361">
        <v>11.600000000000001</v>
      </c>
      <c r="D30" s="361">
        <v>1</v>
      </c>
      <c r="E30" s="361">
        <v>0.3</v>
      </c>
      <c r="F30" s="361">
        <v>8.6999999999999993</v>
      </c>
      <c r="G30" s="361">
        <v>0</v>
      </c>
      <c r="H30" s="361">
        <v>20.200000000000003</v>
      </c>
      <c r="I30" s="361">
        <v>0</v>
      </c>
      <c r="J30" s="361">
        <v>0</v>
      </c>
      <c r="K30" s="361">
        <v>0.1</v>
      </c>
      <c r="L30" s="361">
        <v>0</v>
      </c>
      <c r="M30" s="361">
        <v>0.8</v>
      </c>
      <c r="N30" s="361">
        <v>4.1999999999999993</v>
      </c>
      <c r="O30" s="361">
        <v>5.9</v>
      </c>
      <c r="P30" s="361">
        <v>0.9</v>
      </c>
      <c r="Q30" s="361">
        <v>5.0999999999999996</v>
      </c>
      <c r="R30" s="361">
        <v>6.4</v>
      </c>
      <c r="S30" s="361">
        <v>11.100000000000001</v>
      </c>
      <c r="T30" s="361">
        <v>3.9</v>
      </c>
      <c r="U30" s="361">
        <v>0</v>
      </c>
      <c r="V30" s="362">
        <f t="shared" si="11"/>
        <v>3.8299999999999996</v>
      </c>
      <c r="W30" s="361">
        <f t="shared" si="12"/>
        <v>4.1950000000000003</v>
      </c>
      <c r="X30" s="361">
        <f t="shared" si="13"/>
        <v>0.36500000000000066</v>
      </c>
      <c r="Y30" s="481">
        <f>X30*Forecast!$E$2</f>
        <v>36857.441262961067</v>
      </c>
    </row>
    <row r="31" spans="1:25" x14ac:dyDescent="0.2">
      <c r="A31" s="245" t="s">
        <v>181</v>
      </c>
      <c r="B31" s="361">
        <v>0</v>
      </c>
      <c r="C31" s="361">
        <v>0</v>
      </c>
      <c r="D31" s="361">
        <v>0</v>
      </c>
      <c r="E31" s="361">
        <v>0</v>
      </c>
      <c r="F31" s="361">
        <v>0</v>
      </c>
      <c r="G31" s="361">
        <v>0</v>
      </c>
      <c r="H31" s="361">
        <v>0</v>
      </c>
      <c r="I31" s="361">
        <v>0</v>
      </c>
      <c r="J31" s="361">
        <v>0</v>
      </c>
      <c r="K31" s="361">
        <v>0</v>
      </c>
      <c r="L31" s="361">
        <v>0</v>
      </c>
      <c r="M31" s="361">
        <v>0</v>
      </c>
      <c r="N31" s="361">
        <v>0</v>
      </c>
      <c r="O31" s="361">
        <v>0</v>
      </c>
      <c r="P31" s="361">
        <v>0</v>
      </c>
      <c r="Q31" s="361">
        <v>0</v>
      </c>
      <c r="R31" s="361">
        <v>0</v>
      </c>
      <c r="S31" s="361">
        <v>0</v>
      </c>
      <c r="T31" s="361">
        <v>0</v>
      </c>
      <c r="U31" s="361">
        <v>0</v>
      </c>
      <c r="V31" s="362">
        <f t="shared" si="11"/>
        <v>0</v>
      </c>
      <c r="W31" s="361">
        <f t="shared" si="12"/>
        <v>0</v>
      </c>
      <c r="X31" s="361">
        <f t="shared" si="13"/>
        <v>0</v>
      </c>
      <c r="Y31" s="481">
        <f>X31*Forecast!$E$2</f>
        <v>0</v>
      </c>
    </row>
    <row r="32" spans="1:25" x14ac:dyDescent="0.2">
      <c r="A32" s="245" t="s">
        <v>182</v>
      </c>
      <c r="B32" s="361">
        <v>0</v>
      </c>
      <c r="C32" s="361">
        <v>0</v>
      </c>
      <c r="D32" s="361">
        <v>0</v>
      </c>
      <c r="E32" s="361">
        <v>0</v>
      </c>
      <c r="F32" s="361">
        <v>0</v>
      </c>
      <c r="G32" s="361">
        <v>0</v>
      </c>
      <c r="H32" s="361">
        <v>0</v>
      </c>
      <c r="I32" s="361">
        <v>0</v>
      </c>
      <c r="J32" s="361">
        <v>0</v>
      </c>
      <c r="K32" s="361">
        <v>0</v>
      </c>
      <c r="L32" s="361">
        <v>0</v>
      </c>
      <c r="M32" s="361">
        <v>0</v>
      </c>
      <c r="N32" s="361">
        <v>0</v>
      </c>
      <c r="O32" s="361">
        <v>0</v>
      </c>
      <c r="P32" s="361">
        <v>0</v>
      </c>
      <c r="Q32" s="361">
        <v>0</v>
      </c>
      <c r="R32" s="361">
        <v>0</v>
      </c>
      <c r="S32" s="361">
        <v>0</v>
      </c>
      <c r="T32" s="361">
        <v>0</v>
      </c>
      <c r="U32" s="361">
        <v>0</v>
      </c>
      <c r="V32" s="362">
        <f t="shared" si="11"/>
        <v>0</v>
      </c>
      <c r="W32" s="361">
        <f t="shared" si="12"/>
        <v>0</v>
      </c>
      <c r="X32" s="361">
        <f t="shared" si="13"/>
        <v>0</v>
      </c>
      <c r="Y32" s="481">
        <f>X32*Forecast!$E$2</f>
        <v>0</v>
      </c>
    </row>
    <row r="33" spans="1:25" x14ac:dyDescent="0.2">
      <c r="A33" s="245" t="s">
        <v>77</v>
      </c>
      <c r="B33" s="480">
        <f>SUM(B21:B32)</f>
        <v>337.59999999999997</v>
      </c>
      <c r="C33" s="480">
        <f t="shared" ref="C33" si="14">SUM(C21:C32)</f>
        <v>488.29999999999995</v>
      </c>
      <c r="D33" s="480">
        <f t="shared" ref="D33" si="15">SUM(D21:D32)</f>
        <v>298.69999999999993</v>
      </c>
      <c r="E33" s="480">
        <f t="shared" ref="E33" si="16">SUM(E21:E32)</f>
        <v>261.59999999999997</v>
      </c>
      <c r="F33" s="480">
        <f t="shared" ref="F33" si="17">SUM(F21:F32)</f>
        <v>534.5</v>
      </c>
      <c r="G33" s="480">
        <f t="shared" ref="G33" si="18">SUM(G21:G32)</f>
        <v>267.89999999999998</v>
      </c>
      <c r="H33" s="480">
        <f t="shared" ref="H33" si="19">SUM(H21:H32)</f>
        <v>345.7</v>
      </c>
      <c r="I33" s="480">
        <f t="shared" ref="I33" si="20">SUM(I21:I32)</f>
        <v>219.69999999999996</v>
      </c>
      <c r="J33" s="480">
        <f t="shared" ref="J33" si="21">SUM(J21:J32)</f>
        <v>153.09999999999997</v>
      </c>
      <c r="K33" s="480">
        <f t="shared" ref="K33" si="22">SUM(K21:K32)</f>
        <v>334.34090909090912</v>
      </c>
      <c r="L33" s="480">
        <f t="shared" ref="L33" si="23">SUM(L21:L32)</f>
        <v>329.95</v>
      </c>
      <c r="M33" s="480">
        <f t="shared" ref="M33" si="24">SUM(M21:M32)</f>
        <v>352.7</v>
      </c>
      <c r="N33" s="480">
        <f t="shared" ref="N33" si="25">SUM(N21:N32)</f>
        <v>329.75</v>
      </c>
      <c r="O33" s="480">
        <f t="shared" ref="O33" si="26">SUM(O21:O32)</f>
        <v>219.6</v>
      </c>
      <c r="P33" s="480">
        <f t="shared" ref="P33" si="27">SUM(P21:P32)</f>
        <v>256.2</v>
      </c>
      <c r="Q33" s="480">
        <f t="shared" ref="Q33" si="28">SUM(Q21:Q32)</f>
        <v>429.25</v>
      </c>
      <c r="R33" s="480">
        <f t="shared" ref="R33" si="29">SUM(R21:R32)</f>
        <v>263.8</v>
      </c>
      <c r="S33" s="480">
        <f t="shared" ref="S33" si="30">SUM(S21:S32)</f>
        <v>419.7000000000001</v>
      </c>
      <c r="T33" s="480">
        <f t="shared" ref="T33" si="31">SUM(T21:T32)</f>
        <v>268.89999999999998</v>
      </c>
      <c r="U33" s="480">
        <f t="shared" ref="U33" si="32">SUM(U21:U32)</f>
        <v>384</v>
      </c>
      <c r="V33" s="480">
        <f t="shared" ref="V33" si="33">SUM(V21:V32)</f>
        <v>325.38499999999999</v>
      </c>
      <c r="W33" s="480">
        <f t="shared" ref="W33" si="34">SUM(W21:W32)</f>
        <v>324.76454545454538</v>
      </c>
      <c r="X33" s="480">
        <f t="shared" ref="X33" si="35">SUM(X21:X32)</f>
        <v>-0.62045454545458734</v>
      </c>
      <c r="Y33" s="482">
        <f t="shared" ref="Y33" si="36">SUM(Y21:Y32)</f>
        <v>-62653.060179259257</v>
      </c>
    </row>
    <row r="35" spans="1:25" x14ac:dyDescent="0.2">
      <c r="X35" s="485" t="s">
        <v>250</v>
      </c>
      <c r="Y35" s="483">
        <f>Y16+Y33</f>
        <v>-213892.23226462209</v>
      </c>
    </row>
    <row r="36" spans="1:25" x14ac:dyDescent="0.2">
      <c r="X36" s="485" t="s">
        <v>251</v>
      </c>
      <c r="Y36" s="484">
        <f>Y35/'Final LF '!I41</f>
        <v>-4.6568616398761286E-4</v>
      </c>
    </row>
  </sheetData>
  <sheetProtection selectLockedCells="1" selectUnlockedCells="1"/>
  <mergeCells count="5">
    <mergeCell ref="AE4:AF4"/>
    <mergeCell ref="AC4:AD4"/>
    <mergeCell ref="AG4:AH4"/>
    <mergeCell ref="AI4:AK4"/>
    <mergeCell ref="AB2:AK2"/>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zoomScaleNormal="100" workbookViewId="0">
      <selection activeCell="I22" sqref="I22"/>
    </sheetView>
  </sheetViews>
  <sheetFormatPr defaultColWidth="9.33203125" defaultRowHeight="12.75" x14ac:dyDescent="0.2"/>
  <cols>
    <col min="1" max="1" width="28.33203125" style="146" bestFit="1" customWidth="1"/>
    <col min="2" max="2" width="18" style="416" customWidth="1"/>
    <col min="3" max="3" width="16.5" style="421" customWidth="1"/>
    <col min="4" max="7" width="16.5" style="215" customWidth="1"/>
    <col min="8" max="8" width="18" style="416" customWidth="1"/>
    <col min="9" max="9" width="22.33203125" style="150" customWidth="1"/>
    <col min="10" max="29" width="17" style="145" customWidth="1"/>
    <col min="30" max="30" width="10" style="144" bestFit="1" customWidth="1"/>
    <col min="31" max="31" width="9.33203125" style="144"/>
    <col min="32" max="47" width="8.83203125" customWidth="1"/>
    <col min="48" max="16384" width="9.33203125" style="144"/>
  </cols>
  <sheetData>
    <row r="2" spans="1:47" ht="13.5" thickBot="1" x14ac:dyDescent="0.25"/>
    <row r="3" spans="1:47" ht="22.5" customHeight="1" x14ac:dyDescent="0.2">
      <c r="A3" s="505" t="s">
        <v>111</v>
      </c>
      <c r="B3" s="506"/>
      <c r="C3" s="506"/>
      <c r="D3" s="506"/>
      <c r="E3" s="506"/>
      <c r="F3" s="506"/>
      <c r="G3" s="506"/>
      <c r="H3" s="507"/>
      <c r="I3" s="203"/>
      <c r="J3" s="505" t="s">
        <v>91</v>
      </c>
      <c r="K3" s="506"/>
      <c r="L3" s="506"/>
      <c r="M3" s="506"/>
      <c r="N3" s="506"/>
      <c r="O3" s="506"/>
      <c r="P3" s="506"/>
      <c r="Q3" s="506"/>
      <c r="R3" s="506"/>
      <c r="S3" s="506"/>
      <c r="T3" s="506"/>
      <c r="U3" s="506"/>
      <c r="V3" s="506"/>
      <c r="W3" s="506"/>
      <c r="X3" s="506"/>
      <c r="Y3" s="507"/>
      <c r="Z3" s="389"/>
      <c r="AA3" s="389"/>
      <c r="AB3" s="389"/>
      <c r="AC3" s="389"/>
    </row>
    <row r="4" spans="1:47" ht="33.75" x14ac:dyDescent="0.2">
      <c r="A4" s="204"/>
      <c r="B4" s="417" t="s">
        <v>90</v>
      </c>
      <c r="C4" s="422" t="s">
        <v>210</v>
      </c>
      <c r="D4" s="422" t="s">
        <v>210</v>
      </c>
      <c r="E4" s="422" t="s">
        <v>210</v>
      </c>
      <c r="F4" s="201" t="s">
        <v>211</v>
      </c>
      <c r="G4" s="201" t="s">
        <v>211</v>
      </c>
      <c r="H4" s="417" t="s">
        <v>89</v>
      </c>
      <c r="I4" s="200"/>
      <c r="J4" s="201" t="s">
        <v>48</v>
      </c>
      <c r="K4" s="201" t="s">
        <v>49</v>
      </c>
      <c r="L4" s="201" t="s">
        <v>212</v>
      </c>
      <c r="M4" s="201"/>
      <c r="N4" s="201" t="s">
        <v>161</v>
      </c>
      <c r="O4" s="201" t="s">
        <v>196</v>
      </c>
      <c r="P4" s="201" t="s">
        <v>197</v>
      </c>
      <c r="Q4" s="201" t="s">
        <v>198</v>
      </c>
      <c r="R4" s="201" t="s">
        <v>199</v>
      </c>
      <c r="S4" s="201" t="s">
        <v>200</v>
      </c>
      <c r="T4" s="201" t="s">
        <v>201</v>
      </c>
      <c r="U4" s="201" t="s">
        <v>202</v>
      </c>
      <c r="V4" s="201" t="s">
        <v>203</v>
      </c>
      <c r="W4" s="201" t="s">
        <v>204</v>
      </c>
      <c r="X4" s="201" t="s">
        <v>205</v>
      </c>
      <c r="Y4" s="201" t="s">
        <v>206</v>
      </c>
      <c r="Z4" s="201" t="s">
        <v>194</v>
      </c>
      <c r="AA4" s="201" t="s">
        <v>209</v>
      </c>
      <c r="AB4" s="201" t="s">
        <v>207</v>
      </c>
      <c r="AC4" s="201" t="s">
        <v>208</v>
      </c>
    </row>
    <row r="5" spans="1:47" s="449" customFormat="1" x14ac:dyDescent="0.2">
      <c r="A5" s="205">
        <v>40544</v>
      </c>
      <c r="B5" s="418">
        <v>52646061.059999987</v>
      </c>
      <c r="C5" s="423">
        <v>589</v>
      </c>
      <c r="D5" s="279"/>
      <c r="E5" s="279"/>
      <c r="F5" s="279">
        <v>2441151.42</v>
      </c>
      <c r="G5" s="279"/>
      <c r="H5" s="418">
        <f t="shared" ref="H5:H57" si="0">B5+SUM(C5:E5)-SUM(F5:G5)</f>
        <v>50205498.639999986</v>
      </c>
      <c r="I5" s="159"/>
      <c r="J5" s="280">
        <v>794.6</v>
      </c>
      <c r="K5" s="280">
        <v>0</v>
      </c>
      <c r="L5" s="280">
        <v>598792.7894369252</v>
      </c>
      <c r="M5" s="273"/>
      <c r="N5" s="273">
        <v>31</v>
      </c>
      <c r="O5" s="280">
        <v>0</v>
      </c>
      <c r="P5" s="280">
        <v>131.4</v>
      </c>
      <c r="Q5" s="280">
        <v>5.5</v>
      </c>
      <c r="R5" s="280">
        <v>61.3</v>
      </c>
      <c r="S5" s="280">
        <v>58</v>
      </c>
      <c r="T5" s="280">
        <v>76.2</v>
      </c>
      <c r="U5" s="280">
        <v>336.4</v>
      </c>
      <c r="V5" s="280">
        <v>9.6999999999999993</v>
      </c>
      <c r="W5" s="280">
        <v>63</v>
      </c>
      <c r="X5" s="280">
        <v>56.9</v>
      </c>
      <c r="Y5" s="280">
        <v>191.3</v>
      </c>
      <c r="Z5" s="280">
        <v>28443</v>
      </c>
      <c r="AA5" s="280">
        <v>117.8</v>
      </c>
      <c r="AB5" s="280">
        <v>147.5</v>
      </c>
      <c r="AC5" s="280">
        <v>117.5</v>
      </c>
      <c r="AF5"/>
      <c r="AG5"/>
      <c r="AH5"/>
      <c r="AI5"/>
      <c r="AJ5"/>
      <c r="AK5"/>
      <c r="AL5"/>
      <c r="AM5"/>
      <c r="AN5"/>
      <c r="AO5"/>
      <c r="AP5"/>
      <c r="AQ5"/>
      <c r="AR5"/>
      <c r="AS5"/>
      <c r="AT5"/>
      <c r="AU5"/>
    </row>
    <row r="6" spans="1:47" s="449" customFormat="1" x14ac:dyDescent="0.2">
      <c r="A6" s="205">
        <v>40575</v>
      </c>
      <c r="B6" s="418">
        <v>47886036.089999989</v>
      </c>
      <c r="C6" s="423">
        <v>1257</v>
      </c>
      <c r="D6" s="279"/>
      <c r="E6" s="279"/>
      <c r="F6" s="279">
        <v>2704319.6900000009</v>
      </c>
      <c r="G6" s="279"/>
      <c r="H6" s="418">
        <f t="shared" si="0"/>
        <v>45182973.399999991</v>
      </c>
      <c r="I6" s="159"/>
      <c r="J6" s="280">
        <v>645.29999999999995</v>
      </c>
      <c r="K6" s="280">
        <v>0</v>
      </c>
      <c r="L6" s="280">
        <v>598931.6369771919</v>
      </c>
      <c r="M6" s="273"/>
      <c r="N6" s="273">
        <v>28</v>
      </c>
      <c r="O6" s="280">
        <v>0</v>
      </c>
      <c r="P6" s="280">
        <v>131.5</v>
      </c>
      <c r="Q6" s="280">
        <v>5.8</v>
      </c>
      <c r="R6" s="280">
        <v>61.5</v>
      </c>
      <c r="S6" s="280">
        <v>57.9</v>
      </c>
      <c r="T6" s="280">
        <v>76.2</v>
      </c>
      <c r="U6" s="280">
        <v>336.4</v>
      </c>
      <c r="V6" s="280">
        <v>10.1</v>
      </c>
      <c r="W6" s="280">
        <v>62.8</v>
      </c>
      <c r="X6" s="280">
        <v>56.4</v>
      </c>
      <c r="Y6" s="280">
        <v>189.7</v>
      </c>
      <c r="Z6" s="280">
        <v>28447</v>
      </c>
      <c r="AA6" s="280">
        <v>118</v>
      </c>
      <c r="AB6" s="280">
        <v>145</v>
      </c>
      <c r="AC6" s="280">
        <v>117.9</v>
      </c>
      <c r="AE6" s="450"/>
      <c r="AF6"/>
      <c r="AG6"/>
      <c r="AH6"/>
      <c r="AI6"/>
      <c r="AJ6"/>
      <c r="AK6"/>
      <c r="AL6"/>
      <c r="AM6"/>
      <c r="AN6"/>
      <c r="AO6"/>
      <c r="AP6"/>
      <c r="AQ6"/>
      <c r="AR6"/>
      <c r="AS6"/>
      <c r="AT6"/>
      <c r="AU6"/>
    </row>
    <row r="7" spans="1:47" s="449" customFormat="1" x14ac:dyDescent="0.2">
      <c r="A7" s="205">
        <v>40603</v>
      </c>
      <c r="B7" s="418">
        <v>50044994.409999982</v>
      </c>
      <c r="C7" s="423">
        <v>5577</v>
      </c>
      <c r="D7" s="279"/>
      <c r="E7" s="279"/>
      <c r="F7" s="279">
        <v>3125361.2200000007</v>
      </c>
      <c r="G7" s="279"/>
      <c r="H7" s="418">
        <f t="shared" si="0"/>
        <v>46925210.189999983</v>
      </c>
      <c r="I7" s="159"/>
      <c r="J7" s="280">
        <v>568.6</v>
      </c>
      <c r="K7" s="280">
        <v>0</v>
      </c>
      <c r="L7" s="280">
        <v>599070.48451745859</v>
      </c>
      <c r="M7" s="273"/>
      <c r="N7" s="273">
        <v>31</v>
      </c>
      <c r="O7" s="280">
        <v>1</v>
      </c>
      <c r="P7" s="280">
        <v>131.69999999999999</v>
      </c>
      <c r="Q7" s="280">
        <v>6.4</v>
      </c>
      <c r="R7" s="280">
        <v>61.6</v>
      </c>
      <c r="S7" s="280">
        <v>57.6</v>
      </c>
      <c r="T7" s="280">
        <v>75.900000000000006</v>
      </c>
      <c r="U7" s="280">
        <v>336.4</v>
      </c>
      <c r="V7" s="280">
        <v>10.3</v>
      </c>
      <c r="W7" s="280">
        <v>62.9</v>
      </c>
      <c r="X7" s="280">
        <v>56.4</v>
      </c>
      <c r="Y7" s="280">
        <v>189.7</v>
      </c>
      <c r="Z7" s="280">
        <v>28437</v>
      </c>
      <c r="AA7" s="280">
        <v>119.4</v>
      </c>
      <c r="AB7" s="280">
        <v>150.9</v>
      </c>
      <c r="AC7" s="280">
        <v>119.4</v>
      </c>
      <c r="AF7"/>
      <c r="AG7"/>
      <c r="AH7"/>
      <c r="AI7"/>
      <c r="AJ7"/>
      <c r="AK7"/>
      <c r="AL7"/>
      <c r="AM7"/>
      <c r="AN7"/>
      <c r="AO7"/>
      <c r="AP7"/>
      <c r="AQ7"/>
      <c r="AR7"/>
      <c r="AS7"/>
      <c r="AT7"/>
      <c r="AU7"/>
    </row>
    <row r="8" spans="1:47" s="449" customFormat="1" x14ac:dyDescent="0.2">
      <c r="A8" s="205">
        <v>40634</v>
      </c>
      <c r="B8" s="418">
        <v>43929197.81000001</v>
      </c>
      <c r="C8" s="423">
        <v>3152</v>
      </c>
      <c r="D8" s="279"/>
      <c r="E8" s="279"/>
      <c r="F8" s="279">
        <v>3321191.3899999997</v>
      </c>
      <c r="G8" s="279"/>
      <c r="H8" s="418">
        <f t="shared" si="0"/>
        <v>40611158.420000009</v>
      </c>
      <c r="I8" s="159"/>
      <c r="J8" s="280">
        <v>324.89999999999998</v>
      </c>
      <c r="K8" s="280">
        <v>0.4</v>
      </c>
      <c r="L8" s="280">
        <v>599209.33205772529</v>
      </c>
      <c r="M8" s="273"/>
      <c r="N8" s="273">
        <v>30</v>
      </c>
      <c r="O8" s="280">
        <v>1</v>
      </c>
      <c r="P8" s="280">
        <v>131.80000000000001</v>
      </c>
      <c r="Q8" s="280">
        <v>6.6</v>
      </c>
      <c r="R8" s="280">
        <v>63.1</v>
      </c>
      <c r="S8" s="280">
        <v>59</v>
      </c>
      <c r="T8" s="280">
        <v>77.7</v>
      </c>
      <c r="U8" s="280">
        <v>336.5</v>
      </c>
      <c r="V8" s="280">
        <v>9.6999999999999993</v>
      </c>
      <c r="W8" s="280">
        <v>62.8</v>
      </c>
      <c r="X8" s="280">
        <v>56.7</v>
      </c>
      <c r="Y8" s="280">
        <v>190.7</v>
      </c>
      <c r="Z8" s="280">
        <v>28398</v>
      </c>
      <c r="AA8" s="280">
        <v>119.9</v>
      </c>
      <c r="AB8" s="280">
        <v>158.19999999999999</v>
      </c>
      <c r="AC8" s="280">
        <v>119.8</v>
      </c>
      <c r="AF8"/>
      <c r="AG8"/>
      <c r="AH8"/>
      <c r="AI8"/>
      <c r="AJ8"/>
      <c r="AK8"/>
      <c r="AL8"/>
      <c r="AM8"/>
      <c r="AN8"/>
      <c r="AO8"/>
      <c r="AP8"/>
      <c r="AQ8"/>
      <c r="AR8"/>
      <c r="AS8"/>
      <c r="AT8"/>
      <c r="AU8"/>
    </row>
    <row r="9" spans="1:47" s="449" customFormat="1" x14ac:dyDescent="0.2">
      <c r="A9" s="205">
        <v>40664</v>
      </c>
      <c r="B9" s="418">
        <v>43129960.770000003</v>
      </c>
      <c r="C9" s="423">
        <v>63138.05</v>
      </c>
      <c r="D9" s="279"/>
      <c r="E9" s="279"/>
      <c r="F9" s="279">
        <v>3099187.8399999989</v>
      </c>
      <c r="G9" s="279"/>
      <c r="H9" s="418">
        <f t="shared" si="0"/>
        <v>40093910.980000004</v>
      </c>
      <c r="I9" s="159"/>
      <c r="J9" s="280">
        <v>136</v>
      </c>
      <c r="K9" s="280">
        <v>12.5</v>
      </c>
      <c r="L9" s="280">
        <v>599348.17959799198</v>
      </c>
      <c r="M9" s="273"/>
      <c r="N9" s="273">
        <v>31</v>
      </c>
      <c r="O9" s="280">
        <v>1</v>
      </c>
      <c r="P9" s="280">
        <v>132</v>
      </c>
      <c r="Q9" s="280">
        <v>7</v>
      </c>
      <c r="R9" s="280">
        <v>64.2</v>
      </c>
      <c r="S9" s="280">
        <v>59.7</v>
      </c>
      <c r="T9" s="280">
        <v>78.8</v>
      </c>
      <c r="U9" s="280">
        <v>336.5</v>
      </c>
      <c r="V9" s="280">
        <v>9.1</v>
      </c>
      <c r="W9" s="280">
        <v>63.2</v>
      </c>
      <c r="X9" s="280">
        <v>57.4</v>
      </c>
      <c r="Y9" s="280">
        <v>193.3</v>
      </c>
      <c r="Z9" s="280">
        <v>28386</v>
      </c>
      <c r="AA9" s="280">
        <v>120.9</v>
      </c>
      <c r="AB9" s="280">
        <v>162.19999999999999</v>
      </c>
      <c r="AC9" s="280">
        <v>120.8</v>
      </c>
      <c r="AF9"/>
      <c r="AG9"/>
      <c r="AH9"/>
      <c r="AI9"/>
      <c r="AJ9"/>
      <c r="AK9"/>
      <c r="AL9"/>
      <c r="AM9"/>
      <c r="AN9"/>
      <c r="AO9"/>
      <c r="AP9"/>
      <c r="AQ9"/>
      <c r="AR9"/>
      <c r="AS9"/>
      <c r="AT9"/>
      <c r="AU9"/>
    </row>
    <row r="10" spans="1:47" s="449" customFormat="1" x14ac:dyDescent="0.2">
      <c r="A10" s="205">
        <v>40695</v>
      </c>
      <c r="B10" s="418">
        <v>45531832.089999981</v>
      </c>
      <c r="C10" s="423">
        <v>29248.799999999999</v>
      </c>
      <c r="D10" s="279"/>
      <c r="E10" s="279"/>
      <c r="F10" s="279">
        <v>3190370.7100000004</v>
      </c>
      <c r="G10" s="279"/>
      <c r="H10" s="418">
        <f t="shared" si="0"/>
        <v>42370710.179999977</v>
      </c>
      <c r="I10" s="159"/>
      <c r="J10" s="280">
        <v>22.7</v>
      </c>
      <c r="K10" s="280">
        <v>40.200000000000003</v>
      </c>
      <c r="L10" s="280">
        <v>599487.02713825868</v>
      </c>
      <c r="M10" s="273"/>
      <c r="N10" s="273">
        <v>30</v>
      </c>
      <c r="O10" s="280">
        <v>0</v>
      </c>
      <c r="P10" s="280">
        <v>132.19999999999999</v>
      </c>
      <c r="Q10" s="280">
        <v>7.1</v>
      </c>
      <c r="R10" s="280">
        <v>66</v>
      </c>
      <c r="S10" s="280">
        <v>61.3</v>
      </c>
      <c r="T10" s="280">
        <v>81</v>
      </c>
      <c r="U10" s="280">
        <v>336.6</v>
      </c>
      <c r="V10" s="280">
        <v>8.1</v>
      </c>
      <c r="W10" s="280">
        <v>63.8</v>
      </c>
      <c r="X10" s="280">
        <v>58.6</v>
      </c>
      <c r="Y10" s="280">
        <v>197.3</v>
      </c>
      <c r="Z10" s="280">
        <v>28410</v>
      </c>
      <c r="AA10" s="280">
        <v>120.2</v>
      </c>
      <c r="AB10" s="280">
        <v>159</v>
      </c>
      <c r="AC10" s="280">
        <v>120.2</v>
      </c>
      <c r="AF10"/>
      <c r="AG10"/>
      <c r="AH10"/>
      <c r="AI10"/>
      <c r="AJ10"/>
      <c r="AK10"/>
      <c r="AL10"/>
      <c r="AM10"/>
      <c r="AN10"/>
      <c r="AO10"/>
      <c r="AP10"/>
      <c r="AQ10"/>
      <c r="AR10"/>
      <c r="AS10"/>
      <c r="AT10"/>
      <c r="AU10"/>
    </row>
    <row r="11" spans="1:47" s="449" customFormat="1" x14ac:dyDescent="0.2">
      <c r="A11" s="205">
        <v>40725</v>
      </c>
      <c r="B11" s="418">
        <v>56530774.029999986</v>
      </c>
      <c r="C11" s="423">
        <v>27777.56</v>
      </c>
      <c r="D11" s="279"/>
      <c r="E11" s="279"/>
      <c r="F11" s="279">
        <v>4009900.3600000003</v>
      </c>
      <c r="G11" s="279"/>
      <c r="H11" s="418">
        <f t="shared" si="0"/>
        <v>52548651.229999989</v>
      </c>
      <c r="I11" s="159"/>
      <c r="J11" s="280">
        <v>0.2</v>
      </c>
      <c r="K11" s="280">
        <v>158.6</v>
      </c>
      <c r="L11" s="280">
        <v>599625.87467852538</v>
      </c>
      <c r="M11" s="273"/>
      <c r="N11" s="273">
        <v>31</v>
      </c>
      <c r="O11" s="280">
        <v>0</v>
      </c>
      <c r="P11" s="280">
        <v>132.5</v>
      </c>
      <c r="Q11" s="280">
        <v>7.8</v>
      </c>
      <c r="R11" s="280">
        <v>66.400000000000006</v>
      </c>
      <c r="S11" s="280">
        <v>61.3</v>
      </c>
      <c r="T11" s="280">
        <v>81.2</v>
      </c>
      <c r="U11" s="280">
        <v>336.8</v>
      </c>
      <c r="V11" s="280">
        <v>7.7</v>
      </c>
      <c r="W11" s="280">
        <v>64.400000000000006</v>
      </c>
      <c r="X11" s="280">
        <v>59.4</v>
      </c>
      <c r="Y11" s="280">
        <v>200.1</v>
      </c>
      <c r="Z11" s="280">
        <v>28362</v>
      </c>
      <c r="AA11" s="280">
        <v>120.5</v>
      </c>
      <c r="AB11" s="280">
        <v>159.69999999999999</v>
      </c>
      <c r="AC11" s="280">
        <v>120.4</v>
      </c>
      <c r="AF11"/>
      <c r="AG11"/>
      <c r="AH11"/>
      <c r="AI11"/>
      <c r="AJ11"/>
      <c r="AK11"/>
      <c r="AL11"/>
      <c r="AM11"/>
      <c r="AN11"/>
      <c r="AO11"/>
      <c r="AP11"/>
      <c r="AQ11"/>
      <c r="AR11"/>
      <c r="AS11"/>
      <c r="AT11"/>
      <c r="AU11"/>
    </row>
    <row r="12" spans="1:47" s="449" customFormat="1" x14ac:dyDescent="0.2">
      <c r="A12" s="205">
        <v>40756</v>
      </c>
      <c r="B12" s="418">
        <v>53168646.089999974</v>
      </c>
      <c r="C12" s="423">
        <v>13714.2</v>
      </c>
      <c r="D12" s="279"/>
      <c r="E12" s="279"/>
      <c r="F12" s="279">
        <v>3729678.1199999996</v>
      </c>
      <c r="G12" s="279"/>
      <c r="H12" s="418">
        <f t="shared" si="0"/>
        <v>49452682.169999979</v>
      </c>
      <c r="I12" s="159"/>
      <c r="J12" s="280">
        <v>4.0999999999999996</v>
      </c>
      <c r="K12" s="280">
        <v>88.8</v>
      </c>
      <c r="L12" s="280">
        <v>599764.72221879207</v>
      </c>
      <c r="M12" s="273"/>
      <c r="N12" s="273">
        <v>31</v>
      </c>
      <c r="O12" s="280">
        <v>0</v>
      </c>
      <c r="P12" s="280">
        <v>132.69999999999999</v>
      </c>
      <c r="Q12" s="280">
        <v>8</v>
      </c>
      <c r="R12" s="280">
        <v>67.099999999999994</v>
      </c>
      <c r="S12" s="280">
        <v>61.8</v>
      </c>
      <c r="T12" s="280">
        <v>82</v>
      </c>
      <c r="U12" s="280">
        <v>337</v>
      </c>
      <c r="V12" s="280">
        <v>7.7</v>
      </c>
      <c r="W12" s="280">
        <v>64.900000000000006</v>
      </c>
      <c r="X12" s="280">
        <v>59.9</v>
      </c>
      <c r="Y12" s="280">
        <v>201.8</v>
      </c>
      <c r="Z12" s="280">
        <v>28364</v>
      </c>
      <c r="AA12" s="280">
        <v>120.6</v>
      </c>
      <c r="AB12" s="280">
        <v>158.5</v>
      </c>
      <c r="AC12" s="280">
        <v>120.5</v>
      </c>
      <c r="AF12"/>
      <c r="AG12"/>
      <c r="AH12"/>
      <c r="AI12"/>
      <c r="AJ12"/>
      <c r="AK12"/>
      <c r="AL12"/>
      <c r="AM12"/>
      <c r="AN12"/>
      <c r="AO12"/>
      <c r="AP12"/>
      <c r="AQ12"/>
      <c r="AR12"/>
      <c r="AS12"/>
      <c r="AT12"/>
      <c r="AU12"/>
    </row>
    <row r="13" spans="1:47" s="449" customFormat="1" x14ac:dyDescent="0.2">
      <c r="A13" s="205">
        <v>40787</v>
      </c>
      <c r="B13" s="418">
        <v>45998198.719999947</v>
      </c>
      <c r="C13" s="423">
        <v>9699.6</v>
      </c>
      <c r="D13" s="279"/>
      <c r="E13" s="279"/>
      <c r="F13" s="279">
        <v>4082493.1</v>
      </c>
      <c r="G13" s="279"/>
      <c r="H13" s="418">
        <f t="shared" si="0"/>
        <v>41925405.219999947</v>
      </c>
      <c r="I13" s="159"/>
      <c r="J13" s="280">
        <v>55.5</v>
      </c>
      <c r="K13" s="280">
        <v>29.5</v>
      </c>
      <c r="L13" s="280">
        <v>599903.56975905877</v>
      </c>
      <c r="M13" s="273"/>
      <c r="N13" s="273">
        <v>30</v>
      </c>
      <c r="O13" s="280">
        <v>1</v>
      </c>
      <c r="P13" s="280">
        <v>132.9</v>
      </c>
      <c r="Q13" s="280">
        <v>7.4</v>
      </c>
      <c r="R13" s="280">
        <v>65.400000000000006</v>
      </c>
      <c r="S13" s="280">
        <v>60.6</v>
      </c>
      <c r="T13" s="280">
        <v>80.5</v>
      </c>
      <c r="U13" s="280">
        <v>337.3</v>
      </c>
      <c r="V13" s="280">
        <v>7.9</v>
      </c>
      <c r="W13" s="280">
        <v>64.900000000000006</v>
      </c>
      <c r="X13" s="280">
        <v>59.8</v>
      </c>
      <c r="Y13" s="280">
        <v>201.6</v>
      </c>
      <c r="Z13" s="280">
        <v>28384</v>
      </c>
      <c r="AA13" s="280">
        <v>121.1</v>
      </c>
      <c r="AB13" s="280">
        <v>156.80000000000001</v>
      </c>
      <c r="AC13" s="280">
        <v>121.2</v>
      </c>
      <c r="AF13"/>
      <c r="AG13"/>
      <c r="AH13"/>
      <c r="AI13"/>
      <c r="AJ13"/>
      <c r="AK13"/>
      <c r="AL13"/>
      <c r="AM13"/>
      <c r="AN13"/>
      <c r="AO13"/>
      <c r="AP13"/>
      <c r="AQ13"/>
      <c r="AR13"/>
      <c r="AS13"/>
      <c r="AT13"/>
      <c r="AU13"/>
    </row>
    <row r="14" spans="1:47" s="449" customFormat="1" x14ac:dyDescent="0.2">
      <c r="A14" s="205">
        <v>40817</v>
      </c>
      <c r="B14" s="418">
        <v>43453458.649999976</v>
      </c>
      <c r="C14" s="423">
        <v>35756.800000000003</v>
      </c>
      <c r="D14" s="279"/>
      <c r="E14" s="279"/>
      <c r="F14" s="279">
        <v>2982129.65</v>
      </c>
      <c r="G14" s="279"/>
      <c r="H14" s="418">
        <f t="shared" si="0"/>
        <v>40507085.799999975</v>
      </c>
      <c r="I14" s="159"/>
      <c r="J14" s="280">
        <v>238.8</v>
      </c>
      <c r="K14" s="280">
        <v>0</v>
      </c>
      <c r="L14" s="280">
        <v>600042.41729932546</v>
      </c>
      <c r="M14" s="273"/>
      <c r="N14" s="273">
        <v>31</v>
      </c>
      <c r="O14" s="280">
        <v>1</v>
      </c>
      <c r="P14" s="280">
        <v>133</v>
      </c>
      <c r="Q14" s="280">
        <v>6.6</v>
      </c>
      <c r="R14" s="280">
        <v>64.2</v>
      </c>
      <c r="S14" s="280">
        <v>59.9</v>
      </c>
      <c r="T14" s="280">
        <v>79.7</v>
      </c>
      <c r="U14" s="280">
        <v>337.6</v>
      </c>
      <c r="V14" s="280">
        <v>7.3</v>
      </c>
      <c r="W14" s="280">
        <v>64.099999999999994</v>
      </c>
      <c r="X14" s="280">
        <v>59.4</v>
      </c>
      <c r="Y14" s="280">
        <v>200.6</v>
      </c>
      <c r="Z14" s="280">
        <v>28497</v>
      </c>
      <c r="AA14" s="280">
        <v>121</v>
      </c>
      <c r="AB14" s="280">
        <v>155.69999999999999</v>
      </c>
      <c r="AC14" s="280">
        <v>121.1</v>
      </c>
      <c r="AF14"/>
      <c r="AG14"/>
      <c r="AH14"/>
      <c r="AI14"/>
      <c r="AJ14"/>
      <c r="AK14"/>
      <c r="AL14"/>
      <c r="AM14"/>
      <c r="AN14"/>
      <c r="AO14"/>
      <c r="AP14"/>
      <c r="AQ14"/>
      <c r="AR14"/>
      <c r="AS14"/>
      <c r="AT14"/>
      <c r="AU14"/>
    </row>
    <row r="15" spans="1:47" s="449" customFormat="1" x14ac:dyDescent="0.2">
      <c r="A15" s="205">
        <v>40848</v>
      </c>
      <c r="B15" s="418">
        <v>42419852.18999999</v>
      </c>
      <c r="C15" s="423">
        <v>-48866.1</v>
      </c>
      <c r="D15" s="279"/>
      <c r="E15" s="279"/>
      <c r="F15" s="279">
        <v>1474652.6199999999</v>
      </c>
      <c r="G15" s="279"/>
      <c r="H15" s="418">
        <f t="shared" si="0"/>
        <v>40896333.469999991</v>
      </c>
      <c r="I15" s="159"/>
      <c r="J15" s="280">
        <v>320</v>
      </c>
      <c r="K15" s="280">
        <v>0</v>
      </c>
      <c r="L15" s="280">
        <v>600181.26483959216</v>
      </c>
      <c r="M15" s="273"/>
      <c r="N15" s="273">
        <v>30</v>
      </c>
      <c r="O15" s="280">
        <v>1</v>
      </c>
      <c r="P15" s="280">
        <v>133</v>
      </c>
      <c r="Q15" s="280">
        <v>6.3</v>
      </c>
      <c r="R15" s="280">
        <v>63.2</v>
      </c>
      <c r="S15" s="280">
        <v>59.2</v>
      </c>
      <c r="T15" s="280">
        <v>78.7</v>
      </c>
      <c r="U15" s="280">
        <v>337.8</v>
      </c>
      <c r="V15" s="280">
        <v>6.6</v>
      </c>
      <c r="W15" s="280">
        <v>62.8</v>
      </c>
      <c r="X15" s="280">
        <v>58.7</v>
      </c>
      <c r="Y15" s="280">
        <v>198.2</v>
      </c>
      <c r="Z15" s="280">
        <v>28559</v>
      </c>
      <c r="AA15" s="280">
        <v>121</v>
      </c>
      <c r="AB15" s="280">
        <v>153.69999999999999</v>
      </c>
      <c r="AC15" s="280">
        <v>120.9</v>
      </c>
      <c r="AF15"/>
      <c r="AG15"/>
      <c r="AH15"/>
      <c r="AI15"/>
      <c r="AJ15"/>
      <c r="AK15"/>
      <c r="AL15"/>
      <c r="AM15"/>
      <c r="AN15"/>
      <c r="AO15"/>
      <c r="AP15"/>
      <c r="AQ15"/>
      <c r="AR15"/>
      <c r="AS15"/>
      <c r="AT15"/>
      <c r="AU15"/>
    </row>
    <row r="16" spans="1:47" s="449" customFormat="1" x14ac:dyDescent="0.2">
      <c r="A16" s="205">
        <v>40878</v>
      </c>
      <c r="B16" s="418">
        <v>46217938.279999964</v>
      </c>
      <c r="C16" s="423">
        <v>77705.86</v>
      </c>
      <c r="D16" s="279"/>
      <c r="E16" s="279"/>
      <c r="F16" s="279">
        <v>1328385.8999999999</v>
      </c>
      <c r="G16" s="279"/>
      <c r="H16" s="418">
        <f t="shared" si="0"/>
        <v>44967258.239999965</v>
      </c>
      <c r="I16" s="159"/>
      <c r="J16" s="280">
        <v>512</v>
      </c>
      <c r="K16" s="280">
        <v>0</v>
      </c>
      <c r="L16" s="280">
        <v>600320.11237985885</v>
      </c>
      <c r="M16" s="273"/>
      <c r="N16" s="273">
        <v>31</v>
      </c>
      <c r="O16" s="280">
        <v>0</v>
      </c>
      <c r="P16" s="280">
        <v>133.19999999999999</v>
      </c>
      <c r="Q16" s="280">
        <v>6.1</v>
      </c>
      <c r="R16" s="280">
        <v>63.7</v>
      </c>
      <c r="S16" s="280">
        <v>59.8</v>
      </c>
      <c r="T16" s="280">
        <v>79.599999999999994</v>
      </c>
      <c r="U16" s="280">
        <v>337.9</v>
      </c>
      <c r="V16" s="280">
        <v>6.7</v>
      </c>
      <c r="W16" s="280">
        <v>62.1</v>
      </c>
      <c r="X16" s="280">
        <v>57.9</v>
      </c>
      <c r="Y16" s="280">
        <v>195.7</v>
      </c>
      <c r="Z16" s="280">
        <v>28539</v>
      </c>
      <c r="AA16" s="280">
        <v>120.3</v>
      </c>
      <c r="AB16" s="280">
        <v>151.4</v>
      </c>
      <c r="AC16" s="280">
        <v>120.2</v>
      </c>
      <c r="AF16"/>
      <c r="AG16"/>
      <c r="AH16"/>
      <c r="AI16"/>
      <c r="AJ16"/>
      <c r="AK16"/>
      <c r="AL16"/>
      <c r="AM16"/>
      <c r="AN16"/>
      <c r="AO16"/>
      <c r="AP16"/>
      <c r="AQ16"/>
      <c r="AR16"/>
      <c r="AS16"/>
      <c r="AT16"/>
      <c r="AU16"/>
    </row>
    <row r="17" spans="1:29" x14ac:dyDescent="0.2">
      <c r="A17" s="205">
        <v>40909</v>
      </c>
      <c r="B17" s="418">
        <v>49830132.730000034</v>
      </c>
      <c r="C17" s="423">
        <v>56739.56</v>
      </c>
      <c r="D17" s="279"/>
      <c r="E17" s="279"/>
      <c r="F17" s="279">
        <v>3057607.4599999995</v>
      </c>
      <c r="G17" s="279"/>
      <c r="H17" s="418">
        <f t="shared" si="0"/>
        <v>46829264.830000035</v>
      </c>
      <c r="I17" s="159"/>
      <c r="J17" s="280">
        <v>600.79999999999995</v>
      </c>
      <c r="K17" s="280">
        <v>0</v>
      </c>
      <c r="L17" s="280">
        <v>608498.86821378744</v>
      </c>
      <c r="M17" s="273"/>
      <c r="N17" s="273">
        <v>31</v>
      </c>
      <c r="O17" s="280">
        <v>0</v>
      </c>
      <c r="P17" s="280">
        <v>133.30000000000001</v>
      </c>
      <c r="Q17" s="280">
        <v>6.5</v>
      </c>
      <c r="R17" s="280">
        <v>64.400000000000006</v>
      </c>
      <c r="S17" s="280">
        <v>60.2</v>
      </c>
      <c r="T17" s="280">
        <v>80.2</v>
      </c>
      <c r="U17" s="280">
        <v>338.1</v>
      </c>
      <c r="V17" s="280">
        <v>7.4</v>
      </c>
      <c r="W17" s="280">
        <v>61.9</v>
      </c>
      <c r="X17" s="280">
        <v>57.3</v>
      </c>
      <c r="Y17" s="280">
        <v>193.8</v>
      </c>
      <c r="Z17" s="280">
        <v>28599</v>
      </c>
      <c r="AA17" s="280">
        <v>120.6</v>
      </c>
      <c r="AB17" s="280">
        <v>153.69999999999999</v>
      </c>
      <c r="AC17" s="280">
        <v>120.7</v>
      </c>
    </row>
    <row r="18" spans="1:29" x14ac:dyDescent="0.2">
      <c r="A18" s="205">
        <v>40940</v>
      </c>
      <c r="B18" s="418">
        <v>46681742.650000036</v>
      </c>
      <c r="C18" s="423">
        <v>25262.59</v>
      </c>
      <c r="D18" s="279"/>
      <c r="E18" s="279"/>
      <c r="F18" s="279">
        <v>3634061.25</v>
      </c>
      <c r="G18" s="279"/>
      <c r="H18" s="418">
        <f t="shared" si="0"/>
        <v>43072943.990000039</v>
      </c>
      <c r="I18" s="159"/>
      <c r="J18" s="280">
        <v>533.20000000000005</v>
      </c>
      <c r="K18" s="280">
        <v>0</v>
      </c>
      <c r="L18" s="280">
        <v>616677.62404771603</v>
      </c>
      <c r="M18" s="273"/>
      <c r="N18" s="273">
        <v>28</v>
      </c>
      <c r="O18" s="280">
        <v>0</v>
      </c>
      <c r="P18" s="280">
        <v>133.4</v>
      </c>
      <c r="Q18" s="280">
        <v>7.1</v>
      </c>
      <c r="R18" s="280">
        <v>65.400000000000006</v>
      </c>
      <c r="S18" s="280">
        <v>60.7</v>
      </c>
      <c r="T18" s="280">
        <v>81</v>
      </c>
      <c r="U18" s="280">
        <v>338.2</v>
      </c>
      <c r="V18" s="280">
        <v>8.4</v>
      </c>
      <c r="W18" s="280">
        <v>62.3</v>
      </c>
      <c r="X18" s="280">
        <v>57.1</v>
      </c>
      <c r="Y18" s="280">
        <v>193</v>
      </c>
      <c r="Z18" s="280">
        <v>28605</v>
      </c>
      <c r="AA18" s="280">
        <v>121.4</v>
      </c>
      <c r="AB18" s="280">
        <v>156.6</v>
      </c>
      <c r="AC18" s="280">
        <v>121.5</v>
      </c>
    </row>
    <row r="19" spans="1:29" x14ac:dyDescent="0.2">
      <c r="A19" s="205">
        <v>40969</v>
      </c>
      <c r="B19" s="418">
        <v>45705990.230000004</v>
      </c>
      <c r="C19" s="423">
        <v>27393.200000000001</v>
      </c>
      <c r="D19" s="279"/>
      <c r="E19" s="279"/>
      <c r="F19" s="279">
        <v>3883848.77</v>
      </c>
      <c r="G19" s="279"/>
      <c r="H19" s="418">
        <f t="shared" si="0"/>
        <v>41849534.660000004</v>
      </c>
      <c r="I19" s="159"/>
      <c r="J19" s="280">
        <v>333.8</v>
      </c>
      <c r="K19" s="280">
        <v>0</v>
      </c>
      <c r="L19" s="280">
        <v>624856.37988164462</v>
      </c>
      <c r="M19" s="273"/>
      <c r="N19" s="273">
        <v>31</v>
      </c>
      <c r="O19" s="280">
        <v>1</v>
      </c>
      <c r="P19" s="280">
        <v>133.5</v>
      </c>
      <c r="Q19" s="280">
        <v>7.7</v>
      </c>
      <c r="R19" s="280">
        <v>65.5</v>
      </c>
      <c r="S19" s="280">
        <v>60.4</v>
      </c>
      <c r="T19" s="280">
        <v>80.7</v>
      </c>
      <c r="U19" s="280">
        <v>338.3</v>
      </c>
      <c r="V19" s="280">
        <v>8.4</v>
      </c>
      <c r="W19" s="280">
        <v>62.1</v>
      </c>
      <c r="X19" s="280">
        <v>56.9</v>
      </c>
      <c r="Y19" s="280">
        <v>192.5</v>
      </c>
      <c r="Z19" s="280">
        <v>28561</v>
      </c>
      <c r="AA19" s="280">
        <v>122</v>
      </c>
      <c r="AB19" s="280">
        <v>159.80000000000001</v>
      </c>
      <c r="AC19" s="280">
        <v>122</v>
      </c>
    </row>
    <row r="20" spans="1:29" x14ac:dyDescent="0.2">
      <c r="A20" s="205">
        <v>41000</v>
      </c>
      <c r="B20" s="418">
        <v>42394150.290000021</v>
      </c>
      <c r="C20" s="423">
        <v>48109.5</v>
      </c>
      <c r="D20" s="279"/>
      <c r="E20" s="279"/>
      <c r="F20" s="279">
        <v>4107579.0500000003</v>
      </c>
      <c r="G20" s="279"/>
      <c r="H20" s="418">
        <f t="shared" si="0"/>
        <v>38334680.740000024</v>
      </c>
      <c r="I20" s="159"/>
      <c r="J20" s="280">
        <v>340.5</v>
      </c>
      <c r="K20" s="280">
        <v>0</v>
      </c>
      <c r="L20" s="280">
        <v>633035.13571557321</v>
      </c>
      <c r="M20" s="273"/>
      <c r="N20" s="273">
        <v>30</v>
      </c>
      <c r="O20" s="280">
        <v>1</v>
      </c>
      <c r="P20" s="280">
        <v>133.6</v>
      </c>
      <c r="Q20" s="280">
        <v>7.4</v>
      </c>
      <c r="R20" s="280">
        <v>65.5</v>
      </c>
      <c r="S20" s="280">
        <v>60.6</v>
      </c>
      <c r="T20" s="280">
        <v>81</v>
      </c>
      <c r="U20" s="280">
        <v>338.5</v>
      </c>
      <c r="V20" s="280">
        <v>8.6</v>
      </c>
      <c r="W20" s="280">
        <v>62.5</v>
      </c>
      <c r="X20" s="280">
        <v>57.1</v>
      </c>
      <c r="Y20" s="280">
        <v>193.4</v>
      </c>
      <c r="Z20" s="280">
        <v>28583</v>
      </c>
      <c r="AA20" s="280">
        <v>122.4</v>
      </c>
      <c r="AB20" s="280">
        <v>160.9</v>
      </c>
      <c r="AC20" s="280">
        <v>122.4</v>
      </c>
    </row>
    <row r="21" spans="1:29" x14ac:dyDescent="0.2">
      <c r="A21" s="205">
        <v>41030</v>
      </c>
      <c r="B21" s="418">
        <v>44171430.339999989</v>
      </c>
      <c r="C21" s="423">
        <v>58397.11</v>
      </c>
      <c r="D21" s="279"/>
      <c r="E21" s="279"/>
      <c r="F21" s="279">
        <v>4506441.3</v>
      </c>
      <c r="G21" s="279"/>
      <c r="H21" s="418">
        <f t="shared" si="0"/>
        <v>39723386.149999991</v>
      </c>
      <c r="I21" s="159"/>
      <c r="J21" s="280">
        <v>82.3</v>
      </c>
      <c r="K21" s="280">
        <v>28.9</v>
      </c>
      <c r="L21" s="280">
        <v>641213.8915495018</v>
      </c>
      <c r="M21" s="273"/>
      <c r="N21" s="273">
        <v>31</v>
      </c>
      <c r="O21" s="280">
        <v>1</v>
      </c>
      <c r="P21" s="280">
        <v>133.80000000000001</v>
      </c>
      <c r="Q21" s="280">
        <v>6.3</v>
      </c>
      <c r="R21" s="280">
        <v>65.3</v>
      </c>
      <c r="S21" s="280">
        <v>61.2</v>
      </c>
      <c r="T21" s="280">
        <v>81.900000000000006</v>
      </c>
      <c r="U21" s="280">
        <v>338.6</v>
      </c>
      <c r="V21" s="280">
        <v>8.4</v>
      </c>
      <c r="W21" s="280">
        <v>64.099999999999994</v>
      </c>
      <c r="X21" s="280">
        <v>58.8</v>
      </c>
      <c r="Y21" s="280">
        <v>199</v>
      </c>
      <c r="Z21" s="280">
        <v>28574</v>
      </c>
      <c r="AA21" s="280">
        <v>122.4</v>
      </c>
      <c r="AB21" s="280">
        <v>159.1</v>
      </c>
      <c r="AC21" s="280">
        <v>122.4</v>
      </c>
    </row>
    <row r="22" spans="1:29" x14ac:dyDescent="0.2">
      <c r="A22" s="205">
        <v>41061</v>
      </c>
      <c r="B22" s="418">
        <v>47092605</v>
      </c>
      <c r="C22" s="423">
        <v>55892</v>
      </c>
      <c r="D22" s="279"/>
      <c r="E22" s="279"/>
      <c r="F22" s="279">
        <v>4189574.2600000002</v>
      </c>
      <c r="G22" s="279"/>
      <c r="H22" s="418">
        <f t="shared" si="0"/>
        <v>42958922.740000002</v>
      </c>
      <c r="I22" s="159"/>
      <c r="J22" s="280">
        <v>31.6</v>
      </c>
      <c r="K22" s="280">
        <v>64.599999999999994</v>
      </c>
      <c r="L22" s="280">
        <v>649392.64738343039</v>
      </c>
      <c r="M22" s="273"/>
      <c r="N22" s="273">
        <v>30</v>
      </c>
      <c r="O22" s="280">
        <v>0</v>
      </c>
      <c r="P22" s="280">
        <v>134</v>
      </c>
      <c r="Q22" s="280">
        <v>6</v>
      </c>
      <c r="R22" s="280">
        <v>66</v>
      </c>
      <c r="S22" s="280">
        <v>62</v>
      </c>
      <c r="T22" s="280">
        <v>83.1</v>
      </c>
      <c r="U22" s="280">
        <v>338.8</v>
      </c>
      <c r="V22" s="280">
        <v>7.8</v>
      </c>
      <c r="W22" s="280">
        <v>65.7</v>
      </c>
      <c r="X22" s="280">
        <v>60.6</v>
      </c>
      <c r="Y22" s="280">
        <v>205.3</v>
      </c>
      <c r="Z22" s="280">
        <v>28616</v>
      </c>
      <c r="AA22" s="280">
        <v>121.6</v>
      </c>
      <c r="AB22" s="280">
        <v>154.69999999999999</v>
      </c>
      <c r="AC22" s="280">
        <v>121.7</v>
      </c>
    </row>
    <row r="23" spans="1:29" x14ac:dyDescent="0.2">
      <c r="A23" s="205">
        <v>41091</v>
      </c>
      <c r="B23" s="418">
        <v>56616414.859999955</v>
      </c>
      <c r="C23" s="423">
        <v>63778</v>
      </c>
      <c r="D23" s="279"/>
      <c r="E23" s="279"/>
      <c r="F23" s="279">
        <v>4846362.4000000004</v>
      </c>
      <c r="G23" s="279"/>
      <c r="H23" s="418">
        <f t="shared" si="0"/>
        <v>51833830.459999956</v>
      </c>
      <c r="I23" s="159"/>
      <c r="J23" s="280">
        <v>0</v>
      </c>
      <c r="K23" s="280">
        <v>152.9</v>
      </c>
      <c r="L23" s="280">
        <v>657571.40321735898</v>
      </c>
      <c r="M23" s="273"/>
      <c r="N23" s="273">
        <v>31</v>
      </c>
      <c r="O23" s="280">
        <v>0</v>
      </c>
      <c r="P23" s="280">
        <v>134.19999999999999</v>
      </c>
      <c r="Q23" s="280">
        <v>6.1</v>
      </c>
      <c r="R23" s="280">
        <v>65.5</v>
      </c>
      <c r="S23" s="280">
        <v>61.5</v>
      </c>
      <c r="T23" s="280">
        <v>82.6</v>
      </c>
      <c r="U23" s="280">
        <v>339</v>
      </c>
      <c r="V23" s="280">
        <v>7.9</v>
      </c>
      <c r="W23" s="280">
        <v>67</v>
      </c>
      <c r="X23" s="280">
        <v>61.7</v>
      </c>
      <c r="Y23" s="280">
        <v>209.1</v>
      </c>
      <c r="Z23" s="280">
        <v>28618</v>
      </c>
      <c r="AA23" s="280">
        <v>121.4</v>
      </c>
      <c r="AB23" s="280">
        <v>156.1</v>
      </c>
      <c r="AC23" s="280">
        <v>121.6</v>
      </c>
    </row>
    <row r="24" spans="1:29" x14ac:dyDescent="0.2">
      <c r="A24" s="205">
        <v>41122</v>
      </c>
      <c r="B24" s="418">
        <v>53263093.910000011</v>
      </c>
      <c r="C24" s="423">
        <v>64670</v>
      </c>
      <c r="D24" s="279"/>
      <c r="E24" s="279"/>
      <c r="F24" s="279">
        <v>4618396.58</v>
      </c>
      <c r="G24" s="279"/>
      <c r="H24" s="418">
        <f t="shared" si="0"/>
        <v>48709367.330000013</v>
      </c>
      <c r="I24" s="159"/>
      <c r="J24" s="280">
        <v>6</v>
      </c>
      <c r="K24" s="280">
        <v>76.599999999999994</v>
      </c>
      <c r="L24" s="280">
        <v>665750.15905128757</v>
      </c>
      <c r="M24" s="273"/>
      <c r="N24" s="273">
        <v>31</v>
      </c>
      <c r="O24" s="280">
        <v>0</v>
      </c>
      <c r="P24" s="280">
        <v>134.5</v>
      </c>
      <c r="Q24" s="280">
        <v>6.9</v>
      </c>
      <c r="R24" s="280">
        <v>64.599999999999994</v>
      </c>
      <c r="S24" s="280">
        <v>60.1</v>
      </c>
      <c r="T24" s="280">
        <v>80.900000000000006</v>
      </c>
      <c r="U24" s="280">
        <v>339.2</v>
      </c>
      <c r="V24" s="280">
        <v>8</v>
      </c>
      <c r="W24" s="280">
        <v>67.099999999999994</v>
      </c>
      <c r="X24" s="280">
        <v>61.8</v>
      </c>
      <c r="Y24" s="280">
        <v>209.5</v>
      </c>
      <c r="Z24" s="280">
        <v>28610</v>
      </c>
      <c r="AA24" s="280">
        <v>121.8</v>
      </c>
      <c r="AB24" s="280">
        <v>158.6</v>
      </c>
      <c r="AC24" s="280">
        <v>121.8</v>
      </c>
    </row>
    <row r="25" spans="1:29" x14ac:dyDescent="0.2">
      <c r="A25" s="205">
        <v>41153</v>
      </c>
      <c r="B25" s="418">
        <v>44675833.469999984</v>
      </c>
      <c r="C25" s="423">
        <v>65737</v>
      </c>
      <c r="D25" s="279"/>
      <c r="E25" s="279"/>
      <c r="F25" s="279">
        <v>4355225.32</v>
      </c>
      <c r="G25" s="279"/>
      <c r="H25" s="418">
        <f t="shared" si="0"/>
        <v>40386345.149999984</v>
      </c>
      <c r="I25" s="159"/>
      <c r="J25" s="280">
        <v>86.1</v>
      </c>
      <c r="K25" s="280">
        <v>28.9</v>
      </c>
      <c r="L25" s="280">
        <v>673928.91488521616</v>
      </c>
      <c r="M25" s="273"/>
      <c r="N25" s="273">
        <v>30</v>
      </c>
      <c r="O25" s="280">
        <v>1</v>
      </c>
      <c r="P25" s="280">
        <v>134.5</v>
      </c>
      <c r="Q25" s="280">
        <v>6.6</v>
      </c>
      <c r="R25" s="280">
        <v>63</v>
      </c>
      <c r="S25" s="280">
        <v>58.8</v>
      </c>
      <c r="T25" s="280">
        <v>79.099999999999994</v>
      </c>
      <c r="U25" s="280">
        <v>339.4</v>
      </c>
      <c r="V25" s="280">
        <v>8.3000000000000007</v>
      </c>
      <c r="W25" s="280">
        <v>67.099999999999994</v>
      </c>
      <c r="X25" s="280">
        <v>61.5</v>
      </c>
      <c r="Y25" s="280">
        <v>208.7</v>
      </c>
      <c r="Z25" s="280">
        <v>28614</v>
      </c>
      <c r="AA25" s="280">
        <v>122</v>
      </c>
      <c r="AB25" s="280">
        <v>159.9</v>
      </c>
      <c r="AC25" s="280">
        <v>122.1</v>
      </c>
    </row>
    <row r="26" spans="1:29" x14ac:dyDescent="0.2">
      <c r="A26" s="205">
        <v>41183</v>
      </c>
      <c r="B26" s="418">
        <v>43218262.50000003</v>
      </c>
      <c r="C26" s="423">
        <v>48054</v>
      </c>
      <c r="D26" s="279"/>
      <c r="E26" s="279"/>
      <c r="F26" s="279">
        <v>3074705.4200000004</v>
      </c>
      <c r="G26" s="279"/>
      <c r="H26" s="418">
        <f t="shared" si="0"/>
        <v>40191611.080000028</v>
      </c>
      <c r="I26" s="159"/>
      <c r="J26" s="280">
        <v>227.4</v>
      </c>
      <c r="K26" s="280">
        <v>0.8</v>
      </c>
      <c r="L26" s="280">
        <v>682107.67071914475</v>
      </c>
      <c r="M26" s="273"/>
      <c r="N26" s="273">
        <v>31</v>
      </c>
      <c r="O26" s="280">
        <v>1</v>
      </c>
      <c r="P26" s="280">
        <v>134.6</v>
      </c>
      <c r="Q26" s="280">
        <v>6.3</v>
      </c>
      <c r="R26" s="280">
        <v>62</v>
      </c>
      <c r="S26" s="280">
        <v>58</v>
      </c>
      <c r="T26" s="280">
        <v>78.099999999999994</v>
      </c>
      <c r="U26" s="280">
        <v>339.5</v>
      </c>
      <c r="V26" s="280">
        <v>8</v>
      </c>
      <c r="W26" s="280">
        <v>66.599999999999994</v>
      </c>
      <c r="X26" s="280">
        <v>61.2</v>
      </c>
      <c r="Y26" s="280">
        <v>207.9</v>
      </c>
      <c r="Z26" s="280">
        <v>28631</v>
      </c>
      <c r="AA26" s="280">
        <v>122.2</v>
      </c>
      <c r="AB26" s="280">
        <v>157.80000000000001</v>
      </c>
      <c r="AC26" s="280">
        <v>122.3</v>
      </c>
    </row>
    <row r="27" spans="1:29" x14ac:dyDescent="0.2">
      <c r="A27" s="205">
        <v>41214</v>
      </c>
      <c r="B27" s="418">
        <v>44348257.809999987</v>
      </c>
      <c r="C27" s="423">
        <v>33605</v>
      </c>
      <c r="D27" s="279"/>
      <c r="E27" s="279"/>
      <c r="F27" s="279">
        <v>1835291.76</v>
      </c>
      <c r="G27" s="279"/>
      <c r="H27" s="418">
        <f t="shared" si="0"/>
        <v>42546571.04999999</v>
      </c>
      <c r="I27" s="159"/>
      <c r="J27" s="280">
        <v>432.4</v>
      </c>
      <c r="K27" s="280">
        <v>0</v>
      </c>
      <c r="L27" s="280">
        <v>690286.42655307334</v>
      </c>
      <c r="M27" s="273"/>
      <c r="N27" s="273">
        <v>30</v>
      </c>
      <c r="O27" s="280">
        <v>1</v>
      </c>
      <c r="P27" s="280">
        <v>134.6</v>
      </c>
      <c r="Q27" s="280">
        <v>6.3</v>
      </c>
      <c r="R27" s="280">
        <v>62.4</v>
      </c>
      <c r="S27" s="280">
        <v>58.5</v>
      </c>
      <c r="T27" s="280">
        <v>78.7</v>
      </c>
      <c r="U27" s="280">
        <v>339.6</v>
      </c>
      <c r="V27" s="280">
        <v>7.3</v>
      </c>
      <c r="W27" s="280">
        <v>64.8</v>
      </c>
      <c r="X27" s="280">
        <v>60.1</v>
      </c>
      <c r="Y27" s="280">
        <v>204</v>
      </c>
      <c r="Z27" s="280">
        <v>28647</v>
      </c>
      <c r="AA27" s="280">
        <v>121.9</v>
      </c>
      <c r="AB27" s="280">
        <v>154.30000000000001</v>
      </c>
      <c r="AC27" s="280">
        <v>122</v>
      </c>
    </row>
    <row r="28" spans="1:29" ht="13.5" customHeight="1" x14ac:dyDescent="0.2">
      <c r="A28" s="205">
        <v>41244</v>
      </c>
      <c r="B28" s="418">
        <v>45574164.490000024</v>
      </c>
      <c r="C28" s="423">
        <v>27883</v>
      </c>
      <c r="D28" s="279"/>
      <c r="E28" s="279"/>
      <c r="F28" s="279">
        <v>1027113.84</v>
      </c>
      <c r="G28" s="279"/>
      <c r="H28" s="418">
        <f t="shared" si="0"/>
        <v>44574933.650000021</v>
      </c>
      <c r="I28" s="159"/>
      <c r="J28" s="280">
        <v>505.1</v>
      </c>
      <c r="K28" s="280">
        <v>0</v>
      </c>
      <c r="L28" s="280">
        <v>698465.18238700193</v>
      </c>
      <c r="M28" s="273"/>
      <c r="N28" s="273">
        <v>31</v>
      </c>
      <c r="O28" s="280">
        <v>0</v>
      </c>
      <c r="P28" s="280">
        <v>134.69999999999999</v>
      </c>
      <c r="Q28" s="280">
        <v>6.5</v>
      </c>
      <c r="R28" s="280">
        <v>63</v>
      </c>
      <c r="S28" s="280">
        <v>58.9</v>
      </c>
      <c r="T28" s="280">
        <v>79.400000000000006</v>
      </c>
      <c r="U28" s="280">
        <v>339.8</v>
      </c>
      <c r="V28" s="280">
        <v>7.3</v>
      </c>
      <c r="W28" s="280">
        <v>63.7</v>
      </c>
      <c r="X28" s="280">
        <v>59</v>
      </c>
      <c r="Y28" s="280">
        <v>200.5</v>
      </c>
      <c r="Z28" s="280">
        <v>28658</v>
      </c>
      <c r="AA28" s="280">
        <v>121.3</v>
      </c>
      <c r="AB28" s="280">
        <v>152.80000000000001</v>
      </c>
      <c r="AC28" s="280">
        <v>121.4</v>
      </c>
    </row>
    <row r="29" spans="1:29" x14ac:dyDescent="0.2">
      <c r="A29" s="205">
        <v>41275</v>
      </c>
      <c r="B29" s="418">
        <v>50854515.269999981</v>
      </c>
      <c r="C29" s="423">
        <v>13133</v>
      </c>
      <c r="D29" s="279"/>
      <c r="E29" s="279"/>
      <c r="F29" s="279">
        <v>2775591.3400000012</v>
      </c>
      <c r="G29" s="279"/>
      <c r="H29" s="418">
        <f t="shared" si="0"/>
        <v>48092056.929999977</v>
      </c>
      <c r="I29" s="159"/>
      <c r="J29" s="280">
        <v>617.29999999999995</v>
      </c>
      <c r="K29" s="280">
        <v>0</v>
      </c>
      <c r="L29" s="280">
        <v>713105.6171101057</v>
      </c>
      <c r="M29" s="273"/>
      <c r="N29" s="273">
        <v>31</v>
      </c>
      <c r="O29" s="280">
        <v>0</v>
      </c>
      <c r="P29" s="280">
        <v>134.80000000000001</v>
      </c>
      <c r="Q29" s="280">
        <v>6.5</v>
      </c>
      <c r="R29" s="280">
        <v>64.099999999999994</v>
      </c>
      <c r="S29" s="280">
        <v>59.9</v>
      </c>
      <c r="T29" s="280">
        <v>80.7</v>
      </c>
      <c r="U29" s="280">
        <v>339.9</v>
      </c>
      <c r="V29" s="280">
        <v>7.5</v>
      </c>
      <c r="W29" s="280">
        <v>62.7</v>
      </c>
      <c r="X29" s="280">
        <v>58.1</v>
      </c>
      <c r="Y29" s="280">
        <v>197.4</v>
      </c>
      <c r="Z29" s="280">
        <v>28708</v>
      </c>
      <c r="AA29" s="280">
        <v>121.3</v>
      </c>
      <c r="AB29" s="280">
        <v>155.1</v>
      </c>
      <c r="AC29" s="280">
        <v>121.5</v>
      </c>
    </row>
    <row r="30" spans="1:29" x14ac:dyDescent="0.2">
      <c r="A30" s="205">
        <v>41306</v>
      </c>
      <c r="B30" s="418">
        <v>45891597.809999987</v>
      </c>
      <c r="C30" s="423">
        <v>22256</v>
      </c>
      <c r="D30" s="279"/>
      <c r="E30" s="279"/>
      <c r="F30" s="279">
        <v>2498153.54</v>
      </c>
      <c r="G30" s="279"/>
      <c r="H30" s="418">
        <f t="shared" si="0"/>
        <v>43415700.269999988</v>
      </c>
      <c r="I30" s="159"/>
      <c r="J30" s="280">
        <v>640.1</v>
      </c>
      <c r="K30" s="280">
        <v>0</v>
      </c>
      <c r="L30" s="280">
        <v>727746.05183320947</v>
      </c>
      <c r="M30" s="273"/>
      <c r="N30" s="273">
        <v>29</v>
      </c>
      <c r="O30" s="280">
        <v>0</v>
      </c>
      <c r="P30" s="280">
        <v>135</v>
      </c>
      <c r="Q30" s="280">
        <v>6.6</v>
      </c>
      <c r="R30" s="280">
        <v>63.9</v>
      </c>
      <c r="S30" s="280">
        <v>59.8</v>
      </c>
      <c r="T30" s="280">
        <v>80.7</v>
      </c>
      <c r="U30" s="280">
        <v>340</v>
      </c>
      <c r="V30" s="280">
        <v>8.5</v>
      </c>
      <c r="W30" s="280">
        <v>62.7</v>
      </c>
      <c r="X30" s="280">
        <v>57.4</v>
      </c>
      <c r="Y30" s="280">
        <v>195.2</v>
      </c>
      <c r="Z30" s="280">
        <v>28707</v>
      </c>
      <c r="AA30" s="280">
        <v>122.8</v>
      </c>
      <c r="AB30" s="280">
        <v>161.30000000000001</v>
      </c>
      <c r="AC30" s="280">
        <v>122.9</v>
      </c>
    </row>
    <row r="31" spans="1:29" x14ac:dyDescent="0.2">
      <c r="A31" s="205">
        <v>41334</v>
      </c>
      <c r="B31" s="418">
        <v>45408057.419999965</v>
      </c>
      <c r="C31" s="423">
        <v>24940</v>
      </c>
      <c r="D31" s="279"/>
      <c r="E31" s="279"/>
      <c r="F31" s="279">
        <v>1912562.35</v>
      </c>
      <c r="G31" s="279"/>
      <c r="H31" s="418">
        <f t="shared" si="0"/>
        <v>43520435.069999963</v>
      </c>
      <c r="I31" s="159"/>
      <c r="J31" s="280">
        <v>555.4</v>
      </c>
      <c r="K31" s="280">
        <v>0</v>
      </c>
      <c r="L31" s="280">
        <v>742386.48655631323</v>
      </c>
      <c r="M31" s="273"/>
      <c r="N31" s="273">
        <v>31</v>
      </c>
      <c r="O31" s="280">
        <v>1</v>
      </c>
      <c r="P31" s="280">
        <v>135.1</v>
      </c>
      <c r="Q31" s="280">
        <v>7</v>
      </c>
      <c r="R31" s="280">
        <v>64.2</v>
      </c>
      <c r="S31" s="280">
        <v>59.7</v>
      </c>
      <c r="T31" s="280">
        <v>80.599999999999994</v>
      </c>
      <c r="U31" s="280">
        <v>340.1</v>
      </c>
      <c r="V31" s="280">
        <v>9.5</v>
      </c>
      <c r="W31" s="280">
        <v>62.8</v>
      </c>
      <c r="X31" s="280">
        <v>56.8</v>
      </c>
      <c r="Y31" s="280">
        <v>193.3</v>
      </c>
      <c r="Z31" s="280">
        <v>28697</v>
      </c>
      <c r="AA31" s="280">
        <v>123.2</v>
      </c>
      <c r="AB31" s="280">
        <v>160.9</v>
      </c>
      <c r="AC31" s="280">
        <v>123.3</v>
      </c>
    </row>
    <row r="32" spans="1:29" x14ac:dyDescent="0.2">
      <c r="A32" s="205">
        <v>41365</v>
      </c>
      <c r="B32" s="418">
        <v>40508542.919999994</v>
      </c>
      <c r="C32" s="423">
        <v>48383</v>
      </c>
      <c r="D32" s="279"/>
      <c r="E32" s="279"/>
      <c r="F32" s="279">
        <v>2263400.0999999996</v>
      </c>
      <c r="G32" s="279"/>
      <c r="H32" s="418">
        <f t="shared" si="0"/>
        <v>38293525.819999993</v>
      </c>
      <c r="I32" s="159"/>
      <c r="J32" s="280">
        <v>339.9</v>
      </c>
      <c r="K32" s="280">
        <v>0</v>
      </c>
      <c r="L32" s="280">
        <v>757026.921279417</v>
      </c>
      <c r="M32" s="273"/>
      <c r="N32" s="273">
        <v>30</v>
      </c>
      <c r="O32" s="280">
        <v>1</v>
      </c>
      <c r="P32" s="280">
        <v>135.19999999999999</v>
      </c>
      <c r="Q32" s="280">
        <v>6.6</v>
      </c>
      <c r="R32" s="280">
        <v>63.5</v>
      </c>
      <c r="S32" s="280">
        <v>59.3</v>
      </c>
      <c r="T32" s="280">
        <v>80.2</v>
      </c>
      <c r="U32" s="280">
        <v>340.3</v>
      </c>
      <c r="V32" s="280">
        <v>10</v>
      </c>
      <c r="W32" s="280">
        <v>62.6</v>
      </c>
      <c r="X32" s="280">
        <v>56.4</v>
      </c>
      <c r="Y32" s="280">
        <v>191.8</v>
      </c>
      <c r="Z32" s="280">
        <v>28661</v>
      </c>
      <c r="AA32" s="280">
        <v>122.9</v>
      </c>
      <c r="AB32" s="280">
        <v>157.30000000000001</v>
      </c>
      <c r="AC32" s="280">
        <v>123.1</v>
      </c>
    </row>
    <row r="33" spans="1:29" x14ac:dyDescent="0.2">
      <c r="A33" s="205">
        <v>41395</v>
      </c>
      <c r="B33" s="418">
        <v>40367332.749999978</v>
      </c>
      <c r="C33" s="423">
        <v>69606</v>
      </c>
      <c r="D33" s="279"/>
      <c r="E33" s="279"/>
      <c r="F33" s="279">
        <v>2489379.5099999998</v>
      </c>
      <c r="G33" s="279"/>
      <c r="H33" s="418">
        <f t="shared" si="0"/>
        <v>37947559.23999998</v>
      </c>
      <c r="I33" s="159"/>
      <c r="J33" s="280">
        <v>116.5</v>
      </c>
      <c r="K33" s="280">
        <v>24.2</v>
      </c>
      <c r="L33" s="280">
        <v>771667.35600252077</v>
      </c>
      <c r="M33" s="273"/>
      <c r="N33" s="273">
        <v>31</v>
      </c>
      <c r="O33" s="280">
        <v>1</v>
      </c>
      <c r="P33" s="280">
        <v>135.4</v>
      </c>
      <c r="Q33" s="280">
        <v>6.7</v>
      </c>
      <c r="R33" s="280">
        <v>63.7</v>
      </c>
      <c r="S33" s="280">
        <v>59.5</v>
      </c>
      <c r="T33" s="280">
        <v>80.599999999999994</v>
      </c>
      <c r="U33" s="280">
        <v>340.4</v>
      </c>
      <c r="V33" s="280">
        <v>9.1999999999999993</v>
      </c>
      <c r="W33" s="280">
        <v>63.2</v>
      </c>
      <c r="X33" s="280">
        <v>57.4</v>
      </c>
      <c r="Y33" s="280">
        <v>195.4</v>
      </c>
      <c r="Z33" s="280">
        <v>28653</v>
      </c>
      <c r="AA33" s="280">
        <v>123</v>
      </c>
      <c r="AB33" s="280">
        <v>157.80000000000001</v>
      </c>
      <c r="AC33" s="280">
        <v>123.2</v>
      </c>
    </row>
    <row r="34" spans="1:29" x14ac:dyDescent="0.2">
      <c r="A34" s="205">
        <v>41426</v>
      </c>
      <c r="B34" s="418">
        <v>41861470.480000004</v>
      </c>
      <c r="C34" s="423">
        <v>86177</v>
      </c>
      <c r="D34" s="279"/>
      <c r="E34" s="279"/>
      <c r="F34" s="279">
        <v>2389596.2000000002</v>
      </c>
      <c r="G34" s="279"/>
      <c r="H34" s="418">
        <f t="shared" si="0"/>
        <v>39558051.280000001</v>
      </c>
      <c r="I34" s="159"/>
      <c r="J34" s="280">
        <v>42.8</v>
      </c>
      <c r="K34" s="280">
        <v>48.5</v>
      </c>
      <c r="L34" s="280">
        <v>786307.79072562454</v>
      </c>
      <c r="M34" s="273"/>
      <c r="N34" s="273">
        <v>30</v>
      </c>
      <c r="O34" s="280">
        <v>0</v>
      </c>
      <c r="P34" s="280">
        <v>135.6</v>
      </c>
      <c r="Q34" s="280">
        <v>6.7</v>
      </c>
      <c r="R34" s="280">
        <v>64.599999999999994</v>
      </c>
      <c r="S34" s="280">
        <v>60.3</v>
      </c>
      <c r="T34" s="280">
        <v>81.7</v>
      </c>
      <c r="U34" s="280">
        <v>340.6</v>
      </c>
      <c r="V34" s="280">
        <v>7.9</v>
      </c>
      <c r="W34" s="280">
        <v>62.7</v>
      </c>
      <c r="X34" s="280">
        <v>57.8</v>
      </c>
      <c r="Y34" s="280">
        <v>196.8</v>
      </c>
      <c r="Z34" s="280">
        <v>28656</v>
      </c>
      <c r="AA34" s="280">
        <v>123.2</v>
      </c>
      <c r="AB34" s="280">
        <v>160</v>
      </c>
      <c r="AC34" s="280">
        <v>123.4</v>
      </c>
    </row>
    <row r="35" spans="1:29" x14ac:dyDescent="0.2">
      <c r="A35" s="205">
        <v>41456</v>
      </c>
      <c r="B35" s="418">
        <v>51710807.499999985</v>
      </c>
      <c r="C35" s="423">
        <v>77618</v>
      </c>
      <c r="D35" s="279"/>
      <c r="E35" s="279"/>
      <c r="F35" s="279">
        <v>3010588.7800000003</v>
      </c>
      <c r="G35" s="279"/>
      <c r="H35" s="418">
        <f t="shared" si="0"/>
        <v>48777836.719999984</v>
      </c>
      <c r="I35" s="159"/>
      <c r="J35" s="280">
        <v>5.5</v>
      </c>
      <c r="K35" s="280">
        <v>117</v>
      </c>
      <c r="L35" s="280">
        <v>800948.22544872831</v>
      </c>
      <c r="M35" s="273"/>
      <c r="N35" s="273">
        <v>31</v>
      </c>
      <c r="O35" s="280">
        <v>0</v>
      </c>
      <c r="P35" s="280">
        <v>135.80000000000001</v>
      </c>
      <c r="Q35" s="280">
        <v>7.2</v>
      </c>
      <c r="R35" s="280">
        <v>65.5</v>
      </c>
      <c r="S35" s="280">
        <v>60.8</v>
      </c>
      <c r="T35" s="280">
        <v>82.5</v>
      </c>
      <c r="U35" s="280">
        <v>340.8</v>
      </c>
      <c r="V35" s="280">
        <v>8</v>
      </c>
      <c r="W35" s="280">
        <v>63</v>
      </c>
      <c r="X35" s="280">
        <v>58</v>
      </c>
      <c r="Y35" s="280">
        <v>197.6</v>
      </c>
      <c r="Z35" s="280">
        <v>28691</v>
      </c>
      <c r="AA35" s="280">
        <v>123.4</v>
      </c>
      <c r="AB35" s="280">
        <v>164.6</v>
      </c>
      <c r="AC35" s="280">
        <v>123.6</v>
      </c>
    </row>
    <row r="36" spans="1:29" x14ac:dyDescent="0.2">
      <c r="A36" s="205">
        <v>41487</v>
      </c>
      <c r="B36" s="418">
        <v>47450772.329999983</v>
      </c>
      <c r="C36" s="423">
        <v>97119</v>
      </c>
      <c r="D36" s="279"/>
      <c r="E36" s="279"/>
      <c r="F36" s="279">
        <v>2616563.2200000002</v>
      </c>
      <c r="G36" s="279"/>
      <c r="H36" s="418">
        <f t="shared" si="0"/>
        <v>44931328.109999985</v>
      </c>
      <c r="I36" s="159"/>
      <c r="J36" s="280">
        <v>19.100000000000001</v>
      </c>
      <c r="K36" s="280">
        <v>113</v>
      </c>
      <c r="L36" s="280">
        <v>815588.66017183207</v>
      </c>
      <c r="M36" s="273"/>
      <c r="N36" s="273">
        <v>31</v>
      </c>
      <c r="O36" s="280">
        <v>0</v>
      </c>
      <c r="P36" s="280">
        <v>136.1</v>
      </c>
      <c r="Q36" s="280">
        <v>6.9</v>
      </c>
      <c r="R36" s="280">
        <v>65.900000000000006</v>
      </c>
      <c r="S36" s="280">
        <v>61.3</v>
      </c>
      <c r="T36" s="280">
        <v>83.4</v>
      </c>
      <c r="U36" s="280">
        <v>341.1</v>
      </c>
      <c r="V36" s="280">
        <v>8.5</v>
      </c>
      <c r="W36" s="280">
        <v>62.4</v>
      </c>
      <c r="X36" s="280">
        <v>57.1</v>
      </c>
      <c r="Y36" s="280">
        <v>194.9</v>
      </c>
      <c r="Z36" s="280">
        <v>28674</v>
      </c>
      <c r="AA36" s="280">
        <v>123.4</v>
      </c>
      <c r="AB36" s="280">
        <v>164.1</v>
      </c>
      <c r="AC36" s="280">
        <v>123.7</v>
      </c>
    </row>
    <row r="37" spans="1:29" x14ac:dyDescent="0.2">
      <c r="A37" s="205">
        <v>41518</v>
      </c>
      <c r="B37" s="418">
        <v>40219617.969999991</v>
      </c>
      <c r="C37" s="423">
        <v>95418</v>
      </c>
      <c r="D37" s="279"/>
      <c r="E37" s="279"/>
      <c r="F37" s="279">
        <v>1748189.04</v>
      </c>
      <c r="G37" s="279"/>
      <c r="H37" s="418">
        <f t="shared" si="0"/>
        <v>38566846.929999992</v>
      </c>
      <c r="I37" s="159"/>
      <c r="J37" s="280">
        <v>110.4</v>
      </c>
      <c r="K37" s="280">
        <v>22.9</v>
      </c>
      <c r="L37" s="280">
        <v>830229.09489493584</v>
      </c>
      <c r="M37" s="273"/>
      <c r="N37" s="273">
        <v>30</v>
      </c>
      <c r="O37" s="280">
        <v>1</v>
      </c>
      <c r="P37" s="280">
        <v>136.19999999999999</v>
      </c>
      <c r="Q37" s="280">
        <v>6.2</v>
      </c>
      <c r="R37" s="280">
        <v>65.900000000000006</v>
      </c>
      <c r="S37" s="280">
        <v>61.7</v>
      </c>
      <c r="T37" s="280">
        <v>84.1</v>
      </c>
      <c r="U37" s="280">
        <v>341.2</v>
      </c>
      <c r="V37" s="280">
        <v>8.8000000000000007</v>
      </c>
      <c r="W37" s="280">
        <v>61.7</v>
      </c>
      <c r="X37" s="280">
        <v>56.3</v>
      </c>
      <c r="Y37" s="280">
        <v>192</v>
      </c>
      <c r="Z37" s="280">
        <v>28700</v>
      </c>
      <c r="AA37" s="280">
        <v>123.5</v>
      </c>
      <c r="AB37" s="280">
        <v>164</v>
      </c>
      <c r="AC37" s="280">
        <v>123.8</v>
      </c>
    </row>
    <row r="38" spans="1:29" x14ac:dyDescent="0.2">
      <c r="A38" s="205">
        <v>41548</v>
      </c>
      <c r="B38" s="418">
        <v>40606721.039999992</v>
      </c>
      <c r="C38" s="423">
        <v>82365</v>
      </c>
      <c r="D38" s="279"/>
      <c r="E38" s="279"/>
      <c r="F38" s="279">
        <v>1629644.93</v>
      </c>
      <c r="G38" s="279"/>
      <c r="H38" s="418">
        <f t="shared" si="0"/>
        <v>39059441.109999992</v>
      </c>
      <c r="I38" s="159"/>
      <c r="J38" s="280">
        <v>211.5</v>
      </c>
      <c r="K38" s="280">
        <v>4.2</v>
      </c>
      <c r="L38" s="280">
        <v>844869.52961803961</v>
      </c>
      <c r="M38" s="273"/>
      <c r="N38" s="273">
        <v>31</v>
      </c>
      <c r="O38" s="280">
        <v>1</v>
      </c>
      <c r="P38" s="280">
        <v>136.19999999999999</v>
      </c>
      <c r="Q38" s="280">
        <v>5.8</v>
      </c>
      <c r="R38" s="280">
        <v>66.3</v>
      </c>
      <c r="S38" s="280">
        <v>62.5</v>
      </c>
      <c r="T38" s="280">
        <v>85.1</v>
      </c>
      <c r="U38" s="280">
        <v>341.4</v>
      </c>
      <c r="V38" s="280">
        <v>8</v>
      </c>
      <c r="W38" s="280">
        <v>61.2</v>
      </c>
      <c r="X38" s="280">
        <v>56.3</v>
      </c>
      <c r="Y38" s="280">
        <v>192.2</v>
      </c>
      <c r="Z38" s="280">
        <v>28700</v>
      </c>
      <c r="AA38" s="280">
        <v>123.3</v>
      </c>
      <c r="AB38" s="280">
        <v>158.69999999999999</v>
      </c>
      <c r="AC38" s="280">
        <v>123.7</v>
      </c>
    </row>
    <row r="39" spans="1:29" x14ac:dyDescent="0.2">
      <c r="A39" s="205">
        <v>41579</v>
      </c>
      <c r="B39" s="418">
        <v>41891121.289999954</v>
      </c>
      <c r="C39" s="423">
        <v>65947</v>
      </c>
      <c r="D39" s="279"/>
      <c r="E39" s="279"/>
      <c r="F39" s="279">
        <v>645897.6</v>
      </c>
      <c r="G39" s="279"/>
      <c r="H39" s="418">
        <f t="shared" si="0"/>
        <v>41311170.689999953</v>
      </c>
      <c r="I39" s="159"/>
      <c r="J39" s="280">
        <v>460.7</v>
      </c>
      <c r="K39" s="280">
        <v>0</v>
      </c>
      <c r="L39" s="280">
        <v>859509.96434114338</v>
      </c>
      <c r="M39" s="273"/>
      <c r="N39" s="273">
        <v>30</v>
      </c>
      <c r="O39" s="280">
        <v>1</v>
      </c>
      <c r="P39" s="280">
        <v>136.30000000000001</v>
      </c>
      <c r="Q39" s="280">
        <v>5.3</v>
      </c>
      <c r="R39" s="280">
        <v>66</v>
      </c>
      <c r="S39" s="280">
        <v>62.4</v>
      </c>
      <c r="T39" s="280">
        <v>85.1</v>
      </c>
      <c r="U39" s="280">
        <v>341.5</v>
      </c>
      <c r="V39" s="280">
        <v>7.9</v>
      </c>
      <c r="W39" s="280">
        <v>60.8</v>
      </c>
      <c r="X39" s="280">
        <v>56</v>
      </c>
      <c r="Y39" s="280">
        <v>191.1</v>
      </c>
      <c r="Z39" s="280">
        <v>28704</v>
      </c>
      <c r="AA39" s="280">
        <v>123.3</v>
      </c>
      <c r="AB39" s="280">
        <v>159.9</v>
      </c>
      <c r="AC39" s="280">
        <v>123.6</v>
      </c>
    </row>
    <row r="40" spans="1:29" x14ac:dyDescent="0.2">
      <c r="A40" s="205">
        <v>41609</v>
      </c>
      <c r="B40" s="418">
        <v>46416068.759999998</v>
      </c>
      <c r="C40" s="423">
        <v>42206</v>
      </c>
      <c r="D40" s="279"/>
      <c r="E40" s="279"/>
      <c r="F40" s="279">
        <v>158196.21000000002</v>
      </c>
      <c r="G40" s="279"/>
      <c r="H40" s="418">
        <f t="shared" si="0"/>
        <v>46300078.549999997</v>
      </c>
      <c r="I40" s="159"/>
      <c r="J40" s="280">
        <v>656.4</v>
      </c>
      <c r="K40" s="280">
        <v>0</v>
      </c>
      <c r="L40" s="280">
        <v>874150.39906424715</v>
      </c>
      <c r="M40" s="273"/>
      <c r="N40" s="273">
        <v>31</v>
      </c>
      <c r="O40" s="280">
        <v>0</v>
      </c>
      <c r="P40" s="280">
        <v>136.4</v>
      </c>
      <c r="Q40" s="280">
        <v>5.5</v>
      </c>
      <c r="R40" s="280">
        <v>65.2</v>
      </c>
      <c r="S40" s="280">
        <v>61.7</v>
      </c>
      <c r="T40" s="280">
        <v>84.1</v>
      </c>
      <c r="U40" s="280">
        <v>341.6</v>
      </c>
      <c r="V40" s="280">
        <v>8.3000000000000007</v>
      </c>
      <c r="W40" s="280">
        <v>61.4</v>
      </c>
      <c r="X40" s="280">
        <v>56.2</v>
      </c>
      <c r="Y40" s="280">
        <v>192.1</v>
      </c>
      <c r="Z40" s="280">
        <v>28722</v>
      </c>
      <c r="AA40" s="280">
        <v>123.1</v>
      </c>
      <c r="AB40" s="280">
        <v>162.4</v>
      </c>
      <c r="AC40" s="280">
        <v>123.4</v>
      </c>
    </row>
    <row r="41" spans="1:29" x14ac:dyDescent="0.2">
      <c r="A41" s="205">
        <v>41640</v>
      </c>
      <c r="B41" s="418">
        <v>52863793.569999993</v>
      </c>
      <c r="C41" s="423">
        <v>23770</v>
      </c>
      <c r="D41" s="279"/>
      <c r="E41" s="279"/>
      <c r="F41" s="279">
        <v>2391039.06</v>
      </c>
      <c r="G41" s="279"/>
      <c r="H41" s="418">
        <f t="shared" si="0"/>
        <v>50496524.50999999</v>
      </c>
      <c r="I41" s="159"/>
      <c r="J41" s="280">
        <v>783.2</v>
      </c>
      <c r="K41" s="280">
        <v>0</v>
      </c>
      <c r="L41" s="280">
        <v>893476.07499423646</v>
      </c>
      <c r="M41" s="273"/>
      <c r="N41" s="273">
        <v>31</v>
      </c>
      <c r="O41" s="280">
        <v>0</v>
      </c>
      <c r="P41" s="280">
        <v>136.5</v>
      </c>
      <c r="Q41" s="280">
        <v>6.1</v>
      </c>
      <c r="R41" s="280">
        <v>64.400000000000006</v>
      </c>
      <c r="S41" s="280">
        <v>60.4</v>
      </c>
      <c r="T41" s="280">
        <v>82.5</v>
      </c>
      <c r="U41" s="280">
        <v>341.7</v>
      </c>
      <c r="V41" s="280">
        <v>9.1</v>
      </c>
      <c r="W41" s="280">
        <v>61.3</v>
      </c>
      <c r="X41" s="280">
        <v>55.7</v>
      </c>
      <c r="Y41" s="280">
        <v>190.4</v>
      </c>
      <c r="Z41" s="280">
        <v>28748</v>
      </c>
      <c r="AA41" s="280">
        <v>123.3</v>
      </c>
      <c r="AB41" s="280">
        <v>162.4</v>
      </c>
      <c r="AC41" s="280">
        <v>123.7</v>
      </c>
    </row>
    <row r="42" spans="1:29" x14ac:dyDescent="0.2">
      <c r="A42" s="205">
        <v>41671</v>
      </c>
      <c r="B42" s="418">
        <v>46902074.210000008</v>
      </c>
      <c r="C42" s="423">
        <v>32628</v>
      </c>
      <c r="D42" s="279"/>
      <c r="E42" s="279"/>
      <c r="F42" s="279">
        <v>2375222.21</v>
      </c>
      <c r="G42" s="279"/>
      <c r="H42" s="418">
        <f t="shared" si="0"/>
        <v>44559480.000000007</v>
      </c>
      <c r="I42" s="159"/>
      <c r="J42" s="280">
        <v>743.7</v>
      </c>
      <c r="K42" s="280">
        <v>0</v>
      </c>
      <c r="L42" s="280">
        <v>912801.75092422578</v>
      </c>
      <c r="M42" s="273"/>
      <c r="N42" s="273">
        <v>28</v>
      </c>
      <c r="O42" s="280">
        <v>0</v>
      </c>
      <c r="P42" s="280">
        <v>136.6</v>
      </c>
      <c r="Q42" s="280">
        <v>6.3</v>
      </c>
      <c r="R42" s="280">
        <v>64.099999999999994</v>
      </c>
      <c r="S42" s="280">
        <v>60.1</v>
      </c>
      <c r="T42" s="280">
        <v>82.1</v>
      </c>
      <c r="U42" s="280">
        <v>341.7</v>
      </c>
      <c r="V42" s="280">
        <v>9.4</v>
      </c>
      <c r="W42" s="280">
        <v>61.9</v>
      </c>
      <c r="X42" s="280">
        <v>56.1</v>
      </c>
      <c r="Y42" s="280">
        <v>191.6</v>
      </c>
      <c r="Z42" s="280">
        <v>28744</v>
      </c>
      <c r="AA42" s="280">
        <v>124.6</v>
      </c>
      <c r="AB42" s="280">
        <v>165.1</v>
      </c>
      <c r="AC42" s="280">
        <v>125</v>
      </c>
    </row>
    <row r="43" spans="1:29" x14ac:dyDescent="0.2">
      <c r="A43" s="205">
        <v>41699</v>
      </c>
      <c r="B43" s="418">
        <v>49147286.989999995</v>
      </c>
      <c r="C43" s="423">
        <v>42989</v>
      </c>
      <c r="D43" s="279"/>
      <c r="E43" s="279"/>
      <c r="F43" s="279">
        <v>3357295.21</v>
      </c>
      <c r="G43" s="279"/>
      <c r="H43" s="418">
        <f t="shared" si="0"/>
        <v>45832980.779999994</v>
      </c>
      <c r="I43" s="159"/>
      <c r="J43" s="280">
        <v>692.3</v>
      </c>
      <c r="K43" s="280">
        <v>0</v>
      </c>
      <c r="L43" s="280">
        <v>932127.4268542151</v>
      </c>
      <c r="M43" s="273"/>
      <c r="N43" s="273">
        <v>31</v>
      </c>
      <c r="O43" s="280">
        <v>1</v>
      </c>
      <c r="P43" s="280">
        <v>136.69999999999999</v>
      </c>
      <c r="Q43" s="280">
        <v>6.8</v>
      </c>
      <c r="R43" s="280">
        <v>64.2</v>
      </c>
      <c r="S43" s="280">
        <v>59.8</v>
      </c>
      <c r="T43" s="280">
        <v>81.8</v>
      </c>
      <c r="U43" s="280">
        <v>341.8</v>
      </c>
      <c r="V43" s="280">
        <v>9.4</v>
      </c>
      <c r="W43" s="280">
        <v>62.1</v>
      </c>
      <c r="X43" s="280">
        <v>56.2</v>
      </c>
      <c r="Y43" s="280">
        <v>192.2</v>
      </c>
      <c r="Z43" s="280">
        <v>28756</v>
      </c>
      <c r="AA43" s="280">
        <v>125.1</v>
      </c>
      <c r="AB43" s="280">
        <v>165.9</v>
      </c>
      <c r="AC43" s="280">
        <v>125.5</v>
      </c>
    </row>
    <row r="44" spans="1:29" x14ac:dyDescent="0.2">
      <c r="A44" s="205">
        <v>41730</v>
      </c>
      <c r="B44" s="418">
        <v>41905954.449999988</v>
      </c>
      <c r="C44" s="423">
        <v>95708</v>
      </c>
      <c r="D44" s="279"/>
      <c r="E44" s="279"/>
      <c r="F44" s="279">
        <v>3611734.43</v>
      </c>
      <c r="G44" s="279"/>
      <c r="H44" s="418">
        <f t="shared" si="0"/>
        <v>38389928.019999988</v>
      </c>
      <c r="I44" s="159"/>
      <c r="J44" s="280">
        <v>338.4</v>
      </c>
      <c r="K44" s="280">
        <v>0</v>
      </c>
      <c r="L44" s="280">
        <v>951453.10278420441</v>
      </c>
      <c r="M44" s="273"/>
      <c r="N44" s="273">
        <v>30</v>
      </c>
      <c r="O44" s="280">
        <v>1</v>
      </c>
      <c r="P44" s="280">
        <v>136.80000000000001</v>
      </c>
      <c r="Q44" s="280">
        <v>6.9</v>
      </c>
      <c r="R44" s="280">
        <v>64.400000000000006</v>
      </c>
      <c r="S44" s="280">
        <v>59.9</v>
      </c>
      <c r="T44" s="280">
        <v>82</v>
      </c>
      <c r="U44" s="280">
        <v>341.9</v>
      </c>
      <c r="V44" s="280">
        <v>9.1999999999999993</v>
      </c>
      <c r="W44" s="280">
        <v>62.3</v>
      </c>
      <c r="X44" s="280">
        <v>56.6</v>
      </c>
      <c r="Y44" s="280">
        <v>193.4</v>
      </c>
      <c r="Z44" s="280">
        <v>28739</v>
      </c>
      <c r="AA44" s="280">
        <v>125.9</v>
      </c>
      <c r="AB44" s="280">
        <v>176.4</v>
      </c>
      <c r="AC44" s="280">
        <v>126.4</v>
      </c>
    </row>
    <row r="45" spans="1:29" x14ac:dyDescent="0.2">
      <c r="A45" s="205">
        <v>41760</v>
      </c>
      <c r="B45" s="418">
        <v>40009171.760000005</v>
      </c>
      <c r="C45" s="423">
        <v>124993</v>
      </c>
      <c r="D45" s="279"/>
      <c r="E45" s="279"/>
      <c r="F45" s="279">
        <v>3178846.3899999997</v>
      </c>
      <c r="G45" s="279"/>
      <c r="H45" s="418">
        <f t="shared" si="0"/>
        <v>36955318.370000005</v>
      </c>
      <c r="I45" s="159"/>
      <c r="J45" s="280">
        <v>147.69999999999999</v>
      </c>
      <c r="K45" s="280">
        <v>7.3</v>
      </c>
      <c r="L45" s="280">
        <v>970778.77871419373</v>
      </c>
      <c r="M45" s="273"/>
      <c r="N45" s="273">
        <v>31</v>
      </c>
      <c r="O45" s="280">
        <v>1</v>
      </c>
      <c r="P45" s="280">
        <v>136.9</v>
      </c>
      <c r="Q45" s="280">
        <v>7.3</v>
      </c>
      <c r="R45" s="280">
        <v>65.2</v>
      </c>
      <c r="S45" s="280">
        <v>60.5</v>
      </c>
      <c r="T45" s="280">
        <v>82.8</v>
      </c>
      <c r="U45" s="280">
        <v>342</v>
      </c>
      <c r="V45" s="280">
        <v>8.5</v>
      </c>
      <c r="W45" s="280">
        <v>62.5</v>
      </c>
      <c r="X45" s="280">
        <v>57.2</v>
      </c>
      <c r="Y45" s="280">
        <v>195.7</v>
      </c>
      <c r="Z45" s="280">
        <v>28715</v>
      </c>
      <c r="AA45" s="280">
        <v>126.5</v>
      </c>
      <c r="AB45" s="280">
        <v>178.3</v>
      </c>
      <c r="AC45" s="280">
        <v>127</v>
      </c>
    </row>
    <row r="46" spans="1:29" x14ac:dyDescent="0.2">
      <c r="A46" s="205">
        <v>41791</v>
      </c>
      <c r="B46" s="418">
        <v>45061481.739999995</v>
      </c>
      <c r="C46" s="423">
        <v>139742</v>
      </c>
      <c r="D46" s="279"/>
      <c r="E46" s="279"/>
      <c r="F46" s="279">
        <v>4457667.67</v>
      </c>
      <c r="G46" s="279"/>
      <c r="H46" s="418">
        <f t="shared" si="0"/>
        <v>40743556.069999993</v>
      </c>
      <c r="I46" s="159"/>
      <c r="J46" s="280">
        <v>21.3</v>
      </c>
      <c r="K46" s="280">
        <v>69</v>
      </c>
      <c r="L46" s="280">
        <v>990104.45464418305</v>
      </c>
      <c r="M46" s="273"/>
      <c r="N46" s="273">
        <v>30</v>
      </c>
      <c r="O46" s="280">
        <v>0</v>
      </c>
      <c r="P46" s="280">
        <v>137.1</v>
      </c>
      <c r="Q46" s="280">
        <v>6.8</v>
      </c>
      <c r="R46" s="280">
        <v>65.3</v>
      </c>
      <c r="S46" s="280">
        <v>60.8</v>
      </c>
      <c r="T46" s="280">
        <v>83.4</v>
      </c>
      <c r="U46" s="280">
        <v>342.1</v>
      </c>
      <c r="V46" s="280">
        <v>7.6</v>
      </c>
      <c r="W46" s="280">
        <v>62.3</v>
      </c>
      <c r="X46" s="280">
        <v>57.6</v>
      </c>
      <c r="Y46" s="280">
        <v>197.1</v>
      </c>
      <c r="Z46" s="280">
        <v>28716</v>
      </c>
      <c r="AA46" s="280">
        <v>126.9</v>
      </c>
      <c r="AB46" s="280">
        <v>181</v>
      </c>
      <c r="AC46" s="280">
        <v>127.4</v>
      </c>
    </row>
    <row r="47" spans="1:29" x14ac:dyDescent="0.2">
      <c r="A47" s="205">
        <v>41821</v>
      </c>
      <c r="B47" s="418">
        <v>46747535.099999979</v>
      </c>
      <c r="C47" s="423">
        <v>176593</v>
      </c>
      <c r="D47" s="279"/>
      <c r="E47" s="279"/>
      <c r="F47" s="279">
        <v>2783074.3600000003</v>
      </c>
      <c r="G47" s="279"/>
      <c r="H47" s="418">
        <f t="shared" si="0"/>
        <v>44141053.73999998</v>
      </c>
      <c r="I47" s="159"/>
      <c r="J47" s="280">
        <v>13.7</v>
      </c>
      <c r="K47" s="280">
        <v>51</v>
      </c>
      <c r="L47" s="280">
        <v>1009430.1305741724</v>
      </c>
      <c r="M47" s="273"/>
      <c r="N47" s="273">
        <v>31</v>
      </c>
      <c r="O47" s="280">
        <v>0</v>
      </c>
      <c r="P47" s="280">
        <v>137.30000000000001</v>
      </c>
      <c r="Q47" s="280">
        <v>7</v>
      </c>
      <c r="R47" s="280">
        <v>65.3</v>
      </c>
      <c r="S47" s="280">
        <v>60.7</v>
      </c>
      <c r="T47" s="280">
        <v>83.4</v>
      </c>
      <c r="U47" s="280">
        <v>342.2</v>
      </c>
      <c r="V47" s="280">
        <v>7.4</v>
      </c>
      <c r="W47" s="280">
        <v>62.4</v>
      </c>
      <c r="X47" s="280">
        <v>57.8</v>
      </c>
      <c r="Y47" s="280">
        <v>197.9</v>
      </c>
      <c r="Z47" s="280">
        <v>28720</v>
      </c>
      <c r="AA47" s="280">
        <v>126.5</v>
      </c>
      <c r="AB47" s="280">
        <v>176.9</v>
      </c>
      <c r="AC47" s="280">
        <v>126.9</v>
      </c>
    </row>
    <row r="48" spans="1:29" x14ac:dyDescent="0.2">
      <c r="A48" s="205">
        <v>41852</v>
      </c>
      <c r="B48" s="418">
        <v>44915574.590000011</v>
      </c>
      <c r="C48" s="423">
        <v>151746</v>
      </c>
      <c r="D48" s="279"/>
      <c r="E48" s="279"/>
      <c r="F48" s="279">
        <v>1958968.9200000002</v>
      </c>
      <c r="G48" s="279"/>
      <c r="H48" s="418">
        <f t="shared" si="0"/>
        <v>43108351.670000009</v>
      </c>
      <c r="I48" s="159"/>
      <c r="J48" s="280">
        <v>12</v>
      </c>
      <c r="K48" s="280">
        <v>59</v>
      </c>
      <c r="L48" s="280">
        <v>1028755.8065041617</v>
      </c>
      <c r="M48" s="273"/>
      <c r="N48" s="273">
        <v>31</v>
      </c>
      <c r="O48" s="280">
        <v>0</v>
      </c>
      <c r="P48" s="280">
        <v>137.5</v>
      </c>
      <c r="Q48" s="280">
        <v>7.5</v>
      </c>
      <c r="R48" s="280">
        <v>64.599999999999994</v>
      </c>
      <c r="S48" s="280">
        <v>59.8</v>
      </c>
      <c r="T48" s="280">
        <v>82.2</v>
      </c>
      <c r="U48" s="280">
        <v>342.4</v>
      </c>
      <c r="V48" s="280">
        <v>7.6</v>
      </c>
      <c r="W48" s="280">
        <v>62.1</v>
      </c>
      <c r="X48" s="280">
        <v>57.4</v>
      </c>
      <c r="Y48" s="280">
        <v>196.7</v>
      </c>
      <c r="Z48" s="280">
        <v>28724</v>
      </c>
      <c r="AA48" s="280">
        <v>126.5</v>
      </c>
      <c r="AB48" s="280">
        <v>173.2</v>
      </c>
      <c r="AC48" s="280">
        <v>126.9</v>
      </c>
    </row>
    <row r="49" spans="1:29" x14ac:dyDescent="0.2">
      <c r="A49" s="205">
        <v>41883</v>
      </c>
      <c r="B49" s="418">
        <v>39557943.620000012</v>
      </c>
      <c r="C49" s="423">
        <v>151604</v>
      </c>
      <c r="D49" s="279"/>
      <c r="E49" s="279"/>
      <c r="F49" s="279">
        <v>1237230.8900000001</v>
      </c>
      <c r="G49" s="279"/>
      <c r="H49" s="418">
        <f t="shared" si="0"/>
        <v>38472316.730000012</v>
      </c>
      <c r="I49" s="159"/>
      <c r="J49" s="280">
        <v>85.3</v>
      </c>
      <c r="K49" s="280">
        <v>27.5</v>
      </c>
      <c r="L49" s="280">
        <v>1048081.482434151</v>
      </c>
      <c r="M49" s="273"/>
      <c r="N49" s="273">
        <v>30</v>
      </c>
      <c r="O49" s="280">
        <v>1</v>
      </c>
      <c r="P49" s="280">
        <v>137.5</v>
      </c>
      <c r="Q49" s="280">
        <v>7.7</v>
      </c>
      <c r="R49" s="280">
        <v>64</v>
      </c>
      <c r="S49" s="280">
        <v>59.1</v>
      </c>
      <c r="T49" s="280">
        <v>81.3</v>
      </c>
      <c r="U49" s="280">
        <v>342.5</v>
      </c>
      <c r="V49" s="280">
        <v>7.3</v>
      </c>
      <c r="W49" s="280">
        <v>61.8</v>
      </c>
      <c r="X49" s="280">
        <v>57.3</v>
      </c>
      <c r="Y49" s="280">
        <v>196.3</v>
      </c>
      <c r="Z49" s="280">
        <v>28750</v>
      </c>
      <c r="AA49" s="280">
        <v>126.7</v>
      </c>
      <c r="AB49" s="280">
        <v>171.8</v>
      </c>
      <c r="AC49" s="280">
        <v>127.2</v>
      </c>
    </row>
    <row r="50" spans="1:29" x14ac:dyDescent="0.2">
      <c r="A50" s="205">
        <v>41913</v>
      </c>
      <c r="B50" s="418">
        <v>39850442.429999992</v>
      </c>
      <c r="C50" s="423">
        <v>203900.84</v>
      </c>
      <c r="D50" s="279"/>
      <c r="E50" s="279"/>
      <c r="F50" s="279">
        <v>1857846.61</v>
      </c>
      <c r="G50" s="279"/>
      <c r="H50" s="418">
        <f t="shared" si="0"/>
        <v>38196496.659999996</v>
      </c>
      <c r="I50" s="159"/>
      <c r="J50" s="280">
        <v>225.1</v>
      </c>
      <c r="K50" s="280">
        <v>5.9</v>
      </c>
      <c r="L50" s="280">
        <v>1067407.1583641404</v>
      </c>
      <c r="M50" s="273"/>
      <c r="N50" s="273">
        <v>31</v>
      </c>
      <c r="O50" s="280">
        <v>1</v>
      </c>
      <c r="P50" s="280">
        <v>137.5</v>
      </c>
      <c r="Q50" s="280">
        <v>7.2</v>
      </c>
      <c r="R50" s="280">
        <v>62.8</v>
      </c>
      <c r="S50" s="280">
        <v>58.3</v>
      </c>
      <c r="T50" s="280">
        <v>80.099999999999994</v>
      </c>
      <c r="U50" s="280">
        <v>342.6</v>
      </c>
      <c r="V50" s="280">
        <v>6.5</v>
      </c>
      <c r="W50" s="280">
        <v>61.5</v>
      </c>
      <c r="X50" s="280">
        <v>57.5</v>
      </c>
      <c r="Y50" s="280">
        <v>197.1</v>
      </c>
      <c r="Z50" s="280">
        <v>28746</v>
      </c>
      <c r="AA50" s="280">
        <v>126.8</v>
      </c>
      <c r="AB50" s="280">
        <v>166.8</v>
      </c>
      <c r="AC50" s="280">
        <v>127.4</v>
      </c>
    </row>
    <row r="51" spans="1:29" x14ac:dyDescent="0.2">
      <c r="A51" s="205">
        <v>41944</v>
      </c>
      <c r="B51" s="418">
        <v>43491696.789999977</v>
      </c>
      <c r="C51" s="423">
        <v>141701.9</v>
      </c>
      <c r="D51" s="279"/>
      <c r="E51" s="279"/>
      <c r="F51" s="279">
        <v>2975014.2399999998</v>
      </c>
      <c r="G51" s="279"/>
      <c r="H51" s="418">
        <f t="shared" si="0"/>
        <v>40658384.449999973</v>
      </c>
      <c r="I51" s="159"/>
      <c r="J51" s="280">
        <v>465.7</v>
      </c>
      <c r="K51" s="280">
        <v>0</v>
      </c>
      <c r="L51" s="280">
        <v>1086732.8342941299</v>
      </c>
      <c r="M51" s="273"/>
      <c r="N51" s="273">
        <v>30</v>
      </c>
      <c r="O51" s="280">
        <v>1</v>
      </c>
      <c r="P51" s="280">
        <v>137.5</v>
      </c>
      <c r="Q51" s="280">
        <v>6.3</v>
      </c>
      <c r="R51" s="280">
        <v>61.4</v>
      </c>
      <c r="S51" s="280">
        <v>57.5</v>
      </c>
      <c r="T51" s="280">
        <v>79.099999999999994</v>
      </c>
      <c r="U51" s="280">
        <v>342.6</v>
      </c>
      <c r="V51" s="280">
        <v>5.8</v>
      </c>
      <c r="W51" s="280">
        <v>61.1</v>
      </c>
      <c r="X51" s="280">
        <v>57.6</v>
      </c>
      <c r="Y51" s="280">
        <v>197.2</v>
      </c>
      <c r="Z51" s="280">
        <v>28745</v>
      </c>
      <c r="AA51" s="280">
        <v>126.3</v>
      </c>
      <c r="AB51" s="280">
        <v>161.30000000000001</v>
      </c>
      <c r="AC51" s="280">
        <v>126.9</v>
      </c>
    </row>
    <row r="52" spans="1:29" x14ac:dyDescent="0.2">
      <c r="A52" s="205">
        <v>41974</v>
      </c>
      <c r="B52" s="418">
        <v>44870993.049999982</v>
      </c>
      <c r="C52" s="423">
        <v>98972</v>
      </c>
      <c r="D52" s="279"/>
      <c r="E52" s="279"/>
      <c r="F52" s="279">
        <v>1596430.3099999998</v>
      </c>
      <c r="G52" s="279"/>
      <c r="H52" s="418">
        <f t="shared" si="0"/>
        <v>43373534.73999998</v>
      </c>
      <c r="I52" s="159"/>
      <c r="J52" s="280">
        <v>540.79999999999995</v>
      </c>
      <c r="K52" s="280">
        <v>0</v>
      </c>
      <c r="L52" s="280">
        <v>1106058.5102241193</v>
      </c>
      <c r="M52" s="273"/>
      <c r="N52" s="273">
        <v>31</v>
      </c>
      <c r="O52" s="280">
        <v>0</v>
      </c>
      <c r="P52" s="280">
        <v>137.6</v>
      </c>
      <c r="Q52" s="280">
        <v>6</v>
      </c>
      <c r="R52" s="280">
        <v>61</v>
      </c>
      <c r="S52" s="280">
        <v>57.4</v>
      </c>
      <c r="T52" s="280">
        <v>79</v>
      </c>
      <c r="U52" s="280">
        <v>342.6</v>
      </c>
      <c r="V52" s="280">
        <v>6.4</v>
      </c>
      <c r="W52" s="280">
        <v>61.2</v>
      </c>
      <c r="X52" s="280">
        <v>57.2</v>
      </c>
      <c r="Y52" s="280">
        <v>196</v>
      </c>
      <c r="Z52" s="280">
        <v>28755</v>
      </c>
      <c r="AA52" s="280">
        <v>125.4</v>
      </c>
      <c r="AB52" s="280">
        <v>153.30000000000001</v>
      </c>
      <c r="AC52" s="280">
        <v>126.2</v>
      </c>
    </row>
    <row r="53" spans="1:29" x14ac:dyDescent="0.2">
      <c r="A53" s="205">
        <v>42005</v>
      </c>
      <c r="B53" s="418">
        <v>50100445.24000001</v>
      </c>
      <c r="C53" s="423">
        <v>79337.899999999994</v>
      </c>
      <c r="D53" s="279"/>
      <c r="E53" s="279"/>
      <c r="F53" s="279">
        <v>1842799.25</v>
      </c>
      <c r="G53" s="279"/>
      <c r="H53" s="418">
        <f t="shared" si="0"/>
        <v>48336983.890000008</v>
      </c>
      <c r="I53" s="159"/>
      <c r="J53" s="280">
        <v>771.7</v>
      </c>
      <c r="K53" s="280">
        <v>0</v>
      </c>
      <c r="L53" s="280">
        <v>1159263.6597949404</v>
      </c>
      <c r="M53" s="273"/>
      <c r="N53" s="273">
        <v>31</v>
      </c>
      <c r="O53" s="280">
        <v>0</v>
      </c>
      <c r="P53" s="280">
        <v>137.69999999999999</v>
      </c>
      <c r="Q53" s="280">
        <v>6</v>
      </c>
      <c r="R53" s="280">
        <v>61.6</v>
      </c>
      <c r="S53" s="280">
        <v>57.9</v>
      </c>
      <c r="T53" s="280">
        <v>79.7</v>
      </c>
      <c r="U53" s="280">
        <v>342.7</v>
      </c>
      <c r="V53" s="280">
        <v>7</v>
      </c>
      <c r="W53" s="280">
        <v>60.7</v>
      </c>
      <c r="X53" s="280">
        <v>56.5</v>
      </c>
      <c r="Y53" s="280">
        <v>193.5</v>
      </c>
      <c r="Z53" s="280">
        <v>28776</v>
      </c>
      <c r="AA53" s="280">
        <v>125.3</v>
      </c>
      <c r="AB53" s="280">
        <v>145</v>
      </c>
      <c r="AC53" s="280">
        <v>126.3</v>
      </c>
    </row>
    <row r="54" spans="1:29" x14ac:dyDescent="0.2">
      <c r="A54" s="205">
        <v>42036</v>
      </c>
      <c r="B54" s="418">
        <v>46271066.69000002</v>
      </c>
      <c r="C54" s="423">
        <v>87201.44</v>
      </c>
      <c r="D54" s="279"/>
      <c r="E54" s="279"/>
      <c r="F54" s="279">
        <v>552187.86</v>
      </c>
      <c r="G54" s="279"/>
      <c r="H54" s="418">
        <f t="shared" si="0"/>
        <v>45806080.270000018</v>
      </c>
      <c r="I54" s="159"/>
      <c r="J54" s="280">
        <v>871.9</v>
      </c>
      <c r="K54" s="280">
        <v>0</v>
      </c>
      <c r="L54" s="280">
        <v>1212468.8093657615</v>
      </c>
      <c r="M54" s="273"/>
      <c r="N54" s="273">
        <v>28</v>
      </c>
      <c r="O54" s="280">
        <v>0</v>
      </c>
      <c r="P54" s="280">
        <v>137.80000000000001</v>
      </c>
      <c r="Q54" s="280">
        <v>6.3</v>
      </c>
      <c r="R54" s="280">
        <v>61.8</v>
      </c>
      <c r="S54" s="280">
        <v>57.8</v>
      </c>
      <c r="T54" s="280">
        <v>79.599999999999994</v>
      </c>
      <c r="U54" s="280">
        <v>342.7</v>
      </c>
      <c r="V54" s="280">
        <v>7.6</v>
      </c>
      <c r="W54" s="280">
        <v>60.9</v>
      </c>
      <c r="X54" s="280">
        <v>56.3</v>
      </c>
      <c r="Y54" s="280">
        <v>192.8</v>
      </c>
      <c r="Z54" s="280">
        <v>28756</v>
      </c>
      <c r="AA54" s="280">
        <v>126.2</v>
      </c>
      <c r="AB54" s="280">
        <v>151.6</v>
      </c>
      <c r="AC54" s="280">
        <v>127.2</v>
      </c>
    </row>
    <row r="55" spans="1:29" x14ac:dyDescent="0.2">
      <c r="A55" s="205">
        <v>42064</v>
      </c>
      <c r="B55" s="418">
        <v>44501238.159999989</v>
      </c>
      <c r="C55" s="423">
        <v>36036.6</v>
      </c>
      <c r="D55" s="279"/>
      <c r="E55" s="279"/>
      <c r="F55" s="279">
        <v>70023.920000000013</v>
      </c>
      <c r="G55" s="279"/>
      <c r="H55" s="418">
        <f t="shared" si="0"/>
        <v>44467250.839999989</v>
      </c>
      <c r="I55" s="159"/>
      <c r="J55" s="280">
        <v>637</v>
      </c>
      <c r="K55" s="280">
        <v>0</v>
      </c>
      <c r="L55" s="280">
        <v>1265673.9589365826</v>
      </c>
      <c r="M55" s="273"/>
      <c r="N55" s="273">
        <v>31</v>
      </c>
      <c r="O55" s="280">
        <v>1</v>
      </c>
      <c r="P55" s="280">
        <v>137.9</v>
      </c>
      <c r="Q55" s="280">
        <v>6.7</v>
      </c>
      <c r="R55" s="280">
        <v>61.9</v>
      </c>
      <c r="S55" s="280">
        <v>57.8</v>
      </c>
      <c r="T55" s="280">
        <v>79.7</v>
      </c>
      <c r="U55" s="280">
        <v>342.8</v>
      </c>
      <c r="V55" s="280">
        <v>7.6</v>
      </c>
      <c r="W55" s="280">
        <v>61.6</v>
      </c>
      <c r="X55" s="280">
        <v>56.9</v>
      </c>
      <c r="Y55" s="280">
        <v>195</v>
      </c>
      <c r="Z55" s="280">
        <v>28748</v>
      </c>
      <c r="AA55" s="280">
        <v>127.1</v>
      </c>
      <c r="AB55" s="280">
        <v>155.9</v>
      </c>
      <c r="AC55" s="280">
        <v>127.9</v>
      </c>
    </row>
    <row r="56" spans="1:29" x14ac:dyDescent="0.2">
      <c r="A56" s="205">
        <v>42095</v>
      </c>
      <c r="B56" s="418">
        <v>37785791.490000002</v>
      </c>
      <c r="C56" s="423">
        <v>239731</v>
      </c>
      <c r="D56" s="279"/>
      <c r="E56" s="279"/>
      <c r="F56" s="279">
        <v>959193.41</v>
      </c>
      <c r="G56" s="279"/>
      <c r="H56" s="418">
        <f t="shared" si="0"/>
        <v>37066329.080000006</v>
      </c>
      <c r="I56" s="159"/>
      <c r="J56" s="280">
        <v>330</v>
      </c>
      <c r="K56" s="280">
        <v>0</v>
      </c>
      <c r="L56" s="280">
        <v>1318879.1085074036</v>
      </c>
      <c r="M56" s="273"/>
      <c r="N56" s="273">
        <v>30</v>
      </c>
      <c r="O56" s="280">
        <v>1</v>
      </c>
      <c r="P56" s="280">
        <v>138</v>
      </c>
      <c r="Q56" s="280">
        <v>7.2</v>
      </c>
      <c r="R56" s="280">
        <v>62.4</v>
      </c>
      <c r="S56" s="280">
        <v>57.9</v>
      </c>
      <c r="T56" s="280">
        <v>79.900000000000006</v>
      </c>
      <c r="U56" s="280">
        <v>342.8</v>
      </c>
      <c r="V56" s="280">
        <v>7.2</v>
      </c>
      <c r="W56" s="280">
        <v>62.3</v>
      </c>
      <c r="X56" s="280">
        <v>57.8</v>
      </c>
      <c r="Y56" s="280">
        <v>198.1</v>
      </c>
      <c r="Z56" s="280">
        <v>28733</v>
      </c>
      <c r="AA56" s="280">
        <v>126.9</v>
      </c>
      <c r="AB56" s="280">
        <v>152.5</v>
      </c>
      <c r="AC56" s="280">
        <v>127.7</v>
      </c>
    </row>
    <row r="57" spans="1:29" x14ac:dyDescent="0.2">
      <c r="A57" s="205">
        <v>42125</v>
      </c>
      <c r="B57" s="418">
        <v>36307057.780000001</v>
      </c>
      <c r="C57" s="423">
        <v>302185.09999999998</v>
      </c>
      <c r="D57" s="279"/>
      <c r="E57" s="279"/>
      <c r="F57" s="279">
        <v>48097.29</v>
      </c>
      <c r="G57" s="279"/>
      <c r="H57" s="418">
        <f t="shared" si="0"/>
        <v>36561145.590000004</v>
      </c>
      <c r="I57" s="159"/>
      <c r="J57" s="280">
        <v>102.7</v>
      </c>
      <c r="K57" s="280">
        <v>34.200000000000003</v>
      </c>
      <c r="L57" s="280">
        <v>1372084.2580782247</v>
      </c>
      <c r="M57" s="273"/>
      <c r="N57" s="273">
        <v>31</v>
      </c>
      <c r="O57" s="280">
        <v>1</v>
      </c>
      <c r="P57" s="280">
        <v>138</v>
      </c>
      <c r="Q57" s="280">
        <v>7</v>
      </c>
      <c r="R57" s="280">
        <v>63.9</v>
      </c>
      <c r="S57" s="280">
        <v>59.4</v>
      </c>
      <c r="T57" s="280">
        <v>82</v>
      </c>
      <c r="U57" s="280">
        <v>342.9</v>
      </c>
      <c r="V57" s="280">
        <v>6.6</v>
      </c>
      <c r="W57" s="280">
        <v>62.6</v>
      </c>
      <c r="X57" s="280">
        <v>58.5</v>
      </c>
      <c r="Y57" s="280">
        <v>200.6</v>
      </c>
      <c r="Z57" s="280">
        <v>28701</v>
      </c>
      <c r="AA57" s="280">
        <v>127.7</v>
      </c>
      <c r="AB57" s="280">
        <v>159.19999999999999</v>
      </c>
      <c r="AC57" s="280">
        <v>128.5</v>
      </c>
    </row>
    <row r="58" spans="1:29" x14ac:dyDescent="0.2">
      <c r="A58" s="205">
        <v>42156</v>
      </c>
      <c r="B58" s="418">
        <v>37811947.970000021</v>
      </c>
      <c r="C58" s="423">
        <v>384174.2</v>
      </c>
      <c r="D58" s="279"/>
      <c r="E58" s="279"/>
      <c r="F58" s="279">
        <v>39843</v>
      </c>
      <c r="G58" s="279"/>
      <c r="H58" s="418">
        <f t="shared" ref="H58:H121" si="1">B58+SUM(C58:E58)-SUM(F58:G58)</f>
        <v>38156279.170000024</v>
      </c>
      <c r="I58" s="159"/>
      <c r="J58" s="280">
        <v>35.9</v>
      </c>
      <c r="K58" s="280">
        <v>28.6</v>
      </c>
      <c r="L58" s="280">
        <v>1425289.4076490458</v>
      </c>
      <c r="M58" s="273"/>
      <c r="N58" s="273">
        <v>30</v>
      </c>
      <c r="O58" s="280">
        <v>0</v>
      </c>
      <c r="P58" s="280">
        <v>138.1</v>
      </c>
      <c r="Q58" s="280">
        <v>7.1</v>
      </c>
      <c r="R58" s="280">
        <v>65.2</v>
      </c>
      <c r="S58" s="280">
        <v>60.5</v>
      </c>
      <c r="T58" s="280">
        <v>83.6</v>
      </c>
      <c r="U58" s="280">
        <v>343</v>
      </c>
      <c r="V58" s="280">
        <v>5.8</v>
      </c>
      <c r="W58" s="280">
        <v>63.3</v>
      </c>
      <c r="X58" s="280">
        <v>59.6</v>
      </c>
      <c r="Y58" s="280">
        <v>204.5</v>
      </c>
      <c r="Z58" s="280">
        <v>28699</v>
      </c>
      <c r="AA58" s="280">
        <v>128.19999999999999</v>
      </c>
      <c r="AB58" s="280">
        <v>163.9</v>
      </c>
      <c r="AC58" s="280">
        <v>128.80000000000001</v>
      </c>
    </row>
    <row r="59" spans="1:29" x14ac:dyDescent="0.2">
      <c r="A59" s="205">
        <v>42186</v>
      </c>
      <c r="B59" s="418">
        <v>44310484.200000025</v>
      </c>
      <c r="C59" s="423">
        <v>322061.09999999998</v>
      </c>
      <c r="D59" s="279"/>
      <c r="E59" s="279"/>
      <c r="F59" s="279">
        <v>24418.15</v>
      </c>
      <c r="G59" s="279"/>
      <c r="H59" s="418">
        <f t="shared" si="1"/>
        <v>44608127.150000028</v>
      </c>
      <c r="I59" s="159"/>
      <c r="J59" s="280">
        <v>7.6</v>
      </c>
      <c r="K59" s="280">
        <v>79.099999999999994</v>
      </c>
      <c r="L59" s="280">
        <v>1478494.5572198669</v>
      </c>
      <c r="M59" s="273"/>
      <c r="N59" s="273">
        <v>31</v>
      </c>
      <c r="O59" s="280">
        <v>0</v>
      </c>
      <c r="P59" s="280">
        <v>138.30000000000001</v>
      </c>
      <c r="Q59" s="280">
        <v>7</v>
      </c>
      <c r="R59" s="280">
        <v>65.7</v>
      </c>
      <c r="S59" s="280">
        <v>61</v>
      </c>
      <c r="T59" s="280">
        <v>84.4</v>
      </c>
      <c r="U59" s="280">
        <v>343.1</v>
      </c>
      <c r="V59" s="280">
        <v>6</v>
      </c>
      <c r="W59" s="280">
        <v>65</v>
      </c>
      <c r="X59" s="280">
        <v>61.1</v>
      </c>
      <c r="Y59" s="280">
        <v>209.6</v>
      </c>
      <c r="Z59" s="280">
        <v>28743</v>
      </c>
      <c r="AA59" s="280">
        <v>128.4</v>
      </c>
      <c r="AB59" s="280">
        <v>167.7</v>
      </c>
      <c r="AC59" s="280">
        <v>129.19999999999999</v>
      </c>
    </row>
    <row r="60" spans="1:29" x14ac:dyDescent="0.2">
      <c r="A60" s="205">
        <v>42217</v>
      </c>
      <c r="B60" s="418">
        <v>43495493.139999993</v>
      </c>
      <c r="C60" s="423">
        <v>389722.1</v>
      </c>
      <c r="D60" s="279"/>
      <c r="E60" s="279"/>
      <c r="F60" s="279">
        <v>25350.880000000001</v>
      </c>
      <c r="G60" s="279"/>
      <c r="H60" s="418">
        <f t="shared" si="1"/>
        <v>43859864.359999992</v>
      </c>
      <c r="I60" s="159"/>
      <c r="J60" s="280">
        <v>12</v>
      </c>
      <c r="K60" s="280">
        <v>59</v>
      </c>
      <c r="L60" s="280">
        <v>1531699.706790688</v>
      </c>
      <c r="M60" s="273"/>
      <c r="N60" s="273">
        <v>31</v>
      </c>
      <c r="O60" s="280">
        <v>0</v>
      </c>
      <c r="P60" s="280">
        <v>138.5</v>
      </c>
      <c r="Q60" s="280">
        <v>7.4</v>
      </c>
      <c r="R60" s="280">
        <v>66.3</v>
      </c>
      <c r="S60" s="280">
        <v>61.4</v>
      </c>
      <c r="T60" s="280">
        <v>85</v>
      </c>
      <c r="U60" s="280">
        <v>343.3</v>
      </c>
      <c r="V60" s="280">
        <v>6.4</v>
      </c>
      <c r="W60" s="280">
        <v>65.7</v>
      </c>
      <c r="X60" s="280">
        <v>61.6</v>
      </c>
      <c r="Y60" s="280">
        <v>211.4</v>
      </c>
      <c r="Z60" s="280">
        <v>28760</v>
      </c>
      <c r="AA60" s="280">
        <v>128</v>
      </c>
      <c r="AB60" s="280">
        <v>161.80000000000001</v>
      </c>
      <c r="AC60" s="280">
        <v>128.69999999999999</v>
      </c>
    </row>
    <row r="61" spans="1:29" x14ac:dyDescent="0.2">
      <c r="A61" s="205">
        <v>42248</v>
      </c>
      <c r="B61" s="418">
        <v>41484817.669999972</v>
      </c>
      <c r="C61" s="423">
        <v>360690</v>
      </c>
      <c r="D61" s="279"/>
      <c r="E61" s="279"/>
      <c r="F61" s="279">
        <v>97516.58</v>
      </c>
      <c r="G61" s="279"/>
      <c r="H61" s="418">
        <f t="shared" si="1"/>
        <v>41747991.089999974</v>
      </c>
      <c r="I61" s="159"/>
      <c r="J61" s="280">
        <v>37</v>
      </c>
      <c r="K61" s="280">
        <v>54.4</v>
      </c>
      <c r="L61" s="280">
        <v>1584904.8563615091</v>
      </c>
      <c r="M61" s="273"/>
      <c r="N61" s="273">
        <v>30</v>
      </c>
      <c r="O61" s="280">
        <v>1</v>
      </c>
      <c r="P61" s="280">
        <v>138.6</v>
      </c>
      <c r="Q61" s="280">
        <v>7.3</v>
      </c>
      <c r="R61" s="280">
        <v>65.900000000000006</v>
      </c>
      <c r="S61" s="280">
        <v>61</v>
      </c>
      <c r="T61" s="280">
        <v>84.6</v>
      </c>
      <c r="U61" s="280">
        <v>343.4</v>
      </c>
      <c r="V61" s="280">
        <v>6.9</v>
      </c>
      <c r="W61" s="280">
        <v>65.8</v>
      </c>
      <c r="X61" s="280">
        <v>61.3</v>
      </c>
      <c r="Y61" s="280">
        <v>210.4</v>
      </c>
      <c r="Z61" s="280">
        <v>28792</v>
      </c>
      <c r="AA61" s="280">
        <v>127.8</v>
      </c>
      <c r="AB61" s="280">
        <v>155.19999999999999</v>
      </c>
      <c r="AC61" s="280">
        <v>129</v>
      </c>
    </row>
    <row r="62" spans="1:29" x14ac:dyDescent="0.2">
      <c r="A62" s="205">
        <v>42278</v>
      </c>
      <c r="B62" s="418">
        <v>38178097.399999984</v>
      </c>
      <c r="C62" s="423">
        <v>318799.09999999998</v>
      </c>
      <c r="D62" s="279"/>
      <c r="E62" s="279"/>
      <c r="F62" s="279">
        <v>1710463.4100000001</v>
      </c>
      <c r="G62" s="279"/>
      <c r="H62" s="418">
        <f t="shared" si="1"/>
        <v>36786433.089999989</v>
      </c>
      <c r="I62" s="159"/>
      <c r="J62" s="280">
        <v>252.3</v>
      </c>
      <c r="K62" s="280">
        <v>0.9</v>
      </c>
      <c r="L62" s="280">
        <v>1638110.0059323302</v>
      </c>
      <c r="M62" s="273"/>
      <c r="N62" s="273">
        <v>31</v>
      </c>
      <c r="O62" s="280">
        <v>1</v>
      </c>
      <c r="P62" s="280">
        <v>138.6</v>
      </c>
      <c r="Q62" s="280">
        <v>6.5</v>
      </c>
      <c r="R62" s="280">
        <v>65.7</v>
      </c>
      <c r="S62" s="280">
        <v>61.4</v>
      </c>
      <c r="T62" s="280">
        <v>85.1</v>
      </c>
      <c r="U62" s="280">
        <v>343.5</v>
      </c>
      <c r="V62" s="280">
        <v>6.8</v>
      </c>
      <c r="W62" s="280">
        <v>65.2</v>
      </c>
      <c r="X62" s="280">
        <v>60.7</v>
      </c>
      <c r="Y62" s="280">
        <v>208.5</v>
      </c>
      <c r="Z62" s="280">
        <v>28795</v>
      </c>
      <c r="AA62" s="280">
        <v>127.9</v>
      </c>
      <c r="AB62" s="280">
        <v>149.4</v>
      </c>
      <c r="AC62" s="280">
        <v>129</v>
      </c>
    </row>
    <row r="63" spans="1:29" x14ac:dyDescent="0.2">
      <c r="A63" s="205">
        <v>42309</v>
      </c>
      <c r="B63" s="418">
        <v>36946837.530000001</v>
      </c>
      <c r="C63" s="423">
        <v>226119.2</v>
      </c>
      <c r="D63" s="279"/>
      <c r="E63" s="279"/>
      <c r="F63" s="279">
        <v>14378.89</v>
      </c>
      <c r="G63" s="279"/>
      <c r="H63" s="418">
        <f t="shared" si="1"/>
        <v>37158577.840000004</v>
      </c>
      <c r="I63" s="159"/>
      <c r="J63" s="280">
        <v>341.4</v>
      </c>
      <c r="K63" s="280">
        <v>0</v>
      </c>
      <c r="L63" s="280">
        <v>1691315.1555031512</v>
      </c>
      <c r="M63" s="273"/>
      <c r="N63" s="273">
        <v>30</v>
      </c>
      <c r="O63" s="280">
        <v>1</v>
      </c>
      <c r="P63" s="280">
        <v>138.6</v>
      </c>
      <c r="Q63" s="280">
        <v>5.9</v>
      </c>
      <c r="R63" s="280">
        <v>64.599999999999994</v>
      </c>
      <c r="S63" s="280">
        <v>60.7</v>
      </c>
      <c r="T63" s="280">
        <v>84.1</v>
      </c>
      <c r="U63" s="280">
        <v>343.7</v>
      </c>
      <c r="V63" s="280">
        <v>7.1</v>
      </c>
      <c r="W63" s="280">
        <v>65</v>
      </c>
      <c r="X63" s="280">
        <v>60.4</v>
      </c>
      <c r="Y63" s="280">
        <v>207.7</v>
      </c>
      <c r="Z63" s="280">
        <v>28801</v>
      </c>
      <c r="AA63" s="280">
        <v>127.9</v>
      </c>
      <c r="AB63" s="280">
        <v>151.19999999999999</v>
      </c>
      <c r="AC63" s="280">
        <v>129.1</v>
      </c>
    </row>
    <row r="64" spans="1:29" x14ac:dyDescent="0.2">
      <c r="A64" s="205">
        <v>42339</v>
      </c>
      <c r="B64" s="418">
        <v>39604094.129999995</v>
      </c>
      <c r="C64" s="423">
        <v>179150.2</v>
      </c>
      <c r="D64" s="279"/>
      <c r="E64" s="279"/>
      <c r="F64" s="279">
        <v>13364.88</v>
      </c>
      <c r="G64" s="279"/>
      <c r="H64" s="418">
        <f t="shared" si="1"/>
        <v>39769879.449999996</v>
      </c>
      <c r="I64" s="159"/>
      <c r="J64" s="280">
        <v>418</v>
      </c>
      <c r="K64" s="280">
        <v>0</v>
      </c>
      <c r="L64" s="280">
        <v>1744520.3050739723</v>
      </c>
      <c r="M64" s="273"/>
      <c r="N64" s="273">
        <v>31</v>
      </c>
      <c r="O64" s="280">
        <v>0</v>
      </c>
      <c r="P64" s="280">
        <v>138.69999999999999</v>
      </c>
      <c r="Q64" s="280">
        <v>5.5</v>
      </c>
      <c r="R64" s="280">
        <v>64</v>
      </c>
      <c r="S64" s="280">
        <v>60.4</v>
      </c>
      <c r="T64" s="280">
        <v>83.8</v>
      </c>
      <c r="U64" s="280">
        <v>343.8</v>
      </c>
      <c r="V64" s="280">
        <v>7.7</v>
      </c>
      <c r="W64" s="280">
        <v>65</v>
      </c>
      <c r="X64" s="280">
        <v>60</v>
      </c>
      <c r="Y64" s="280">
        <v>206.4</v>
      </c>
      <c r="Z64" s="280">
        <v>28826</v>
      </c>
      <c r="AA64" s="280">
        <v>127.5</v>
      </c>
      <c r="AB64" s="280">
        <v>149.6</v>
      </c>
      <c r="AC64" s="280">
        <v>128.69999999999999</v>
      </c>
    </row>
    <row r="65" spans="1:29" x14ac:dyDescent="0.2">
      <c r="A65" s="205">
        <v>42370</v>
      </c>
      <c r="B65" s="418">
        <v>44500830.719999984</v>
      </c>
      <c r="C65" s="423">
        <v>79611.8</v>
      </c>
      <c r="D65" s="279"/>
      <c r="E65" s="279"/>
      <c r="F65" s="279">
        <v>32172.43</v>
      </c>
      <c r="G65" s="279"/>
      <c r="H65" s="418">
        <f t="shared" si="1"/>
        <v>44548270.089999981</v>
      </c>
      <c r="I65" s="159"/>
      <c r="J65" s="280">
        <v>657.2</v>
      </c>
      <c r="K65" s="280">
        <v>0</v>
      </c>
      <c r="L65" s="280">
        <v>1798539.3135523656</v>
      </c>
      <c r="M65" s="273"/>
      <c r="N65" s="273">
        <v>31</v>
      </c>
      <c r="O65" s="280">
        <v>0</v>
      </c>
      <c r="P65" s="280">
        <v>138.80000000000001</v>
      </c>
      <c r="Q65" s="280">
        <v>5.8</v>
      </c>
      <c r="R65" s="280">
        <v>63.7</v>
      </c>
      <c r="S65" s="280">
        <v>60</v>
      </c>
      <c r="T65" s="280">
        <v>83.3</v>
      </c>
      <c r="U65" s="280">
        <v>343.9</v>
      </c>
      <c r="V65" s="280">
        <v>9</v>
      </c>
      <c r="W65" s="280">
        <v>64.599999999999994</v>
      </c>
      <c r="X65" s="280">
        <v>58.8</v>
      </c>
      <c r="Y65" s="280">
        <v>202.3</v>
      </c>
      <c r="Z65" s="280">
        <v>28830</v>
      </c>
      <c r="AA65" s="280">
        <v>127.8</v>
      </c>
      <c r="AB65" s="280">
        <v>147</v>
      </c>
      <c r="AC65" s="280">
        <v>129</v>
      </c>
    </row>
    <row r="66" spans="1:29" x14ac:dyDescent="0.2">
      <c r="A66" s="205">
        <v>42401</v>
      </c>
      <c r="B66" s="418">
        <v>40982390.300000004</v>
      </c>
      <c r="C66" s="423">
        <v>188200.2</v>
      </c>
      <c r="D66" s="279"/>
      <c r="E66" s="279"/>
      <c r="F66" s="279">
        <v>12425.369999999999</v>
      </c>
      <c r="G66" s="279"/>
      <c r="H66" s="418">
        <f t="shared" si="1"/>
        <v>41158165.13000001</v>
      </c>
      <c r="I66" s="159"/>
      <c r="J66" s="280">
        <v>587.1</v>
      </c>
      <c r="K66" s="280">
        <v>0</v>
      </c>
      <c r="L66" s="280">
        <v>1852558.322030759</v>
      </c>
      <c r="M66" s="273"/>
      <c r="N66" s="273">
        <v>28</v>
      </c>
      <c r="O66" s="280">
        <v>0</v>
      </c>
      <c r="P66" s="280">
        <v>138.9</v>
      </c>
      <c r="Q66" s="280">
        <v>5.6</v>
      </c>
      <c r="R66" s="280">
        <v>63.4</v>
      </c>
      <c r="S66" s="280">
        <v>59.9</v>
      </c>
      <c r="T66" s="280">
        <v>83.2</v>
      </c>
      <c r="U66" s="280">
        <v>344</v>
      </c>
      <c r="V66" s="280">
        <v>9.3000000000000007</v>
      </c>
      <c r="W66" s="280">
        <v>64.599999999999994</v>
      </c>
      <c r="X66" s="280">
        <v>58.6</v>
      </c>
      <c r="Y66" s="280">
        <v>201.5</v>
      </c>
      <c r="Z66" s="280">
        <v>28843</v>
      </c>
      <c r="AA66" s="280">
        <v>128.19999999999999</v>
      </c>
      <c r="AB66" s="280">
        <v>143</v>
      </c>
      <c r="AC66" s="280">
        <v>129.4</v>
      </c>
    </row>
    <row r="67" spans="1:29" x14ac:dyDescent="0.2">
      <c r="A67" s="205">
        <v>42430</v>
      </c>
      <c r="B67" s="418">
        <v>39758543.469999999</v>
      </c>
      <c r="C67" s="423">
        <v>162435.20000000001</v>
      </c>
      <c r="D67" s="279"/>
      <c r="E67" s="279"/>
      <c r="F67" s="279">
        <v>111832.75</v>
      </c>
      <c r="G67" s="279"/>
      <c r="H67" s="418">
        <f t="shared" si="1"/>
        <v>39809145.920000002</v>
      </c>
      <c r="I67" s="159"/>
      <c r="J67" s="280">
        <v>448.8</v>
      </c>
      <c r="K67" s="280">
        <v>0</v>
      </c>
      <c r="L67" s="280">
        <v>1906577.3305091523</v>
      </c>
      <c r="M67" s="273"/>
      <c r="N67" s="273">
        <v>31</v>
      </c>
      <c r="O67" s="280">
        <v>1</v>
      </c>
      <c r="P67" s="280">
        <v>139</v>
      </c>
      <c r="Q67" s="280">
        <v>6</v>
      </c>
      <c r="R67" s="280">
        <v>63.5</v>
      </c>
      <c r="S67" s="280">
        <v>59.6</v>
      </c>
      <c r="T67" s="280">
        <v>82.9</v>
      </c>
      <c r="U67" s="280">
        <v>344.1</v>
      </c>
      <c r="V67" s="280">
        <v>9.3000000000000007</v>
      </c>
      <c r="W67" s="280">
        <v>63.6</v>
      </c>
      <c r="X67" s="280">
        <v>57.7</v>
      </c>
      <c r="Y67" s="280">
        <v>198.5</v>
      </c>
      <c r="Z67" s="280">
        <v>28835</v>
      </c>
      <c r="AA67" s="280">
        <v>129</v>
      </c>
      <c r="AB67" s="280">
        <v>145.80000000000001</v>
      </c>
      <c r="AC67" s="280">
        <v>130.30000000000001</v>
      </c>
    </row>
    <row r="68" spans="1:29" x14ac:dyDescent="0.2">
      <c r="A68" s="205">
        <v>42461</v>
      </c>
      <c r="B68" s="418">
        <v>36143916.349999994</v>
      </c>
      <c r="C68" s="423">
        <v>260329.09999999998</v>
      </c>
      <c r="D68" s="279"/>
      <c r="E68" s="279"/>
      <c r="F68" s="279">
        <v>181447.87</v>
      </c>
      <c r="G68" s="279"/>
      <c r="H68" s="418">
        <f t="shared" si="1"/>
        <v>36222797.579999998</v>
      </c>
      <c r="I68" s="159"/>
      <c r="J68" s="280">
        <v>384.1</v>
      </c>
      <c r="K68" s="280">
        <v>0</v>
      </c>
      <c r="L68" s="280">
        <v>1960596.3389875456</v>
      </c>
      <c r="M68" s="273"/>
      <c r="N68" s="273">
        <v>30</v>
      </c>
      <c r="O68" s="280">
        <v>1</v>
      </c>
      <c r="P68" s="280">
        <v>139.1</v>
      </c>
      <c r="Q68" s="280">
        <v>6.4</v>
      </c>
      <c r="R68" s="280">
        <v>63</v>
      </c>
      <c r="S68" s="280">
        <v>59</v>
      </c>
      <c r="T68" s="280">
        <v>82.1</v>
      </c>
      <c r="U68" s="280">
        <v>344.3</v>
      </c>
      <c r="V68" s="280">
        <v>8.3000000000000007</v>
      </c>
      <c r="W68" s="280">
        <v>62.3</v>
      </c>
      <c r="X68" s="280">
        <v>57.1</v>
      </c>
      <c r="Y68" s="280">
        <v>196.6</v>
      </c>
      <c r="Z68" s="280">
        <v>28853</v>
      </c>
      <c r="AA68" s="280">
        <v>129.6</v>
      </c>
      <c r="AB68" s="280">
        <v>153.5</v>
      </c>
      <c r="AC68" s="280">
        <v>130.69999999999999</v>
      </c>
    </row>
    <row r="69" spans="1:29" x14ac:dyDescent="0.2">
      <c r="A69" s="205">
        <v>42491</v>
      </c>
      <c r="B69" s="418">
        <v>35571116.150000006</v>
      </c>
      <c r="C69" s="423">
        <v>347914.9</v>
      </c>
      <c r="D69" s="279"/>
      <c r="E69" s="279"/>
      <c r="F69" s="279">
        <v>28639.439999999999</v>
      </c>
      <c r="G69" s="279"/>
      <c r="H69" s="418">
        <f t="shared" si="1"/>
        <v>35890391.610000007</v>
      </c>
      <c r="I69" s="159"/>
      <c r="J69" s="280">
        <v>153.1</v>
      </c>
      <c r="K69" s="280">
        <v>24.4</v>
      </c>
      <c r="L69" s="280">
        <v>2014615.3474659389</v>
      </c>
      <c r="M69" s="273"/>
      <c r="N69" s="273">
        <v>31</v>
      </c>
      <c r="O69" s="280">
        <v>1</v>
      </c>
      <c r="P69" s="280">
        <v>139.19999999999999</v>
      </c>
      <c r="Q69" s="280">
        <v>6.6</v>
      </c>
      <c r="R69" s="280">
        <v>63.4</v>
      </c>
      <c r="S69" s="280">
        <v>59.3</v>
      </c>
      <c r="T69" s="280">
        <v>82.5</v>
      </c>
      <c r="U69" s="280">
        <v>344.5</v>
      </c>
      <c r="V69" s="280">
        <v>8.1</v>
      </c>
      <c r="W69" s="280">
        <v>62</v>
      </c>
      <c r="X69" s="280">
        <v>57</v>
      </c>
      <c r="Y69" s="280">
        <v>196.3</v>
      </c>
      <c r="Z69" s="280">
        <v>28859</v>
      </c>
      <c r="AA69" s="280">
        <v>130.1</v>
      </c>
      <c r="AB69" s="280">
        <v>158.1</v>
      </c>
      <c r="AC69" s="280">
        <v>131.19999999999999</v>
      </c>
    </row>
    <row r="70" spans="1:29" x14ac:dyDescent="0.2">
      <c r="A70" s="205">
        <v>42522</v>
      </c>
      <c r="B70" s="418">
        <v>39220373.289999992</v>
      </c>
      <c r="C70" s="423">
        <v>456460.1</v>
      </c>
      <c r="D70" s="279"/>
      <c r="E70" s="279"/>
      <c r="F70" s="279">
        <v>13984.39</v>
      </c>
      <c r="G70" s="279"/>
      <c r="H70" s="418">
        <f t="shared" si="1"/>
        <v>39662848.999999993</v>
      </c>
      <c r="I70" s="159"/>
      <c r="J70" s="280">
        <v>29.2</v>
      </c>
      <c r="K70" s="280">
        <v>51.7</v>
      </c>
      <c r="L70" s="280">
        <v>2068634.3559443322</v>
      </c>
      <c r="M70" s="273"/>
      <c r="N70" s="273">
        <v>30</v>
      </c>
      <c r="O70" s="280">
        <v>0</v>
      </c>
      <c r="P70" s="280">
        <v>139.30000000000001</v>
      </c>
      <c r="Q70" s="280">
        <v>6.2</v>
      </c>
      <c r="R70" s="280">
        <v>63.9</v>
      </c>
      <c r="S70" s="280">
        <v>59.9</v>
      </c>
      <c r="T70" s="280">
        <v>83.5</v>
      </c>
      <c r="U70" s="280">
        <v>344.7</v>
      </c>
      <c r="V70" s="280">
        <v>7.7</v>
      </c>
      <c r="W70" s="280">
        <v>62.7</v>
      </c>
      <c r="X70" s="280">
        <v>57.9</v>
      </c>
      <c r="Y70" s="280">
        <v>199.5</v>
      </c>
      <c r="Z70" s="280">
        <v>28872</v>
      </c>
      <c r="AA70" s="280">
        <v>130.4</v>
      </c>
      <c r="AB70" s="280">
        <v>159.1</v>
      </c>
      <c r="AC70" s="280">
        <v>131.5</v>
      </c>
    </row>
    <row r="71" spans="1:29" x14ac:dyDescent="0.2">
      <c r="A71" s="205">
        <v>42552</v>
      </c>
      <c r="B71" s="418">
        <v>47066419.799999982</v>
      </c>
      <c r="C71" s="423">
        <v>478420.2</v>
      </c>
      <c r="D71" s="279"/>
      <c r="E71" s="279"/>
      <c r="F71" s="279">
        <v>15948.130000000001</v>
      </c>
      <c r="G71" s="279"/>
      <c r="H71" s="418">
        <f t="shared" si="1"/>
        <v>47528891.869999982</v>
      </c>
      <c r="I71" s="159"/>
      <c r="J71" s="280">
        <v>0</v>
      </c>
      <c r="K71" s="280">
        <v>140.69999999999999</v>
      </c>
      <c r="L71" s="280">
        <v>2122653.3644227255</v>
      </c>
      <c r="M71" s="273"/>
      <c r="N71" s="273">
        <v>31</v>
      </c>
      <c r="O71" s="280">
        <v>0</v>
      </c>
      <c r="P71" s="280">
        <v>139.6</v>
      </c>
      <c r="Q71" s="280">
        <v>5.9</v>
      </c>
      <c r="R71" s="280">
        <v>64.599999999999994</v>
      </c>
      <c r="S71" s="280">
        <v>60.8</v>
      </c>
      <c r="T71" s="280">
        <v>84.9</v>
      </c>
      <c r="U71" s="280">
        <v>345</v>
      </c>
      <c r="V71" s="280">
        <v>7.1</v>
      </c>
      <c r="W71" s="280">
        <v>63.6</v>
      </c>
      <c r="X71" s="280">
        <v>59.1</v>
      </c>
      <c r="Y71" s="280">
        <v>204</v>
      </c>
      <c r="Z71" s="280">
        <v>28792</v>
      </c>
      <c r="AA71" s="280">
        <v>130.30000000000001</v>
      </c>
      <c r="AB71" s="280">
        <v>157.4</v>
      </c>
      <c r="AC71" s="280">
        <v>131.4</v>
      </c>
    </row>
    <row r="72" spans="1:29" x14ac:dyDescent="0.2">
      <c r="A72" s="205">
        <v>42583</v>
      </c>
      <c r="B72" s="418">
        <v>50793950.229999974</v>
      </c>
      <c r="C72" s="423">
        <v>467442.5</v>
      </c>
      <c r="D72" s="279"/>
      <c r="E72" s="279"/>
      <c r="F72" s="279">
        <v>18063.84</v>
      </c>
      <c r="G72" s="279"/>
      <c r="H72" s="418">
        <f t="shared" si="1"/>
        <v>51243328.889999971</v>
      </c>
      <c r="I72" s="159"/>
      <c r="J72" s="280">
        <v>0.1</v>
      </c>
      <c r="K72" s="280">
        <v>159.30000000000001</v>
      </c>
      <c r="L72" s="280">
        <v>2176672.3729011188</v>
      </c>
      <c r="M72" s="273"/>
      <c r="N72" s="273">
        <v>31</v>
      </c>
      <c r="O72" s="280">
        <v>0</v>
      </c>
      <c r="P72" s="280">
        <v>139.80000000000001</v>
      </c>
      <c r="Q72" s="280">
        <v>6.1</v>
      </c>
      <c r="R72" s="280">
        <v>64.8</v>
      </c>
      <c r="S72" s="280">
        <v>60.9</v>
      </c>
      <c r="T72" s="280">
        <v>85.1</v>
      </c>
      <c r="U72" s="280">
        <v>345.2</v>
      </c>
      <c r="V72" s="280">
        <v>6.4</v>
      </c>
      <c r="W72" s="280">
        <v>63.9</v>
      </c>
      <c r="X72" s="280">
        <v>59.8</v>
      </c>
      <c r="Y72" s="280">
        <v>206.4</v>
      </c>
      <c r="Z72" s="280">
        <v>28833</v>
      </c>
      <c r="AA72" s="280">
        <v>129.9</v>
      </c>
      <c r="AB72" s="280">
        <v>155.80000000000001</v>
      </c>
      <c r="AC72" s="280">
        <v>131.1</v>
      </c>
    </row>
    <row r="73" spans="1:29" x14ac:dyDescent="0.2">
      <c r="A73" s="205">
        <v>42614</v>
      </c>
      <c r="B73" s="418">
        <v>39568638.049999982</v>
      </c>
      <c r="C73" s="423">
        <v>445687.2</v>
      </c>
      <c r="D73" s="279"/>
      <c r="E73" s="279"/>
      <c r="F73" s="279">
        <v>20093.34</v>
      </c>
      <c r="G73" s="279"/>
      <c r="H73" s="418">
        <f t="shared" si="1"/>
        <v>39994231.909999982</v>
      </c>
      <c r="I73" s="159"/>
      <c r="J73" s="280">
        <v>34.299999999999997</v>
      </c>
      <c r="K73" s="280">
        <v>48.1</v>
      </c>
      <c r="L73" s="280">
        <v>2230691.3813795121</v>
      </c>
      <c r="M73" s="273"/>
      <c r="N73" s="273">
        <v>30</v>
      </c>
      <c r="O73" s="280">
        <v>1</v>
      </c>
      <c r="P73" s="280">
        <v>139.9</v>
      </c>
      <c r="Q73" s="280">
        <v>6.1</v>
      </c>
      <c r="R73" s="280">
        <v>64</v>
      </c>
      <c r="S73" s="280">
        <v>60.1</v>
      </c>
      <c r="T73" s="280">
        <v>84.1</v>
      </c>
      <c r="U73" s="280">
        <v>345.5</v>
      </c>
      <c r="V73" s="280">
        <v>5.6</v>
      </c>
      <c r="W73" s="280">
        <v>63.6</v>
      </c>
      <c r="X73" s="280">
        <v>60.1</v>
      </c>
      <c r="Y73" s="280">
        <v>207.5</v>
      </c>
      <c r="Z73" s="280">
        <v>28864</v>
      </c>
      <c r="AA73" s="280">
        <v>130.1</v>
      </c>
      <c r="AB73" s="280">
        <v>155.4</v>
      </c>
      <c r="AC73" s="280">
        <v>131.69999999999999</v>
      </c>
    </row>
    <row r="74" spans="1:29" x14ac:dyDescent="0.2">
      <c r="A74" s="205">
        <v>42644</v>
      </c>
      <c r="B74" s="418">
        <v>35855555.68999996</v>
      </c>
      <c r="C74" s="423">
        <v>367829.6</v>
      </c>
      <c r="D74" s="279"/>
      <c r="E74" s="279"/>
      <c r="F74" s="279">
        <v>13242.140000000001</v>
      </c>
      <c r="G74" s="279"/>
      <c r="H74" s="418">
        <f t="shared" si="1"/>
        <v>36210143.149999961</v>
      </c>
      <c r="I74" s="159"/>
      <c r="J74" s="280">
        <v>198.7</v>
      </c>
      <c r="K74" s="280">
        <v>5.0999999999999996</v>
      </c>
      <c r="L74" s="280">
        <v>2284710.3898579055</v>
      </c>
      <c r="M74" s="273"/>
      <c r="N74" s="273">
        <v>31</v>
      </c>
      <c r="O74" s="280">
        <v>1</v>
      </c>
      <c r="P74" s="280">
        <v>139.9</v>
      </c>
      <c r="Q74" s="280">
        <v>5.6</v>
      </c>
      <c r="R74" s="280">
        <v>63.5</v>
      </c>
      <c r="S74" s="280">
        <v>60</v>
      </c>
      <c r="T74" s="280">
        <v>83.9</v>
      </c>
      <c r="U74" s="280">
        <v>345.8</v>
      </c>
      <c r="V74" s="280">
        <v>5.3</v>
      </c>
      <c r="W74" s="280">
        <v>64.2</v>
      </c>
      <c r="X74" s="280">
        <v>60.8</v>
      </c>
      <c r="Y74" s="280">
        <v>210.2</v>
      </c>
      <c r="Z74" s="280">
        <v>28858</v>
      </c>
      <c r="AA74" s="280">
        <v>130.6</v>
      </c>
      <c r="AB74" s="280">
        <v>157.80000000000001</v>
      </c>
      <c r="AC74" s="280">
        <v>132</v>
      </c>
    </row>
    <row r="75" spans="1:29" x14ac:dyDescent="0.2">
      <c r="A75" s="205">
        <v>42675</v>
      </c>
      <c r="B75" s="418">
        <v>36559281.450000003</v>
      </c>
      <c r="C75" s="423">
        <v>260374.9</v>
      </c>
      <c r="D75" s="279"/>
      <c r="E75" s="279"/>
      <c r="F75" s="279">
        <v>29919.379999999997</v>
      </c>
      <c r="G75" s="279"/>
      <c r="H75" s="418">
        <f t="shared" si="1"/>
        <v>36789736.969999999</v>
      </c>
      <c r="I75" s="159"/>
      <c r="J75" s="280">
        <v>356.7</v>
      </c>
      <c r="K75" s="280">
        <v>0</v>
      </c>
      <c r="L75" s="280">
        <v>2338729.3983362988</v>
      </c>
      <c r="M75" s="273"/>
      <c r="N75" s="273">
        <v>30</v>
      </c>
      <c r="O75" s="280">
        <v>1</v>
      </c>
      <c r="P75" s="280">
        <v>139.9</v>
      </c>
      <c r="Q75" s="280">
        <v>4.8</v>
      </c>
      <c r="R75" s="280">
        <v>62.5</v>
      </c>
      <c r="S75" s="280">
        <v>59.6</v>
      </c>
      <c r="T75" s="280">
        <v>83.4</v>
      </c>
      <c r="U75" s="280">
        <v>346</v>
      </c>
      <c r="V75" s="280">
        <v>5.3</v>
      </c>
      <c r="W75" s="280">
        <v>63.8</v>
      </c>
      <c r="X75" s="280">
        <v>60.4</v>
      </c>
      <c r="Y75" s="280">
        <v>209</v>
      </c>
      <c r="Z75" s="280">
        <v>28896</v>
      </c>
      <c r="AA75" s="280">
        <v>130.19999999999999</v>
      </c>
      <c r="AB75" s="280">
        <v>155.19999999999999</v>
      </c>
      <c r="AC75" s="280">
        <v>131.69999999999999</v>
      </c>
    </row>
    <row r="76" spans="1:29" x14ac:dyDescent="0.2">
      <c r="A76" s="205">
        <v>42705</v>
      </c>
      <c r="B76" s="418">
        <v>42534516.759999998</v>
      </c>
      <c r="C76" s="423">
        <v>192825.2</v>
      </c>
      <c r="D76" s="279"/>
      <c r="E76" s="279"/>
      <c r="F76" s="279">
        <v>152017.98000000001</v>
      </c>
      <c r="G76" s="279"/>
      <c r="H76" s="418">
        <f t="shared" si="1"/>
        <v>42575323.980000004</v>
      </c>
      <c r="I76" s="159"/>
      <c r="J76" s="280">
        <v>581.20000000000005</v>
      </c>
      <c r="K76" s="280">
        <v>0</v>
      </c>
      <c r="L76" s="280">
        <v>2392748.4068146921</v>
      </c>
      <c r="M76" s="273"/>
      <c r="N76" s="273">
        <v>31</v>
      </c>
      <c r="O76" s="280">
        <v>0</v>
      </c>
      <c r="P76" s="280">
        <v>140.1</v>
      </c>
      <c r="Q76" s="280">
        <v>4.7</v>
      </c>
      <c r="R76" s="280">
        <v>62.7</v>
      </c>
      <c r="S76" s="280">
        <v>59.7</v>
      </c>
      <c r="T76" s="280">
        <v>83.7</v>
      </c>
      <c r="U76" s="280">
        <v>346.1</v>
      </c>
      <c r="V76" s="280">
        <v>5.8</v>
      </c>
      <c r="W76" s="280">
        <v>63.4</v>
      </c>
      <c r="X76" s="280">
        <v>59.8</v>
      </c>
      <c r="Y76" s="280">
        <v>206.8</v>
      </c>
      <c r="Z76" s="280">
        <v>28913</v>
      </c>
      <c r="AA76" s="280">
        <v>130</v>
      </c>
      <c r="AB76" s="280">
        <v>158.1</v>
      </c>
      <c r="AC76" s="280">
        <v>131.5</v>
      </c>
    </row>
    <row r="77" spans="1:29" x14ac:dyDescent="0.2">
      <c r="A77" s="205">
        <v>42736</v>
      </c>
      <c r="B77" s="418">
        <v>43062641.590000018</v>
      </c>
      <c r="C77" s="423">
        <v>84547.299999999988</v>
      </c>
      <c r="D77" s="279"/>
      <c r="E77" s="279"/>
      <c r="F77" s="279">
        <v>15766.96</v>
      </c>
      <c r="G77" s="279"/>
      <c r="H77" s="418">
        <f t="shared" si="1"/>
        <v>43131421.930000015</v>
      </c>
      <c r="I77" s="159"/>
      <c r="J77" s="280">
        <v>593.9</v>
      </c>
      <c r="K77" s="280">
        <v>0</v>
      </c>
      <c r="L77" s="280">
        <v>2432562.491074306</v>
      </c>
      <c r="M77" s="273"/>
      <c r="N77" s="273">
        <v>31</v>
      </c>
      <c r="O77" s="280">
        <v>0</v>
      </c>
      <c r="P77" s="280">
        <v>140.19999999999999</v>
      </c>
      <c r="Q77" s="280">
        <v>5</v>
      </c>
      <c r="R77" s="280">
        <v>62.8</v>
      </c>
      <c r="S77" s="280">
        <v>59.6</v>
      </c>
      <c r="T77" s="280">
        <v>83.6</v>
      </c>
      <c r="U77" s="280">
        <v>346.3</v>
      </c>
      <c r="V77" s="280">
        <v>6.7</v>
      </c>
      <c r="W77" s="280">
        <v>61.7</v>
      </c>
      <c r="X77" s="280">
        <v>57.6</v>
      </c>
      <c r="Y77" s="280">
        <v>199.4</v>
      </c>
      <c r="Z77" s="280">
        <v>28933</v>
      </c>
      <c r="AA77" s="280">
        <v>130.80000000000001</v>
      </c>
      <c r="AB77" s="280">
        <v>162.9</v>
      </c>
      <c r="AC77" s="280">
        <v>132.1</v>
      </c>
    </row>
    <row r="78" spans="1:29" x14ac:dyDescent="0.2">
      <c r="A78" s="453">
        <v>42767</v>
      </c>
      <c r="B78" s="418">
        <v>37522207.099999994</v>
      </c>
      <c r="C78" s="423">
        <v>97386.700000000012</v>
      </c>
      <c r="D78" s="279"/>
      <c r="E78" s="279"/>
      <c r="F78" s="279">
        <v>85703.53</v>
      </c>
      <c r="G78" s="279"/>
      <c r="H78" s="418">
        <f t="shared" si="1"/>
        <v>37533890.269999996</v>
      </c>
      <c r="I78" s="159"/>
      <c r="J78" s="280">
        <v>487.8</v>
      </c>
      <c r="K78" s="280">
        <v>0</v>
      </c>
      <c r="L78" s="280">
        <v>2472376.5753339198</v>
      </c>
      <c r="M78" s="273"/>
      <c r="N78" s="273">
        <v>29</v>
      </c>
      <c r="O78" s="280">
        <v>0</v>
      </c>
      <c r="P78" s="280">
        <v>140.30000000000001</v>
      </c>
      <c r="Q78" s="280">
        <v>5.8</v>
      </c>
      <c r="R78" s="280">
        <v>63.7</v>
      </c>
      <c r="S78" s="280">
        <v>60</v>
      </c>
      <c r="T78" s="280">
        <v>84.2</v>
      </c>
      <c r="U78" s="280">
        <v>346.4</v>
      </c>
      <c r="V78" s="280">
        <v>7.2</v>
      </c>
      <c r="W78" s="280">
        <v>60.4</v>
      </c>
      <c r="X78" s="280">
        <v>56</v>
      </c>
      <c r="Y78" s="280">
        <v>194.1</v>
      </c>
      <c r="Z78" s="280">
        <v>28960</v>
      </c>
      <c r="AA78" s="280">
        <v>131.19999999999999</v>
      </c>
      <c r="AB78" s="280">
        <v>159.19999999999999</v>
      </c>
      <c r="AC78" s="280">
        <v>132.5</v>
      </c>
    </row>
    <row r="79" spans="1:29" x14ac:dyDescent="0.2">
      <c r="A79" s="205">
        <v>42795</v>
      </c>
      <c r="B79" s="418">
        <v>41370878.749999993</v>
      </c>
      <c r="C79" s="423">
        <v>206276.9</v>
      </c>
      <c r="D79" s="279"/>
      <c r="E79" s="279"/>
      <c r="F79" s="279">
        <v>13738.92</v>
      </c>
      <c r="G79" s="279"/>
      <c r="H79" s="418">
        <f t="shared" si="1"/>
        <v>41563416.729999989</v>
      </c>
      <c r="I79" s="159"/>
      <c r="J79" s="280">
        <v>555.29999999999995</v>
      </c>
      <c r="K79" s="280">
        <v>0</v>
      </c>
      <c r="L79" s="280">
        <v>2512190.6595935337</v>
      </c>
      <c r="M79" s="273"/>
      <c r="N79" s="273">
        <v>31</v>
      </c>
      <c r="O79" s="280">
        <v>1</v>
      </c>
      <c r="P79" s="280">
        <v>140.5</v>
      </c>
      <c r="Q79" s="280">
        <v>6.2</v>
      </c>
      <c r="R79" s="280">
        <v>64.599999999999994</v>
      </c>
      <c r="S79" s="280">
        <v>60.5</v>
      </c>
      <c r="T79" s="280">
        <v>85</v>
      </c>
      <c r="U79" s="280">
        <v>346.6</v>
      </c>
      <c r="V79" s="280">
        <v>7.7</v>
      </c>
      <c r="W79" s="280">
        <v>59.7</v>
      </c>
      <c r="X79" s="280">
        <v>55.1</v>
      </c>
      <c r="Y79" s="280">
        <v>191</v>
      </c>
      <c r="Z79" s="280">
        <v>28960</v>
      </c>
      <c r="AA79" s="280">
        <v>131.4</v>
      </c>
      <c r="AB79" s="280">
        <v>156.9</v>
      </c>
      <c r="AC79" s="280">
        <v>133</v>
      </c>
    </row>
    <row r="80" spans="1:29" x14ac:dyDescent="0.2">
      <c r="A80" s="205">
        <v>42826</v>
      </c>
      <c r="B80" s="418">
        <v>35639117.619999968</v>
      </c>
      <c r="C80" s="423">
        <v>255473.9</v>
      </c>
      <c r="D80" s="279"/>
      <c r="E80" s="279"/>
      <c r="F80" s="279">
        <v>947126.52</v>
      </c>
      <c r="G80" s="279"/>
      <c r="H80" s="418">
        <f t="shared" si="1"/>
        <v>34947464.999999963</v>
      </c>
      <c r="I80" s="159"/>
      <c r="J80" s="280">
        <v>261.8</v>
      </c>
      <c r="K80" s="280">
        <v>0.5</v>
      </c>
      <c r="L80" s="280">
        <v>2552004.7438531476</v>
      </c>
      <c r="M80" s="273"/>
      <c r="N80" s="273">
        <v>30</v>
      </c>
      <c r="O80" s="280">
        <v>1</v>
      </c>
      <c r="P80" s="280">
        <v>140.6</v>
      </c>
      <c r="Q80" s="280">
        <v>6</v>
      </c>
      <c r="R80" s="280">
        <v>65.099999999999994</v>
      </c>
      <c r="S80" s="280">
        <v>61.2</v>
      </c>
      <c r="T80" s="280">
        <v>86.1</v>
      </c>
      <c r="U80" s="280">
        <v>346.9</v>
      </c>
      <c r="V80" s="280">
        <v>7.9</v>
      </c>
      <c r="W80" s="280">
        <v>59.8</v>
      </c>
      <c r="X80" s="280">
        <v>55.1</v>
      </c>
      <c r="Y80" s="280">
        <v>191</v>
      </c>
      <c r="Z80" s="280">
        <v>28969</v>
      </c>
      <c r="AA80" s="280">
        <v>132</v>
      </c>
      <c r="AB80" s="280">
        <v>165.3</v>
      </c>
      <c r="AC80" s="280">
        <v>133.6</v>
      </c>
    </row>
    <row r="81" spans="1:29" x14ac:dyDescent="0.2">
      <c r="A81" s="205">
        <v>42856</v>
      </c>
      <c r="B81" s="418">
        <v>36632679.980000012</v>
      </c>
      <c r="C81" s="423">
        <v>322809.59999999998</v>
      </c>
      <c r="D81" s="279"/>
      <c r="E81" s="279"/>
      <c r="F81" s="279">
        <v>1322365.27</v>
      </c>
      <c r="G81" s="279"/>
      <c r="H81" s="418">
        <f t="shared" si="1"/>
        <v>35633124.31000001</v>
      </c>
      <c r="I81" s="159"/>
      <c r="J81" s="280">
        <v>168.3</v>
      </c>
      <c r="K81" s="280">
        <v>6.5</v>
      </c>
      <c r="L81" s="280">
        <v>2591818.8281127615</v>
      </c>
      <c r="M81" s="273"/>
      <c r="N81" s="273">
        <v>31</v>
      </c>
      <c r="O81" s="280">
        <v>1</v>
      </c>
      <c r="P81" s="280">
        <v>140.80000000000001</v>
      </c>
      <c r="Q81" s="280">
        <v>5.7</v>
      </c>
      <c r="R81" s="280">
        <v>66.099999999999994</v>
      </c>
      <c r="S81" s="280">
        <v>62.4</v>
      </c>
      <c r="T81" s="280">
        <v>87.8</v>
      </c>
      <c r="U81" s="280">
        <v>347.1</v>
      </c>
      <c r="V81" s="280">
        <v>7.4</v>
      </c>
      <c r="W81" s="280">
        <v>60.7</v>
      </c>
      <c r="X81" s="280">
        <v>56.2</v>
      </c>
      <c r="Y81" s="280">
        <v>195.1</v>
      </c>
      <c r="Z81" s="280">
        <v>29025</v>
      </c>
      <c r="AA81" s="280">
        <v>131.9</v>
      </c>
      <c r="AB81" s="280">
        <v>158.19999999999999</v>
      </c>
      <c r="AC81" s="280">
        <v>133.69999999999999</v>
      </c>
    </row>
    <row r="82" spans="1:29" x14ac:dyDescent="0.2">
      <c r="A82" s="205">
        <v>42887</v>
      </c>
      <c r="B82" s="418">
        <v>38109511.749999993</v>
      </c>
      <c r="C82" s="423">
        <v>361078.1</v>
      </c>
      <c r="D82" s="279"/>
      <c r="E82" s="279"/>
      <c r="F82" s="279">
        <v>314805.08999999997</v>
      </c>
      <c r="G82" s="279"/>
      <c r="H82" s="418">
        <f t="shared" si="1"/>
        <v>38155784.75999999</v>
      </c>
      <c r="I82" s="159"/>
      <c r="J82" s="280">
        <v>32.6</v>
      </c>
      <c r="K82" s="280">
        <v>62.2</v>
      </c>
      <c r="L82" s="280">
        <v>2631632.9123723754</v>
      </c>
      <c r="M82" s="273"/>
      <c r="N82" s="273">
        <v>30</v>
      </c>
      <c r="O82" s="280">
        <v>0</v>
      </c>
      <c r="P82" s="280">
        <v>141</v>
      </c>
      <c r="Q82" s="280">
        <v>5.3</v>
      </c>
      <c r="R82" s="280">
        <v>66.400000000000006</v>
      </c>
      <c r="S82" s="280">
        <v>62.8</v>
      </c>
      <c r="T82" s="280">
        <v>88.6</v>
      </c>
      <c r="U82" s="280">
        <v>347.5</v>
      </c>
      <c r="V82" s="280">
        <v>6.7</v>
      </c>
      <c r="W82" s="280">
        <v>61.3</v>
      </c>
      <c r="X82" s="280">
        <v>57.2</v>
      </c>
      <c r="Y82" s="280">
        <v>198.8</v>
      </c>
      <c r="Z82" s="280">
        <v>29019</v>
      </c>
      <c r="AA82" s="280">
        <v>132.1</v>
      </c>
      <c r="AB82" s="280">
        <v>154.69999999999999</v>
      </c>
      <c r="AC82" s="280">
        <v>134.19999999999999</v>
      </c>
    </row>
    <row r="83" spans="1:29" x14ac:dyDescent="0.2">
      <c r="A83" s="205">
        <v>42917</v>
      </c>
      <c r="B83" s="418">
        <v>43845120.699999988</v>
      </c>
      <c r="C83" s="423">
        <v>443172.4</v>
      </c>
      <c r="D83" s="279"/>
      <c r="E83" s="279"/>
      <c r="F83" s="279">
        <v>14305.609999999999</v>
      </c>
      <c r="G83" s="279"/>
      <c r="H83" s="418">
        <f t="shared" si="1"/>
        <v>44273987.489999987</v>
      </c>
      <c r="I83" s="159"/>
      <c r="J83" s="280">
        <v>2.2000000000000002</v>
      </c>
      <c r="K83" s="280">
        <v>88.1</v>
      </c>
      <c r="L83" s="280">
        <v>2671446.9966319893</v>
      </c>
      <c r="M83" s="273"/>
      <c r="N83" s="273">
        <v>31</v>
      </c>
      <c r="O83" s="280">
        <v>0</v>
      </c>
      <c r="P83" s="280">
        <v>141.30000000000001</v>
      </c>
      <c r="Q83" s="280">
        <v>5.8</v>
      </c>
      <c r="R83" s="280">
        <v>66.7</v>
      </c>
      <c r="S83" s="280">
        <v>62.9</v>
      </c>
      <c r="T83" s="280">
        <v>88.9</v>
      </c>
      <c r="U83" s="280">
        <v>347.8</v>
      </c>
      <c r="V83" s="280">
        <v>5.8</v>
      </c>
      <c r="W83" s="280">
        <v>62.4</v>
      </c>
      <c r="X83" s="280">
        <v>58.8</v>
      </c>
      <c r="Y83" s="280">
        <v>204.6</v>
      </c>
      <c r="Z83" s="280">
        <v>29037</v>
      </c>
      <c r="AA83" s="280">
        <v>131.9</v>
      </c>
      <c r="AB83" s="280">
        <v>151.6</v>
      </c>
      <c r="AC83" s="280">
        <v>134</v>
      </c>
    </row>
    <row r="84" spans="1:29" x14ac:dyDescent="0.2">
      <c r="A84" s="205">
        <v>42948</v>
      </c>
      <c r="B84" s="418">
        <v>43171748.199999966</v>
      </c>
      <c r="C84" s="423">
        <v>421413.8</v>
      </c>
      <c r="D84" s="279"/>
      <c r="E84" s="279"/>
      <c r="F84" s="279">
        <v>13205.18</v>
      </c>
      <c r="G84" s="279"/>
      <c r="H84" s="418">
        <f t="shared" si="1"/>
        <v>43579956.819999963</v>
      </c>
      <c r="I84" s="159"/>
      <c r="J84" s="280">
        <v>19.2</v>
      </c>
      <c r="K84" s="280">
        <v>50.8</v>
      </c>
      <c r="L84" s="280">
        <v>2711261.0808916031</v>
      </c>
      <c r="M84" s="273"/>
      <c r="N84" s="273">
        <v>31</v>
      </c>
      <c r="O84" s="280">
        <v>0</v>
      </c>
      <c r="P84" s="280">
        <v>141.6</v>
      </c>
      <c r="Q84" s="280">
        <v>6</v>
      </c>
      <c r="R84" s="280">
        <v>66.2</v>
      </c>
      <c r="S84" s="280">
        <v>62.2</v>
      </c>
      <c r="T84" s="280">
        <v>88.1</v>
      </c>
      <c r="U84" s="280">
        <v>348.2</v>
      </c>
      <c r="V84" s="280">
        <v>5.9</v>
      </c>
      <c r="W84" s="280">
        <v>62.6</v>
      </c>
      <c r="X84" s="280">
        <v>58.8</v>
      </c>
      <c r="Y84" s="280">
        <v>204.9</v>
      </c>
      <c r="Z84" s="280">
        <v>29054</v>
      </c>
      <c r="AA84" s="280">
        <v>131.80000000000001</v>
      </c>
      <c r="AB84" s="280">
        <v>152.9</v>
      </c>
      <c r="AC84" s="280">
        <v>133.80000000000001</v>
      </c>
    </row>
    <row r="85" spans="1:29" x14ac:dyDescent="0.2">
      <c r="A85" s="205">
        <v>42979</v>
      </c>
      <c r="B85" s="418">
        <v>38578980.680000037</v>
      </c>
      <c r="C85" s="423">
        <v>418377.68</v>
      </c>
      <c r="D85" s="279"/>
      <c r="E85" s="279"/>
      <c r="F85" s="279">
        <v>24372.95</v>
      </c>
      <c r="G85" s="279"/>
      <c r="H85" s="418">
        <f t="shared" si="1"/>
        <v>38972985.410000034</v>
      </c>
      <c r="I85" s="159"/>
      <c r="J85" s="280">
        <v>66.5</v>
      </c>
      <c r="K85" s="280">
        <v>49.3</v>
      </c>
      <c r="L85" s="280">
        <v>2751075.165151217</v>
      </c>
      <c r="M85" s="273"/>
      <c r="N85" s="273">
        <v>30</v>
      </c>
      <c r="O85" s="280">
        <v>1</v>
      </c>
      <c r="P85" s="280">
        <v>141.6</v>
      </c>
      <c r="Q85" s="280">
        <v>6.1</v>
      </c>
      <c r="R85" s="280">
        <v>65.7</v>
      </c>
      <c r="S85" s="280">
        <v>61.7</v>
      </c>
      <c r="T85" s="280">
        <v>87.4</v>
      </c>
      <c r="U85" s="280">
        <v>348.5</v>
      </c>
      <c r="V85" s="280">
        <v>5.7</v>
      </c>
      <c r="W85" s="280">
        <v>61.5</v>
      </c>
      <c r="X85" s="280">
        <v>58</v>
      </c>
      <c r="Y85" s="280">
        <v>202.2</v>
      </c>
      <c r="Z85" s="280">
        <v>29085</v>
      </c>
      <c r="AA85" s="280">
        <v>132.30000000000001</v>
      </c>
      <c r="AB85" s="280">
        <v>158.5</v>
      </c>
      <c r="AC85" s="280">
        <v>134.4</v>
      </c>
    </row>
    <row r="86" spans="1:29" x14ac:dyDescent="0.2">
      <c r="A86" s="205">
        <v>43009</v>
      </c>
      <c r="B86" s="418">
        <v>35892870.779999956</v>
      </c>
      <c r="C86" s="423">
        <v>372024.06</v>
      </c>
      <c r="D86" s="279"/>
      <c r="E86" s="279"/>
      <c r="F86" s="279">
        <v>8114.58</v>
      </c>
      <c r="G86" s="279"/>
      <c r="H86" s="418">
        <f t="shared" si="1"/>
        <v>36256780.259999961</v>
      </c>
      <c r="I86" s="159"/>
      <c r="J86" s="280">
        <v>152</v>
      </c>
      <c r="K86" s="280">
        <v>6.4</v>
      </c>
      <c r="L86" s="280">
        <v>2790889.2494108309</v>
      </c>
      <c r="M86" s="273"/>
      <c r="N86" s="273">
        <v>31</v>
      </c>
      <c r="O86" s="280">
        <v>1</v>
      </c>
      <c r="P86" s="280">
        <v>141.69999999999999</v>
      </c>
      <c r="Q86" s="280">
        <v>5.6</v>
      </c>
      <c r="R86" s="280">
        <v>65</v>
      </c>
      <c r="S86" s="280">
        <v>61.3</v>
      </c>
      <c r="T86" s="280">
        <v>86.9</v>
      </c>
      <c r="U86" s="280">
        <v>348.9</v>
      </c>
      <c r="V86" s="280">
        <v>6.1</v>
      </c>
      <c r="W86" s="280">
        <v>60.7</v>
      </c>
      <c r="X86" s="280">
        <v>57</v>
      </c>
      <c r="Y86" s="280">
        <v>198.9</v>
      </c>
      <c r="Z86" s="280">
        <v>29091</v>
      </c>
      <c r="AA86" s="280">
        <v>132.30000000000001</v>
      </c>
      <c r="AB86" s="280">
        <v>154.69999999999999</v>
      </c>
      <c r="AC86" s="280">
        <v>134.30000000000001</v>
      </c>
    </row>
    <row r="87" spans="1:29" x14ac:dyDescent="0.2">
      <c r="A87" s="205">
        <v>43040</v>
      </c>
      <c r="B87" s="418">
        <v>38713504.909999996</v>
      </c>
      <c r="C87" s="423">
        <v>247238.7</v>
      </c>
      <c r="D87" s="279"/>
      <c r="E87" s="279"/>
      <c r="F87" s="279">
        <v>11792.42</v>
      </c>
      <c r="G87" s="279"/>
      <c r="H87" s="418">
        <f t="shared" si="1"/>
        <v>38948951.189999998</v>
      </c>
      <c r="I87" s="159"/>
      <c r="J87" s="280">
        <v>426.4</v>
      </c>
      <c r="K87" s="280">
        <v>0</v>
      </c>
      <c r="L87" s="280">
        <v>2830703.3336704448</v>
      </c>
      <c r="M87" s="273"/>
      <c r="N87" s="273">
        <v>30</v>
      </c>
      <c r="O87" s="280">
        <v>1</v>
      </c>
      <c r="P87" s="280">
        <v>141.80000000000001</v>
      </c>
      <c r="Q87" s="280">
        <v>5</v>
      </c>
      <c r="R87" s="280">
        <v>64.599999999999994</v>
      </c>
      <c r="S87" s="280">
        <v>61.4</v>
      </c>
      <c r="T87" s="280">
        <v>87</v>
      </c>
      <c r="U87" s="280">
        <v>349.2</v>
      </c>
      <c r="V87" s="280">
        <v>6</v>
      </c>
      <c r="W87" s="280">
        <v>60.1</v>
      </c>
      <c r="X87" s="280">
        <v>56.5</v>
      </c>
      <c r="Y87" s="280">
        <v>197.4</v>
      </c>
      <c r="Z87" s="280">
        <v>29149</v>
      </c>
      <c r="AA87" s="280">
        <v>132.69999999999999</v>
      </c>
      <c r="AB87" s="280">
        <v>160.1</v>
      </c>
      <c r="AC87" s="280">
        <v>134.6</v>
      </c>
    </row>
    <row r="88" spans="1:29" x14ac:dyDescent="0.2">
      <c r="A88" s="205">
        <v>43070</v>
      </c>
      <c r="B88" s="418">
        <v>43791007.450000025</v>
      </c>
      <c r="C88" s="423">
        <v>133312</v>
      </c>
      <c r="D88" s="279"/>
      <c r="E88" s="279"/>
      <c r="F88" s="279">
        <v>13076.74</v>
      </c>
      <c r="G88" s="279"/>
      <c r="H88" s="418">
        <f t="shared" si="1"/>
        <v>43911242.710000023</v>
      </c>
      <c r="I88" s="159"/>
      <c r="J88" s="280">
        <v>711.3</v>
      </c>
      <c r="K88" s="280">
        <v>0</v>
      </c>
      <c r="L88" s="280">
        <v>2870517.4179300587</v>
      </c>
      <c r="M88" s="273"/>
      <c r="N88" s="273">
        <v>31</v>
      </c>
      <c r="O88" s="280">
        <v>0</v>
      </c>
      <c r="P88" s="280">
        <v>142</v>
      </c>
      <c r="Q88" s="280">
        <v>4.5999999999999996</v>
      </c>
      <c r="R88" s="280">
        <v>64.900000000000006</v>
      </c>
      <c r="S88" s="280">
        <v>62</v>
      </c>
      <c r="T88" s="280">
        <v>88</v>
      </c>
      <c r="U88" s="280">
        <v>349.5</v>
      </c>
      <c r="V88" s="280">
        <v>6.1</v>
      </c>
      <c r="W88" s="280">
        <v>60.5</v>
      </c>
      <c r="X88" s="280">
        <v>56.8</v>
      </c>
      <c r="Y88" s="280">
        <v>198.5</v>
      </c>
      <c r="Z88" s="280">
        <v>29158</v>
      </c>
      <c r="AA88" s="280">
        <v>132</v>
      </c>
      <c r="AB88" s="280">
        <v>159.30000000000001</v>
      </c>
      <c r="AC88" s="280">
        <v>134</v>
      </c>
    </row>
    <row r="89" spans="1:29" x14ac:dyDescent="0.2">
      <c r="A89" s="205">
        <v>43101</v>
      </c>
      <c r="B89" s="418">
        <v>47052385.459999971</v>
      </c>
      <c r="C89" s="423">
        <v>52819.100000000006</v>
      </c>
      <c r="D89" s="279"/>
      <c r="E89" s="279"/>
      <c r="F89" s="279">
        <v>10484.75</v>
      </c>
      <c r="G89" s="279"/>
      <c r="H89" s="418">
        <f t="shared" si="1"/>
        <v>47094719.809999973</v>
      </c>
      <c r="I89" s="159"/>
      <c r="J89" s="280">
        <v>731</v>
      </c>
      <c r="K89" s="280">
        <v>0</v>
      </c>
      <c r="L89" s="280">
        <v>2889719.2868504198</v>
      </c>
      <c r="M89" s="273"/>
      <c r="N89" s="273">
        <v>31</v>
      </c>
      <c r="O89" s="280">
        <v>0</v>
      </c>
      <c r="P89" s="280">
        <v>142.19999999999999</v>
      </c>
      <c r="Q89" s="280">
        <v>4.8</v>
      </c>
      <c r="R89" s="280">
        <v>64.5</v>
      </c>
      <c r="S89" s="280">
        <v>61.3</v>
      </c>
      <c r="T89" s="280">
        <v>87.2</v>
      </c>
      <c r="U89" s="280">
        <v>349.8</v>
      </c>
      <c r="V89" s="280">
        <v>5.8</v>
      </c>
      <c r="W89" s="280">
        <v>60</v>
      </c>
      <c r="X89" s="280">
        <v>56.5</v>
      </c>
      <c r="Y89" s="280">
        <v>197.8</v>
      </c>
      <c r="Z89" s="280">
        <v>29201</v>
      </c>
      <c r="AA89" s="280">
        <v>133.19999999999999</v>
      </c>
      <c r="AB89" s="280">
        <v>163.19999999999999</v>
      </c>
      <c r="AC89" s="280">
        <v>135.30000000000001</v>
      </c>
    </row>
    <row r="90" spans="1:29" x14ac:dyDescent="0.2">
      <c r="A90" s="205">
        <v>43132</v>
      </c>
      <c r="B90" s="418">
        <v>39540897.230000019</v>
      </c>
      <c r="C90" s="423">
        <v>102538</v>
      </c>
      <c r="D90" s="279"/>
      <c r="E90" s="279"/>
      <c r="F90" s="279">
        <v>11833.29</v>
      </c>
      <c r="G90" s="279"/>
      <c r="H90" s="418">
        <f t="shared" si="1"/>
        <v>39631601.94000002</v>
      </c>
      <c r="I90" s="159"/>
      <c r="J90" s="280">
        <v>540.29999999999995</v>
      </c>
      <c r="K90" s="280">
        <v>0</v>
      </c>
      <c r="L90" s="280">
        <v>2908921.155770781</v>
      </c>
      <c r="M90" s="273"/>
      <c r="N90" s="273">
        <v>28</v>
      </c>
      <c r="O90" s="280">
        <v>0</v>
      </c>
      <c r="P90" s="280">
        <v>142.4</v>
      </c>
      <c r="Q90" s="280">
        <v>5.2</v>
      </c>
      <c r="R90" s="280">
        <v>64</v>
      </c>
      <c r="S90" s="280">
        <v>60.7</v>
      </c>
      <c r="T90" s="280">
        <v>86.5</v>
      </c>
      <c r="U90" s="280">
        <v>350.2</v>
      </c>
      <c r="V90" s="280">
        <v>5.6</v>
      </c>
      <c r="W90" s="280">
        <v>59.5</v>
      </c>
      <c r="X90" s="280">
        <v>56.2</v>
      </c>
      <c r="Y90" s="280">
        <v>196.8</v>
      </c>
      <c r="Z90" s="280">
        <v>29208</v>
      </c>
      <c r="AA90" s="280">
        <v>134</v>
      </c>
      <c r="AB90" s="280">
        <v>162.30000000000001</v>
      </c>
      <c r="AC90" s="280">
        <v>136</v>
      </c>
    </row>
    <row r="91" spans="1:29" x14ac:dyDescent="0.2">
      <c r="A91" s="205">
        <v>43160</v>
      </c>
      <c r="B91" s="418">
        <v>41548740.249999993</v>
      </c>
      <c r="C91" s="423">
        <v>121362.9</v>
      </c>
      <c r="D91" s="279"/>
      <c r="E91" s="279"/>
      <c r="F91" s="279">
        <v>13193.5</v>
      </c>
      <c r="G91" s="279"/>
      <c r="H91" s="418">
        <f t="shared" si="1"/>
        <v>41656909.649999991</v>
      </c>
      <c r="I91" s="159"/>
      <c r="J91" s="280">
        <v>577.70000000000005</v>
      </c>
      <c r="K91" s="280">
        <v>0</v>
      </c>
      <c r="L91" s="280">
        <v>2928123.0246911421</v>
      </c>
      <c r="M91" s="273"/>
      <c r="N91" s="273">
        <v>31</v>
      </c>
      <c r="O91" s="280">
        <v>1</v>
      </c>
      <c r="P91" s="280">
        <v>142.6</v>
      </c>
      <c r="Q91" s="280">
        <v>5.5</v>
      </c>
      <c r="R91" s="280">
        <v>63.5</v>
      </c>
      <c r="S91" s="280">
        <v>60</v>
      </c>
      <c r="T91" s="280">
        <v>85.5</v>
      </c>
      <c r="U91" s="280">
        <v>350.6</v>
      </c>
      <c r="V91" s="280">
        <v>6.6</v>
      </c>
      <c r="W91" s="280">
        <v>59.7</v>
      </c>
      <c r="X91" s="280">
        <v>55.7</v>
      </c>
      <c r="Y91" s="280">
        <v>195.4</v>
      </c>
      <c r="Z91" s="280">
        <v>29230</v>
      </c>
      <c r="AA91" s="280">
        <v>134.6</v>
      </c>
      <c r="AB91" s="280">
        <v>164.1</v>
      </c>
      <c r="AC91" s="280">
        <v>136.69999999999999</v>
      </c>
    </row>
    <row r="92" spans="1:29" x14ac:dyDescent="0.2">
      <c r="A92" s="205">
        <v>43191</v>
      </c>
      <c r="B92" s="418">
        <v>38285930.12999998</v>
      </c>
      <c r="C92" s="423">
        <v>337549.30000000005</v>
      </c>
      <c r="D92" s="279"/>
      <c r="E92" s="279"/>
      <c r="F92" s="279">
        <v>8710.0499999999993</v>
      </c>
      <c r="G92" s="279"/>
      <c r="H92" s="418">
        <f t="shared" si="1"/>
        <v>38614769.37999998</v>
      </c>
      <c r="I92" s="159"/>
      <c r="J92" s="280">
        <v>438.3</v>
      </c>
      <c r="K92" s="280">
        <v>0</v>
      </c>
      <c r="L92" s="280">
        <v>2947324.8936115033</v>
      </c>
      <c r="M92" s="273"/>
      <c r="N92" s="273">
        <v>30</v>
      </c>
      <c r="O92" s="280">
        <v>1</v>
      </c>
      <c r="P92" s="280">
        <v>142.80000000000001</v>
      </c>
      <c r="Q92" s="280">
        <v>5.4</v>
      </c>
      <c r="R92" s="280">
        <v>64</v>
      </c>
      <c r="S92" s="280">
        <v>60.6</v>
      </c>
      <c r="T92" s="280">
        <v>86.5</v>
      </c>
      <c r="U92" s="280">
        <v>351</v>
      </c>
      <c r="V92" s="280">
        <v>6.7</v>
      </c>
      <c r="W92" s="280">
        <v>60.2</v>
      </c>
      <c r="X92" s="280">
        <v>56.2</v>
      </c>
      <c r="Y92" s="280">
        <v>197.1</v>
      </c>
      <c r="Z92" s="280">
        <v>29230</v>
      </c>
      <c r="AA92" s="280">
        <v>134.80000000000001</v>
      </c>
      <c r="AB92" s="280">
        <v>168.2</v>
      </c>
      <c r="AC92" s="280">
        <v>136.80000000000001</v>
      </c>
    </row>
    <row r="93" spans="1:29" x14ac:dyDescent="0.2">
      <c r="A93" s="205">
        <v>43221</v>
      </c>
      <c r="B93" s="418">
        <v>36063657.63000001</v>
      </c>
      <c r="C93" s="423">
        <v>306211.69999999995</v>
      </c>
      <c r="D93" s="279"/>
      <c r="E93" s="279"/>
      <c r="F93" s="279">
        <v>307995.26</v>
      </c>
      <c r="G93" s="279"/>
      <c r="H93" s="418">
        <f t="shared" si="1"/>
        <v>36061874.070000015</v>
      </c>
      <c r="I93" s="159"/>
      <c r="J93" s="280">
        <v>83.6</v>
      </c>
      <c r="K93" s="280">
        <v>30</v>
      </c>
      <c r="L93" s="280">
        <v>2966526.7625318645</v>
      </c>
      <c r="M93" s="273"/>
      <c r="N93" s="273">
        <v>31</v>
      </c>
      <c r="O93" s="280">
        <v>1</v>
      </c>
      <c r="P93" s="280">
        <v>143</v>
      </c>
      <c r="Q93" s="280">
        <v>5.7</v>
      </c>
      <c r="R93" s="280">
        <v>64.5</v>
      </c>
      <c r="S93" s="280">
        <v>60.8</v>
      </c>
      <c r="T93" s="280">
        <v>87</v>
      </c>
      <c r="U93" s="280">
        <v>351.5</v>
      </c>
      <c r="V93" s="280">
        <v>6.9</v>
      </c>
      <c r="W93" s="280">
        <v>61.3</v>
      </c>
      <c r="X93" s="280">
        <v>57.2</v>
      </c>
      <c r="Y93" s="280">
        <v>200.9</v>
      </c>
      <c r="Z93" s="280">
        <v>29232</v>
      </c>
      <c r="AA93" s="280">
        <v>134.9</v>
      </c>
      <c r="AB93" s="280">
        <v>170.5</v>
      </c>
      <c r="AC93" s="280">
        <v>136.69999999999999</v>
      </c>
    </row>
    <row r="94" spans="1:29" x14ac:dyDescent="0.2">
      <c r="A94" s="205">
        <v>43252</v>
      </c>
      <c r="B94" s="418">
        <v>38564071.070000008</v>
      </c>
      <c r="C94" s="423">
        <v>483883.5</v>
      </c>
      <c r="D94" s="279"/>
      <c r="E94" s="279"/>
      <c r="F94" s="279">
        <v>47587.08</v>
      </c>
      <c r="G94" s="279"/>
      <c r="H94" s="418">
        <f t="shared" si="1"/>
        <v>39000367.49000001</v>
      </c>
      <c r="I94" s="159"/>
      <c r="J94" s="280">
        <v>21.2</v>
      </c>
      <c r="K94" s="280">
        <v>47.8</v>
      </c>
      <c r="L94" s="280">
        <v>2985728.6314522256</v>
      </c>
      <c r="M94" s="273"/>
      <c r="N94" s="273">
        <v>30</v>
      </c>
      <c r="O94" s="280">
        <v>0</v>
      </c>
      <c r="P94" s="280">
        <v>143.19999999999999</v>
      </c>
      <c r="Q94" s="280">
        <v>5.9</v>
      </c>
      <c r="R94" s="280">
        <v>64.8</v>
      </c>
      <c r="S94" s="280">
        <v>61</v>
      </c>
      <c r="T94" s="280">
        <v>87.3</v>
      </c>
      <c r="U94" s="280">
        <v>351.9</v>
      </c>
      <c r="V94" s="280">
        <v>6.2</v>
      </c>
      <c r="W94" s="280">
        <v>61.9</v>
      </c>
      <c r="X94" s="280">
        <v>58.1</v>
      </c>
      <c r="Y94" s="280">
        <v>204.4</v>
      </c>
      <c r="Z94" s="280">
        <v>29229</v>
      </c>
      <c r="AA94" s="280">
        <v>135.30000000000001</v>
      </c>
      <c r="AB94" s="280">
        <v>168</v>
      </c>
      <c r="AC94" s="280">
        <v>137.5</v>
      </c>
    </row>
    <row r="95" spans="1:29" x14ac:dyDescent="0.2">
      <c r="A95" s="205">
        <v>43282</v>
      </c>
      <c r="B95" s="418">
        <v>49628857.740000024</v>
      </c>
      <c r="C95" s="423">
        <v>460359.30000000005</v>
      </c>
      <c r="D95" s="279"/>
      <c r="E95" s="279"/>
      <c r="F95" s="279">
        <v>12901.61</v>
      </c>
      <c r="G95" s="279"/>
      <c r="H95" s="418">
        <f t="shared" si="1"/>
        <v>50076315.430000022</v>
      </c>
      <c r="I95" s="159"/>
      <c r="J95" s="280">
        <v>0</v>
      </c>
      <c r="K95" s="280">
        <v>137.5</v>
      </c>
      <c r="L95" s="280">
        <v>3004930.5003725868</v>
      </c>
      <c r="M95" s="273"/>
      <c r="N95" s="273">
        <v>31</v>
      </c>
      <c r="O95" s="280">
        <v>0</v>
      </c>
      <c r="P95" s="280">
        <v>143.5</v>
      </c>
      <c r="Q95" s="280">
        <v>5.9</v>
      </c>
      <c r="R95" s="280">
        <v>65.2</v>
      </c>
      <c r="S95" s="280">
        <v>61.3</v>
      </c>
      <c r="T95" s="280">
        <v>88</v>
      </c>
      <c r="U95" s="280">
        <v>352.3</v>
      </c>
      <c r="V95" s="280">
        <v>6.9</v>
      </c>
      <c r="W95" s="280">
        <v>62.8</v>
      </c>
      <c r="X95" s="280">
        <v>58.5</v>
      </c>
      <c r="Y95" s="280">
        <v>206.1</v>
      </c>
      <c r="Z95" s="280">
        <v>29248</v>
      </c>
      <c r="AA95" s="280">
        <v>136</v>
      </c>
      <c r="AB95" s="280">
        <v>168.6</v>
      </c>
      <c r="AC95" s="280">
        <v>138</v>
      </c>
    </row>
    <row r="96" spans="1:29" x14ac:dyDescent="0.2">
      <c r="A96" s="205">
        <v>43313</v>
      </c>
      <c r="B96" s="418">
        <v>48629695.239999965</v>
      </c>
      <c r="C96" s="423">
        <v>541090.4</v>
      </c>
      <c r="D96" s="279"/>
      <c r="E96" s="279"/>
      <c r="F96" s="279">
        <v>12697.28</v>
      </c>
      <c r="G96" s="279"/>
      <c r="H96" s="418">
        <f t="shared" si="1"/>
        <v>49158088.359999962</v>
      </c>
      <c r="I96" s="159"/>
      <c r="J96" s="280">
        <v>1.6</v>
      </c>
      <c r="K96" s="280">
        <v>124</v>
      </c>
      <c r="L96" s="280">
        <v>3024132.3692929479</v>
      </c>
      <c r="M96" s="273"/>
      <c r="N96" s="273">
        <v>31</v>
      </c>
      <c r="O96" s="280">
        <v>0</v>
      </c>
      <c r="P96" s="280">
        <v>143.80000000000001</v>
      </c>
      <c r="Q96" s="280">
        <v>6.2</v>
      </c>
      <c r="R96" s="280">
        <v>65.099999999999994</v>
      </c>
      <c r="S96" s="280">
        <v>61.1</v>
      </c>
      <c r="T96" s="280">
        <v>87.9</v>
      </c>
      <c r="U96" s="280">
        <v>352.8</v>
      </c>
      <c r="V96" s="280">
        <v>7.3</v>
      </c>
      <c r="W96" s="280">
        <v>62.8</v>
      </c>
      <c r="X96" s="280">
        <v>58.2</v>
      </c>
      <c r="Y96" s="280">
        <v>205.4</v>
      </c>
      <c r="Z96" s="280">
        <v>29265</v>
      </c>
      <c r="AA96" s="280">
        <v>135.9</v>
      </c>
      <c r="AB96" s="280">
        <v>167.1</v>
      </c>
      <c r="AC96" s="280">
        <v>137.9</v>
      </c>
    </row>
    <row r="97" spans="1:29" x14ac:dyDescent="0.2">
      <c r="A97" s="205">
        <v>43344</v>
      </c>
      <c r="B97" s="418">
        <v>41064153.550000027</v>
      </c>
      <c r="C97" s="423">
        <v>445219.2</v>
      </c>
      <c r="D97" s="279"/>
      <c r="E97" s="279"/>
      <c r="F97" s="279">
        <v>12831.55</v>
      </c>
      <c r="G97" s="279"/>
      <c r="H97" s="418">
        <f t="shared" si="1"/>
        <v>41496541.200000033</v>
      </c>
      <c r="I97" s="159"/>
      <c r="J97" s="280">
        <v>57.9</v>
      </c>
      <c r="K97" s="280">
        <v>69.3</v>
      </c>
      <c r="L97" s="280">
        <v>3043334.2382133091</v>
      </c>
      <c r="M97" s="273"/>
      <c r="N97" s="273">
        <v>30</v>
      </c>
      <c r="O97" s="280">
        <v>1</v>
      </c>
      <c r="P97" s="280">
        <v>144</v>
      </c>
      <c r="Q97" s="280">
        <v>5.7</v>
      </c>
      <c r="R97" s="280">
        <v>64.7</v>
      </c>
      <c r="S97" s="280">
        <v>61</v>
      </c>
      <c r="T97" s="280">
        <v>87.9</v>
      </c>
      <c r="U97" s="280">
        <v>353.2</v>
      </c>
      <c r="V97" s="280">
        <v>7.1</v>
      </c>
      <c r="W97" s="280">
        <v>62.5</v>
      </c>
      <c r="X97" s="280">
        <v>58.1</v>
      </c>
      <c r="Y97" s="280">
        <v>205.1</v>
      </c>
      <c r="Z97" s="280">
        <v>29273</v>
      </c>
      <c r="AA97" s="280">
        <v>135.19999999999999</v>
      </c>
      <c r="AB97" s="280">
        <v>164.6</v>
      </c>
      <c r="AC97" s="280">
        <v>137.4</v>
      </c>
    </row>
    <row r="98" spans="1:29" x14ac:dyDescent="0.2">
      <c r="A98" s="205">
        <v>43374</v>
      </c>
      <c r="B98" s="418">
        <v>37443471.689999975</v>
      </c>
      <c r="C98" s="423">
        <v>336027.3</v>
      </c>
      <c r="D98" s="279"/>
      <c r="E98" s="279"/>
      <c r="F98" s="279">
        <v>16147.44</v>
      </c>
      <c r="G98" s="279"/>
      <c r="H98" s="418">
        <f t="shared" si="1"/>
        <v>37763351.549999975</v>
      </c>
      <c r="I98" s="159"/>
      <c r="J98" s="280">
        <v>258.2</v>
      </c>
      <c r="K98" s="280">
        <v>11.1</v>
      </c>
      <c r="L98" s="280">
        <v>3062536.1071336702</v>
      </c>
      <c r="M98" s="273"/>
      <c r="N98" s="273">
        <v>31</v>
      </c>
      <c r="O98" s="280">
        <v>1</v>
      </c>
      <c r="P98" s="280">
        <v>144.19999999999999</v>
      </c>
      <c r="Q98" s="280">
        <v>5.3</v>
      </c>
      <c r="R98" s="280">
        <v>63.3</v>
      </c>
      <c r="S98" s="280">
        <v>60</v>
      </c>
      <c r="T98" s="280">
        <v>86.5</v>
      </c>
      <c r="U98" s="280">
        <v>353.6</v>
      </c>
      <c r="V98" s="280">
        <v>6.5</v>
      </c>
      <c r="W98" s="280">
        <v>62</v>
      </c>
      <c r="X98" s="280">
        <v>57.9</v>
      </c>
      <c r="Y98" s="280">
        <v>204.7</v>
      </c>
      <c r="Z98" s="280">
        <v>29290</v>
      </c>
      <c r="AA98" s="280">
        <v>135.6</v>
      </c>
      <c r="AB98" s="280">
        <v>160.69999999999999</v>
      </c>
      <c r="AC98" s="280">
        <v>137.9</v>
      </c>
    </row>
    <row r="99" spans="1:29" x14ac:dyDescent="0.2">
      <c r="A99" s="205">
        <v>43405</v>
      </c>
      <c r="B99" s="418">
        <v>39843675.400000006</v>
      </c>
      <c r="C99" s="423">
        <v>220943.8</v>
      </c>
      <c r="D99" s="279"/>
      <c r="E99" s="279"/>
      <c r="F99" s="279">
        <v>13164.31</v>
      </c>
      <c r="G99" s="279"/>
      <c r="H99" s="418">
        <f t="shared" si="1"/>
        <v>40051454.890000001</v>
      </c>
      <c r="I99" s="159"/>
      <c r="J99" s="280">
        <v>479.8</v>
      </c>
      <c r="K99" s="280">
        <v>0</v>
      </c>
      <c r="L99" s="280">
        <v>3081737.9760540314</v>
      </c>
      <c r="M99" s="273"/>
      <c r="N99" s="273">
        <v>30</v>
      </c>
      <c r="O99" s="280">
        <v>1</v>
      </c>
      <c r="P99" s="280">
        <v>144.30000000000001</v>
      </c>
      <c r="Q99" s="280">
        <v>4.7</v>
      </c>
      <c r="R99" s="280">
        <v>62.4</v>
      </c>
      <c r="S99" s="280">
        <v>59.5</v>
      </c>
      <c r="T99" s="280">
        <v>85.8</v>
      </c>
      <c r="U99" s="280">
        <v>353.9</v>
      </c>
      <c r="V99" s="280">
        <v>6.1</v>
      </c>
      <c r="W99" s="280">
        <v>60.9</v>
      </c>
      <c r="X99" s="280">
        <v>57.2</v>
      </c>
      <c r="Y99" s="280">
        <v>202.6</v>
      </c>
      <c r="Z99" s="280">
        <v>29307</v>
      </c>
      <c r="AA99" s="280">
        <v>135.1</v>
      </c>
      <c r="AB99" s="280">
        <v>152.4</v>
      </c>
      <c r="AC99" s="280">
        <v>137.4</v>
      </c>
    </row>
    <row r="100" spans="1:29" x14ac:dyDescent="0.2">
      <c r="A100" s="205">
        <v>43435</v>
      </c>
      <c r="B100" s="418">
        <v>41914947.409999989</v>
      </c>
      <c r="C100" s="423">
        <v>119224.4</v>
      </c>
      <c r="D100" s="279"/>
      <c r="E100" s="279"/>
      <c r="F100" s="279">
        <v>13613.82</v>
      </c>
      <c r="G100" s="279">
        <v>1283.8</v>
      </c>
      <c r="H100" s="418">
        <f t="shared" si="1"/>
        <v>42019274.18999999</v>
      </c>
      <c r="I100" s="159"/>
      <c r="J100" s="280">
        <v>550.4</v>
      </c>
      <c r="K100" s="280">
        <v>0</v>
      </c>
      <c r="L100" s="280">
        <v>3100939.8449743926</v>
      </c>
      <c r="M100" s="273"/>
      <c r="N100" s="273">
        <v>31</v>
      </c>
      <c r="O100" s="280">
        <v>0</v>
      </c>
      <c r="P100" s="280">
        <v>144.4</v>
      </c>
      <c r="Q100" s="280">
        <v>4.9000000000000004</v>
      </c>
      <c r="R100" s="280">
        <v>62</v>
      </c>
      <c r="S100" s="280">
        <v>58.9</v>
      </c>
      <c r="T100" s="280">
        <v>85.1</v>
      </c>
      <c r="U100" s="280">
        <v>354.3</v>
      </c>
      <c r="V100" s="280">
        <v>6.3</v>
      </c>
      <c r="W100" s="280">
        <v>60.8</v>
      </c>
      <c r="X100" s="280">
        <v>57</v>
      </c>
      <c r="Y100" s="280">
        <v>201.8</v>
      </c>
      <c r="Z100" s="280">
        <v>29323</v>
      </c>
      <c r="AA100" s="280">
        <v>135</v>
      </c>
      <c r="AB100" s="280">
        <v>147.4</v>
      </c>
      <c r="AC100" s="280">
        <v>137.5</v>
      </c>
    </row>
    <row r="101" spans="1:29" x14ac:dyDescent="0.2">
      <c r="A101" s="205">
        <v>43466</v>
      </c>
      <c r="B101" s="418">
        <v>46622026.859999999</v>
      </c>
      <c r="C101" s="423">
        <v>74462.720000000001</v>
      </c>
      <c r="D101" s="279"/>
      <c r="E101" s="279"/>
      <c r="F101" s="279">
        <v>13421.18</v>
      </c>
      <c r="G101" s="279">
        <v>4484.0387591999997</v>
      </c>
      <c r="H101" s="418">
        <f t="shared" si="1"/>
        <v>46678584.361240797</v>
      </c>
      <c r="I101" s="159"/>
      <c r="J101" s="280">
        <v>726.3</v>
      </c>
      <c r="K101" s="280">
        <v>0</v>
      </c>
      <c r="L101" s="280">
        <v>3103377.6068723211</v>
      </c>
      <c r="M101" s="273"/>
      <c r="N101" s="273">
        <v>31</v>
      </c>
      <c r="O101" s="280">
        <v>0</v>
      </c>
      <c r="P101" s="280">
        <v>144.5</v>
      </c>
      <c r="Q101" s="280">
        <v>5.0999999999999996</v>
      </c>
      <c r="R101" s="280">
        <v>62</v>
      </c>
      <c r="S101" s="280">
        <v>58.8</v>
      </c>
      <c r="T101" s="280">
        <v>85</v>
      </c>
      <c r="U101" s="280">
        <v>354.7</v>
      </c>
      <c r="V101" s="280">
        <v>6.5</v>
      </c>
      <c r="W101" s="280">
        <v>60.1</v>
      </c>
      <c r="X101" s="280">
        <v>56.1</v>
      </c>
      <c r="Y101" s="280">
        <v>199.1</v>
      </c>
      <c r="Z101" s="280">
        <v>29344</v>
      </c>
      <c r="AA101" s="280">
        <v>135.19999999999999</v>
      </c>
      <c r="AB101" s="280">
        <v>146.19999999999999</v>
      </c>
      <c r="AC101" s="280">
        <v>137.69999999999999</v>
      </c>
    </row>
    <row r="102" spans="1:29" x14ac:dyDescent="0.2">
      <c r="A102" s="205">
        <v>43497</v>
      </c>
      <c r="B102" s="418">
        <v>41188691.579999998</v>
      </c>
      <c r="C102" s="423">
        <v>101188.9</v>
      </c>
      <c r="D102" s="279"/>
      <c r="E102" s="279"/>
      <c r="F102" s="279">
        <v>20169.71</v>
      </c>
      <c r="G102" s="279">
        <v>75244.473404100005</v>
      </c>
      <c r="H102" s="418">
        <f t="shared" si="1"/>
        <v>41194466.296595894</v>
      </c>
      <c r="I102" s="159"/>
      <c r="J102" s="280">
        <v>587.79999999999995</v>
      </c>
      <c r="K102" s="280">
        <v>0</v>
      </c>
      <c r="L102" s="280">
        <v>3105815.3687702497</v>
      </c>
      <c r="M102" s="273"/>
      <c r="N102" s="273">
        <v>28</v>
      </c>
      <c r="O102" s="280">
        <v>0</v>
      </c>
      <c r="P102" s="280">
        <v>144.69999999999999</v>
      </c>
      <c r="Q102" s="280">
        <v>4.9000000000000004</v>
      </c>
      <c r="R102" s="280">
        <v>61.9</v>
      </c>
      <c r="S102" s="280">
        <v>58.9</v>
      </c>
      <c r="T102" s="280">
        <v>85.2</v>
      </c>
      <c r="U102" s="280">
        <v>355</v>
      </c>
      <c r="V102" s="280">
        <v>7</v>
      </c>
      <c r="W102" s="280">
        <v>59.8</v>
      </c>
      <c r="X102" s="280">
        <v>55.6</v>
      </c>
      <c r="Y102" s="280">
        <v>197.4</v>
      </c>
      <c r="Z102" s="280">
        <v>29330</v>
      </c>
      <c r="AA102" s="280">
        <v>136</v>
      </c>
      <c r="AB102" s="280">
        <v>145.80000000000001</v>
      </c>
      <c r="AC102" s="280">
        <v>138.6</v>
      </c>
    </row>
    <row r="103" spans="1:29" x14ac:dyDescent="0.2">
      <c r="A103" s="205">
        <v>43525</v>
      </c>
      <c r="B103" s="418">
        <v>42070897.649999976</v>
      </c>
      <c r="C103" s="423">
        <v>143751.79999999999</v>
      </c>
      <c r="D103" s="279"/>
      <c r="E103" s="279"/>
      <c r="F103" s="279">
        <v>12866.58</v>
      </c>
      <c r="G103" s="279">
        <v>111282.004548</v>
      </c>
      <c r="H103" s="418">
        <f t="shared" si="1"/>
        <v>42090500.865451977</v>
      </c>
      <c r="I103" s="159"/>
      <c r="J103" s="280">
        <v>598</v>
      </c>
      <c r="K103" s="280">
        <v>0</v>
      </c>
      <c r="L103" s="280">
        <v>3108253.1306681782</v>
      </c>
      <c r="M103" s="273"/>
      <c r="N103" s="273">
        <v>31</v>
      </c>
      <c r="O103" s="280">
        <v>1</v>
      </c>
      <c r="P103" s="280">
        <v>144.9</v>
      </c>
      <c r="Q103" s="280">
        <v>4.9000000000000004</v>
      </c>
      <c r="R103" s="280">
        <v>62.5</v>
      </c>
      <c r="S103" s="280">
        <v>59.4</v>
      </c>
      <c r="T103" s="280">
        <v>86.1</v>
      </c>
      <c r="U103" s="280">
        <v>355.4</v>
      </c>
      <c r="V103" s="280">
        <v>7.3</v>
      </c>
      <c r="W103" s="280">
        <v>58.4</v>
      </c>
      <c r="X103" s="280">
        <v>54.1</v>
      </c>
      <c r="Y103" s="280">
        <v>192.4</v>
      </c>
      <c r="Z103" s="280">
        <v>29340</v>
      </c>
      <c r="AA103" s="280">
        <v>137</v>
      </c>
      <c r="AB103" s="280">
        <v>155.4</v>
      </c>
      <c r="AC103" s="280">
        <v>139.5</v>
      </c>
    </row>
    <row r="104" spans="1:29" x14ac:dyDescent="0.2">
      <c r="A104" s="205">
        <v>43556</v>
      </c>
      <c r="B104" s="418">
        <v>36296821.840000033</v>
      </c>
      <c r="C104" s="423">
        <v>327033</v>
      </c>
      <c r="D104" s="279"/>
      <c r="E104" s="279"/>
      <c r="F104" s="279">
        <v>13041.72</v>
      </c>
      <c r="G104" s="279">
        <v>71062.896890699994</v>
      </c>
      <c r="H104" s="418">
        <f t="shared" si="1"/>
        <v>36539750.223109335</v>
      </c>
      <c r="I104" s="159"/>
      <c r="J104" s="280">
        <v>334.1</v>
      </c>
      <c r="K104" s="280">
        <v>0</v>
      </c>
      <c r="L104" s="280">
        <v>3110690.8925661067</v>
      </c>
      <c r="M104" s="273"/>
      <c r="N104" s="273">
        <v>30</v>
      </c>
      <c r="O104" s="280">
        <v>1</v>
      </c>
      <c r="P104" s="280">
        <v>145.1</v>
      </c>
      <c r="Q104" s="280">
        <v>4.9000000000000004</v>
      </c>
      <c r="R104" s="280">
        <v>63.6</v>
      </c>
      <c r="S104" s="280">
        <v>60.6</v>
      </c>
      <c r="T104" s="280">
        <v>87.9</v>
      </c>
      <c r="U104" s="280">
        <v>355.7</v>
      </c>
      <c r="V104" s="280">
        <v>7.2</v>
      </c>
      <c r="W104" s="280">
        <v>57.6</v>
      </c>
      <c r="X104" s="280">
        <v>53.5</v>
      </c>
      <c r="Y104" s="280">
        <v>190.2</v>
      </c>
      <c r="Z104" s="280">
        <v>29411</v>
      </c>
      <c r="AA104" s="280">
        <v>137.4</v>
      </c>
      <c r="AB104" s="280">
        <v>165.4</v>
      </c>
      <c r="AC104" s="280">
        <v>139.80000000000001</v>
      </c>
    </row>
    <row r="105" spans="1:29" x14ac:dyDescent="0.2">
      <c r="A105" s="205">
        <v>43586</v>
      </c>
      <c r="B105" s="418">
        <v>35335301.459999986</v>
      </c>
      <c r="C105" s="423">
        <v>340531.80000000005</v>
      </c>
      <c r="D105" s="279"/>
      <c r="E105" s="279"/>
      <c r="F105" s="279">
        <v>13403.66</v>
      </c>
      <c r="G105" s="279">
        <v>130424.53714289999</v>
      </c>
      <c r="H105" s="418">
        <f t="shared" si="1"/>
        <v>35532005.062857084</v>
      </c>
      <c r="I105" s="159"/>
      <c r="J105" s="280">
        <v>173.7</v>
      </c>
      <c r="K105" s="280">
        <v>1.8</v>
      </c>
      <c r="L105" s="280">
        <v>3113128.6544640353</v>
      </c>
      <c r="M105" s="273"/>
      <c r="N105" s="273">
        <v>31</v>
      </c>
      <c r="O105" s="280">
        <v>1</v>
      </c>
      <c r="P105" s="280">
        <v>145.30000000000001</v>
      </c>
      <c r="Q105" s="280">
        <v>4.7</v>
      </c>
      <c r="R105" s="280">
        <v>64.8</v>
      </c>
      <c r="S105" s="280">
        <v>61.7</v>
      </c>
      <c r="T105" s="280">
        <v>89.7</v>
      </c>
      <c r="U105" s="280">
        <v>356.1</v>
      </c>
      <c r="V105" s="280">
        <v>6.2</v>
      </c>
      <c r="W105" s="280">
        <v>57.4</v>
      </c>
      <c r="X105" s="280">
        <v>53.9</v>
      </c>
      <c r="Y105" s="280">
        <v>191.9</v>
      </c>
      <c r="Z105" s="280">
        <v>29394</v>
      </c>
      <c r="AA105" s="280">
        <v>138.1</v>
      </c>
      <c r="AB105" s="280">
        <v>167.1</v>
      </c>
      <c r="AC105" s="280">
        <v>140.30000000000001</v>
      </c>
    </row>
    <row r="106" spans="1:29" x14ac:dyDescent="0.2">
      <c r="A106" s="205">
        <v>43617</v>
      </c>
      <c r="B106" s="418">
        <v>36918421.580000013</v>
      </c>
      <c r="C106" s="423">
        <v>415601.5</v>
      </c>
      <c r="D106" s="279"/>
      <c r="E106" s="279"/>
      <c r="F106" s="279">
        <v>12317.83</v>
      </c>
      <c r="G106" s="279">
        <v>170812.68131069999</v>
      </c>
      <c r="H106" s="418">
        <f t="shared" si="1"/>
        <v>37150892.568689317</v>
      </c>
      <c r="I106" s="159"/>
      <c r="J106" s="280">
        <v>33.6</v>
      </c>
      <c r="K106" s="280">
        <v>31.8</v>
      </c>
      <c r="L106" s="280">
        <v>3115566.4163619638</v>
      </c>
      <c r="M106" s="273"/>
      <c r="N106" s="273">
        <v>30</v>
      </c>
      <c r="O106" s="280">
        <v>0</v>
      </c>
      <c r="P106" s="280">
        <v>145.6</v>
      </c>
      <c r="Q106" s="280">
        <v>4.7</v>
      </c>
      <c r="R106" s="280">
        <v>65.7</v>
      </c>
      <c r="S106" s="280">
        <v>62.6</v>
      </c>
      <c r="T106" s="280">
        <v>91.2</v>
      </c>
      <c r="U106" s="280">
        <v>356.6</v>
      </c>
      <c r="V106" s="280">
        <v>5.4</v>
      </c>
      <c r="W106" s="280">
        <v>58</v>
      </c>
      <c r="X106" s="280">
        <v>55</v>
      </c>
      <c r="Y106" s="280">
        <v>196</v>
      </c>
      <c r="Z106" s="280">
        <v>29406</v>
      </c>
      <c r="AA106" s="280">
        <v>138</v>
      </c>
      <c r="AB106" s="280">
        <v>161.1</v>
      </c>
      <c r="AC106" s="280">
        <v>140.30000000000001</v>
      </c>
    </row>
    <row r="107" spans="1:29" x14ac:dyDescent="0.2">
      <c r="A107" s="205">
        <v>43647</v>
      </c>
      <c r="B107" s="418">
        <v>48958080.650000021</v>
      </c>
      <c r="C107" s="423">
        <v>492115.4</v>
      </c>
      <c r="D107" s="279"/>
      <c r="E107" s="279"/>
      <c r="F107" s="279">
        <v>13479.55</v>
      </c>
      <c r="G107" s="279">
        <v>272439.18277289998</v>
      </c>
      <c r="H107" s="418">
        <f t="shared" si="1"/>
        <v>49164277.317227118</v>
      </c>
      <c r="I107" s="159"/>
      <c r="J107" s="280">
        <v>0</v>
      </c>
      <c r="K107" s="280">
        <v>143.80000000000001</v>
      </c>
      <c r="L107" s="280">
        <v>3118004.1782598924</v>
      </c>
      <c r="M107" s="273"/>
      <c r="N107" s="273">
        <v>31</v>
      </c>
      <c r="O107" s="280">
        <v>0</v>
      </c>
      <c r="P107" s="280">
        <v>145.9</v>
      </c>
      <c r="Q107" s="280">
        <v>5</v>
      </c>
      <c r="R107" s="280">
        <v>65.5</v>
      </c>
      <c r="S107" s="280">
        <v>62.2</v>
      </c>
      <c r="T107" s="280">
        <v>90.8</v>
      </c>
      <c r="U107" s="280">
        <v>357.1</v>
      </c>
      <c r="V107" s="280">
        <v>5.4</v>
      </c>
      <c r="W107" s="280">
        <v>59</v>
      </c>
      <c r="X107" s="280">
        <v>55.8</v>
      </c>
      <c r="Y107" s="280">
        <v>199.2</v>
      </c>
      <c r="Z107" s="280">
        <v>29415</v>
      </c>
      <c r="AA107" s="280">
        <v>138.80000000000001</v>
      </c>
      <c r="AB107" s="280">
        <v>165.5</v>
      </c>
      <c r="AC107" s="280">
        <v>141.19999999999999</v>
      </c>
    </row>
    <row r="108" spans="1:29" x14ac:dyDescent="0.2">
      <c r="A108" s="205">
        <v>43678</v>
      </c>
      <c r="B108" s="418">
        <v>45777930.170000002</v>
      </c>
      <c r="C108" s="423">
        <v>490898.1</v>
      </c>
      <c r="D108" s="279"/>
      <c r="E108" s="279"/>
      <c r="F108" s="279">
        <v>13497.07</v>
      </c>
      <c r="G108" s="279">
        <v>348271.57798290002</v>
      </c>
      <c r="H108" s="418">
        <f t="shared" si="1"/>
        <v>45907059.6220171</v>
      </c>
      <c r="I108" s="159"/>
      <c r="J108" s="280">
        <v>4.5999999999999996</v>
      </c>
      <c r="K108" s="280">
        <v>76</v>
      </c>
      <c r="L108" s="280">
        <v>3120441.9401578209</v>
      </c>
      <c r="M108" s="273"/>
      <c r="N108" s="273">
        <v>31</v>
      </c>
      <c r="O108" s="280">
        <v>0</v>
      </c>
      <c r="P108" s="280">
        <v>146.19999999999999</v>
      </c>
      <c r="Q108" s="280">
        <v>6.1</v>
      </c>
      <c r="R108" s="280">
        <v>65.099999999999994</v>
      </c>
      <c r="S108" s="280">
        <v>61.2</v>
      </c>
      <c r="T108" s="280">
        <v>89.5</v>
      </c>
      <c r="U108" s="280">
        <v>357.6</v>
      </c>
      <c r="V108" s="280">
        <v>5.7</v>
      </c>
      <c r="W108" s="280">
        <v>59.9</v>
      </c>
      <c r="X108" s="280">
        <v>56.5</v>
      </c>
      <c r="Y108" s="280">
        <v>202</v>
      </c>
      <c r="Z108" s="280">
        <v>29440</v>
      </c>
      <c r="AA108" s="280">
        <v>138.5</v>
      </c>
      <c r="AB108" s="280">
        <v>160.69999999999999</v>
      </c>
      <c r="AC108" s="280">
        <v>140.9</v>
      </c>
    </row>
    <row r="109" spans="1:29" x14ac:dyDescent="0.2">
      <c r="A109" s="205">
        <v>43709</v>
      </c>
      <c r="B109" s="418">
        <v>37514501.140000001</v>
      </c>
      <c r="C109" s="423">
        <v>491100.5</v>
      </c>
      <c r="D109" s="279"/>
      <c r="E109" s="279"/>
      <c r="F109" s="279">
        <v>10210.370000000001</v>
      </c>
      <c r="G109" s="279">
        <v>461243.88508769998</v>
      </c>
      <c r="H109" s="418">
        <f t="shared" si="1"/>
        <v>37534147.384912297</v>
      </c>
      <c r="I109" s="159" t="s">
        <v>57</v>
      </c>
      <c r="J109" s="280">
        <v>32</v>
      </c>
      <c r="K109" s="280">
        <v>11.6</v>
      </c>
      <c r="L109" s="280">
        <v>3122879.7020557495</v>
      </c>
      <c r="M109" s="273"/>
      <c r="N109" s="273">
        <v>30</v>
      </c>
      <c r="O109" s="280">
        <v>1</v>
      </c>
      <c r="P109" s="280">
        <v>146.5</v>
      </c>
      <c r="Q109" s="280">
        <v>6.3</v>
      </c>
      <c r="R109" s="280">
        <v>63.8</v>
      </c>
      <c r="S109" s="280">
        <v>59.7</v>
      </c>
      <c r="T109" s="280">
        <v>87.5</v>
      </c>
      <c r="U109" s="280">
        <v>358.1</v>
      </c>
      <c r="V109" s="280">
        <v>5.7</v>
      </c>
      <c r="W109" s="280">
        <v>60.2</v>
      </c>
      <c r="X109" s="280">
        <v>56.7</v>
      </c>
      <c r="Y109" s="280">
        <v>203.1</v>
      </c>
      <c r="Z109" s="280">
        <v>29481</v>
      </c>
      <c r="AA109" s="280">
        <v>137.5</v>
      </c>
      <c r="AB109" s="280">
        <v>159.5</v>
      </c>
      <c r="AC109" s="280">
        <v>139.69999999999999</v>
      </c>
    </row>
    <row r="110" spans="1:29" x14ac:dyDescent="0.2">
      <c r="A110" s="205">
        <v>43739</v>
      </c>
      <c r="B110" s="418">
        <v>36374484.030000001</v>
      </c>
      <c r="C110" s="423">
        <v>387286.9</v>
      </c>
      <c r="D110" s="279"/>
      <c r="E110" s="279"/>
      <c r="F110" s="279">
        <v>13100.1</v>
      </c>
      <c r="G110" s="279">
        <v>572140.582299</v>
      </c>
      <c r="H110" s="418">
        <f t="shared" si="1"/>
        <v>36176530.247700997</v>
      </c>
      <c r="I110" s="159"/>
      <c r="J110" s="280">
        <v>220.9</v>
      </c>
      <c r="K110" s="280">
        <v>3.9</v>
      </c>
      <c r="L110" s="280">
        <v>3125317.463953678</v>
      </c>
      <c r="M110" s="273"/>
      <c r="N110" s="273">
        <v>31</v>
      </c>
      <c r="O110" s="280">
        <v>1</v>
      </c>
      <c r="P110" s="280">
        <v>146.80000000000001</v>
      </c>
      <c r="Q110" s="280">
        <v>6.1</v>
      </c>
      <c r="R110" s="280">
        <v>62.5</v>
      </c>
      <c r="S110" s="280">
        <v>58.6</v>
      </c>
      <c r="T110" s="280">
        <v>86</v>
      </c>
      <c r="U110" s="280">
        <v>358.6</v>
      </c>
      <c r="V110" s="280">
        <v>5</v>
      </c>
      <c r="W110" s="280">
        <v>60</v>
      </c>
      <c r="X110" s="280">
        <v>57</v>
      </c>
      <c r="Y110" s="280">
        <v>204.3</v>
      </c>
      <c r="Z110" s="280">
        <v>29505</v>
      </c>
      <c r="AA110" s="280">
        <v>137.9</v>
      </c>
      <c r="AB110" s="280">
        <v>158</v>
      </c>
      <c r="AC110" s="280">
        <v>140.30000000000001</v>
      </c>
    </row>
    <row r="111" spans="1:29" x14ac:dyDescent="0.2">
      <c r="A111" s="205">
        <v>43770</v>
      </c>
      <c r="B111" s="418">
        <v>40089238.080000013</v>
      </c>
      <c r="C111" s="423">
        <v>202676.10000000003</v>
      </c>
      <c r="D111" s="279"/>
      <c r="E111" s="279"/>
      <c r="F111" s="279">
        <v>12802.37</v>
      </c>
      <c r="G111" s="279">
        <v>541670.92512389994</v>
      </c>
      <c r="H111" s="418">
        <f t="shared" si="1"/>
        <v>39737440.884876117</v>
      </c>
      <c r="I111" s="159"/>
      <c r="J111" s="280">
        <v>502.7</v>
      </c>
      <c r="K111" s="280">
        <v>0</v>
      </c>
      <c r="L111" s="280">
        <v>3127755.2258516066</v>
      </c>
      <c r="M111" s="273"/>
      <c r="N111" s="273">
        <v>30</v>
      </c>
      <c r="O111" s="280">
        <v>1</v>
      </c>
      <c r="P111" s="280">
        <v>146.9</v>
      </c>
      <c r="Q111" s="280">
        <v>5.6</v>
      </c>
      <c r="R111" s="280">
        <v>61.7</v>
      </c>
      <c r="S111" s="280">
        <v>58.2</v>
      </c>
      <c r="T111" s="280">
        <v>85.5</v>
      </c>
      <c r="U111" s="280">
        <v>359</v>
      </c>
      <c r="V111" s="280">
        <v>4.9000000000000004</v>
      </c>
      <c r="W111" s="280">
        <v>60.1</v>
      </c>
      <c r="X111" s="280">
        <v>57.2</v>
      </c>
      <c r="Y111" s="280">
        <v>205.2</v>
      </c>
      <c r="Z111" s="280">
        <v>29533</v>
      </c>
      <c r="AA111" s="280">
        <v>137.69999999999999</v>
      </c>
      <c r="AB111" s="280">
        <v>159</v>
      </c>
      <c r="AC111" s="280">
        <v>139.9</v>
      </c>
    </row>
    <row r="112" spans="1:29" x14ac:dyDescent="0.2">
      <c r="A112" s="205">
        <v>43800</v>
      </c>
      <c r="B112" s="418">
        <v>42739198.629999965</v>
      </c>
      <c r="C112" s="423">
        <v>176382.10000000003</v>
      </c>
      <c r="D112" s="279"/>
      <c r="E112" s="279"/>
      <c r="F112" s="279">
        <v>13467.88</v>
      </c>
      <c r="G112" s="279">
        <v>578267.14721489989</v>
      </c>
      <c r="H112" s="418">
        <f t="shared" si="1"/>
        <v>42323845.702785067</v>
      </c>
      <c r="I112" s="159"/>
      <c r="J112" s="280">
        <v>564.6</v>
      </c>
      <c r="K112" s="280">
        <v>0</v>
      </c>
      <c r="L112" s="280">
        <v>3130192.9877495351</v>
      </c>
      <c r="M112" s="273"/>
      <c r="N112" s="273">
        <v>31</v>
      </c>
      <c r="O112" s="280">
        <v>0</v>
      </c>
      <c r="P112" s="280">
        <v>147.1</v>
      </c>
      <c r="Q112" s="280">
        <v>5.4</v>
      </c>
      <c r="R112" s="280">
        <v>61.3</v>
      </c>
      <c r="S112" s="280">
        <v>58</v>
      </c>
      <c r="T112" s="280">
        <v>85.3</v>
      </c>
      <c r="U112" s="280">
        <v>359.4</v>
      </c>
      <c r="V112" s="280">
        <v>4.7</v>
      </c>
      <c r="W112" s="280">
        <v>60.4</v>
      </c>
      <c r="X112" s="280">
        <v>57.5</v>
      </c>
      <c r="Y112" s="280">
        <v>206.8</v>
      </c>
      <c r="Z112" s="280">
        <v>29573</v>
      </c>
      <c r="AA112" s="280">
        <v>137.80000000000001</v>
      </c>
      <c r="AB112" s="280">
        <v>158.69999999999999</v>
      </c>
      <c r="AC112" s="280">
        <v>140.1</v>
      </c>
    </row>
    <row r="113" spans="1:29" x14ac:dyDescent="0.2">
      <c r="A113" s="205">
        <v>43831</v>
      </c>
      <c r="B113" s="418">
        <v>44000407</v>
      </c>
      <c r="C113" s="423">
        <v>99207</v>
      </c>
      <c r="D113" s="279"/>
      <c r="E113" s="279"/>
      <c r="F113" s="279">
        <v>13462.040592000001</v>
      </c>
      <c r="G113" s="279">
        <v>587163.51322199998</v>
      </c>
      <c r="H113" s="418">
        <f t="shared" si="1"/>
        <v>43498988.446185999</v>
      </c>
      <c r="I113" s="159"/>
      <c r="J113" s="280">
        <v>566.4</v>
      </c>
      <c r="K113" s="280">
        <v>0</v>
      </c>
      <c r="L113" s="280">
        <v>3128290.8658073363</v>
      </c>
      <c r="M113" s="273"/>
      <c r="N113" s="273">
        <v>31</v>
      </c>
      <c r="O113" s="280">
        <v>0</v>
      </c>
      <c r="P113" s="280"/>
      <c r="Q113" s="280"/>
      <c r="R113" s="280"/>
      <c r="S113" s="280"/>
      <c r="T113" s="280"/>
      <c r="U113" s="280"/>
      <c r="V113" s="280"/>
      <c r="W113" s="280"/>
      <c r="X113" s="280"/>
      <c r="Y113" s="280"/>
      <c r="Z113" s="280">
        <v>29597</v>
      </c>
      <c r="AA113" s="280"/>
      <c r="AB113" s="280">
        <v>158.1</v>
      </c>
      <c r="AC113" s="280"/>
    </row>
    <row r="114" spans="1:29" x14ac:dyDescent="0.2">
      <c r="A114" s="205">
        <v>43862</v>
      </c>
      <c r="B114" s="418">
        <v>41219886</v>
      </c>
      <c r="C114" s="423">
        <v>110566</v>
      </c>
      <c r="D114" s="279"/>
      <c r="E114" s="279"/>
      <c r="F114" s="279">
        <v>12563.014464000002</v>
      </c>
      <c r="G114" s="279">
        <v>550664.55358199996</v>
      </c>
      <c r="H114" s="418">
        <f t="shared" si="1"/>
        <v>40767224.431953996</v>
      </c>
      <c r="I114" s="159"/>
      <c r="J114" s="280">
        <v>586.90000000000009</v>
      </c>
      <c r="K114" s="280">
        <v>0</v>
      </c>
      <c r="L114" s="280">
        <v>3126388.7438651375</v>
      </c>
      <c r="M114" s="273"/>
      <c r="N114" s="273">
        <v>28</v>
      </c>
      <c r="O114" s="280">
        <v>0</v>
      </c>
      <c r="P114" s="280"/>
      <c r="Q114" s="280"/>
      <c r="R114" s="280"/>
      <c r="S114" s="280"/>
      <c r="T114" s="280"/>
      <c r="U114" s="280"/>
      <c r="V114" s="280"/>
      <c r="W114" s="280"/>
      <c r="X114" s="280"/>
      <c r="Y114" s="280"/>
      <c r="Z114" s="280">
        <v>29634</v>
      </c>
      <c r="AA114" s="280"/>
      <c r="AB114" s="280">
        <v>155.30000000000001</v>
      </c>
      <c r="AC114" s="280"/>
    </row>
    <row r="115" spans="1:29" x14ac:dyDescent="0.2">
      <c r="A115" s="205">
        <v>43891</v>
      </c>
      <c r="B115" s="418">
        <v>39943443</v>
      </c>
      <c r="C115" s="423">
        <v>151929</v>
      </c>
      <c r="D115" s="279"/>
      <c r="E115" s="279"/>
      <c r="F115" s="279">
        <v>13584.635064</v>
      </c>
      <c r="G115" s="279">
        <v>629142.21641699993</v>
      </c>
      <c r="H115" s="418">
        <f t="shared" si="1"/>
        <v>39452645.148519002</v>
      </c>
      <c r="I115" s="159"/>
      <c r="J115" s="280">
        <v>433.8</v>
      </c>
      <c r="K115" s="280">
        <v>0</v>
      </c>
      <c r="L115" s="280">
        <v>3124486.6219229386</v>
      </c>
      <c r="M115" s="273"/>
      <c r="N115" s="273">
        <v>31</v>
      </c>
      <c r="O115" s="280">
        <v>1</v>
      </c>
      <c r="P115" s="280"/>
      <c r="Q115" s="280"/>
      <c r="R115" s="280"/>
      <c r="S115" s="280"/>
      <c r="T115" s="280"/>
      <c r="U115" s="280"/>
      <c r="V115" s="280"/>
      <c r="W115" s="280"/>
      <c r="X115" s="280"/>
      <c r="Y115" s="280"/>
      <c r="Z115" s="280">
        <v>29659</v>
      </c>
      <c r="AA115" s="280"/>
      <c r="AB115" s="280">
        <v>136.69999999999999</v>
      </c>
      <c r="AC115" s="280"/>
    </row>
    <row r="116" spans="1:29" x14ac:dyDescent="0.2">
      <c r="A116" s="205">
        <v>43922</v>
      </c>
      <c r="B116" s="418">
        <v>34785312</v>
      </c>
      <c r="C116" s="423">
        <v>286156</v>
      </c>
      <c r="D116" s="279"/>
      <c r="E116" s="279"/>
      <c r="F116" s="279">
        <v>12878.257392000001</v>
      </c>
      <c r="G116" s="279">
        <v>569627.60411700001</v>
      </c>
      <c r="H116" s="418">
        <f t="shared" si="1"/>
        <v>34488962.138490997</v>
      </c>
      <c r="I116" s="159"/>
      <c r="J116" s="280">
        <v>372.9</v>
      </c>
      <c r="K116" s="280">
        <v>0</v>
      </c>
      <c r="L116" s="280">
        <v>3122584.4999807398</v>
      </c>
      <c r="M116" s="273"/>
      <c r="N116" s="273">
        <v>30</v>
      </c>
      <c r="O116" s="280">
        <v>1</v>
      </c>
      <c r="P116" s="280"/>
      <c r="Q116" s="280"/>
      <c r="R116" s="280"/>
      <c r="S116" s="280"/>
      <c r="T116" s="280"/>
      <c r="U116" s="280"/>
      <c r="V116" s="280"/>
      <c r="W116" s="280"/>
      <c r="X116" s="280"/>
      <c r="Y116" s="280"/>
      <c r="Z116" s="280">
        <v>29701</v>
      </c>
      <c r="AA116" s="280"/>
      <c r="AB116" s="280">
        <v>125.6</v>
      </c>
      <c r="AC116" s="280"/>
    </row>
    <row r="117" spans="1:29" x14ac:dyDescent="0.2">
      <c r="A117" s="205">
        <v>43952</v>
      </c>
      <c r="B117" s="418">
        <v>35305256</v>
      </c>
      <c r="C117" s="423">
        <v>365992</v>
      </c>
      <c r="D117" s="279"/>
      <c r="E117" s="279"/>
      <c r="F117" s="279">
        <v>13275.229968</v>
      </c>
      <c r="G117" s="279">
        <v>647363.54954699997</v>
      </c>
      <c r="H117" s="418">
        <f t="shared" si="1"/>
        <v>35010609.220485002</v>
      </c>
      <c r="I117" s="159"/>
      <c r="J117" s="280">
        <v>207.90000000000003</v>
      </c>
      <c r="K117" s="280">
        <v>22.8</v>
      </c>
      <c r="L117" s="280">
        <v>3120682.3780385409</v>
      </c>
      <c r="M117" s="273"/>
      <c r="N117" s="273">
        <v>31</v>
      </c>
      <c r="O117" s="280">
        <v>1</v>
      </c>
      <c r="P117" s="280"/>
      <c r="Q117" s="280"/>
      <c r="R117" s="280"/>
      <c r="S117" s="280"/>
      <c r="T117" s="280"/>
      <c r="U117" s="280"/>
      <c r="V117" s="280"/>
      <c r="W117" s="280"/>
      <c r="X117" s="280"/>
      <c r="Y117" s="280"/>
      <c r="Z117" s="280">
        <v>29709</v>
      </c>
      <c r="AA117" s="280"/>
      <c r="AB117" s="280">
        <v>133.4</v>
      </c>
      <c r="AC117" s="280"/>
    </row>
    <row r="118" spans="1:29" x14ac:dyDescent="0.2">
      <c r="A118" s="205">
        <v>43983</v>
      </c>
      <c r="B118" s="418">
        <v>39004716</v>
      </c>
      <c r="C118" s="423">
        <v>439107</v>
      </c>
      <c r="D118" s="279"/>
      <c r="E118" s="279"/>
      <c r="F118" s="279">
        <v>12965.824872000001</v>
      </c>
      <c r="G118" s="279">
        <v>392558.23678500002</v>
      </c>
      <c r="H118" s="418">
        <f t="shared" si="1"/>
        <v>39038298.938343003</v>
      </c>
      <c r="I118" s="159"/>
      <c r="J118" s="280">
        <v>27.5</v>
      </c>
      <c r="K118" s="280">
        <v>73.699999999999989</v>
      </c>
      <c r="L118" s="280">
        <v>3118780.2560963421</v>
      </c>
      <c r="M118" s="273"/>
      <c r="N118" s="273">
        <v>30</v>
      </c>
      <c r="O118" s="280">
        <v>0</v>
      </c>
      <c r="P118" s="280"/>
      <c r="Q118" s="280"/>
      <c r="R118" s="280"/>
      <c r="S118" s="280"/>
      <c r="T118" s="280"/>
      <c r="U118" s="280"/>
      <c r="V118" s="280"/>
      <c r="W118" s="280"/>
      <c r="X118" s="280"/>
      <c r="Y118" s="280"/>
      <c r="Z118" s="280">
        <v>29739</v>
      </c>
      <c r="AA118" s="280"/>
      <c r="AB118" s="280">
        <v>146.30000000000001</v>
      </c>
      <c r="AC118" s="280"/>
    </row>
    <row r="119" spans="1:29" x14ac:dyDescent="0.2">
      <c r="A119" s="205">
        <v>44013</v>
      </c>
      <c r="B119" s="418">
        <v>51209111</v>
      </c>
      <c r="C119" s="423">
        <v>574326</v>
      </c>
      <c r="D119" s="279"/>
      <c r="E119" s="279"/>
      <c r="F119" s="279">
        <v>12930.79788</v>
      </c>
      <c r="G119" s="279">
        <v>62946.006551999999</v>
      </c>
      <c r="H119" s="418">
        <f t="shared" si="1"/>
        <v>51707560.195568003</v>
      </c>
      <c r="I119" s="159"/>
      <c r="J119" s="280">
        <v>0</v>
      </c>
      <c r="K119" s="280">
        <v>168.5</v>
      </c>
      <c r="L119" s="280">
        <v>3116878.1341541433</v>
      </c>
      <c r="M119" s="273"/>
      <c r="N119" s="273">
        <v>31</v>
      </c>
      <c r="O119" s="280">
        <v>0</v>
      </c>
      <c r="P119" s="280"/>
      <c r="Q119" s="280"/>
      <c r="R119" s="280"/>
      <c r="S119" s="280"/>
      <c r="T119" s="280"/>
      <c r="U119" s="280"/>
      <c r="V119" s="280"/>
      <c r="W119" s="280"/>
      <c r="X119" s="280"/>
      <c r="Y119" s="280"/>
      <c r="Z119" s="280">
        <v>29749</v>
      </c>
      <c r="AA119" s="280"/>
      <c r="AB119" s="280">
        <v>149.6</v>
      </c>
      <c r="AC119" s="280"/>
    </row>
    <row r="120" spans="1:29" x14ac:dyDescent="0.2">
      <c r="A120" s="205">
        <v>44044</v>
      </c>
      <c r="B120" s="418">
        <v>45776807</v>
      </c>
      <c r="C120" s="423">
        <v>522569</v>
      </c>
      <c r="D120" s="279"/>
      <c r="E120" s="279"/>
      <c r="F120" s="279">
        <v>12965.824872000001</v>
      </c>
      <c r="G120" s="279">
        <v>31484.261951999997</v>
      </c>
      <c r="H120" s="418">
        <f t="shared" si="1"/>
        <v>46254925.913176</v>
      </c>
      <c r="I120" s="159"/>
      <c r="J120" s="280">
        <v>1.5999999999999999</v>
      </c>
      <c r="K120" s="280">
        <v>95.6</v>
      </c>
      <c r="L120" s="280">
        <v>3114976.0122119444</v>
      </c>
      <c r="M120" s="273"/>
      <c r="N120" s="273">
        <v>31</v>
      </c>
      <c r="O120" s="280">
        <v>0</v>
      </c>
      <c r="P120" s="280"/>
      <c r="Q120" s="280"/>
      <c r="R120" s="280"/>
      <c r="S120" s="280"/>
      <c r="T120" s="280"/>
      <c r="U120" s="280"/>
      <c r="V120" s="280"/>
      <c r="W120" s="280"/>
      <c r="X120" s="280"/>
      <c r="Y120" s="280"/>
      <c r="Z120" s="280">
        <v>29752</v>
      </c>
      <c r="AA120" s="280"/>
      <c r="AB120" s="280">
        <v>149.30000000000001</v>
      </c>
      <c r="AC120" s="280"/>
    </row>
    <row r="121" spans="1:29" x14ac:dyDescent="0.2">
      <c r="A121" s="205">
        <v>44075</v>
      </c>
      <c r="B121" s="418">
        <v>36368524</v>
      </c>
      <c r="C121" s="423">
        <v>471729</v>
      </c>
      <c r="D121" s="279"/>
      <c r="E121" s="279"/>
      <c r="F121" s="279">
        <v>12422.906496</v>
      </c>
      <c r="G121" s="279">
        <v>119654.393859</v>
      </c>
      <c r="H121" s="418">
        <f t="shared" si="1"/>
        <v>36708175.699644998</v>
      </c>
      <c r="I121" s="159"/>
      <c r="J121" s="280">
        <v>74.999999999999986</v>
      </c>
      <c r="K121" s="280">
        <v>23.399999999999995</v>
      </c>
      <c r="L121" s="280">
        <v>3113073.8902697456</v>
      </c>
      <c r="M121" s="273"/>
      <c r="N121" s="273">
        <v>30</v>
      </c>
      <c r="O121" s="280">
        <v>1</v>
      </c>
      <c r="P121" s="280"/>
      <c r="Q121" s="280"/>
      <c r="R121" s="280"/>
      <c r="S121" s="280"/>
      <c r="T121" s="280"/>
      <c r="U121" s="280"/>
      <c r="V121" s="280"/>
      <c r="W121" s="280"/>
      <c r="X121" s="280"/>
      <c r="Y121" s="280"/>
      <c r="Z121" s="280">
        <v>29726</v>
      </c>
      <c r="AA121" s="280"/>
      <c r="AB121" s="280">
        <v>147.80000000000001</v>
      </c>
      <c r="AC121" s="280"/>
    </row>
    <row r="122" spans="1:29" x14ac:dyDescent="0.2">
      <c r="A122" s="205">
        <v>44105</v>
      </c>
      <c r="B122" s="418">
        <v>35464048</v>
      </c>
      <c r="C122" s="423">
        <v>391430</v>
      </c>
      <c r="D122" s="279"/>
      <c r="E122" s="279"/>
      <c r="F122" s="279">
        <v>13105.932839999999</v>
      </c>
      <c r="G122" s="279">
        <v>44318.839851000004</v>
      </c>
      <c r="H122" s="418">
        <f>B122+SUM(C122:E122)-SUM(F122:G122)</f>
        <v>35798053.227309003</v>
      </c>
      <c r="I122" s="159"/>
      <c r="J122" s="280">
        <v>252.50000000000006</v>
      </c>
      <c r="K122" s="280">
        <v>0</v>
      </c>
      <c r="L122" s="280">
        <v>3111171.7683275468</v>
      </c>
      <c r="M122" s="273"/>
      <c r="N122" s="273">
        <v>31</v>
      </c>
      <c r="O122" s="280">
        <v>1</v>
      </c>
      <c r="P122" s="280"/>
      <c r="Q122" s="280"/>
      <c r="R122" s="280"/>
      <c r="S122" s="280"/>
      <c r="T122" s="280"/>
      <c r="U122" s="280"/>
      <c r="V122" s="280"/>
      <c r="W122" s="280"/>
      <c r="X122" s="280"/>
      <c r="Y122" s="280"/>
      <c r="Z122" s="280">
        <v>29745</v>
      </c>
      <c r="AA122" s="280"/>
      <c r="AB122" s="280">
        <v>150.5</v>
      </c>
      <c r="AC122" s="280"/>
    </row>
    <row r="123" spans="1:29" x14ac:dyDescent="0.2">
      <c r="A123" s="205">
        <v>44136</v>
      </c>
      <c r="B123" s="418">
        <v>36859381</v>
      </c>
      <c r="C123" s="423">
        <v>244169</v>
      </c>
      <c r="D123" s="279"/>
      <c r="E123" s="279"/>
      <c r="F123" s="279">
        <v>12586.365792000001</v>
      </c>
      <c r="G123" s="279">
        <v>192618.22437000001</v>
      </c>
      <c r="H123" s="418">
        <f>B123+SUM(C123:E123)-SUM(F123:G123)</f>
        <v>36898345.409837998</v>
      </c>
      <c r="I123" s="159"/>
      <c r="J123" s="280">
        <v>329.20000000000005</v>
      </c>
      <c r="K123" s="280">
        <v>0</v>
      </c>
      <c r="L123" s="280">
        <v>3109269.6463853479</v>
      </c>
      <c r="M123" s="273"/>
      <c r="N123" s="273">
        <v>30</v>
      </c>
      <c r="O123" s="280">
        <v>1</v>
      </c>
      <c r="P123" s="280"/>
      <c r="Q123" s="280"/>
      <c r="R123" s="280"/>
      <c r="S123" s="280"/>
      <c r="T123" s="280"/>
      <c r="U123" s="280"/>
      <c r="V123" s="280"/>
      <c r="W123" s="280"/>
      <c r="X123" s="280"/>
      <c r="Y123" s="280"/>
      <c r="Z123" s="280">
        <v>29783</v>
      </c>
      <c r="AA123" s="280"/>
      <c r="AB123" s="280">
        <v>150</v>
      </c>
      <c r="AC123" s="280"/>
    </row>
    <row r="124" spans="1:29" x14ac:dyDescent="0.2">
      <c r="A124" s="205">
        <v>44166</v>
      </c>
      <c r="B124" s="418">
        <v>42748295</v>
      </c>
      <c r="C124" s="423">
        <v>188968</v>
      </c>
      <c r="D124" s="279"/>
      <c r="E124" s="279"/>
      <c r="F124" s="279">
        <v>13053.392352000001</v>
      </c>
      <c r="G124" s="279">
        <v>53963.772291000001</v>
      </c>
      <c r="H124" s="418">
        <f>B124+SUM(C124:E124)-SUM(F124:G124)</f>
        <v>42870245.835357003</v>
      </c>
      <c r="I124" s="159"/>
      <c r="J124" s="280">
        <v>540.4</v>
      </c>
      <c r="K124" s="280">
        <v>0</v>
      </c>
      <c r="L124" s="280">
        <v>3107367.5244431491</v>
      </c>
      <c r="M124" s="273"/>
      <c r="N124" s="273">
        <v>31</v>
      </c>
      <c r="O124" s="280">
        <v>0</v>
      </c>
      <c r="P124" s="280"/>
      <c r="Q124" s="280"/>
      <c r="R124" s="280"/>
      <c r="S124" s="280"/>
      <c r="T124" s="280"/>
      <c r="U124" s="280"/>
      <c r="V124" s="280"/>
      <c r="W124" s="280"/>
      <c r="X124" s="280"/>
      <c r="Y124" s="280"/>
      <c r="Z124" s="280">
        <v>29827</v>
      </c>
      <c r="AA124" s="280"/>
      <c r="AB124" s="280">
        <v>153.19999999999999</v>
      </c>
      <c r="AC124" s="280"/>
    </row>
    <row r="125" spans="1:29" x14ac:dyDescent="0.2">
      <c r="A125" s="205"/>
      <c r="B125" s="418"/>
      <c r="C125" s="423"/>
      <c r="D125" s="279"/>
      <c r="E125" s="279"/>
      <c r="F125" s="279"/>
      <c r="G125" s="279"/>
      <c r="H125" s="418"/>
      <c r="I125" s="159"/>
      <c r="J125" s="280"/>
      <c r="K125" s="280"/>
      <c r="L125" s="280"/>
      <c r="M125" s="273"/>
      <c r="N125" s="273"/>
      <c r="O125" s="280"/>
      <c r="P125" s="280"/>
      <c r="Q125" s="280"/>
      <c r="R125" s="280"/>
      <c r="S125" s="280"/>
      <c r="T125" s="280"/>
      <c r="U125" s="280"/>
      <c r="V125" s="280"/>
      <c r="W125" s="280"/>
      <c r="X125" s="280"/>
      <c r="Y125" s="280"/>
      <c r="Z125" s="280"/>
      <c r="AA125" s="280"/>
      <c r="AB125" s="280"/>
      <c r="AC125" s="280"/>
    </row>
    <row r="126" spans="1:29" x14ac:dyDescent="0.2">
      <c r="A126" s="205"/>
      <c r="B126" s="418"/>
      <c r="C126" s="423"/>
      <c r="D126" s="279"/>
      <c r="E126" s="279"/>
      <c r="F126" s="279"/>
      <c r="G126" s="279"/>
      <c r="H126" s="418"/>
      <c r="I126" s="159"/>
      <c r="J126" s="280"/>
      <c r="K126" s="280"/>
      <c r="L126" s="280"/>
      <c r="M126" s="273"/>
      <c r="N126" s="273"/>
      <c r="O126" s="280"/>
      <c r="P126" s="280"/>
      <c r="Q126" s="280"/>
      <c r="R126" s="280"/>
      <c r="S126" s="280"/>
      <c r="T126" s="280"/>
      <c r="U126" s="280"/>
      <c r="V126" s="280"/>
      <c r="W126" s="280"/>
      <c r="X126" s="280"/>
      <c r="Y126" s="280"/>
      <c r="Z126" s="280"/>
      <c r="AA126" s="280"/>
      <c r="AB126" s="280"/>
      <c r="AC126" s="280"/>
    </row>
    <row r="127" spans="1:29" x14ac:dyDescent="0.2">
      <c r="A127" s="205"/>
      <c r="B127" s="418"/>
      <c r="C127" s="423"/>
      <c r="D127" s="279"/>
      <c r="E127" s="279"/>
      <c r="F127" s="279"/>
      <c r="G127" s="279"/>
      <c r="H127" s="418"/>
      <c r="I127" s="159"/>
      <c r="J127" s="280"/>
      <c r="K127" s="280"/>
      <c r="L127" s="280"/>
      <c r="M127" s="273"/>
      <c r="N127" s="273"/>
      <c r="O127" s="280"/>
      <c r="P127" s="280"/>
      <c r="Q127" s="280"/>
      <c r="R127" s="280"/>
      <c r="S127" s="280"/>
      <c r="T127" s="280"/>
      <c r="U127" s="280"/>
      <c r="V127" s="280"/>
      <c r="W127" s="280"/>
      <c r="X127" s="280"/>
      <c r="Y127" s="280"/>
      <c r="Z127" s="280"/>
      <c r="AA127" s="280"/>
      <c r="AB127" s="280"/>
      <c r="AC127" s="280"/>
    </row>
    <row r="128" spans="1:29" x14ac:dyDescent="0.2">
      <c r="A128" s="205"/>
      <c r="B128" s="418"/>
      <c r="C128" s="423"/>
      <c r="D128" s="279"/>
      <c r="E128" s="279"/>
      <c r="F128" s="279"/>
      <c r="G128" s="279"/>
      <c r="H128" s="418"/>
      <c r="I128" s="159"/>
      <c r="J128" s="280"/>
      <c r="K128" s="280"/>
      <c r="L128" s="280"/>
      <c r="M128" s="273"/>
      <c r="N128" s="273"/>
      <c r="O128" s="280"/>
      <c r="P128" s="280"/>
      <c r="Q128" s="280"/>
      <c r="R128" s="280"/>
      <c r="S128" s="280"/>
      <c r="T128" s="280"/>
      <c r="U128" s="280"/>
      <c r="V128" s="280"/>
      <c r="W128" s="280"/>
      <c r="X128" s="280"/>
      <c r="Y128" s="280"/>
      <c r="Z128" s="280"/>
      <c r="AA128" s="280"/>
      <c r="AB128" s="280"/>
      <c r="AC128" s="280"/>
    </row>
    <row r="129" spans="1:29" x14ac:dyDescent="0.2">
      <c r="A129" s="205"/>
      <c r="B129" s="418"/>
      <c r="C129" s="423"/>
      <c r="D129" s="279"/>
      <c r="E129" s="279"/>
      <c r="F129" s="279"/>
      <c r="G129" s="279"/>
      <c r="H129" s="418"/>
      <c r="I129" s="159"/>
      <c r="J129" s="280"/>
      <c r="K129" s="280"/>
      <c r="L129" s="280"/>
      <c r="M129" s="273"/>
      <c r="N129" s="273"/>
      <c r="O129" s="280"/>
      <c r="P129" s="280"/>
      <c r="Q129" s="280"/>
      <c r="R129" s="280"/>
      <c r="S129" s="280"/>
      <c r="T129" s="280"/>
      <c r="U129" s="280"/>
      <c r="V129" s="280"/>
      <c r="W129" s="280"/>
      <c r="X129" s="280"/>
      <c r="Y129" s="280"/>
      <c r="Z129" s="280"/>
      <c r="AA129" s="280"/>
      <c r="AB129" s="280"/>
      <c r="AC129" s="280"/>
    </row>
    <row r="130" spans="1:29" x14ac:dyDescent="0.2">
      <c r="A130" s="205"/>
      <c r="B130" s="418"/>
      <c r="C130" s="423"/>
      <c r="D130" s="279"/>
      <c r="E130" s="279"/>
      <c r="F130" s="279"/>
      <c r="G130" s="279"/>
      <c r="H130" s="418"/>
      <c r="I130" s="159"/>
      <c r="J130" s="280"/>
      <c r="K130" s="280"/>
      <c r="L130" s="280"/>
      <c r="M130" s="273"/>
      <c r="N130" s="273"/>
      <c r="O130" s="280"/>
      <c r="P130" s="280"/>
      <c r="Q130" s="280"/>
      <c r="R130" s="280"/>
      <c r="S130" s="280"/>
      <c r="T130" s="280"/>
      <c r="U130" s="280"/>
      <c r="V130" s="280"/>
      <c r="W130" s="280"/>
      <c r="X130" s="280"/>
      <c r="Y130" s="280"/>
      <c r="Z130" s="280"/>
      <c r="AA130" s="280"/>
      <c r="AB130" s="280"/>
      <c r="AC130" s="280"/>
    </row>
    <row r="131" spans="1:29" x14ac:dyDescent="0.2">
      <c r="A131" s="205"/>
      <c r="B131" s="418"/>
      <c r="C131" s="423"/>
      <c r="D131" s="279"/>
      <c r="E131" s="279"/>
      <c r="F131" s="279"/>
      <c r="G131" s="279"/>
      <c r="H131" s="418"/>
      <c r="I131" s="159"/>
      <c r="J131" s="280"/>
      <c r="K131" s="280"/>
      <c r="L131" s="280"/>
      <c r="M131" s="273"/>
      <c r="N131" s="273"/>
      <c r="O131" s="280"/>
      <c r="P131" s="280"/>
      <c r="Q131" s="280"/>
      <c r="R131" s="280"/>
      <c r="S131" s="280"/>
      <c r="T131" s="280"/>
      <c r="U131" s="280"/>
      <c r="V131" s="280"/>
      <c r="W131" s="280"/>
      <c r="X131" s="280"/>
      <c r="Y131" s="280"/>
      <c r="Z131" s="280"/>
      <c r="AA131" s="280"/>
      <c r="AB131" s="280"/>
      <c r="AC131" s="280"/>
    </row>
    <row r="132" spans="1:29" x14ac:dyDescent="0.2">
      <c r="A132" s="205"/>
      <c r="B132" s="418"/>
      <c r="C132" s="423"/>
      <c r="D132" s="279"/>
      <c r="E132" s="279"/>
      <c r="F132" s="279"/>
      <c r="G132" s="279"/>
      <c r="H132" s="418"/>
      <c r="I132" s="159"/>
      <c r="J132" s="280"/>
      <c r="K132" s="280"/>
      <c r="L132" s="280"/>
      <c r="M132" s="273"/>
      <c r="N132" s="273"/>
      <c r="O132" s="280"/>
      <c r="P132" s="280"/>
      <c r="Q132" s="280"/>
      <c r="R132" s="280"/>
      <c r="S132" s="280"/>
      <c r="T132" s="280"/>
      <c r="U132" s="280"/>
      <c r="V132" s="280"/>
      <c r="W132" s="280"/>
      <c r="X132" s="280"/>
      <c r="Y132" s="280"/>
      <c r="Z132" s="280"/>
      <c r="AA132" s="280"/>
      <c r="AB132" s="280"/>
      <c r="AC132" s="280"/>
    </row>
    <row r="133" spans="1:29" x14ac:dyDescent="0.2">
      <c r="A133" s="205"/>
      <c r="B133" s="418"/>
      <c r="C133" s="423"/>
      <c r="D133" s="279"/>
      <c r="E133" s="279"/>
      <c r="F133" s="279"/>
      <c r="G133" s="279"/>
      <c r="H133" s="418"/>
      <c r="I133" s="159"/>
      <c r="J133" s="280"/>
      <c r="K133" s="280"/>
      <c r="L133" s="280"/>
      <c r="M133" s="273"/>
      <c r="N133" s="273"/>
      <c r="O133" s="280"/>
      <c r="P133" s="280"/>
      <c r="Q133" s="280"/>
      <c r="R133" s="280"/>
      <c r="S133" s="280"/>
      <c r="T133" s="280"/>
      <c r="U133" s="280"/>
      <c r="V133" s="280"/>
      <c r="W133" s="280"/>
      <c r="X133" s="280"/>
      <c r="Y133" s="280"/>
      <c r="Z133" s="280"/>
      <c r="AA133" s="280"/>
      <c r="AB133" s="280"/>
      <c r="AC133" s="280"/>
    </row>
    <row r="134" spans="1:29" x14ac:dyDescent="0.2">
      <c r="A134" s="205"/>
      <c r="B134" s="418"/>
      <c r="C134" s="423"/>
      <c r="D134" s="279"/>
      <c r="E134" s="279"/>
      <c r="F134" s="279"/>
      <c r="G134" s="279"/>
      <c r="H134" s="418"/>
      <c r="I134" s="159"/>
      <c r="J134" s="280"/>
      <c r="K134" s="280"/>
      <c r="L134" s="280"/>
      <c r="M134" s="273"/>
      <c r="N134" s="273"/>
      <c r="O134" s="280"/>
      <c r="P134" s="280"/>
      <c r="Q134" s="280"/>
      <c r="R134" s="280"/>
      <c r="S134" s="280"/>
      <c r="T134" s="280"/>
      <c r="U134" s="280"/>
      <c r="V134" s="280"/>
      <c r="W134" s="280"/>
      <c r="X134" s="280"/>
      <c r="Y134" s="280"/>
      <c r="Z134" s="280"/>
      <c r="AA134" s="280"/>
      <c r="AB134" s="280"/>
      <c r="AC134" s="280"/>
    </row>
    <row r="135" spans="1:29" x14ac:dyDescent="0.2">
      <c r="A135" s="205"/>
      <c r="B135" s="418"/>
      <c r="C135" s="423"/>
      <c r="D135" s="279"/>
      <c r="E135" s="279"/>
      <c r="F135" s="279"/>
      <c r="G135" s="279"/>
      <c r="H135" s="418"/>
      <c r="I135" s="159"/>
      <c r="J135" s="280"/>
      <c r="K135" s="280"/>
      <c r="L135" s="280"/>
      <c r="M135" s="273"/>
      <c r="N135" s="273"/>
      <c r="O135" s="280"/>
      <c r="P135" s="280"/>
      <c r="Q135" s="280"/>
      <c r="R135" s="280"/>
      <c r="S135" s="280"/>
      <c r="T135" s="280"/>
      <c r="U135" s="280"/>
      <c r="V135" s="280"/>
      <c r="W135" s="280"/>
      <c r="X135" s="280"/>
      <c r="Y135" s="280"/>
      <c r="Z135" s="280"/>
      <c r="AA135" s="280"/>
      <c r="AB135" s="280"/>
      <c r="AC135" s="280"/>
    </row>
    <row r="136" spans="1:29" x14ac:dyDescent="0.2">
      <c r="A136" s="205"/>
      <c r="B136" s="418"/>
      <c r="C136" s="423"/>
      <c r="D136" s="279"/>
      <c r="E136" s="279"/>
      <c r="F136" s="279"/>
      <c r="G136" s="279"/>
      <c r="H136" s="418"/>
      <c r="I136" s="159"/>
      <c r="J136" s="280"/>
      <c r="K136" s="280"/>
      <c r="L136" s="280"/>
      <c r="M136" s="273"/>
      <c r="N136" s="273"/>
      <c r="O136" s="280"/>
      <c r="P136" s="280"/>
      <c r="Q136" s="280"/>
      <c r="R136" s="280"/>
      <c r="S136" s="280"/>
      <c r="T136" s="280"/>
      <c r="U136" s="280"/>
      <c r="V136" s="280"/>
      <c r="W136" s="280"/>
      <c r="X136" s="280"/>
      <c r="Y136" s="280"/>
      <c r="Z136" s="280"/>
      <c r="AA136" s="280"/>
      <c r="AB136" s="280"/>
      <c r="AC136" s="280"/>
    </row>
    <row r="137" spans="1:29" x14ac:dyDescent="0.2">
      <c r="J137" s="145" t="s">
        <v>57</v>
      </c>
      <c r="L137" s="145" t="s">
        <v>57</v>
      </c>
    </row>
    <row r="139" spans="1:29" x14ac:dyDescent="0.2">
      <c r="A139" s="281" t="s">
        <v>118</v>
      </c>
      <c r="B139" s="419"/>
      <c r="C139" s="424"/>
      <c r="D139" s="283"/>
      <c r="E139" s="283"/>
      <c r="F139" s="283"/>
      <c r="G139" s="283"/>
      <c r="H139" s="419"/>
      <c r="I139" s="284"/>
      <c r="J139" s="282"/>
      <c r="K139" s="282"/>
      <c r="L139" s="282"/>
      <c r="M139" s="282"/>
      <c r="N139" s="282"/>
      <c r="O139" s="282"/>
      <c r="P139" s="282"/>
      <c r="Q139" s="282"/>
      <c r="R139" s="282"/>
      <c r="S139" s="282"/>
      <c r="T139" s="282"/>
      <c r="U139" s="282"/>
      <c r="V139" s="282"/>
      <c r="W139" s="282"/>
      <c r="X139" s="282"/>
      <c r="Y139" s="282"/>
      <c r="Z139" s="282"/>
      <c r="AA139" s="282"/>
      <c r="AB139" s="282"/>
      <c r="AC139" s="282"/>
    </row>
    <row r="140" spans="1:29" x14ac:dyDescent="0.2">
      <c r="A140" s="285" t="s">
        <v>119</v>
      </c>
      <c r="B140" s="419"/>
      <c r="C140" s="424"/>
      <c r="D140" s="283"/>
      <c r="E140" s="283"/>
      <c r="F140" s="283"/>
      <c r="G140" s="283"/>
      <c r="H140" s="419"/>
      <c r="I140" s="284"/>
      <c r="J140" s="282"/>
      <c r="K140" s="282"/>
      <c r="L140" s="282"/>
      <c r="M140" s="282"/>
      <c r="N140" s="282"/>
      <c r="O140" s="282"/>
      <c r="P140" s="282"/>
      <c r="Q140" s="282"/>
      <c r="R140" s="282"/>
      <c r="S140" s="282"/>
      <c r="T140" s="282"/>
      <c r="U140" s="282"/>
      <c r="V140" s="282"/>
      <c r="W140" s="282"/>
      <c r="X140" s="282"/>
      <c r="Y140" s="282"/>
      <c r="Z140" s="282"/>
      <c r="AA140" s="282"/>
      <c r="AB140" s="282"/>
      <c r="AC140" s="282"/>
    </row>
    <row r="141" spans="1:29" x14ac:dyDescent="0.2">
      <c r="A141" s="285" t="s">
        <v>120</v>
      </c>
      <c r="B141" s="419"/>
      <c r="C141" s="424"/>
      <c r="D141" s="283"/>
      <c r="E141" s="283"/>
      <c r="F141" s="283"/>
      <c r="G141" s="283"/>
      <c r="H141" s="419"/>
      <c r="I141" s="284"/>
      <c r="J141" s="282"/>
      <c r="K141" s="282"/>
      <c r="L141" s="282"/>
      <c r="M141" s="282"/>
      <c r="N141" s="282"/>
      <c r="O141" s="282"/>
      <c r="P141" s="282"/>
      <c r="Q141" s="282"/>
      <c r="R141" s="282"/>
      <c r="S141" s="282"/>
      <c r="T141" s="282"/>
      <c r="U141" s="282"/>
      <c r="V141" s="282"/>
      <c r="W141" s="282"/>
      <c r="X141" s="282"/>
      <c r="Y141" s="282"/>
      <c r="Z141" s="282"/>
      <c r="AA141" s="282"/>
      <c r="AB141" s="282"/>
      <c r="AC141" s="282"/>
    </row>
    <row r="142" spans="1:29" x14ac:dyDescent="0.2">
      <c r="A142" s="285" t="s">
        <v>126</v>
      </c>
      <c r="B142" s="419"/>
      <c r="C142" s="424"/>
      <c r="D142" s="283"/>
      <c r="E142" s="283"/>
      <c r="F142" s="283"/>
      <c r="G142" s="283"/>
      <c r="H142" s="419"/>
      <c r="I142" s="284"/>
      <c r="J142" s="282"/>
      <c r="K142" s="282"/>
      <c r="L142" s="282"/>
      <c r="M142" s="282"/>
      <c r="N142" s="282"/>
      <c r="O142" s="282"/>
      <c r="P142" s="282"/>
      <c r="Q142" s="282"/>
      <c r="R142" s="282"/>
      <c r="S142" s="282"/>
      <c r="T142" s="282"/>
      <c r="U142" s="282"/>
      <c r="V142" s="282"/>
      <c r="W142" s="282"/>
      <c r="X142" s="282"/>
      <c r="Y142" s="282"/>
      <c r="Z142" s="282"/>
      <c r="AA142" s="282"/>
      <c r="AB142" s="282"/>
      <c r="AC142" s="282"/>
    </row>
    <row r="143" spans="1:29" x14ac:dyDescent="0.2">
      <c r="A143" s="285" t="s">
        <v>127</v>
      </c>
      <c r="B143" s="419"/>
      <c r="C143" s="424"/>
      <c r="D143" s="283"/>
      <c r="E143" s="283"/>
      <c r="F143" s="283"/>
      <c r="G143" s="283"/>
      <c r="H143" s="419"/>
      <c r="I143" s="284"/>
      <c r="J143" s="282"/>
      <c r="K143" s="282"/>
      <c r="L143" s="282"/>
      <c r="M143" s="282"/>
      <c r="N143" s="282"/>
      <c r="O143" s="282"/>
      <c r="P143" s="282"/>
      <c r="Q143" s="282"/>
      <c r="R143" s="282"/>
      <c r="S143" s="282"/>
      <c r="T143" s="282"/>
      <c r="U143" s="282"/>
      <c r="V143" s="282"/>
      <c r="W143" s="282"/>
      <c r="X143" s="282"/>
      <c r="Y143" s="282"/>
      <c r="Z143" s="282"/>
      <c r="AA143" s="282"/>
      <c r="AB143" s="282"/>
      <c r="AC143" s="282"/>
    </row>
    <row r="144" spans="1:29" x14ac:dyDescent="0.2">
      <c r="A144" s="285" t="s">
        <v>128</v>
      </c>
      <c r="B144" s="419"/>
      <c r="C144" s="424"/>
      <c r="D144" s="283"/>
      <c r="E144" s="283"/>
      <c r="F144" s="283"/>
      <c r="G144" s="283"/>
      <c r="H144" s="419"/>
      <c r="I144" s="284"/>
      <c r="J144" s="282"/>
      <c r="K144" s="282"/>
      <c r="L144" s="282"/>
      <c r="M144" s="282"/>
      <c r="N144" s="282"/>
      <c r="O144" s="282"/>
      <c r="P144" s="282"/>
      <c r="Q144" s="282"/>
      <c r="R144" s="282"/>
      <c r="S144" s="282"/>
      <c r="T144" s="282"/>
      <c r="U144" s="282"/>
      <c r="V144" s="282"/>
      <c r="W144" s="282"/>
      <c r="X144" s="282"/>
      <c r="Y144" s="282"/>
      <c r="Z144" s="282"/>
      <c r="AA144" s="282"/>
      <c r="AB144" s="282"/>
      <c r="AC144" s="282"/>
    </row>
    <row r="145" spans="1:29" ht="25.5" x14ac:dyDescent="0.2">
      <c r="A145" s="332" t="s">
        <v>166</v>
      </c>
      <c r="B145" s="419"/>
      <c r="C145" s="424"/>
      <c r="D145" s="283"/>
      <c r="E145" s="283"/>
      <c r="F145" s="283"/>
      <c r="G145" s="283"/>
      <c r="H145" s="419"/>
      <c r="I145" s="284"/>
      <c r="J145" s="282"/>
      <c r="K145" s="282"/>
      <c r="L145" s="282"/>
      <c r="M145" s="282"/>
      <c r="N145" s="282"/>
      <c r="O145" s="282"/>
      <c r="P145" s="282"/>
      <c r="Q145" s="282"/>
      <c r="R145" s="282"/>
      <c r="S145" s="282"/>
      <c r="T145" s="282"/>
      <c r="U145" s="282"/>
      <c r="V145" s="282"/>
      <c r="W145" s="282"/>
      <c r="X145" s="282"/>
      <c r="Y145" s="282"/>
      <c r="Z145" s="282"/>
      <c r="AA145" s="282"/>
      <c r="AB145" s="282"/>
      <c r="AC145" s="282"/>
    </row>
    <row r="146" spans="1:29" x14ac:dyDescent="0.2">
      <c r="A146" s="285"/>
      <c r="B146" s="419"/>
      <c r="C146" s="424"/>
      <c r="D146" s="283"/>
      <c r="E146" s="283"/>
      <c r="F146" s="283"/>
      <c r="G146" s="283"/>
      <c r="H146" s="419"/>
      <c r="I146" s="284"/>
      <c r="J146" s="282"/>
      <c r="K146" s="282"/>
      <c r="L146" s="282"/>
      <c r="M146" s="282"/>
      <c r="N146" s="282"/>
      <c r="O146" s="282"/>
      <c r="P146" s="282"/>
      <c r="Q146" s="282"/>
      <c r="R146" s="282"/>
      <c r="S146" s="282"/>
      <c r="T146" s="282"/>
      <c r="U146" s="282"/>
      <c r="V146" s="282"/>
      <c r="W146" s="282"/>
      <c r="X146" s="282"/>
      <c r="Y146" s="282"/>
      <c r="Z146" s="282"/>
      <c r="AA146" s="282"/>
      <c r="AB146" s="282"/>
      <c r="AC146" s="282"/>
    </row>
    <row r="147" spans="1:29" x14ac:dyDescent="0.2">
      <c r="A147" s="285"/>
      <c r="B147" s="419"/>
      <c r="C147" s="424"/>
      <c r="D147" s="283"/>
      <c r="E147" s="283"/>
      <c r="F147" s="283"/>
      <c r="G147" s="283"/>
      <c r="H147" s="419"/>
      <c r="I147" s="284"/>
      <c r="J147" s="282"/>
      <c r="K147" s="282"/>
      <c r="L147" s="282"/>
      <c r="M147" s="282"/>
      <c r="N147" s="282"/>
      <c r="O147" s="282"/>
      <c r="P147" s="282"/>
      <c r="Q147" s="282"/>
      <c r="R147" s="282"/>
      <c r="S147" s="282"/>
      <c r="T147" s="282"/>
      <c r="U147" s="282"/>
      <c r="V147" s="282"/>
      <c r="W147" s="282"/>
      <c r="X147" s="282"/>
      <c r="Y147" s="282"/>
      <c r="Z147" s="282"/>
      <c r="AA147" s="282"/>
      <c r="AB147" s="282"/>
      <c r="AC147" s="282"/>
    </row>
    <row r="148" spans="1:29" x14ac:dyDescent="0.2">
      <c r="A148" s="249"/>
      <c r="B148" s="420"/>
      <c r="C148" s="425"/>
      <c r="D148" s="250"/>
      <c r="E148" s="250"/>
      <c r="F148" s="250"/>
      <c r="G148" s="250"/>
      <c r="H148" s="420"/>
      <c r="J148" s="235"/>
      <c r="K148" s="235"/>
      <c r="L148" s="235"/>
      <c r="M148" s="235"/>
      <c r="N148" s="235"/>
      <c r="O148" s="235"/>
      <c r="P148" s="235"/>
      <c r="Q148" s="235"/>
      <c r="R148" s="235"/>
      <c r="S148" s="235"/>
      <c r="T148" s="235"/>
      <c r="U148" s="235"/>
      <c r="V148" s="235"/>
      <c r="W148" s="235"/>
      <c r="X148" s="235"/>
      <c r="Y148" s="235"/>
      <c r="Z148" s="235"/>
      <c r="AA148" s="235"/>
      <c r="AB148" s="235"/>
      <c r="AC148" s="235"/>
    </row>
    <row r="149" spans="1:29" x14ac:dyDescent="0.2">
      <c r="A149" s="442">
        <v>40179</v>
      </c>
      <c r="B149" s="443">
        <v>51396622.38000004</v>
      </c>
      <c r="C149" s="444">
        <v>0</v>
      </c>
      <c r="D149" s="445"/>
      <c r="E149" s="445"/>
      <c r="F149" s="445">
        <v>846208.3</v>
      </c>
      <c r="G149" s="445"/>
      <c r="H149" s="443">
        <f>B149+SUM(C149:E149)-SUM(F149:G149)</f>
        <v>50550414.080000043</v>
      </c>
      <c r="I149" s="446"/>
      <c r="J149" s="447">
        <v>711.1</v>
      </c>
      <c r="K149" s="447">
        <v>0</v>
      </c>
      <c r="L149" s="447">
        <v>507393.61344157456</v>
      </c>
      <c r="M149" s="448"/>
      <c r="N149" s="448">
        <v>31</v>
      </c>
      <c r="O149" s="447">
        <v>0</v>
      </c>
      <c r="P149" s="447">
        <v>130.19999999999999</v>
      </c>
      <c r="Q149" s="447">
        <v>5.2</v>
      </c>
      <c r="R149" s="447">
        <v>64.7</v>
      </c>
      <c r="S149" s="447">
        <v>61.4</v>
      </c>
      <c r="T149" s="447">
        <v>80</v>
      </c>
      <c r="U149" s="447">
        <v>334.6</v>
      </c>
      <c r="V149" s="447">
        <v>11.3</v>
      </c>
      <c r="W149" s="447">
        <v>62.8</v>
      </c>
      <c r="X149" s="447">
        <v>55.7</v>
      </c>
      <c r="Y149" s="447">
        <v>186.4</v>
      </c>
      <c r="Z149" s="447">
        <v>28542</v>
      </c>
      <c r="AA149" s="447">
        <v>114.5</v>
      </c>
      <c r="AB149" s="447">
        <v>130.5</v>
      </c>
      <c r="AC149" s="447">
        <v>114.5</v>
      </c>
    </row>
    <row r="150" spans="1:29" x14ac:dyDescent="0.2">
      <c r="A150" s="442">
        <v>40210</v>
      </c>
      <c r="B150" s="443">
        <v>46811438.209999993</v>
      </c>
      <c r="C150" s="444">
        <v>0</v>
      </c>
      <c r="D150" s="445"/>
      <c r="E150" s="445"/>
      <c r="F150" s="445">
        <v>1841513.37</v>
      </c>
      <c r="G150" s="445"/>
      <c r="H150" s="443">
        <f t="shared" ref="H150:H160" si="2">B150+SUM(C150:E150)-SUM(F150:G150)</f>
        <v>44969924.839999996</v>
      </c>
      <c r="I150" s="446"/>
      <c r="J150" s="447">
        <v>632.5</v>
      </c>
      <c r="K150" s="447">
        <v>0</v>
      </c>
      <c r="L150" s="447">
        <v>515690.00693749124</v>
      </c>
      <c r="M150" s="448"/>
      <c r="N150" s="448">
        <v>28</v>
      </c>
      <c r="O150" s="447">
        <v>0</v>
      </c>
      <c r="P150" s="447">
        <v>130.30000000000001</v>
      </c>
      <c r="Q150" s="447">
        <v>5.4</v>
      </c>
      <c r="R150" s="447">
        <v>63</v>
      </c>
      <c r="S150" s="447">
        <v>59.6</v>
      </c>
      <c r="T150" s="447">
        <v>77.7</v>
      </c>
      <c r="U150" s="447">
        <v>334.7</v>
      </c>
      <c r="V150" s="447">
        <v>11.7</v>
      </c>
      <c r="W150" s="447">
        <v>62.5</v>
      </c>
      <c r="X150" s="447">
        <v>55.2</v>
      </c>
      <c r="Y150" s="447">
        <v>184.7</v>
      </c>
      <c r="Z150" s="447">
        <v>28454</v>
      </c>
      <c r="AA150" s="447">
        <v>115.1</v>
      </c>
      <c r="AB150" s="447">
        <v>129.19999999999999</v>
      </c>
      <c r="AC150" s="447">
        <v>115.1</v>
      </c>
    </row>
    <row r="151" spans="1:29" x14ac:dyDescent="0.2">
      <c r="A151" s="442">
        <v>40238</v>
      </c>
      <c r="B151" s="443">
        <v>47224368.439999953</v>
      </c>
      <c r="C151" s="444">
        <v>0</v>
      </c>
      <c r="D151" s="445"/>
      <c r="E151" s="445"/>
      <c r="F151" s="445">
        <v>2304087.0900000003</v>
      </c>
      <c r="G151" s="445"/>
      <c r="H151" s="443">
        <f t="shared" si="2"/>
        <v>44920281.349999949</v>
      </c>
      <c r="I151" s="446"/>
      <c r="J151" s="447">
        <v>468</v>
      </c>
      <c r="K151" s="447">
        <v>0</v>
      </c>
      <c r="L151" s="447">
        <v>523986.40043340792</v>
      </c>
      <c r="M151" s="448"/>
      <c r="N151" s="448">
        <v>31</v>
      </c>
      <c r="O151" s="447">
        <v>1</v>
      </c>
      <c r="P151" s="447">
        <v>130.4</v>
      </c>
      <c r="Q151" s="447">
        <v>5.9</v>
      </c>
      <c r="R151" s="447">
        <v>62.3</v>
      </c>
      <c r="S151" s="447">
        <v>58.6</v>
      </c>
      <c r="T151" s="447">
        <v>76.400000000000006</v>
      </c>
      <c r="U151" s="447">
        <v>334.8</v>
      </c>
      <c r="V151" s="447">
        <v>11.5</v>
      </c>
      <c r="W151" s="447">
        <v>62.4</v>
      </c>
      <c r="X151" s="447">
        <v>55.2</v>
      </c>
      <c r="Y151" s="447">
        <v>184.8</v>
      </c>
      <c r="Z151" s="447">
        <v>28464</v>
      </c>
      <c r="AA151" s="447">
        <v>115.3</v>
      </c>
      <c r="AB151" s="447">
        <v>131.80000000000001</v>
      </c>
      <c r="AC151" s="447">
        <v>115.3</v>
      </c>
    </row>
    <row r="152" spans="1:29" x14ac:dyDescent="0.2">
      <c r="A152" s="442">
        <v>40269</v>
      </c>
      <c r="B152" s="443">
        <v>39955840.87000002</v>
      </c>
      <c r="C152" s="444">
        <v>0</v>
      </c>
      <c r="D152" s="445"/>
      <c r="E152" s="445"/>
      <c r="F152" s="445">
        <v>1615459.04</v>
      </c>
      <c r="G152" s="445"/>
      <c r="H152" s="443">
        <f t="shared" si="2"/>
        <v>38340381.830000021</v>
      </c>
      <c r="I152" s="446"/>
      <c r="J152" s="447">
        <v>253.8</v>
      </c>
      <c r="K152" s="447">
        <v>0</v>
      </c>
      <c r="L152" s="447">
        <v>532282.7939293246</v>
      </c>
      <c r="M152" s="448"/>
      <c r="N152" s="448">
        <v>30</v>
      </c>
      <c r="O152" s="447">
        <v>1</v>
      </c>
      <c r="P152" s="447">
        <v>130.5</v>
      </c>
      <c r="Q152" s="447">
        <v>5.9</v>
      </c>
      <c r="R152" s="447">
        <v>62.2</v>
      </c>
      <c r="S152" s="447">
        <v>58.5</v>
      </c>
      <c r="T152" s="447">
        <v>76.400000000000006</v>
      </c>
      <c r="U152" s="447">
        <v>334.9</v>
      </c>
      <c r="V152" s="447">
        <v>10.5</v>
      </c>
      <c r="W152" s="447">
        <v>61.7</v>
      </c>
      <c r="X152" s="447">
        <v>55.2</v>
      </c>
      <c r="Y152" s="447">
        <v>184.9</v>
      </c>
      <c r="Z152" s="447">
        <v>28387</v>
      </c>
      <c r="AA152" s="447">
        <v>115.7</v>
      </c>
      <c r="AB152" s="447">
        <v>135.30000000000001</v>
      </c>
      <c r="AC152" s="447">
        <v>115.8</v>
      </c>
    </row>
    <row r="153" spans="1:29" x14ac:dyDescent="0.2">
      <c r="A153" s="442">
        <v>40299</v>
      </c>
      <c r="B153" s="443">
        <v>42421978.980000004</v>
      </c>
      <c r="C153" s="444">
        <v>0</v>
      </c>
      <c r="D153" s="445"/>
      <c r="E153" s="445"/>
      <c r="F153" s="445">
        <v>1507061.0799999996</v>
      </c>
      <c r="G153" s="445"/>
      <c r="H153" s="443">
        <f t="shared" si="2"/>
        <v>40914917.900000006</v>
      </c>
      <c r="I153" s="446"/>
      <c r="J153" s="447">
        <v>125.4</v>
      </c>
      <c r="K153" s="447">
        <v>27.5</v>
      </c>
      <c r="L153" s="447">
        <v>540579.18742524134</v>
      </c>
      <c r="M153" s="448"/>
      <c r="N153" s="448">
        <v>31</v>
      </c>
      <c r="O153" s="447">
        <v>1</v>
      </c>
      <c r="P153" s="447">
        <v>130.6</v>
      </c>
      <c r="Q153" s="447">
        <v>5.9</v>
      </c>
      <c r="R153" s="447">
        <v>63.2</v>
      </c>
      <c r="S153" s="447">
        <v>59.4</v>
      </c>
      <c r="T153" s="447">
        <v>77.599999999999994</v>
      </c>
      <c r="U153" s="447">
        <v>335</v>
      </c>
      <c r="V153" s="447">
        <v>9.9</v>
      </c>
      <c r="W153" s="447">
        <v>62.4</v>
      </c>
      <c r="X153" s="447">
        <v>56.2</v>
      </c>
      <c r="Y153" s="447">
        <v>188.2</v>
      </c>
      <c r="Z153" s="447">
        <v>28365</v>
      </c>
      <c r="AA153" s="447">
        <v>116.2</v>
      </c>
      <c r="AB153" s="447">
        <v>138.30000000000001</v>
      </c>
      <c r="AC153" s="447">
        <v>116.3</v>
      </c>
    </row>
    <row r="154" spans="1:29" x14ac:dyDescent="0.2">
      <c r="A154" s="442">
        <v>40330</v>
      </c>
      <c r="B154" s="443">
        <v>46215608.019999944</v>
      </c>
      <c r="C154" s="444">
        <v>0</v>
      </c>
      <c r="D154" s="445"/>
      <c r="E154" s="445"/>
      <c r="F154" s="445">
        <v>2493665.83</v>
      </c>
      <c r="G154" s="445"/>
      <c r="H154" s="443">
        <f t="shared" si="2"/>
        <v>43721942.189999945</v>
      </c>
      <c r="I154" s="446"/>
      <c r="J154" s="447">
        <v>23.6</v>
      </c>
      <c r="K154" s="447">
        <v>53.9</v>
      </c>
      <c r="L154" s="447">
        <v>548875.58092115808</v>
      </c>
      <c r="M154" s="448"/>
      <c r="N154" s="448">
        <v>30</v>
      </c>
      <c r="O154" s="447">
        <v>0</v>
      </c>
      <c r="P154" s="447">
        <v>130.80000000000001</v>
      </c>
      <c r="Q154" s="447">
        <v>6.2</v>
      </c>
      <c r="R154" s="447">
        <v>63.3</v>
      </c>
      <c r="S154" s="447">
        <v>59.4</v>
      </c>
      <c r="T154" s="447">
        <v>77.7</v>
      </c>
      <c r="U154" s="447">
        <v>335.2</v>
      </c>
      <c r="V154" s="447">
        <v>8.6</v>
      </c>
      <c r="W154" s="447">
        <v>63.2</v>
      </c>
      <c r="X154" s="447">
        <v>57.7</v>
      </c>
      <c r="Y154" s="447">
        <v>193.5</v>
      </c>
      <c r="Z154" s="447">
        <v>28383</v>
      </c>
      <c r="AA154" s="447">
        <v>116</v>
      </c>
      <c r="AB154" s="447">
        <v>136</v>
      </c>
      <c r="AC154" s="447">
        <v>116.1</v>
      </c>
    </row>
    <row r="155" spans="1:29" x14ac:dyDescent="0.2">
      <c r="A155" s="442">
        <v>40360</v>
      </c>
      <c r="B155" s="443">
        <v>55926190.800000042</v>
      </c>
      <c r="C155" s="444">
        <v>0</v>
      </c>
      <c r="D155" s="445"/>
      <c r="E155" s="445"/>
      <c r="F155" s="445">
        <v>3534009.1000000006</v>
      </c>
      <c r="G155" s="445"/>
      <c r="H155" s="443">
        <f t="shared" si="2"/>
        <v>52392181.70000004</v>
      </c>
      <c r="I155" s="446"/>
      <c r="J155" s="447">
        <v>4.5999999999999996</v>
      </c>
      <c r="K155" s="447">
        <v>124</v>
      </c>
      <c r="L155" s="447">
        <v>557171.97441707482</v>
      </c>
      <c r="M155" s="448"/>
      <c r="N155" s="448">
        <v>31</v>
      </c>
      <c r="O155" s="447">
        <v>0</v>
      </c>
      <c r="P155" s="447">
        <v>130.9</v>
      </c>
      <c r="Q155" s="447">
        <v>6.2</v>
      </c>
      <c r="R155" s="447">
        <v>63.9</v>
      </c>
      <c r="S155" s="447">
        <v>60</v>
      </c>
      <c r="T155" s="447">
        <v>78.5</v>
      </c>
      <c r="U155" s="447">
        <v>335.4</v>
      </c>
      <c r="V155" s="447">
        <v>8.6</v>
      </c>
      <c r="W155" s="447">
        <v>64</v>
      </c>
      <c r="X155" s="447">
        <v>58.5</v>
      </c>
      <c r="Y155" s="447">
        <v>196.1</v>
      </c>
      <c r="Z155" s="447">
        <v>28381</v>
      </c>
      <c r="AA155" s="447">
        <v>117</v>
      </c>
      <c r="AB155" s="447">
        <v>143.6</v>
      </c>
      <c r="AC155" s="447">
        <v>117.1</v>
      </c>
    </row>
    <row r="156" spans="1:29" x14ac:dyDescent="0.2">
      <c r="A156" s="442">
        <v>40391</v>
      </c>
      <c r="B156" s="443">
        <v>54796356.969999917</v>
      </c>
      <c r="C156" s="444">
        <v>0</v>
      </c>
      <c r="D156" s="445"/>
      <c r="E156" s="445"/>
      <c r="F156" s="445">
        <v>4030462.1999999997</v>
      </c>
      <c r="G156" s="445"/>
      <c r="H156" s="443">
        <f t="shared" si="2"/>
        <v>50765894.769999914</v>
      </c>
      <c r="I156" s="446"/>
      <c r="J156" s="447">
        <v>7.7</v>
      </c>
      <c r="K156" s="447">
        <v>103.4</v>
      </c>
      <c r="L156" s="447">
        <v>565468.36791299155</v>
      </c>
      <c r="M156" s="448"/>
      <c r="N156" s="448">
        <v>31</v>
      </c>
      <c r="O156" s="447">
        <v>0</v>
      </c>
      <c r="P156" s="447">
        <v>131.1</v>
      </c>
      <c r="Q156" s="447">
        <v>6.7</v>
      </c>
      <c r="R156" s="447">
        <v>63.9</v>
      </c>
      <c r="S156" s="447">
        <v>59.6</v>
      </c>
      <c r="T156" s="447">
        <v>78.099999999999994</v>
      </c>
      <c r="U156" s="447">
        <v>335.7</v>
      </c>
      <c r="V156" s="447">
        <v>8.6</v>
      </c>
      <c r="W156" s="447">
        <v>63.8</v>
      </c>
      <c r="X156" s="447">
        <v>58.3</v>
      </c>
      <c r="Y156" s="447">
        <v>195.6</v>
      </c>
      <c r="Z156" s="447">
        <v>28341</v>
      </c>
      <c r="AA156" s="447">
        <v>117</v>
      </c>
      <c r="AB156" s="447">
        <v>142.6</v>
      </c>
      <c r="AC156" s="447">
        <v>117.1</v>
      </c>
    </row>
    <row r="157" spans="1:29" x14ac:dyDescent="0.2">
      <c r="A157" s="442">
        <v>40422</v>
      </c>
      <c r="B157" s="443">
        <v>44022864.74999997</v>
      </c>
      <c r="C157" s="444">
        <v>0</v>
      </c>
      <c r="D157" s="445"/>
      <c r="E157" s="445"/>
      <c r="F157" s="445">
        <v>2924436.34</v>
      </c>
      <c r="G157" s="445"/>
      <c r="H157" s="443">
        <f t="shared" si="2"/>
        <v>41098428.409999967</v>
      </c>
      <c r="I157" s="446"/>
      <c r="J157" s="447">
        <v>88.8</v>
      </c>
      <c r="K157" s="447">
        <v>25.5</v>
      </c>
      <c r="L157" s="447">
        <v>573764.76140890829</v>
      </c>
      <c r="M157" s="448"/>
      <c r="N157" s="448">
        <v>30</v>
      </c>
      <c r="O157" s="447">
        <v>1</v>
      </c>
      <c r="P157" s="447">
        <v>131.1</v>
      </c>
      <c r="Q157" s="447">
        <v>6.9</v>
      </c>
      <c r="R157" s="447">
        <v>63.2</v>
      </c>
      <c r="S157" s="447">
        <v>58.9</v>
      </c>
      <c r="T157" s="447">
        <v>77.2</v>
      </c>
      <c r="U157" s="447">
        <v>335.9</v>
      </c>
      <c r="V157" s="447">
        <v>9.1999999999999993</v>
      </c>
      <c r="W157" s="447">
        <v>62.8</v>
      </c>
      <c r="X157" s="447">
        <v>57</v>
      </c>
      <c r="Y157" s="447">
        <v>191.5</v>
      </c>
      <c r="Z157" s="447">
        <v>28354</v>
      </c>
      <c r="AA157" s="447">
        <v>117.1</v>
      </c>
      <c r="AB157" s="447">
        <v>142</v>
      </c>
      <c r="AC157" s="447">
        <v>117.3</v>
      </c>
    </row>
    <row r="158" spans="1:29" x14ac:dyDescent="0.2">
      <c r="A158" s="442">
        <v>40452</v>
      </c>
      <c r="B158" s="443">
        <v>43089704.280000031</v>
      </c>
      <c r="C158" s="444">
        <v>3897</v>
      </c>
      <c r="D158" s="445"/>
      <c r="E158" s="445"/>
      <c r="F158" s="445">
        <v>2432323.65</v>
      </c>
      <c r="G158" s="445"/>
      <c r="H158" s="443">
        <f t="shared" si="2"/>
        <v>40661277.630000032</v>
      </c>
      <c r="I158" s="446"/>
      <c r="J158" s="447">
        <v>256.7</v>
      </c>
      <c r="K158" s="447">
        <v>0.1</v>
      </c>
      <c r="L158" s="447">
        <v>582061.15490482503</v>
      </c>
      <c r="M158" s="448"/>
      <c r="N158" s="448">
        <v>31</v>
      </c>
      <c r="O158" s="447">
        <v>1</v>
      </c>
      <c r="P158" s="447">
        <v>131.1</v>
      </c>
      <c r="Q158" s="447">
        <v>7.3</v>
      </c>
      <c r="R158" s="447">
        <v>61.8</v>
      </c>
      <c r="S158" s="447">
        <v>57.3</v>
      </c>
      <c r="T158" s="447">
        <v>75.099999999999994</v>
      </c>
      <c r="U158" s="447">
        <v>336.1</v>
      </c>
      <c r="V158" s="447">
        <v>8.9</v>
      </c>
      <c r="W158" s="447">
        <v>62.5</v>
      </c>
      <c r="X158" s="447">
        <v>56.9</v>
      </c>
      <c r="Y158" s="447">
        <v>191.4</v>
      </c>
      <c r="Z158" s="447">
        <v>28347</v>
      </c>
      <c r="AA158" s="447">
        <v>117.8</v>
      </c>
      <c r="AB158" s="447">
        <v>144.69999999999999</v>
      </c>
      <c r="AC158" s="447">
        <v>117.7</v>
      </c>
    </row>
    <row r="159" spans="1:29" x14ac:dyDescent="0.2">
      <c r="A159" s="442">
        <v>40483</v>
      </c>
      <c r="B159" s="443">
        <v>43749496.590000004</v>
      </c>
      <c r="C159" s="444">
        <v>2744</v>
      </c>
      <c r="D159" s="445"/>
      <c r="E159" s="445"/>
      <c r="F159" s="445">
        <v>1350947.51</v>
      </c>
      <c r="G159" s="445"/>
      <c r="H159" s="443">
        <f t="shared" si="2"/>
        <v>42401293.080000006</v>
      </c>
      <c r="I159" s="446"/>
      <c r="J159" s="447">
        <v>410.4</v>
      </c>
      <c r="K159" s="447">
        <v>0</v>
      </c>
      <c r="L159" s="447">
        <v>590357.54840074177</v>
      </c>
      <c r="M159" s="448"/>
      <c r="N159" s="448">
        <v>30</v>
      </c>
      <c r="O159" s="447">
        <v>1</v>
      </c>
      <c r="P159" s="447">
        <v>131.19999999999999</v>
      </c>
      <c r="Q159" s="447">
        <v>6.3</v>
      </c>
      <c r="R159" s="447">
        <v>60.6</v>
      </c>
      <c r="S159" s="447">
        <v>56.8</v>
      </c>
      <c r="T159" s="447">
        <v>74.5</v>
      </c>
      <c r="U159" s="447">
        <v>336.2</v>
      </c>
      <c r="V159" s="447">
        <v>8.6999999999999993</v>
      </c>
      <c r="W159" s="447">
        <v>62.4</v>
      </c>
      <c r="X159" s="447">
        <v>57</v>
      </c>
      <c r="Y159" s="447">
        <v>191.5</v>
      </c>
      <c r="Z159" s="447">
        <v>28388</v>
      </c>
      <c r="AA159" s="447">
        <v>118</v>
      </c>
      <c r="AB159" s="447">
        <v>145.69999999999999</v>
      </c>
      <c r="AC159" s="447">
        <v>117.8</v>
      </c>
    </row>
    <row r="160" spans="1:29" x14ac:dyDescent="0.2">
      <c r="A160" s="442">
        <v>40513</v>
      </c>
      <c r="B160" s="443">
        <v>49963488.439999975</v>
      </c>
      <c r="C160" s="444">
        <v>1431</v>
      </c>
      <c r="D160" s="445"/>
      <c r="E160" s="445"/>
      <c r="F160" s="445">
        <v>839487.51</v>
      </c>
      <c r="G160" s="445"/>
      <c r="H160" s="443">
        <f t="shared" si="2"/>
        <v>49125431.929999977</v>
      </c>
      <c r="I160" s="446"/>
      <c r="J160" s="447">
        <v>671.3</v>
      </c>
      <c r="K160" s="447">
        <v>0</v>
      </c>
      <c r="L160" s="447">
        <v>598653.94189665851</v>
      </c>
      <c r="M160" s="448"/>
      <c r="N160" s="448">
        <v>31</v>
      </c>
      <c r="O160" s="447">
        <v>0</v>
      </c>
      <c r="P160" s="447">
        <v>131.30000000000001</v>
      </c>
      <c r="Q160" s="447">
        <v>5.9</v>
      </c>
      <c r="R160" s="447">
        <v>61.1</v>
      </c>
      <c r="S160" s="447">
        <v>57.5</v>
      </c>
      <c r="T160" s="447">
        <v>75.5</v>
      </c>
      <c r="U160" s="447">
        <v>336.3</v>
      </c>
      <c r="V160" s="447">
        <v>8.9</v>
      </c>
      <c r="W160" s="447">
        <v>62.7</v>
      </c>
      <c r="X160" s="447">
        <v>57.1</v>
      </c>
      <c r="Y160" s="447">
        <v>192</v>
      </c>
      <c r="Z160" s="447">
        <v>28404</v>
      </c>
      <c r="AA160" s="447">
        <v>117.9</v>
      </c>
      <c r="AB160" s="447">
        <v>147.30000000000001</v>
      </c>
      <c r="AC160" s="447">
        <v>117.6</v>
      </c>
    </row>
  </sheetData>
  <sheetProtection selectLockedCells="1" selectUnlockedCells="1"/>
  <mergeCells count="2">
    <mergeCell ref="J3:Y3"/>
    <mergeCell ref="A3:H3"/>
  </mergeCell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3203125" defaultRowHeight="12.75" x14ac:dyDescent="0.2"/>
  <cols>
    <col min="1" max="2" width="9.33203125" style="144"/>
    <col min="3" max="19" width="12.83203125" style="144" customWidth="1"/>
    <col min="20" max="21" width="12" style="144" bestFit="1" customWidth="1"/>
    <col min="22" max="22" width="15.33203125" style="144" bestFit="1" customWidth="1"/>
    <col min="23" max="23" width="12" style="144" bestFit="1" customWidth="1"/>
    <col min="24" max="16384" width="9.33203125" style="144"/>
  </cols>
  <sheetData>
    <row r="1" spans="1:22" x14ac:dyDescent="0.2">
      <c r="B1" s="508"/>
      <c r="C1" s="509" t="s">
        <v>220</v>
      </c>
      <c r="D1" s="509"/>
      <c r="E1" s="509"/>
      <c r="F1" s="509"/>
      <c r="G1" s="509"/>
      <c r="H1" s="509"/>
      <c r="I1" s="509"/>
      <c r="J1" s="509"/>
      <c r="K1" s="509"/>
      <c r="L1" s="509"/>
      <c r="M1" s="509"/>
      <c r="N1" s="509"/>
      <c r="O1" s="509"/>
      <c r="P1" s="509"/>
      <c r="Q1" s="509"/>
      <c r="R1" s="509"/>
      <c r="S1" s="509"/>
    </row>
    <row r="2" spans="1:22" x14ac:dyDescent="0.2">
      <c r="B2" s="508"/>
      <c r="C2" s="144">
        <v>2006</v>
      </c>
      <c r="D2" s="144">
        <v>2007</v>
      </c>
      <c r="E2" s="144">
        <v>2008</v>
      </c>
      <c r="F2" s="144">
        <v>2009</v>
      </c>
      <c r="G2" s="144">
        <v>2010</v>
      </c>
      <c r="H2" s="144">
        <v>2011</v>
      </c>
      <c r="I2" s="144">
        <v>2012</v>
      </c>
      <c r="J2" s="144">
        <v>2013</v>
      </c>
      <c r="K2" s="144">
        <v>2014</v>
      </c>
      <c r="L2" s="144">
        <v>2015</v>
      </c>
      <c r="M2" s="144">
        <v>2016</v>
      </c>
      <c r="N2" s="144">
        <v>2017</v>
      </c>
      <c r="O2" s="144">
        <v>2018</v>
      </c>
      <c r="P2" s="144">
        <v>2019</v>
      </c>
      <c r="Q2" s="144">
        <v>2020</v>
      </c>
      <c r="R2" s="144">
        <v>2021</v>
      </c>
      <c r="S2" s="144">
        <v>2022</v>
      </c>
    </row>
    <row r="3" spans="1:22" x14ac:dyDescent="0.2">
      <c r="A3" s="510" t="s">
        <v>221</v>
      </c>
      <c r="B3" s="144">
        <v>2006</v>
      </c>
      <c r="C3" s="457">
        <v>1346575.759190094</v>
      </c>
      <c r="D3" s="457">
        <v>1346575.759190094</v>
      </c>
      <c r="E3" s="457">
        <v>1346575.759190094</v>
      </c>
      <c r="F3" s="457">
        <v>1346575.759190094</v>
      </c>
      <c r="G3" s="457">
        <v>233870.39274956362</v>
      </c>
      <c r="H3" s="457">
        <v>233870.39274956362</v>
      </c>
      <c r="I3" s="457">
        <v>213927.73678348644</v>
      </c>
      <c r="J3" s="457">
        <v>213927.73678348644</v>
      </c>
      <c r="K3" s="457">
        <v>201018.06942352472</v>
      </c>
      <c r="L3" s="457">
        <v>201018.06942352472</v>
      </c>
      <c r="M3" s="457">
        <v>189917.73542775618</v>
      </c>
      <c r="N3" s="457">
        <v>189917.73542775618</v>
      </c>
      <c r="O3" s="457">
        <v>189917.73542775618</v>
      </c>
      <c r="P3" s="457">
        <v>189917.73542775618</v>
      </c>
      <c r="Q3" s="457">
        <v>171911.20878431978</v>
      </c>
      <c r="R3" s="457">
        <v>149427.84378962513</v>
      </c>
      <c r="S3" s="457">
        <v>149427.84378962513</v>
      </c>
      <c r="U3" s="144" t="s">
        <v>172</v>
      </c>
      <c r="V3" s="144">
        <v>1</v>
      </c>
    </row>
    <row r="4" spans="1:22" x14ac:dyDescent="0.2">
      <c r="A4" s="510"/>
      <c r="B4" s="144">
        <v>2007</v>
      </c>
      <c r="D4" s="457">
        <v>2774355.8738935241</v>
      </c>
      <c r="E4" s="457">
        <v>2204491.7339191372</v>
      </c>
      <c r="F4" s="457">
        <v>2133401.2120559206</v>
      </c>
      <c r="G4" s="457">
        <v>2133401.2120559206</v>
      </c>
      <c r="H4" s="457">
        <v>762545.940748233</v>
      </c>
      <c r="I4" s="457">
        <v>700823.08772981528</v>
      </c>
      <c r="J4" s="457">
        <v>700823.08772981528</v>
      </c>
      <c r="K4" s="457">
        <v>700823.08772981528</v>
      </c>
      <c r="L4" s="457">
        <v>279181.01480831468</v>
      </c>
      <c r="M4" s="457">
        <v>246139.80096464042</v>
      </c>
      <c r="N4" s="457">
        <v>175716.6588577331</v>
      </c>
      <c r="O4" s="457">
        <v>175716.6588577331</v>
      </c>
      <c r="P4" s="457">
        <v>175716.6588577331</v>
      </c>
      <c r="Q4" s="457">
        <v>175716.6588577331</v>
      </c>
      <c r="R4" s="457">
        <v>80440.524231915915</v>
      </c>
      <c r="S4" s="457">
        <v>12951.075417703969</v>
      </c>
      <c r="U4" s="144" t="s">
        <v>173</v>
      </c>
      <c r="V4" s="144">
        <v>2</v>
      </c>
    </row>
    <row r="5" spans="1:22" x14ac:dyDescent="0.2">
      <c r="A5" s="510"/>
      <c r="B5" s="144">
        <v>2008</v>
      </c>
      <c r="C5" s="457"/>
      <c r="D5" s="457"/>
      <c r="E5" s="457">
        <v>1073898.0549253344</v>
      </c>
      <c r="F5" s="457">
        <v>783731.95939004805</v>
      </c>
      <c r="G5" s="457">
        <v>783731.95939004805</v>
      </c>
      <c r="H5" s="457">
        <v>783731.95939004805</v>
      </c>
      <c r="I5" s="457">
        <v>721537.8979334709</v>
      </c>
      <c r="J5" s="457">
        <v>721431.5179334709</v>
      </c>
      <c r="K5" s="457">
        <v>656778.00533310068</v>
      </c>
      <c r="L5" s="457">
        <v>608476.35656577221</v>
      </c>
      <c r="M5" s="457">
        <v>423418.85433244373</v>
      </c>
      <c r="N5" s="457">
        <v>317944.9175091589</v>
      </c>
      <c r="O5" s="457">
        <v>269912.28357925301</v>
      </c>
      <c r="P5" s="457">
        <v>269912.28357925301</v>
      </c>
      <c r="Q5" s="457">
        <v>263722.56290655449</v>
      </c>
      <c r="R5" s="457">
        <v>255932.22529575517</v>
      </c>
      <c r="S5" s="457">
        <v>252425.64153032494</v>
      </c>
      <c r="U5" s="144" t="s">
        <v>174</v>
      </c>
      <c r="V5" s="144">
        <v>3</v>
      </c>
    </row>
    <row r="6" spans="1:22" x14ac:dyDescent="0.2">
      <c r="A6" s="510"/>
      <c r="B6" s="144">
        <v>2009</v>
      </c>
      <c r="C6" s="457"/>
      <c r="D6" s="457"/>
      <c r="E6" s="457"/>
      <c r="F6" s="457">
        <v>1901148.810360821</v>
      </c>
      <c r="G6" s="457">
        <v>1689114.5663239053</v>
      </c>
      <c r="H6" s="457">
        <v>1689114.5663239053</v>
      </c>
      <c r="I6" s="457">
        <v>1688434.1620206591</v>
      </c>
      <c r="J6" s="457">
        <v>1663488.0954432415</v>
      </c>
      <c r="K6" s="457">
        <v>1583044.5620843829</v>
      </c>
      <c r="L6" s="457">
        <v>1549709.6844928213</v>
      </c>
      <c r="M6" s="457">
        <v>1548982.3413866393</v>
      </c>
      <c r="N6" s="457">
        <v>995372.7465778623</v>
      </c>
      <c r="O6" s="457">
        <v>341678.75449021306</v>
      </c>
      <c r="P6" s="457">
        <v>290833.24714300863</v>
      </c>
      <c r="Q6" s="457">
        <v>180978.17974463443</v>
      </c>
      <c r="R6" s="457">
        <v>163046.69865044559</v>
      </c>
      <c r="S6" s="457">
        <v>163046.69865044559</v>
      </c>
      <c r="U6" s="144" t="s">
        <v>175</v>
      </c>
      <c r="V6" s="144">
        <v>4</v>
      </c>
    </row>
    <row r="7" spans="1:22" x14ac:dyDescent="0.2">
      <c r="A7" s="510"/>
      <c r="B7" s="144">
        <v>2010</v>
      </c>
      <c r="C7" s="457"/>
      <c r="D7" s="457"/>
      <c r="E7" s="457"/>
      <c r="F7" s="457"/>
      <c r="G7" s="457">
        <v>2267594.7925424725</v>
      </c>
      <c r="H7" s="457">
        <v>1896725.5184710093</v>
      </c>
      <c r="I7" s="457">
        <v>1894850.5754228963</v>
      </c>
      <c r="J7" s="457">
        <v>1894177.5197159457</v>
      </c>
      <c r="K7" s="457">
        <v>1844846.1752305815</v>
      </c>
      <c r="L7" s="457">
        <v>1668736.1577916197</v>
      </c>
      <c r="M7" s="457">
        <v>1661793.9237223372</v>
      </c>
      <c r="N7" s="457">
        <v>1517223.3344295414</v>
      </c>
      <c r="O7" s="457">
        <v>1207990.4088999855</v>
      </c>
      <c r="P7" s="457">
        <v>375649.02894375508</v>
      </c>
      <c r="Q7" s="457">
        <v>171259.01188228891</v>
      </c>
      <c r="R7" s="457">
        <v>171259.01188228891</v>
      </c>
      <c r="S7" s="457">
        <v>169414.84136054732</v>
      </c>
      <c r="U7" s="144" t="s">
        <v>69</v>
      </c>
      <c r="V7" s="144">
        <v>5</v>
      </c>
    </row>
    <row r="8" spans="1:22" x14ac:dyDescent="0.2">
      <c r="A8" s="510"/>
      <c r="B8" s="144">
        <v>2011</v>
      </c>
      <c r="C8" s="457"/>
      <c r="D8" s="457"/>
      <c r="E8" s="457"/>
      <c r="F8" s="457"/>
      <c r="G8" s="457"/>
      <c r="H8" s="457">
        <v>1915653.5210567387</v>
      </c>
      <c r="I8" s="457">
        <v>1908233.1560567389</v>
      </c>
      <c r="J8" s="457">
        <v>1908233.1560567389</v>
      </c>
      <c r="K8" s="457">
        <v>1895689.3046039932</v>
      </c>
      <c r="L8" s="457">
        <v>1851185.7073686048</v>
      </c>
      <c r="M8" s="457">
        <v>1756127.0038918422</v>
      </c>
      <c r="N8" s="457">
        <v>1682459.5377406878</v>
      </c>
      <c r="O8" s="457">
        <v>1681719.9209841068</v>
      </c>
      <c r="P8" s="457">
        <v>1678668.5457810522</v>
      </c>
      <c r="Q8" s="457">
        <v>1549281.3874139036</v>
      </c>
      <c r="R8" s="457">
        <v>1463212.6230128207</v>
      </c>
      <c r="S8" s="457">
        <v>1431014.8654721188</v>
      </c>
      <c r="U8" s="144" t="s">
        <v>176</v>
      </c>
      <c r="V8" s="144">
        <v>6</v>
      </c>
    </row>
    <row r="9" spans="1:22" x14ac:dyDescent="0.2">
      <c r="A9" s="510"/>
      <c r="B9" s="144">
        <v>2012</v>
      </c>
      <c r="C9" s="457"/>
      <c r="D9" s="457"/>
      <c r="E9" s="457"/>
      <c r="F9" s="457"/>
      <c r="G9" s="457"/>
      <c r="H9" s="457"/>
      <c r="I9" s="457">
        <v>1274120.0925229061</v>
      </c>
      <c r="J9" s="457">
        <v>1268860.2975076472</v>
      </c>
      <c r="K9" s="457">
        <v>1263462.9171727672</v>
      </c>
      <c r="L9" s="457">
        <v>1198982.5810037379</v>
      </c>
      <c r="M9" s="457">
        <v>983180.31979202293</v>
      </c>
      <c r="N9" s="457">
        <v>557555.23580948391</v>
      </c>
      <c r="O9" s="457">
        <v>511706.18671281292</v>
      </c>
      <c r="P9" s="457">
        <v>511212.5762178505</v>
      </c>
      <c r="Q9" s="457">
        <v>497143.18488350348</v>
      </c>
      <c r="R9" s="457">
        <v>393746.85142963851</v>
      </c>
      <c r="S9" s="457">
        <v>344922.817271112</v>
      </c>
      <c r="U9" s="144" t="s">
        <v>177</v>
      </c>
      <c r="V9" s="144">
        <v>7</v>
      </c>
    </row>
    <row r="10" spans="1:22" x14ac:dyDescent="0.2">
      <c r="A10" s="510"/>
      <c r="B10" s="144">
        <v>2013</v>
      </c>
      <c r="C10" s="457"/>
      <c r="D10" s="457"/>
      <c r="E10" s="457"/>
      <c r="F10" s="457"/>
      <c r="G10" s="457"/>
      <c r="H10" s="457"/>
      <c r="I10" s="457"/>
      <c r="J10" s="457">
        <v>2274204.0744519136</v>
      </c>
      <c r="K10" s="457">
        <v>2245076.8604897987</v>
      </c>
      <c r="L10" s="457">
        <v>2203795.4087574901</v>
      </c>
      <c r="M10" s="457">
        <v>2026706.7460537371</v>
      </c>
      <c r="N10" s="457">
        <v>1711796.7295298434</v>
      </c>
      <c r="O10" s="457">
        <v>1665946.3873186097</v>
      </c>
      <c r="P10" s="457">
        <v>1653519.2713060358</v>
      </c>
      <c r="Q10" s="457">
        <v>1628813.1187469831</v>
      </c>
      <c r="R10" s="457">
        <v>1525650.5223745122</v>
      </c>
      <c r="S10" s="457">
        <v>1331954.2872700831</v>
      </c>
      <c r="U10" s="144" t="s">
        <v>178</v>
      </c>
      <c r="V10" s="144">
        <v>8</v>
      </c>
    </row>
    <row r="11" spans="1:22" x14ac:dyDescent="0.2">
      <c r="A11" s="510"/>
      <c r="B11" s="144">
        <v>2014</v>
      </c>
      <c r="C11" s="457"/>
      <c r="D11" s="457"/>
      <c r="E11" s="457"/>
      <c r="F11" s="457"/>
      <c r="G11" s="457"/>
      <c r="H11" s="457"/>
      <c r="I11" s="457"/>
      <c r="J11" s="457"/>
      <c r="K11" s="457">
        <v>2958530.5549300467</v>
      </c>
      <c r="L11" s="457">
        <v>2840561.0612170468</v>
      </c>
      <c r="M11" s="457">
        <v>2741372.8774043466</v>
      </c>
      <c r="N11" s="457">
        <v>2601648.2885443466</v>
      </c>
      <c r="O11" s="457">
        <v>2493459.3441734877</v>
      </c>
      <c r="P11" s="457">
        <v>2479008.4248086</v>
      </c>
      <c r="Q11" s="457">
        <v>2472686.4245686</v>
      </c>
      <c r="R11" s="457">
        <v>2468285.4449185999</v>
      </c>
      <c r="S11" s="457">
        <v>2416045.8869586</v>
      </c>
      <c r="U11" s="144" t="s">
        <v>179</v>
      </c>
      <c r="V11" s="144">
        <v>9</v>
      </c>
    </row>
    <row r="12" spans="1:22" x14ac:dyDescent="0.2">
      <c r="A12" s="510"/>
      <c r="B12" s="144">
        <v>2015</v>
      </c>
      <c r="C12" s="457"/>
      <c r="D12" s="457"/>
      <c r="E12" s="457"/>
      <c r="F12" s="457"/>
      <c r="G12" s="457"/>
      <c r="H12" s="457"/>
      <c r="I12" s="457"/>
      <c r="J12" s="457"/>
      <c r="K12" s="457"/>
      <c r="L12" s="457">
        <v>9094492</v>
      </c>
      <c r="M12" s="457">
        <v>9073874</v>
      </c>
      <c r="N12" s="457">
        <v>9072100</v>
      </c>
      <c r="O12" s="457">
        <v>9103303</v>
      </c>
      <c r="P12" s="457">
        <v>9094791</v>
      </c>
      <c r="Q12" s="457">
        <v>9089500</v>
      </c>
      <c r="R12" s="457">
        <v>9087014</v>
      </c>
      <c r="S12" s="457">
        <v>9086682</v>
      </c>
      <c r="U12" s="144" t="s">
        <v>180</v>
      </c>
      <c r="V12" s="144">
        <v>10</v>
      </c>
    </row>
    <row r="13" spans="1:22" x14ac:dyDescent="0.2">
      <c r="A13" s="510"/>
      <c r="B13" s="144">
        <v>2016</v>
      </c>
      <c r="C13" s="457"/>
      <c r="D13" s="457"/>
      <c r="E13" s="457"/>
      <c r="F13" s="457"/>
      <c r="G13" s="457"/>
      <c r="H13" s="457"/>
      <c r="I13" s="457"/>
      <c r="J13" s="457"/>
      <c r="K13" s="457"/>
      <c r="L13" s="457"/>
      <c r="M13" s="457">
        <v>8147801</v>
      </c>
      <c r="N13" s="457">
        <v>8147800</v>
      </c>
      <c r="O13" s="457">
        <v>8151083</v>
      </c>
      <c r="P13" s="457">
        <v>8054813</v>
      </c>
      <c r="Q13" s="457">
        <v>7921426</v>
      </c>
      <c r="R13" s="457">
        <v>7657163</v>
      </c>
      <c r="S13" s="457">
        <v>7301456</v>
      </c>
      <c r="U13" s="144" t="s">
        <v>181</v>
      </c>
      <c r="V13" s="144">
        <v>11</v>
      </c>
    </row>
    <row r="14" spans="1:22" x14ac:dyDescent="0.2">
      <c r="A14" s="510"/>
      <c r="B14" s="144">
        <v>2017</v>
      </c>
      <c r="C14" s="457"/>
      <c r="D14" s="457"/>
      <c r="E14" s="457"/>
      <c r="F14" s="457"/>
      <c r="G14" s="457"/>
      <c r="H14" s="457"/>
      <c r="I14" s="457"/>
      <c r="J14" s="457"/>
      <c r="K14" s="457"/>
      <c r="L14" s="457"/>
      <c r="M14" s="457"/>
      <c r="N14" s="457">
        <v>7868109.1206502272</v>
      </c>
      <c r="O14" s="457">
        <v>7149392.5027437462</v>
      </c>
      <c r="P14" s="457">
        <v>7145507.5027437462</v>
      </c>
      <c r="Q14" s="457">
        <v>7119848.5027437462</v>
      </c>
      <c r="R14" s="457">
        <v>7072986.5027437462</v>
      </c>
      <c r="S14" s="457">
        <v>6601113.5027437462</v>
      </c>
      <c r="U14" s="144" t="s">
        <v>182</v>
      </c>
      <c r="V14" s="144">
        <v>12</v>
      </c>
    </row>
    <row r="15" spans="1:22" x14ac:dyDescent="0.2">
      <c r="A15" s="510"/>
      <c r="B15" s="144">
        <v>2018</v>
      </c>
      <c r="C15" s="457"/>
      <c r="D15" s="457"/>
      <c r="E15" s="457"/>
      <c r="F15" s="457"/>
      <c r="G15" s="457"/>
      <c r="H15" s="457"/>
      <c r="I15" s="457"/>
      <c r="J15" s="457"/>
      <c r="K15" s="457"/>
      <c r="L15" s="457"/>
      <c r="M15" s="457"/>
      <c r="N15" s="457"/>
      <c r="O15" s="457">
        <v>4108439.093633391</v>
      </c>
      <c r="P15" s="457">
        <v>4082069.7280041878</v>
      </c>
      <c r="Q15" s="457">
        <v>4082069.7280041878</v>
      </c>
      <c r="R15" s="457">
        <v>4082069.7280041878</v>
      </c>
      <c r="S15" s="457">
        <v>4082069.7280041878</v>
      </c>
      <c r="U15" s="144" t="s">
        <v>77</v>
      </c>
      <c r="V15" s="144">
        <f>SUM(V3:V14)</f>
        <v>78</v>
      </c>
    </row>
    <row r="16" spans="1:22" x14ac:dyDescent="0.2">
      <c r="A16" s="510"/>
      <c r="B16" s="144">
        <v>2019</v>
      </c>
      <c r="C16" s="457"/>
      <c r="D16" s="457"/>
      <c r="E16" s="457"/>
      <c r="F16" s="457"/>
      <c r="G16" s="457"/>
      <c r="H16" s="457"/>
      <c r="I16" s="457"/>
      <c r="J16" s="457"/>
      <c r="K16" s="457"/>
      <c r="L16" s="457"/>
      <c r="M16" s="457"/>
      <c r="N16" s="457"/>
      <c r="O16" s="457"/>
      <c r="P16" s="457">
        <v>1750962.8558282065</v>
      </c>
      <c r="Q16" s="457">
        <v>1750962.8558282065</v>
      </c>
      <c r="R16" s="457">
        <v>1750962.8558282065</v>
      </c>
      <c r="S16" s="457">
        <v>1750962.8558282065</v>
      </c>
    </row>
    <row r="17" spans="1:22" x14ac:dyDescent="0.2">
      <c r="A17" s="510"/>
      <c r="B17" s="144">
        <v>2020</v>
      </c>
      <c r="C17" s="457"/>
      <c r="D17" s="457"/>
      <c r="E17" s="457"/>
      <c r="F17" s="457"/>
      <c r="G17" s="457"/>
      <c r="H17" s="457"/>
      <c r="I17" s="457"/>
      <c r="J17" s="457"/>
      <c r="K17" s="457"/>
      <c r="L17" s="457"/>
      <c r="M17" s="457"/>
      <c r="N17" s="457"/>
      <c r="O17" s="457"/>
      <c r="P17" s="457"/>
      <c r="Q17" s="457"/>
      <c r="R17" s="457"/>
      <c r="S17" s="457"/>
    </row>
    <row r="18" spans="1:22" x14ac:dyDescent="0.2">
      <c r="A18" s="510"/>
      <c r="B18" s="144">
        <v>2021</v>
      </c>
      <c r="C18" s="457"/>
      <c r="D18" s="457"/>
      <c r="E18" s="457"/>
      <c r="F18" s="457"/>
      <c r="G18" s="457"/>
      <c r="H18" s="457"/>
      <c r="I18" s="457"/>
      <c r="J18" s="457"/>
      <c r="K18" s="457"/>
      <c r="L18" s="457"/>
      <c r="M18" s="457"/>
      <c r="N18" s="457"/>
      <c r="O18" s="457"/>
      <c r="P18" s="457"/>
      <c r="Q18" s="457"/>
      <c r="R18" s="457"/>
      <c r="S18" s="457"/>
    </row>
    <row r="19" spans="1:22" x14ac:dyDescent="0.2">
      <c r="B19" s="154" t="s">
        <v>77</v>
      </c>
      <c r="C19" s="458">
        <f>SUM(C3:C18)</f>
        <v>1346575.759190094</v>
      </c>
      <c r="D19" s="458">
        <f t="shared" ref="D19:S19" si="0">SUM(D3:D18)</f>
        <v>4120931.6330836182</v>
      </c>
      <c r="E19" s="458">
        <f t="shared" si="0"/>
        <v>4624965.5480345655</v>
      </c>
      <c r="F19" s="458">
        <f t="shared" si="0"/>
        <v>6164857.7409968833</v>
      </c>
      <c r="G19" s="458">
        <f t="shared" si="0"/>
        <v>7107712.9230619101</v>
      </c>
      <c r="H19" s="458">
        <f t="shared" si="0"/>
        <v>7281641.8987394981</v>
      </c>
      <c r="I19" s="458">
        <f t="shared" si="0"/>
        <v>8401926.7084699739</v>
      </c>
      <c r="J19" s="458">
        <f t="shared" si="0"/>
        <v>10645145.485622261</v>
      </c>
      <c r="K19" s="458">
        <f t="shared" si="0"/>
        <v>13349269.536998011</v>
      </c>
      <c r="L19" s="458">
        <f t="shared" si="0"/>
        <v>21496138.041428931</v>
      </c>
      <c r="M19" s="458">
        <f t="shared" si="0"/>
        <v>28799314.602975767</v>
      </c>
      <c r="N19" s="458">
        <f t="shared" si="0"/>
        <v>34837644.305076636</v>
      </c>
      <c r="O19" s="458">
        <f t="shared" si="0"/>
        <v>37050265.276821092</v>
      </c>
      <c r="P19" s="458">
        <f t="shared" si="0"/>
        <v>37752581.858641185</v>
      </c>
      <c r="Q19" s="458">
        <f t="shared" si="0"/>
        <v>37075318.824364662</v>
      </c>
      <c r="R19" s="458">
        <f t="shared" si="0"/>
        <v>36321197.832161739</v>
      </c>
      <c r="S19" s="458">
        <f t="shared" si="0"/>
        <v>35093488.044296704</v>
      </c>
    </row>
    <row r="23" spans="1:22" ht="38.25" x14ac:dyDescent="0.2">
      <c r="B23" s="145" t="s">
        <v>74</v>
      </c>
      <c r="C23" s="459" t="s">
        <v>222</v>
      </c>
      <c r="D23" s="459" t="s">
        <v>223</v>
      </c>
      <c r="E23" s="459" t="s">
        <v>224</v>
      </c>
      <c r="F23" s="459" t="s">
        <v>225</v>
      </c>
      <c r="G23" s="459" t="s">
        <v>226</v>
      </c>
      <c r="H23" s="459" t="s">
        <v>227</v>
      </c>
      <c r="K23" s="459" t="s">
        <v>225</v>
      </c>
      <c r="L23" s="459" t="s">
        <v>228</v>
      </c>
    </row>
    <row r="24" spans="1:22" x14ac:dyDescent="0.2">
      <c r="B24" s="145">
        <v>2006</v>
      </c>
      <c r="C24" s="460">
        <f>C19</f>
        <v>1346575.759190094</v>
      </c>
      <c r="D24" s="460">
        <f>C24</f>
        <v>1346575.759190094</v>
      </c>
      <c r="E24" s="460">
        <f>D24/2</f>
        <v>673287.87959504698</v>
      </c>
      <c r="F24" s="460">
        <f>C24-E24</f>
        <v>673287.87959504698</v>
      </c>
      <c r="G24" s="460">
        <f>F24</f>
        <v>673287.87959504698</v>
      </c>
      <c r="H24" s="460">
        <f>G24/$V$15</f>
        <v>8631.8958922441925</v>
      </c>
      <c r="I24" s="461"/>
      <c r="K24" s="461">
        <f>F24</f>
        <v>673287.87959504698</v>
      </c>
      <c r="L24" s="461">
        <f>D56</f>
        <v>673287.8795950471</v>
      </c>
      <c r="M24" s="461">
        <f>K24-L24</f>
        <v>0</v>
      </c>
      <c r="V24" s="459"/>
    </row>
    <row r="25" spans="1:22" x14ac:dyDescent="0.2">
      <c r="B25" s="145">
        <v>2007</v>
      </c>
      <c r="C25" s="460">
        <f>D19</f>
        <v>4120931.6330836182</v>
      </c>
      <c r="D25" s="460">
        <f>C25-C24</f>
        <v>2774355.8738935245</v>
      </c>
      <c r="E25" s="460">
        <f t="shared" ref="E25:E40" si="1">D25/2</f>
        <v>1387177.9369467623</v>
      </c>
      <c r="F25" s="460">
        <f t="shared" ref="F25:F40" si="2">C25-E25</f>
        <v>2733753.696136856</v>
      </c>
      <c r="G25" s="470">
        <f>F25-E56</f>
        <v>1490760.687653692</v>
      </c>
      <c r="H25" s="460">
        <f>G25/$V$15</f>
        <v>19112.316508380667</v>
      </c>
      <c r="I25" s="461"/>
      <c r="K25" s="461">
        <f t="shared" ref="K25:K40" si="3">F25</f>
        <v>2733753.696136856</v>
      </c>
      <c r="L25" s="461">
        <f>D68</f>
        <v>2733753.6961368569</v>
      </c>
      <c r="M25" s="461">
        <f t="shared" ref="M25:M40" si="4">K25-L25</f>
        <v>0</v>
      </c>
      <c r="V25" s="459"/>
    </row>
    <row r="26" spans="1:22" x14ac:dyDescent="0.2">
      <c r="B26" s="145">
        <v>2008</v>
      </c>
      <c r="C26" s="460">
        <f>E19</f>
        <v>4624965.5480345655</v>
      </c>
      <c r="D26" s="460">
        <f t="shared" ref="D26:D40" si="5">C26-C25</f>
        <v>504033.91495094728</v>
      </c>
      <c r="E26" s="460">
        <f t="shared" si="1"/>
        <v>252016.95747547364</v>
      </c>
      <c r="F26" s="460">
        <f t="shared" si="2"/>
        <v>4372948.5905590914</v>
      </c>
      <c r="G26" s="460">
        <f>F26-E68</f>
        <v>377782.00486911042</v>
      </c>
      <c r="H26" s="460">
        <f>G26/$V$15</f>
        <v>4843.3590367834668</v>
      </c>
      <c r="I26" s="461"/>
      <c r="K26" s="461">
        <f t="shared" si="3"/>
        <v>4372948.5905590914</v>
      </c>
      <c r="L26" s="461">
        <f>D80</f>
        <v>4372948.5905590905</v>
      </c>
      <c r="M26" s="461">
        <f t="shared" si="4"/>
        <v>0</v>
      </c>
      <c r="V26" s="459"/>
    </row>
    <row r="27" spans="1:22" x14ac:dyDescent="0.2">
      <c r="B27" s="145">
        <v>2009</v>
      </c>
      <c r="C27" s="460">
        <f>F19</f>
        <v>6164857.7409968833</v>
      </c>
      <c r="D27" s="460">
        <f t="shared" si="5"/>
        <v>1539892.1929623177</v>
      </c>
      <c r="E27" s="460">
        <f t="shared" si="1"/>
        <v>769946.09648115886</v>
      </c>
      <c r="F27" s="460">
        <f t="shared" si="2"/>
        <v>5394911.6445157249</v>
      </c>
      <c r="G27" s="460">
        <f>F27-E80</f>
        <v>702301.3575289268</v>
      </c>
      <c r="H27" s="460">
        <f t="shared" ref="H27:H40" si="6">G27/$V$15</f>
        <v>9003.8635580631635</v>
      </c>
      <c r="I27" s="461"/>
      <c r="K27" s="461">
        <f t="shared" si="3"/>
        <v>5394911.6445157249</v>
      </c>
      <c r="L27" s="461">
        <f>D92</f>
        <v>5394911.6445157258</v>
      </c>
      <c r="M27" s="461">
        <f t="shared" si="4"/>
        <v>0</v>
      </c>
      <c r="V27" s="459"/>
    </row>
    <row r="28" spans="1:22" x14ac:dyDescent="0.2">
      <c r="B28" s="145">
        <v>2010</v>
      </c>
      <c r="C28" s="460">
        <f>G19</f>
        <v>7107712.9230619101</v>
      </c>
      <c r="D28" s="460">
        <f t="shared" si="5"/>
        <v>942855.18206502683</v>
      </c>
      <c r="E28" s="460">
        <f t="shared" si="1"/>
        <v>471427.59103251342</v>
      </c>
      <c r="F28" s="460">
        <f t="shared" si="2"/>
        <v>6636285.3320293967</v>
      </c>
      <c r="G28" s="460">
        <f>F28-E92</f>
        <v>647118.69268150255</v>
      </c>
      <c r="H28" s="460">
        <f t="shared" si="6"/>
        <v>8296.3934959167</v>
      </c>
      <c r="I28" s="461"/>
      <c r="K28" s="461">
        <f t="shared" si="3"/>
        <v>6636285.3320293967</v>
      </c>
      <c r="L28" s="461">
        <f>D104</f>
        <v>6636285.3320293976</v>
      </c>
      <c r="M28" s="461">
        <f t="shared" si="4"/>
        <v>0</v>
      </c>
    </row>
    <row r="29" spans="1:22" x14ac:dyDescent="0.2">
      <c r="B29" s="145">
        <v>2011</v>
      </c>
      <c r="C29" s="460">
        <f>H19</f>
        <v>7281641.8987394981</v>
      </c>
      <c r="D29" s="460">
        <f t="shared" si="5"/>
        <v>173928.97567758802</v>
      </c>
      <c r="E29" s="460">
        <f t="shared" si="1"/>
        <v>86964.487838794012</v>
      </c>
      <c r="F29" s="460">
        <f t="shared" si="2"/>
        <v>7194677.4109007046</v>
      </c>
      <c r="G29" s="460">
        <f>F29-E104</f>
        <v>10830.108140802011</v>
      </c>
      <c r="H29" s="460">
        <f t="shared" si="6"/>
        <v>138.84754026669245</v>
      </c>
      <c r="I29" s="461"/>
      <c r="K29" s="461">
        <f t="shared" si="3"/>
        <v>7194677.4109007046</v>
      </c>
      <c r="L29" s="461">
        <f>D116</f>
        <v>7194677.4109007055</v>
      </c>
      <c r="M29" s="461">
        <f t="shared" si="4"/>
        <v>0</v>
      </c>
    </row>
    <row r="30" spans="1:22" x14ac:dyDescent="0.2">
      <c r="B30" s="145">
        <v>2012</v>
      </c>
      <c r="C30" s="460">
        <f>I19</f>
        <v>8401926.7084699739</v>
      </c>
      <c r="D30" s="460">
        <f t="shared" si="5"/>
        <v>1120284.8097304758</v>
      </c>
      <c r="E30" s="460">
        <f t="shared" si="1"/>
        <v>560142.40486523788</v>
      </c>
      <c r="F30" s="460">
        <f t="shared" si="2"/>
        <v>7841784.303604736</v>
      </c>
      <c r="G30" s="460">
        <f>F30-E116</f>
        <v>637942.9550464293</v>
      </c>
      <c r="H30" s="460">
        <f t="shared" si="6"/>
        <v>8178.7558339285806</v>
      </c>
      <c r="I30" s="461"/>
      <c r="K30" s="461">
        <f t="shared" si="3"/>
        <v>7841784.303604736</v>
      </c>
      <c r="L30" s="461">
        <f>D128</f>
        <v>7841784.3036047369</v>
      </c>
      <c r="M30" s="461">
        <f t="shared" si="4"/>
        <v>0</v>
      </c>
    </row>
    <row r="31" spans="1:22" x14ac:dyDescent="0.2">
      <c r="B31" s="145">
        <v>2013</v>
      </c>
      <c r="C31" s="460">
        <f>J19</f>
        <v>10645145.485622261</v>
      </c>
      <c r="D31" s="460">
        <f t="shared" si="5"/>
        <v>2243218.7771522868</v>
      </c>
      <c r="E31" s="460">
        <f t="shared" si="1"/>
        <v>1121609.3885761434</v>
      </c>
      <c r="F31" s="460">
        <f t="shared" si="2"/>
        <v>9523536.0970461182</v>
      </c>
      <c r="G31" s="460">
        <f>F31-E128</f>
        <v>1141953.9084020946</v>
      </c>
      <c r="H31" s="460">
        <f t="shared" si="6"/>
        <v>14640.434723103777</v>
      </c>
      <c r="I31" s="461"/>
      <c r="K31" s="461">
        <f t="shared" si="3"/>
        <v>9523536.0970461182</v>
      </c>
      <c r="L31" s="461">
        <f>D140</f>
        <v>9523536.0970461164</v>
      </c>
      <c r="M31" s="461">
        <f t="shared" si="4"/>
        <v>0</v>
      </c>
    </row>
    <row r="32" spans="1:22" x14ac:dyDescent="0.2">
      <c r="B32" s="145">
        <v>2014</v>
      </c>
      <c r="C32" s="460">
        <f>K19</f>
        <v>13349269.536998011</v>
      </c>
      <c r="D32" s="460">
        <f t="shared" si="5"/>
        <v>2704124.0513757505</v>
      </c>
      <c r="E32" s="460">
        <f t="shared" si="1"/>
        <v>1352062.0256878752</v>
      </c>
      <c r="F32" s="460">
        <f t="shared" si="2"/>
        <v>11997207.511310136</v>
      </c>
      <c r="G32" s="460">
        <f>F32-E140</f>
        <v>1507402.7225391697</v>
      </c>
      <c r="H32" s="460">
        <f t="shared" si="6"/>
        <v>19325.675929989357</v>
      </c>
      <c r="I32" s="461"/>
      <c r="K32" s="461">
        <f t="shared" si="3"/>
        <v>11997207.511310136</v>
      </c>
      <c r="L32" s="461">
        <f>D152</f>
        <v>11997207.51131013</v>
      </c>
      <c r="M32" s="461">
        <f t="shared" si="4"/>
        <v>0</v>
      </c>
    </row>
    <row r="33" spans="2:14" x14ac:dyDescent="0.2">
      <c r="B33" s="145">
        <v>2015</v>
      </c>
      <c r="C33" s="460">
        <f>L19</f>
        <v>21496138.041428931</v>
      </c>
      <c r="D33" s="460">
        <f t="shared" si="5"/>
        <v>8146868.5044309199</v>
      </c>
      <c r="E33" s="460">
        <f t="shared" si="1"/>
        <v>4073434.2522154599</v>
      </c>
      <c r="F33" s="460">
        <f t="shared" si="2"/>
        <v>17422703.789213471</v>
      </c>
      <c r="G33" s="460">
        <f>F33-E152</f>
        <v>4150001.6665240396</v>
      </c>
      <c r="H33" s="460">
        <f t="shared" si="6"/>
        <v>53205.14957082102</v>
      </c>
      <c r="I33" s="461"/>
      <c r="K33" s="461">
        <f t="shared" si="3"/>
        <v>17422703.789213471</v>
      </c>
      <c r="L33" s="461">
        <f>D164</f>
        <v>17422703.789213475</v>
      </c>
      <c r="M33" s="461">
        <f t="shared" si="4"/>
        <v>0</v>
      </c>
    </row>
    <row r="34" spans="2:14" x14ac:dyDescent="0.2">
      <c r="B34" s="145">
        <v>2016</v>
      </c>
      <c r="C34" s="460">
        <f>M19</f>
        <v>28799314.602975767</v>
      </c>
      <c r="D34" s="460">
        <f t="shared" si="5"/>
        <v>7303176.561546836</v>
      </c>
      <c r="E34" s="460">
        <f t="shared" si="1"/>
        <v>3651588.280773418</v>
      </c>
      <c r="F34" s="460">
        <f t="shared" si="2"/>
        <v>25147726.322202347</v>
      </c>
      <c r="G34" s="460">
        <f>F34-E164</f>
        <v>4213482.6613146812</v>
      </c>
      <c r="H34" s="460">
        <f t="shared" si="6"/>
        <v>54019.008478393349</v>
      </c>
      <c r="I34" s="461"/>
      <c r="K34" s="461">
        <f t="shared" si="3"/>
        <v>25147726.322202347</v>
      </c>
      <c r="L34" s="461">
        <f>D176</f>
        <v>25147726.322202347</v>
      </c>
      <c r="M34" s="461">
        <f t="shared" si="4"/>
        <v>0</v>
      </c>
    </row>
    <row r="35" spans="2:14" x14ac:dyDescent="0.2">
      <c r="B35" s="145">
        <v>2017</v>
      </c>
      <c r="C35" s="460">
        <f>N19</f>
        <v>34837644.305076636</v>
      </c>
      <c r="D35" s="460">
        <f t="shared" si="5"/>
        <v>6038329.7021008693</v>
      </c>
      <c r="E35" s="460">
        <f t="shared" si="1"/>
        <v>3019164.8510504346</v>
      </c>
      <c r="F35" s="460">
        <f t="shared" si="2"/>
        <v>31818479.4540262</v>
      </c>
      <c r="G35" s="460">
        <f>F35-E176</f>
        <v>3105498.5722498968</v>
      </c>
      <c r="H35" s="460">
        <f t="shared" si="6"/>
        <v>39814.084259614065</v>
      </c>
      <c r="I35" s="461"/>
      <c r="K35" s="461">
        <f t="shared" si="3"/>
        <v>31818479.4540262</v>
      </c>
      <c r="L35" s="461">
        <f>D188</f>
        <v>31818479.454026185</v>
      </c>
      <c r="M35" s="461">
        <f t="shared" si="4"/>
        <v>0</v>
      </c>
    </row>
    <row r="36" spans="2:14" x14ac:dyDescent="0.2">
      <c r="B36" s="145">
        <v>2018</v>
      </c>
      <c r="C36" s="460">
        <f>O19</f>
        <v>37050265.276821092</v>
      </c>
      <c r="D36" s="460">
        <f t="shared" si="5"/>
        <v>2212620.9717444554</v>
      </c>
      <c r="E36" s="460">
        <f t="shared" si="1"/>
        <v>1106310.4858722277</v>
      </c>
      <c r="F36" s="460">
        <f t="shared" si="2"/>
        <v>35943954.790948868</v>
      </c>
      <c r="G36" s="460">
        <f>F36-E188</f>
        <v>1497745.7757881656</v>
      </c>
      <c r="H36" s="460">
        <f t="shared" si="6"/>
        <v>19201.868920361099</v>
      </c>
      <c r="I36" s="461"/>
      <c r="K36" s="461">
        <f t="shared" si="3"/>
        <v>35943954.790948868</v>
      </c>
      <c r="L36" s="461">
        <f>D200</f>
        <v>35943954.790948875</v>
      </c>
      <c r="M36" s="461">
        <f t="shared" si="4"/>
        <v>0</v>
      </c>
    </row>
    <row r="37" spans="2:14" x14ac:dyDescent="0.2">
      <c r="B37" s="145">
        <v>2019</v>
      </c>
      <c r="C37" s="460">
        <f>P19</f>
        <v>37752581.858641185</v>
      </c>
      <c r="D37" s="460">
        <f t="shared" si="5"/>
        <v>702316.5818200931</v>
      </c>
      <c r="E37" s="460">
        <f t="shared" si="1"/>
        <v>351158.29091004655</v>
      </c>
      <c r="F37" s="460">
        <f t="shared" si="2"/>
        <v>37401423.567731142</v>
      </c>
      <c r="G37" s="460">
        <f>F37-E200</f>
        <v>190145.42803843319</v>
      </c>
      <c r="H37" s="460">
        <f t="shared" si="6"/>
        <v>2437.7618979286308</v>
      </c>
      <c r="I37" s="461"/>
      <c r="K37" s="461">
        <f t="shared" si="3"/>
        <v>37401423.567731142</v>
      </c>
      <c r="L37" s="461">
        <f>D212</f>
        <v>37401423.567731135</v>
      </c>
      <c r="M37" s="461">
        <f t="shared" si="4"/>
        <v>0</v>
      </c>
    </row>
    <row r="38" spans="2:14" x14ac:dyDescent="0.2">
      <c r="B38" s="145">
        <v>2020</v>
      </c>
      <c r="C38" s="460">
        <f>Q19</f>
        <v>37075318.824364662</v>
      </c>
      <c r="D38" s="460">
        <f t="shared" si="5"/>
        <v>-677263.0342765227</v>
      </c>
      <c r="E38" s="460">
        <f t="shared" si="1"/>
        <v>-338631.51713826135</v>
      </c>
      <c r="F38" s="460">
        <f t="shared" si="2"/>
        <v>37413950.34150292</v>
      </c>
      <c r="G38" s="460">
        <f>F38-E212</f>
        <v>-148365.51149149984</v>
      </c>
      <c r="H38" s="460">
        <f t="shared" si="6"/>
        <v>-1902.1219421987159</v>
      </c>
      <c r="I38" s="461"/>
      <c r="K38" s="461">
        <f t="shared" si="3"/>
        <v>37413950.34150292</v>
      </c>
      <c r="L38" s="461">
        <f>D224</f>
        <v>37413950.341502912</v>
      </c>
      <c r="M38" s="461">
        <f t="shared" si="4"/>
        <v>0</v>
      </c>
    </row>
    <row r="39" spans="2:14" x14ac:dyDescent="0.2">
      <c r="B39" s="145">
        <v>2021</v>
      </c>
      <c r="C39" s="460">
        <f>R19</f>
        <v>36321197.832161739</v>
      </c>
      <c r="D39" s="460">
        <f t="shared" si="5"/>
        <v>-754120.9922029227</v>
      </c>
      <c r="E39" s="460">
        <f t="shared" si="1"/>
        <v>-377060.49610146135</v>
      </c>
      <c r="F39" s="460">
        <f t="shared" si="2"/>
        <v>36698258.328263201</v>
      </c>
      <c r="G39" s="460">
        <f>F39-E224</f>
        <v>-590151.96505458653</v>
      </c>
      <c r="H39" s="460">
        <f t="shared" si="6"/>
        <v>-7566.0508340331608</v>
      </c>
      <c r="I39" s="461"/>
      <c r="K39" s="461">
        <f t="shared" si="3"/>
        <v>36698258.328263201</v>
      </c>
      <c r="L39" s="461">
        <f>D236</f>
        <v>36698258.328263208</v>
      </c>
      <c r="M39" s="461">
        <f t="shared" si="4"/>
        <v>0</v>
      </c>
    </row>
    <row r="40" spans="2:14" x14ac:dyDescent="0.2">
      <c r="B40" s="145">
        <v>2022</v>
      </c>
      <c r="C40" s="460">
        <f>S19</f>
        <v>35093488.044296704</v>
      </c>
      <c r="D40" s="460">
        <f t="shared" si="5"/>
        <v>-1227709.7878650352</v>
      </c>
      <c r="E40" s="460">
        <f t="shared" si="1"/>
        <v>-613854.89393251762</v>
      </c>
      <c r="F40" s="460">
        <f t="shared" si="2"/>
        <v>35707342.938229218</v>
      </c>
      <c r="G40" s="460">
        <f>F40-E236</f>
        <v>-491556.03498779237</v>
      </c>
      <c r="H40" s="460">
        <f t="shared" si="6"/>
        <v>-6302.0004485614409</v>
      </c>
      <c r="I40" s="461"/>
      <c r="K40" s="461">
        <f t="shared" si="3"/>
        <v>35707342.938229218</v>
      </c>
      <c r="L40" s="461">
        <f>D248</f>
        <v>35707342.938229233</v>
      </c>
      <c r="M40" s="461">
        <f t="shared" si="4"/>
        <v>0</v>
      </c>
    </row>
    <row r="44" spans="2:14" ht="38.25" x14ac:dyDescent="0.2">
      <c r="C44" s="459" t="s">
        <v>229</v>
      </c>
      <c r="G44" s="145">
        <v>2006</v>
      </c>
      <c r="H44" s="145">
        <v>2007</v>
      </c>
      <c r="I44" s="145">
        <v>2008</v>
      </c>
      <c r="J44" s="145">
        <v>2009</v>
      </c>
      <c r="K44" s="145">
        <v>2010</v>
      </c>
      <c r="L44" s="145">
        <v>2011</v>
      </c>
      <c r="M44" s="145">
        <v>2012</v>
      </c>
      <c r="N44" s="145">
        <v>2013</v>
      </c>
    </row>
    <row r="45" spans="2:14" x14ac:dyDescent="0.2">
      <c r="B45" s="462">
        <v>38718</v>
      </c>
      <c r="C45" s="461">
        <f>H24</f>
        <v>8631.8958922441925</v>
      </c>
      <c r="F45" s="144" t="s">
        <v>172</v>
      </c>
      <c r="G45" s="460">
        <f>C45</f>
        <v>8631.8958922441925</v>
      </c>
      <c r="H45" s="460">
        <f>C57</f>
        <v>122695.06721531101</v>
      </c>
      <c r="I45" s="460">
        <f>C69</f>
        <v>337773.90784428187</v>
      </c>
      <c r="J45" s="460">
        <f>C81</f>
        <v>400054.72080696304</v>
      </c>
      <c r="K45" s="460">
        <f>C93</f>
        <v>507393.61344157456</v>
      </c>
      <c r="L45" s="460">
        <f>C105</f>
        <v>598792.7894369252</v>
      </c>
      <c r="M45" s="460">
        <f>C117</f>
        <v>608498.86821378744</v>
      </c>
      <c r="N45" s="460">
        <f>C129</f>
        <v>713105.6171101057</v>
      </c>
    </row>
    <row r="46" spans="2:14" x14ac:dyDescent="0.2">
      <c r="B46" s="462">
        <v>38749</v>
      </c>
      <c r="C46" s="461">
        <f>C45+$H$24</f>
        <v>17263.791784488385</v>
      </c>
      <c r="F46" s="144" t="s">
        <v>173</v>
      </c>
      <c r="G46" s="460">
        <f t="shared" ref="G46:G56" si="7">C46</f>
        <v>17263.791784488385</v>
      </c>
      <c r="H46" s="460">
        <f t="shared" ref="H46:H56" si="8">C58</f>
        <v>141807.38372369169</v>
      </c>
      <c r="I46" s="460">
        <f t="shared" ref="I46:I56" si="9">C70</f>
        <v>342617.26688106533</v>
      </c>
      <c r="J46" s="460">
        <f t="shared" ref="J46:J56" si="10">C82</f>
        <v>409058.58436502621</v>
      </c>
      <c r="K46" s="460">
        <f t="shared" ref="K46:K56" si="11">C94</f>
        <v>515690.00693749124</v>
      </c>
      <c r="L46" s="460">
        <f t="shared" ref="L46:L56" si="12">C106</f>
        <v>598931.6369771919</v>
      </c>
      <c r="M46" s="460">
        <f t="shared" ref="M46:M56" si="13">C118</f>
        <v>616677.62404771603</v>
      </c>
      <c r="N46" s="460">
        <f t="shared" ref="N46:N56" si="14">C130</f>
        <v>727746.05183320947</v>
      </c>
    </row>
    <row r="47" spans="2:14" x14ac:dyDescent="0.2">
      <c r="B47" s="462">
        <v>38777</v>
      </c>
      <c r="C47" s="461">
        <f t="shared" ref="C47:C56" si="15">C46+$H$24</f>
        <v>25895.687676732578</v>
      </c>
      <c r="F47" s="144" t="s">
        <v>174</v>
      </c>
      <c r="G47" s="460">
        <f t="shared" si="7"/>
        <v>25895.687676732578</v>
      </c>
      <c r="H47" s="460">
        <f t="shared" si="8"/>
        <v>160919.70023207235</v>
      </c>
      <c r="I47" s="460">
        <f t="shared" si="9"/>
        <v>347460.62591784878</v>
      </c>
      <c r="J47" s="460">
        <f t="shared" si="10"/>
        <v>418062.44792308938</v>
      </c>
      <c r="K47" s="460">
        <f t="shared" si="11"/>
        <v>523986.40043340792</v>
      </c>
      <c r="L47" s="460">
        <f t="shared" si="12"/>
        <v>599070.48451745859</v>
      </c>
      <c r="M47" s="460">
        <f t="shared" si="13"/>
        <v>624856.37988164462</v>
      </c>
      <c r="N47" s="460">
        <f t="shared" si="14"/>
        <v>742386.48655631323</v>
      </c>
    </row>
    <row r="48" spans="2:14" x14ac:dyDescent="0.2">
      <c r="B48" s="462">
        <v>38808</v>
      </c>
      <c r="C48" s="461">
        <f t="shared" si="15"/>
        <v>34527.58356897677</v>
      </c>
      <c r="F48" s="144" t="s">
        <v>175</v>
      </c>
      <c r="G48" s="460">
        <f t="shared" si="7"/>
        <v>34527.58356897677</v>
      </c>
      <c r="H48" s="460">
        <f t="shared" si="8"/>
        <v>180032.01674045302</v>
      </c>
      <c r="I48" s="460">
        <f t="shared" si="9"/>
        <v>352303.98495463224</v>
      </c>
      <c r="J48" s="460">
        <f t="shared" si="10"/>
        <v>427066.31148115254</v>
      </c>
      <c r="K48" s="460">
        <f t="shared" si="11"/>
        <v>532282.7939293246</v>
      </c>
      <c r="L48" s="460">
        <f t="shared" si="12"/>
        <v>599209.33205772529</v>
      </c>
      <c r="M48" s="460">
        <f t="shared" si="13"/>
        <v>633035.13571557321</v>
      </c>
      <c r="N48" s="460">
        <f t="shared" si="14"/>
        <v>757026.921279417</v>
      </c>
    </row>
    <row r="49" spans="2:15" x14ac:dyDescent="0.2">
      <c r="B49" s="462">
        <v>38838</v>
      </c>
      <c r="C49" s="461">
        <f t="shared" si="15"/>
        <v>43159.479461220966</v>
      </c>
      <c r="F49" s="144" t="s">
        <v>69</v>
      </c>
      <c r="G49" s="460">
        <f t="shared" si="7"/>
        <v>43159.479461220966</v>
      </c>
      <c r="H49" s="460">
        <f t="shared" si="8"/>
        <v>199144.33324883369</v>
      </c>
      <c r="I49" s="460">
        <f t="shared" si="9"/>
        <v>357147.34399141569</v>
      </c>
      <c r="J49" s="460">
        <f t="shared" si="10"/>
        <v>436070.17503921571</v>
      </c>
      <c r="K49" s="460">
        <f t="shared" si="11"/>
        <v>540579.18742524134</v>
      </c>
      <c r="L49" s="460">
        <f t="shared" si="12"/>
        <v>599348.17959799198</v>
      </c>
      <c r="M49" s="460">
        <f t="shared" si="13"/>
        <v>641213.8915495018</v>
      </c>
      <c r="N49" s="460">
        <f t="shared" si="14"/>
        <v>771667.35600252077</v>
      </c>
    </row>
    <row r="50" spans="2:15" x14ac:dyDescent="0.2">
      <c r="B50" s="462">
        <v>38869</v>
      </c>
      <c r="C50" s="461">
        <f t="shared" si="15"/>
        <v>51791.375353465162</v>
      </c>
      <c r="F50" s="144" t="s">
        <v>68</v>
      </c>
      <c r="G50" s="460">
        <f t="shared" si="7"/>
        <v>51791.375353465162</v>
      </c>
      <c r="H50" s="460">
        <f t="shared" si="8"/>
        <v>218256.64975721436</v>
      </c>
      <c r="I50" s="460">
        <f t="shared" si="9"/>
        <v>361990.70302819915</v>
      </c>
      <c r="J50" s="460">
        <f t="shared" si="10"/>
        <v>445074.03859727888</v>
      </c>
      <c r="K50" s="460">
        <f t="shared" si="11"/>
        <v>548875.58092115808</v>
      </c>
      <c r="L50" s="460">
        <f t="shared" si="12"/>
        <v>599487.02713825868</v>
      </c>
      <c r="M50" s="460">
        <f t="shared" si="13"/>
        <v>649392.64738343039</v>
      </c>
      <c r="N50" s="460">
        <f t="shared" si="14"/>
        <v>786307.79072562454</v>
      </c>
    </row>
    <row r="51" spans="2:15" x14ac:dyDescent="0.2">
      <c r="B51" s="462">
        <v>38899</v>
      </c>
      <c r="C51" s="461">
        <f t="shared" si="15"/>
        <v>60423.271245709358</v>
      </c>
      <c r="F51" s="144" t="s">
        <v>177</v>
      </c>
      <c r="G51" s="460">
        <f t="shared" si="7"/>
        <v>60423.271245709358</v>
      </c>
      <c r="H51" s="460">
        <f t="shared" si="8"/>
        <v>237368.96626559502</v>
      </c>
      <c r="I51" s="460">
        <f t="shared" si="9"/>
        <v>366834.0620649826</v>
      </c>
      <c r="J51" s="460">
        <f t="shared" si="10"/>
        <v>454077.90215534205</v>
      </c>
      <c r="K51" s="460">
        <f t="shared" si="11"/>
        <v>557171.97441707482</v>
      </c>
      <c r="L51" s="460">
        <f t="shared" si="12"/>
        <v>599625.87467852538</v>
      </c>
      <c r="M51" s="460">
        <f t="shared" si="13"/>
        <v>657571.40321735898</v>
      </c>
      <c r="N51" s="460">
        <f t="shared" si="14"/>
        <v>800948.22544872831</v>
      </c>
    </row>
    <row r="52" spans="2:15" x14ac:dyDescent="0.2">
      <c r="B52" s="462">
        <v>38930</v>
      </c>
      <c r="C52" s="461">
        <f t="shared" si="15"/>
        <v>69055.167137953555</v>
      </c>
      <c r="F52" s="144" t="s">
        <v>178</v>
      </c>
      <c r="G52" s="460">
        <f t="shared" si="7"/>
        <v>69055.167137953555</v>
      </c>
      <c r="H52" s="460">
        <f t="shared" si="8"/>
        <v>256481.28277397569</v>
      </c>
      <c r="I52" s="460">
        <f t="shared" si="9"/>
        <v>371677.42110176606</v>
      </c>
      <c r="J52" s="460">
        <f t="shared" si="10"/>
        <v>463081.76571340521</v>
      </c>
      <c r="K52" s="460">
        <f t="shared" si="11"/>
        <v>565468.36791299155</v>
      </c>
      <c r="L52" s="460">
        <f t="shared" si="12"/>
        <v>599764.72221879207</v>
      </c>
      <c r="M52" s="460">
        <f t="shared" si="13"/>
        <v>665750.15905128757</v>
      </c>
      <c r="N52" s="460">
        <f t="shared" si="14"/>
        <v>815588.66017183207</v>
      </c>
    </row>
    <row r="53" spans="2:15" x14ac:dyDescent="0.2">
      <c r="B53" s="462">
        <v>38961</v>
      </c>
      <c r="C53" s="461">
        <f t="shared" si="15"/>
        <v>77687.063030197751</v>
      </c>
      <c r="F53" s="144" t="s">
        <v>230</v>
      </c>
      <c r="G53" s="460">
        <f t="shared" si="7"/>
        <v>77687.063030197751</v>
      </c>
      <c r="H53" s="460">
        <f t="shared" si="8"/>
        <v>275593.59928235633</v>
      </c>
      <c r="I53" s="460">
        <f t="shared" si="9"/>
        <v>376520.78013854951</v>
      </c>
      <c r="J53" s="460">
        <f t="shared" si="10"/>
        <v>472085.62927146838</v>
      </c>
      <c r="K53" s="460">
        <f t="shared" si="11"/>
        <v>573764.76140890829</v>
      </c>
      <c r="L53" s="460">
        <f t="shared" si="12"/>
        <v>599903.56975905877</v>
      </c>
      <c r="M53" s="460">
        <f t="shared" si="13"/>
        <v>673928.91488521616</v>
      </c>
      <c r="N53" s="460">
        <f t="shared" si="14"/>
        <v>830229.09489493584</v>
      </c>
    </row>
    <row r="54" spans="2:15" x14ac:dyDescent="0.2">
      <c r="B54" s="462">
        <v>38991</v>
      </c>
      <c r="C54" s="461">
        <f t="shared" si="15"/>
        <v>86318.958922441947</v>
      </c>
      <c r="F54" s="144" t="s">
        <v>180</v>
      </c>
      <c r="G54" s="460">
        <f t="shared" si="7"/>
        <v>86318.958922441947</v>
      </c>
      <c r="H54" s="460">
        <f t="shared" si="8"/>
        <v>294705.91579073702</v>
      </c>
      <c r="I54" s="460">
        <f t="shared" si="9"/>
        <v>381364.13917533297</v>
      </c>
      <c r="J54" s="460">
        <f t="shared" si="10"/>
        <v>481089.49282953155</v>
      </c>
      <c r="K54" s="460">
        <f t="shared" si="11"/>
        <v>582061.15490482503</v>
      </c>
      <c r="L54" s="460">
        <f t="shared" si="12"/>
        <v>600042.41729932546</v>
      </c>
      <c r="M54" s="460">
        <f t="shared" si="13"/>
        <v>682107.67071914475</v>
      </c>
      <c r="N54" s="460">
        <f t="shared" si="14"/>
        <v>844869.52961803961</v>
      </c>
    </row>
    <row r="55" spans="2:15" x14ac:dyDescent="0.2">
      <c r="B55" s="462">
        <v>39022</v>
      </c>
      <c r="C55" s="461">
        <f t="shared" si="15"/>
        <v>94950.854814686143</v>
      </c>
      <c r="F55" s="144" t="s">
        <v>181</v>
      </c>
      <c r="G55" s="460">
        <f t="shared" si="7"/>
        <v>94950.854814686143</v>
      </c>
      <c r="H55" s="460">
        <f t="shared" si="8"/>
        <v>313818.23229911772</v>
      </c>
      <c r="I55" s="460">
        <f t="shared" si="9"/>
        <v>386207.49821211642</v>
      </c>
      <c r="J55" s="460">
        <f t="shared" si="10"/>
        <v>490093.35638759471</v>
      </c>
      <c r="K55" s="460">
        <f t="shared" si="11"/>
        <v>590357.54840074177</v>
      </c>
      <c r="L55" s="460">
        <f t="shared" si="12"/>
        <v>600181.26483959216</v>
      </c>
      <c r="M55" s="460">
        <f t="shared" si="13"/>
        <v>690286.42655307334</v>
      </c>
      <c r="N55" s="460">
        <f t="shared" si="14"/>
        <v>859509.96434114338</v>
      </c>
    </row>
    <row r="56" spans="2:15" x14ac:dyDescent="0.2">
      <c r="B56" s="462">
        <v>39052</v>
      </c>
      <c r="C56" s="461">
        <f t="shared" si="15"/>
        <v>103582.75070693034</v>
      </c>
      <c r="D56" s="461">
        <f>SUM(C45:C56)</f>
        <v>673287.8795950471</v>
      </c>
      <c r="E56" s="461">
        <f>C56*12</f>
        <v>1242993.008483164</v>
      </c>
      <c r="F56" s="144" t="s">
        <v>182</v>
      </c>
      <c r="G56" s="460">
        <f t="shared" si="7"/>
        <v>103582.75070693034</v>
      </c>
      <c r="H56" s="460">
        <f t="shared" si="8"/>
        <v>332930.54880749842</v>
      </c>
      <c r="I56" s="460">
        <f t="shared" si="9"/>
        <v>391050.85724889988</v>
      </c>
      <c r="J56" s="460">
        <f t="shared" si="10"/>
        <v>499097.21994565788</v>
      </c>
      <c r="K56" s="460">
        <f t="shared" si="11"/>
        <v>598653.94189665851</v>
      </c>
      <c r="L56" s="460">
        <f t="shared" si="12"/>
        <v>600320.11237985885</v>
      </c>
      <c r="M56" s="460">
        <f t="shared" si="13"/>
        <v>698465.18238700193</v>
      </c>
      <c r="N56" s="460">
        <f t="shared" si="14"/>
        <v>874150.39906424715</v>
      </c>
    </row>
    <row r="57" spans="2:15" x14ac:dyDescent="0.2">
      <c r="B57" s="462">
        <v>39083</v>
      </c>
      <c r="C57" s="461">
        <f>C56+$H$25</f>
        <v>122695.06721531101</v>
      </c>
    </row>
    <row r="58" spans="2:15" x14ac:dyDescent="0.2">
      <c r="B58" s="462">
        <v>39114</v>
      </c>
      <c r="C58" s="461">
        <f t="shared" ref="C58:C68" si="16">C57+$H$25</f>
        <v>141807.38372369169</v>
      </c>
      <c r="G58" s="145">
        <v>2014</v>
      </c>
      <c r="H58" s="145">
        <v>2015</v>
      </c>
      <c r="I58" s="145">
        <v>2016</v>
      </c>
      <c r="J58" s="145">
        <v>2017</v>
      </c>
      <c r="K58" s="145">
        <v>2018</v>
      </c>
      <c r="L58" s="145">
        <v>2019</v>
      </c>
      <c r="M58" s="145">
        <v>2020</v>
      </c>
      <c r="N58" s="145">
        <v>2021</v>
      </c>
      <c r="O58" s="145">
        <v>2022</v>
      </c>
    </row>
    <row r="59" spans="2:15" x14ac:dyDescent="0.2">
      <c r="B59" s="462">
        <v>39142</v>
      </c>
      <c r="C59" s="461">
        <f t="shared" si="16"/>
        <v>160919.70023207235</v>
      </c>
      <c r="G59" s="460">
        <f t="shared" ref="G59:G70" si="17">C141</f>
        <v>893476.07499423646</v>
      </c>
      <c r="H59" s="460">
        <f t="shared" ref="H59:H70" si="18">C153</f>
        <v>1159263.6597949404</v>
      </c>
      <c r="I59" s="460">
        <f t="shared" ref="I59:I70" si="19">C165</f>
        <v>1798539.3135523656</v>
      </c>
      <c r="J59" s="460">
        <f t="shared" ref="J59:J70" si="20">C177</f>
        <v>2432562.491074306</v>
      </c>
      <c r="K59" s="460">
        <f t="shared" ref="K59:K70" si="21">C189</f>
        <v>2889719.2868504198</v>
      </c>
      <c r="L59" s="460">
        <f t="shared" ref="L59:L70" si="22">C201</f>
        <v>3103377.6068723211</v>
      </c>
      <c r="M59" s="460">
        <f t="shared" ref="M59:M70" si="23">C213</f>
        <v>3128290.8658073363</v>
      </c>
      <c r="N59" s="460">
        <f t="shared" ref="N59:N70" si="24">C225</f>
        <v>3099801.4736091159</v>
      </c>
      <c r="O59" s="460">
        <f t="shared" ref="O59:O70" si="25">C237</f>
        <v>3010272.9139861898</v>
      </c>
    </row>
    <row r="60" spans="2:15" x14ac:dyDescent="0.2">
      <c r="B60" s="462">
        <v>39173</v>
      </c>
      <c r="C60" s="461">
        <f t="shared" si="16"/>
        <v>180032.01674045302</v>
      </c>
      <c r="G60" s="460">
        <f t="shared" si="17"/>
        <v>912801.75092422578</v>
      </c>
      <c r="H60" s="460">
        <f t="shared" si="18"/>
        <v>1212468.8093657615</v>
      </c>
      <c r="I60" s="460">
        <f t="shared" si="19"/>
        <v>1852558.322030759</v>
      </c>
      <c r="J60" s="460">
        <f t="shared" si="20"/>
        <v>2472376.5753339198</v>
      </c>
      <c r="K60" s="460">
        <f t="shared" si="21"/>
        <v>2908921.155770781</v>
      </c>
      <c r="L60" s="460">
        <f t="shared" si="22"/>
        <v>3105815.3687702497</v>
      </c>
      <c r="M60" s="460">
        <f t="shared" si="23"/>
        <v>3126388.7438651375</v>
      </c>
      <c r="N60" s="460">
        <f t="shared" si="24"/>
        <v>3092235.4227750828</v>
      </c>
      <c r="O60" s="460">
        <f t="shared" si="25"/>
        <v>3003970.9135376285</v>
      </c>
    </row>
    <row r="61" spans="2:15" x14ac:dyDescent="0.2">
      <c r="B61" s="462">
        <v>39203</v>
      </c>
      <c r="C61" s="461">
        <f t="shared" si="16"/>
        <v>199144.33324883369</v>
      </c>
      <c r="G61" s="460">
        <f t="shared" si="17"/>
        <v>932127.4268542151</v>
      </c>
      <c r="H61" s="460">
        <f t="shared" si="18"/>
        <v>1265673.9589365826</v>
      </c>
      <c r="I61" s="460">
        <f t="shared" si="19"/>
        <v>1906577.3305091523</v>
      </c>
      <c r="J61" s="460">
        <f t="shared" si="20"/>
        <v>2512190.6595935337</v>
      </c>
      <c r="K61" s="460">
        <f t="shared" si="21"/>
        <v>2928123.0246911421</v>
      </c>
      <c r="L61" s="460">
        <f t="shared" si="22"/>
        <v>3108253.1306681782</v>
      </c>
      <c r="M61" s="460">
        <f t="shared" si="23"/>
        <v>3124486.6219229386</v>
      </c>
      <c r="N61" s="460">
        <f t="shared" si="24"/>
        <v>3084669.3719410496</v>
      </c>
      <c r="O61" s="460">
        <f t="shared" si="25"/>
        <v>2997668.9130890672</v>
      </c>
    </row>
    <row r="62" spans="2:15" x14ac:dyDescent="0.2">
      <c r="B62" s="462">
        <v>39234</v>
      </c>
      <c r="C62" s="461">
        <f t="shared" si="16"/>
        <v>218256.64975721436</v>
      </c>
      <c r="G62" s="460">
        <f t="shared" si="17"/>
        <v>951453.10278420441</v>
      </c>
      <c r="H62" s="460">
        <f t="shared" si="18"/>
        <v>1318879.1085074036</v>
      </c>
      <c r="I62" s="460">
        <f t="shared" si="19"/>
        <v>1960596.3389875456</v>
      </c>
      <c r="J62" s="460">
        <f t="shared" si="20"/>
        <v>2552004.7438531476</v>
      </c>
      <c r="K62" s="460">
        <f t="shared" si="21"/>
        <v>2947324.8936115033</v>
      </c>
      <c r="L62" s="460">
        <f t="shared" si="22"/>
        <v>3110690.8925661067</v>
      </c>
      <c r="M62" s="460">
        <f t="shared" si="23"/>
        <v>3122584.4999807398</v>
      </c>
      <c r="N62" s="460">
        <f t="shared" si="24"/>
        <v>3077103.3211070164</v>
      </c>
      <c r="O62" s="460">
        <f t="shared" si="25"/>
        <v>2991366.9126405059</v>
      </c>
    </row>
    <row r="63" spans="2:15" x14ac:dyDescent="0.2">
      <c r="B63" s="462">
        <v>39264</v>
      </c>
      <c r="C63" s="461">
        <f t="shared" si="16"/>
        <v>237368.96626559502</v>
      </c>
      <c r="G63" s="460">
        <f t="shared" si="17"/>
        <v>970778.77871419373</v>
      </c>
      <c r="H63" s="460">
        <f t="shared" si="18"/>
        <v>1372084.2580782247</v>
      </c>
      <c r="I63" s="460">
        <f t="shared" si="19"/>
        <v>2014615.3474659389</v>
      </c>
      <c r="J63" s="460">
        <f t="shared" si="20"/>
        <v>2591818.8281127615</v>
      </c>
      <c r="K63" s="460">
        <f t="shared" si="21"/>
        <v>2966526.7625318645</v>
      </c>
      <c r="L63" s="460">
        <f t="shared" si="22"/>
        <v>3113128.6544640353</v>
      </c>
      <c r="M63" s="460">
        <f t="shared" si="23"/>
        <v>3120682.3780385409</v>
      </c>
      <c r="N63" s="460">
        <f t="shared" si="24"/>
        <v>3069537.2702729832</v>
      </c>
      <c r="O63" s="460">
        <f t="shared" si="25"/>
        <v>2985064.9121919447</v>
      </c>
    </row>
    <row r="64" spans="2:15" x14ac:dyDescent="0.2">
      <c r="B64" s="462">
        <v>39295</v>
      </c>
      <c r="C64" s="461">
        <f t="shared" si="16"/>
        <v>256481.28277397569</v>
      </c>
      <c r="G64" s="460">
        <f t="shared" si="17"/>
        <v>990104.45464418305</v>
      </c>
      <c r="H64" s="460">
        <f t="shared" si="18"/>
        <v>1425289.4076490458</v>
      </c>
      <c r="I64" s="460">
        <f t="shared" si="19"/>
        <v>2068634.3559443322</v>
      </c>
      <c r="J64" s="460">
        <f t="shared" si="20"/>
        <v>2631632.9123723754</v>
      </c>
      <c r="K64" s="460">
        <f t="shared" si="21"/>
        <v>2985728.6314522256</v>
      </c>
      <c r="L64" s="460">
        <f t="shared" si="22"/>
        <v>3115566.4163619638</v>
      </c>
      <c r="M64" s="460">
        <f t="shared" si="23"/>
        <v>3118780.2560963421</v>
      </c>
      <c r="N64" s="460">
        <f t="shared" si="24"/>
        <v>3061971.2194389501</v>
      </c>
      <c r="O64" s="460">
        <f t="shared" si="25"/>
        <v>2978762.9117433834</v>
      </c>
    </row>
    <row r="65" spans="2:15" x14ac:dyDescent="0.2">
      <c r="B65" s="462">
        <v>39326</v>
      </c>
      <c r="C65" s="461">
        <f t="shared" si="16"/>
        <v>275593.59928235633</v>
      </c>
      <c r="G65" s="460">
        <f t="shared" si="17"/>
        <v>1009430.1305741724</v>
      </c>
      <c r="H65" s="460">
        <f t="shared" si="18"/>
        <v>1478494.5572198669</v>
      </c>
      <c r="I65" s="460">
        <f t="shared" si="19"/>
        <v>2122653.3644227255</v>
      </c>
      <c r="J65" s="460">
        <f t="shared" si="20"/>
        <v>2671446.9966319893</v>
      </c>
      <c r="K65" s="460">
        <f t="shared" si="21"/>
        <v>3004930.5003725868</v>
      </c>
      <c r="L65" s="460">
        <f t="shared" si="22"/>
        <v>3118004.1782598924</v>
      </c>
      <c r="M65" s="460">
        <f t="shared" si="23"/>
        <v>3116878.1341541433</v>
      </c>
      <c r="N65" s="460">
        <f t="shared" si="24"/>
        <v>3054405.1686049169</v>
      </c>
      <c r="O65" s="460">
        <f t="shared" si="25"/>
        <v>2972460.9112948221</v>
      </c>
    </row>
    <row r="66" spans="2:15" x14ac:dyDescent="0.2">
      <c r="B66" s="462">
        <v>39356</v>
      </c>
      <c r="C66" s="461">
        <f t="shared" si="16"/>
        <v>294705.91579073702</v>
      </c>
      <c r="G66" s="460">
        <f t="shared" si="17"/>
        <v>1028755.8065041617</v>
      </c>
      <c r="H66" s="460">
        <f t="shared" si="18"/>
        <v>1531699.706790688</v>
      </c>
      <c r="I66" s="460">
        <f t="shared" si="19"/>
        <v>2176672.3729011188</v>
      </c>
      <c r="J66" s="460">
        <f t="shared" si="20"/>
        <v>2711261.0808916031</v>
      </c>
      <c r="K66" s="460">
        <f t="shared" si="21"/>
        <v>3024132.3692929479</v>
      </c>
      <c r="L66" s="460">
        <f t="shared" si="22"/>
        <v>3120441.9401578209</v>
      </c>
      <c r="M66" s="460">
        <f t="shared" si="23"/>
        <v>3114976.0122119444</v>
      </c>
      <c r="N66" s="460">
        <f t="shared" si="24"/>
        <v>3046839.1177708837</v>
      </c>
      <c r="O66" s="460">
        <f t="shared" si="25"/>
        <v>2966158.9108462608</v>
      </c>
    </row>
    <row r="67" spans="2:15" x14ac:dyDescent="0.2">
      <c r="B67" s="462">
        <v>39387</v>
      </c>
      <c r="C67" s="461">
        <f t="shared" si="16"/>
        <v>313818.23229911772</v>
      </c>
      <c r="G67" s="460">
        <f t="shared" si="17"/>
        <v>1048081.482434151</v>
      </c>
      <c r="H67" s="460">
        <f t="shared" si="18"/>
        <v>1584904.8563615091</v>
      </c>
      <c r="I67" s="460">
        <f t="shared" si="19"/>
        <v>2230691.3813795121</v>
      </c>
      <c r="J67" s="460">
        <f t="shared" si="20"/>
        <v>2751075.165151217</v>
      </c>
      <c r="K67" s="460">
        <f t="shared" si="21"/>
        <v>3043334.2382133091</v>
      </c>
      <c r="L67" s="460">
        <f t="shared" si="22"/>
        <v>3122879.7020557495</v>
      </c>
      <c r="M67" s="460">
        <f t="shared" si="23"/>
        <v>3113073.8902697456</v>
      </c>
      <c r="N67" s="460">
        <f t="shared" si="24"/>
        <v>3039273.0669368505</v>
      </c>
      <c r="O67" s="460">
        <f t="shared" si="25"/>
        <v>2959856.9103976996</v>
      </c>
    </row>
    <row r="68" spans="2:15" x14ac:dyDescent="0.2">
      <c r="B68" s="462">
        <v>39417</v>
      </c>
      <c r="C68" s="461">
        <f t="shared" si="16"/>
        <v>332930.54880749842</v>
      </c>
      <c r="D68" s="461">
        <f>SUM(C57:C68)</f>
        <v>2733753.6961368569</v>
      </c>
      <c r="E68" s="461">
        <f>C68*12</f>
        <v>3995166.585689981</v>
      </c>
      <c r="G68" s="460">
        <f t="shared" si="17"/>
        <v>1067407.1583641404</v>
      </c>
      <c r="H68" s="460">
        <f t="shared" si="18"/>
        <v>1638110.0059323302</v>
      </c>
      <c r="I68" s="460">
        <f t="shared" si="19"/>
        <v>2284710.3898579055</v>
      </c>
      <c r="J68" s="460">
        <f t="shared" si="20"/>
        <v>2790889.2494108309</v>
      </c>
      <c r="K68" s="460">
        <f t="shared" si="21"/>
        <v>3062536.1071336702</v>
      </c>
      <c r="L68" s="460">
        <f t="shared" si="22"/>
        <v>3125317.463953678</v>
      </c>
      <c r="M68" s="460">
        <f t="shared" si="23"/>
        <v>3111171.7683275468</v>
      </c>
      <c r="N68" s="460">
        <f t="shared" si="24"/>
        <v>3031707.0161028174</v>
      </c>
      <c r="O68" s="460">
        <f t="shared" si="25"/>
        <v>2953554.9099491383</v>
      </c>
    </row>
    <row r="69" spans="2:15" x14ac:dyDescent="0.2">
      <c r="B69" s="462">
        <v>39448</v>
      </c>
      <c r="C69" s="461">
        <f>C68+$H$26</f>
        <v>337773.90784428187</v>
      </c>
      <c r="G69" s="460">
        <f t="shared" si="17"/>
        <v>1086732.8342941299</v>
      </c>
      <c r="H69" s="460">
        <f t="shared" si="18"/>
        <v>1691315.1555031512</v>
      </c>
      <c r="I69" s="460">
        <f t="shared" si="19"/>
        <v>2338729.3983362988</v>
      </c>
      <c r="J69" s="460">
        <f t="shared" si="20"/>
        <v>2830703.3336704448</v>
      </c>
      <c r="K69" s="460">
        <f t="shared" si="21"/>
        <v>3081737.9760540314</v>
      </c>
      <c r="L69" s="460">
        <f t="shared" si="22"/>
        <v>3127755.2258516066</v>
      </c>
      <c r="M69" s="460">
        <f t="shared" si="23"/>
        <v>3109269.6463853479</v>
      </c>
      <c r="N69" s="460">
        <f t="shared" si="24"/>
        <v>3024140.9652687842</v>
      </c>
      <c r="O69" s="460">
        <f t="shared" si="25"/>
        <v>2947252.909500577</v>
      </c>
    </row>
    <row r="70" spans="2:15" x14ac:dyDescent="0.2">
      <c r="B70" s="462">
        <v>39479</v>
      </c>
      <c r="C70" s="461">
        <f t="shared" ref="C70:C80" si="26">C69+$H$26</f>
        <v>342617.26688106533</v>
      </c>
      <c r="G70" s="460">
        <f t="shared" si="17"/>
        <v>1106058.5102241193</v>
      </c>
      <c r="H70" s="460">
        <f t="shared" si="18"/>
        <v>1744520.3050739723</v>
      </c>
      <c r="I70" s="460">
        <f t="shared" si="19"/>
        <v>2392748.4068146921</v>
      </c>
      <c r="J70" s="460">
        <f t="shared" si="20"/>
        <v>2870517.4179300587</v>
      </c>
      <c r="K70" s="460">
        <f t="shared" si="21"/>
        <v>3100939.8449743926</v>
      </c>
      <c r="L70" s="460">
        <f t="shared" si="22"/>
        <v>3130192.9877495351</v>
      </c>
      <c r="M70" s="460">
        <f t="shared" si="23"/>
        <v>3107367.5244431491</v>
      </c>
      <c r="N70" s="460">
        <f t="shared" si="24"/>
        <v>3016574.914434751</v>
      </c>
      <c r="O70" s="460">
        <f t="shared" si="25"/>
        <v>2940950.9090520157</v>
      </c>
    </row>
    <row r="71" spans="2:15" x14ac:dyDescent="0.2">
      <c r="B71" s="462">
        <v>39508</v>
      </c>
      <c r="C71" s="461">
        <f t="shared" si="26"/>
        <v>347460.62591784878</v>
      </c>
    </row>
    <row r="72" spans="2:15" x14ac:dyDescent="0.2">
      <c r="B72" s="462">
        <v>39539</v>
      </c>
      <c r="C72" s="461">
        <f t="shared" si="26"/>
        <v>352303.98495463224</v>
      </c>
    </row>
    <row r="73" spans="2:15" x14ac:dyDescent="0.2">
      <c r="B73" s="462">
        <v>39569</v>
      </c>
      <c r="C73" s="461">
        <f t="shared" si="26"/>
        <v>357147.34399141569</v>
      </c>
    </row>
    <row r="74" spans="2:15" x14ac:dyDescent="0.2">
      <c r="B74" s="462">
        <v>39600</v>
      </c>
      <c r="C74" s="461">
        <f t="shared" si="26"/>
        <v>361990.70302819915</v>
      </c>
    </row>
    <row r="75" spans="2:15" x14ac:dyDescent="0.2">
      <c r="B75" s="462">
        <v>39630</v>
      </c>
      <c r="C75" s="461">
        <f t="shared" si="26"/>
        <v>366834.0620649826</v>
      </c>
    </row>
    <row r="76" spans="2:15" x14ac:dyDescent="0.2">
      <c r="B76" s="462">
        <v>39661</v>
      </c>
      <c r="C76" s="461">
        <f t="shared" si="26"/>
        <v>371677.42110176606</v>
      </c>
    </row>
    <row r="77" spans="2:15" x14ac:dyDescent="0.2">
      <c r="B77" s="462">
        <v>39692</v>
      </c>
      <c r="C77" s="461">
        <f t="shared" si="26"/>
        <v>376520.78013854951</v>
      </c>
    </row>
    <row r="78" spans="2:15" x14ac:dyDescent="0.2">
      <c r="B78" s="462">
        <v>39722</v>
      </c>
      <c r="C78" s="461">
        <f t="shared" si="26"/>
        <v>381364.13917533297</v>
      </c>
    </row>
    <row r="79" spans="2:15" x14ac:dyDescent="0.2">
      <c r="B79" s="462">
        <v>39753</v>
      </c>
      <c r="C79" s="461">
        <f t="shared" si="26"/>
        <v>386207.49821211642</v>
      </c>
    </row>
    <row r="80" spans="2:15" x14ac:dyDescent="0.2">
      <c r="B80" s="462">
        <v>39783</v>
      </c>
      <c r="C80" s="461">
        <f t="shared" si="26"/>
        <v>391050.85724889988</v>
      </c>
      <c r="D80" s="461">
        <f>SUM(C69:C80)</f>
        <v>4372948.5905590905</v>
      </c>
      <c r="E80" s="461">
        <f>C80*12</f>
        <v>4692610.286986798</v>
      </c>
    </row>
    <row r="81" spans="2:5" x14ac:dyDescent="0.2">
      <c r="B81" s="462">
        <v>39814</v>
      </c>
      <c r="C81" s="461">
        <f>C80+$H$27</f>
        <v>400054.72080696304</v>
      </c>
    </row>
    <row r="82" spans="2:5" x14ac:dyDescent="0.2">
      <c r="B82" s="462">
        <v>39845</v>
      </c>
      <c r="C82" s="461">
        <f t="shared" ref="C82:C92" si="27">C81+$H$27</f>
        <v>409058.58436502621</v>
      </c>
    </row>
    <row r="83" spans="2:5" x14ac:dyDescent="0.2">
      <c r="B83" s="462">
        <v>39873</v>
      </c>
      <c r="C83" s="461">
        <f t="shared" si="27"/>
        <v>418062.44792308938</v>
      </c>
    </row>
    <row r="84" spans="2:5" x14ac:dyDescent="0.2">
      <c r="B84" s="462">
        <v>39904</v>
      </c>
      <c r="C84" s="461">
        <f t="shared" si="27"/>
        <v>427066.31148115254</v>
      </c>
    </row>
    <row r="85" spans="2:5" x14ac:dyDescent="0.2">
      <c r="B85" s="462">
        <v>39934</v>
      </c>
      <c r="C85" s="461">
        <f t="shared" si="27"/>
        <v>436070.17503921571</v>
      </c>
    </row>
    <row r="86" spans="2:5" x14ac:dyDescent="0.2">
      <c r="B86" s="462">
        <v>39965</v>
      </c>
      <c r="C86" s="461">
        <f t="shared" si="27"/>
        <v>445074.03859727888</v>
      </c>
    </row>
    <row r="87" spans="2:5" x14ac:dyDescent="0.2">
      <c r="B87" s="462">
        <v>39995</v>
      </c>
      <c r="C87" s="461">
        <f t="shared" si="27"/>
        <v>454077.90215534205</v>
      </c>
    </row>
    <row r="88" spans="2:5" x14ac:dyDescent="0.2">
      <c r="B88" s="462">
        <v>40026</v>
      </c>
      <c r="C88" s="461">
        <f t="shared" si="27"/>
        <v>463081.76571340521</v>
      </c>
    </row>
    <row r="89" spans="2:5" x14ac:dyDescent="0.2">
      <c r="B89" s="462">
        <v>40057</v>
      </c>
      <c r="C89" s="461">
        <f t="shared" si="27"/>
        <v>472085.62927146838</v>
      </c>
    </row>
    <row r="90" spans="2:5" x14ac:dyDescent="0.2">
      <c r="B90" s="462">
        <v>40087</v>
      </c>
      <c r="C90" s="461">
        <f t="shared" si="27"/>
        <v>481089.49282953155</v>
      </c>
    </row>
    <row r="91" spans="2:5" x14ac:dyDescent="0.2">
      <c r="B91" s="462">
        <v>40118</v>
      </c>
      <c r="C91" s="461">
        <f t="shared" si="27"/>
        <v>490093.35638759471</v>
      </c>
    </row>
    <row r="92" spans="2:5" x14ac:dyDescent="0.2">
      <c r="B92" s="462">
        <v>40148</v>
      </c>
      <c r="C92" s="461">
        <f t="shared" si="27"/>
        <v>499097.21994565788</v>
      </c>
      <c r="D92" s="461">
        <f>SUM(C81:C92)</f>
        <v>5394911.6445157258</v>
      </c>
      <c r="E92" s="461">
        <f>C92*12</f>
        <v>5989166.6393478941</v>
      </c>
    </row>
    <row r="93" spans="2:5" x14ac:dyDescent="0.2">
      <c r="B93" s="462">
        <v>40179</v>
      </c>
      <c r="C93" s="461">
        <f>C92+$H$28</f>
        <v>507393.61344157456</v>
      </c>
    </row>
    <row r="94" spans="2:5" x14ac:dyDescent="0.2">
      <c r="B94" s="462">
        <v>40210</v>
      </c>
      <c r="C94" s="461">
        <f t="shared" ref="C94:C104" si="28">C93+$H$28</f>
        <v>515690.00693749124</v>
      </c>
    </row>
    <row r="95" spans="2:5" x14ac:dyDescent="0.2">
      <c r="B95" s="462">
        <v>40238</v>
      </c>
      <c r="C95" s="461">
        <f t="shared" si="28"/>
        <v>523986.40043340792</v>
      </c>
    </row>
    <row r="96" spans="2:5" x14ac:dyDescent="0.2">
      <c r="B96" s="462">
        <v>40269</v>
      </c>
      <c r="C96" s="461">
        <f t="shared" si="28"/>
        <v>532282.7939293246</v>
      </c>
    </row>
    <row r="97" spans="2:5" x14ac:dyDescent="0.2">
      <c r="B97" s="462">
        <v>40299</v>
      </c>
      <c r="C97" s="461">
        <f t="shared" si="28"/>
        <v>540579.18742524134</v>
      </c>
    </row>
    <row r="98" spans="2:5" x14ac:dyDescent="0.2">
      <c r="B98" s="462">
        <v>40330</v>
      </c>
      <c r="C98" s="461">
        <f t="shared" si="28"/>
        <v>548875.58092115808</v>
      </c>
    </row>
    <row r="99" spans="2:5" x14ac:dyDescent="0.2">
      <c r="B99" s="462">
        <v>40360</v>
      </c>
      <c r="C99" s="461">
        <f t="shared" si="28"/>
        <v>557171.97441707482</v>
      </c>
    </row>
    <row r="100" spans="2:5" x14ac:dyDescent="0.2">
      <c r="B100" s="462">
        <v>40391</v>
      </c>
      <c r="C100" s="461">
        <f t="shared" si="28"/>
        <v>565468.36791299155</v>
      </c>
    </row>
    <row r="101" spans="2:5" x14ac:dyDescent="0.2">
      <c r="B101" s="462">
        <v>40422</v>
      </c>
      <c r="C101" s="461">
        <f t="shared" si="28"/>
        <v>573764.76140890829</v>
      </c>
    </row>
    <row r="102" spans="2:5" x14ac:dyDescent="0.2">
      <c r="B102" s="462">
        <v>40452</v>
      </c>
      <c r="C102" s="461">
        <f t="shared" si="28"/>
        <v>582061.15490482503</v>
      </c>
    </row>
    <row r="103" spans="2:5" x14ac:dyDescent="0.2">
      <c r="B103" s="462">
        <v>40483</v>
      </c>
      <c r="C103" s="461">
        <f t="shared" si="28"/>
        <v>590357.54840074177</v>
      </c>
    </row>
    <row r="104" spans="2:5" x14ac:dyDescent="0.2">
      <c r="B104" s="462">
        <v>40513</v>
      </c>
      <c r="C104" s="461">
        <f t="shared" si="28"/>
        <v>598653.94189665851</v>
      </c>
      <c r="D104" s="461">
        <f>SUM(C93:C104)</f>
        <v>6636285.3320293976</v>
      </c>
      <c r="E104" s="461">
        <f>C104*12</f>
        <v>7183847.3027599026</v>
      </c>
    </row>
    <row r="105" spans="2:5" x14ac:dyDescent="0.2">
      <c r="B105" s="462">
        <v>40544</v>
      </c>
      <c r="C105" s="461">
        <f>C104+$H$29</f>
        <v>598792.7894369252</v>
      </c>
    </row>
    <row r="106" spans="2:5" x14ac:dyDescent="0.2">
      <c r="B106" s="462">
        <v>40575</v>
      </c>
      <c r="C106" s="461">
        <f t="shared" ref="C106:C116" si="29">C105+$H$29</f>
        <v>598931.6369771919</v>
      </c>
    </row>
    <row r="107" spans="2:5" x14ac:dyDescent="0.2">
      <c r="B107" s="462">
        <v>40603</v>
      </c>
      <c r="C107" s="461">
        <f t="shared" si="29"/>
        <v>599070.48451745859</v>
      </c>
    </row>
    <row r="108" spans="2:5" x14ac:dyDescent="0.2">
      <c r="B108" s="462">
        <v>40634</v>
      </c>
      <c r="C108" s="461">
        <f t="shared" si="29"/>
        <v>599209.33205772529</v>
      </c>
    </row>
    <row r="109" spans="2:5" x14ac:dyDescent="0.2">
      <c r="B109" s="462">
        <v>40664</v>
      </c>
      <c r="C109" s="461">
        <f t="shared" si="29"/>
        <v>599348.17959799198</v>
      </c>
    </row>
    <row r="110" spans="2:5" x14ac:dyDescent="0.2">
      <c r="B110" s="462">
        <v>40695</v>
      </c>
      <c r="C110" s="461">
        <f t="shared" si="29"/>
        <v>599487.02713825868</v>
      </c>
    </row>
    <row r="111" spans="2:5" x14ac:dyDescent="0.2">
      <c r="B111" s="462">
        <v>40725</v>
      </c>
      <c r="C111" s="461">
        <f t="shared" si="29"/>
        <v>599625.87467852538</v>
      </c>
    </row>
    <row r="112" spans="2:5" x14ac:dyDescent="0.2">
      <c r="B112" s="462">
        <v>40756</v>
      </c>
      <c r="C112" s="461">
        <f t="shared" si="29"/>
        <v>599764.72221879207</v>
      </c>
    </row>
    <row r="113" spans="2:5" x14ac:dyDescent="0.2">
      <c r="B113" s="462">
        <v>40787</v>
      </c>
      <c r="C113" s="461">
        <f t="shared" si="29"/>
        <v>599903.56975905877</v>
      </c>
    </row>
    <row r="114" spans="2:5" x14ac:dyDescent="0.2">
      <c r="B114" s="462">
        <v>40817</v>
      </c>
      <c r="C114" s="461">
        <f t="shared" si="29"/>
        <v>600042.41729932546</v>
      </c>
    </row>
    <row r="115" spans="2:5" x14ac:dyDescent="0.2">
      <c r="B115" s="462">
        <v>40848</v>
      </c>
      <c r="C115" s="461">
        <f t="shared" si="29"/>
        <v>600181.26483959216</v>
      </c>
    </row>
    <row r="116" spans="2:5" x14ac:dyDescent="0.2">
      <c r="B116" s="462">
        <v>40878</v>
      </c>
      <c r="C116" s="461">
        <f t="shared" si="29"/>
        <v>600320.11237985885</v>
      </c>
      <c r="D116" s="461">
        <f>SUM(C105:C116)</f>
        <v>7194677.4109007055</v>
      </c>
      <c r="E116" s="461">
        <f>C116*12</f>
        <v>7203841.3485583067</v>
      </c>
    </row>
    <row r="117" spans="2:5" x14ac:dyDescent="0.2">
      <c r="B117" s="462">
        <v>40909</v>
      </c>
      <c r="C117" s="461">
        <f>C116+$H$30</f>
        <v>608498.86821378744</v>
      </c>
    </row>
    <row r="118" spans="2:5" x14ac:dyDescent="0.2">
      <c r="B118" s="462">
        <v>40940</v>
      </c>
      <c r="C118" s="461">
        <f t="shared" ref="C118:C128" si="30">C117+$H$30</f>
        <v>616677.62404771603</v>
      </c>
    </row>
    <row r="119" spans="2:5" x14ac:dyDescent="0.2">
      <c r="B119" s="462">
        <v>40969</v>
      </c>
      <c r="C119" s="461">
        <f t="shared" si="30"/>
        <v>624856.37988164462</v>
      </c>
    </row>
    <row r="120" spans="2:5" x14ac:dyDescent="0.2">
      <c r="B120" s="462">
        <v>41000</v>
      </c>
      <c r="C120" s="461">
        <f t="shared" si="30"/>
        <v>633035.13571557321</v>
      </c>
    </row>
    <row r="121" spans="2:5" x14ac:dyDescent="0.2">
      <c r="B121" s="462">
        <v>41030</v>
      </c>
      <c r="C121" s="461">
        <f t="shared" si="30"/>
        <v>641213.8915495018</v>
      </c>
    </row>
    <row r="122" spans="2:5" x14ac:dyDescent="0.2">
      <c r="B122" s="462">
        <v>41061</v>
      </c>
      <c r="C122" s="461">
        <f t="shared" si="30"/>
        <v>649392.64738343039</v>
      </c>
    </row>
    <row r="123" spans="2:5" x14ac:dyDescent="0.2">
      <c r="B123" s="462">
        <v>41091</v>
      </c>
      <c r="C123" s="461">
        <f t="shared" si="30"/>
        <v>657571.40321735898</v>
      </c>
    </row>
    <row r="124" spans="2:5" x14ac:dyDescent="0.2">
      <c r="B124" s="462">
        <v>41122</v>
      </c>
      <c r="C124" s="461">
        <f t="shared" si="30"/>
        <v>665750.15905128757</v>
      </c>
    </row>
    <row r="125" spans="2:5" x14ac:dyDescent="0.2">
      <c r="B125" s="462">
        <v>41153</v>
      </c>
      <c r="C125" s="461">
        <f t="shared" si="30"/>
        <v>673928.91488521616</v>
      </c>
    </row>
    <row r="126" spans="2:5" x14ac:dyDescent="0.2">
      <c r="B126" s="462">
        <v>41183</v>
      </c>
      <c r="C126" s="461">
        <f t="shared" si="30"/>
        <v>682107.67071914475</v>
      </c>
    </row>
    <row r="127" spans="2:5" x14ac:dyDescent="0.2">
      <c r="B127" s="462">
        <v>41214</v>
      </c>
      <c r="C127" s="461">
        <f t="shared" si="30"/>
        <v>690286.42655307334</v>
      </c>
    </row>
    <row r="128" spans="2:5" x14ac:dyDescent="0.2">
      <c r="B128" s="462">
        <v>41244</v>
      </c>
      <c r="C128" s="461">
        <f t="shared" si="30"/>
        <v>698465.18238700193</v>
      </c>
      <c r="D128" s="461">
        <f>SUM(C117:C128)</f>
        <v>7841784.3036047369</v>
      </c>
      <c r="E128" s="461">
        <f>C128*12</f>
        <v>8381582.1886440236</v>
      </c>
    </row>
    <row r="129" spans="2:5" x14ac:dyDescent="0.2">
      <c r="B129" s="462">
        <v>41275</v>
      </c>
      <c r="C129" s="461">
        <f>C128+$H$31</f>
        <v>713105.6171101057</v>
      </c>
    </row>
    <row r="130" spans="2:5" x14ac:dyDescent="0.2">
      <c r="B130" s="462">
        <v>41306</v>
      </c>
      <c r="C130" s="461">
        <f t="shared" ref="C130:C140" si="31">C129+$H$31</f>
        <v>727746.05183320947</v>
      </c>
    </row>
    <row r="131" spans="2:5" x14ac:dyDescent="0.2">
      <c r="B131" s="462">
        <v>41334</v>
      </c>
      <c r="C131" s="461">
        <f t="shared" si="31"/>
        <v>742386.48655631323</v>
      </c>
    </row>
    <row r="132" spans="2:5" x14ac:dyDescent="0.2">
      <c r="B132" s="462">
        <v>41365</v>
      </c>
      <c r="C132" s="461">
        <f t="shared" si="31"/>
        <v>757026.921279417</v>
      </c>
    </row>
    <row r="133" spans="2:5" x14ac:dyDescent="0.2">
      <c r="B133" s="462">
        <v>41395</v>
      </c>
      <c r="C133" s="461">
        <f t="shared" si="31"/>
        <v>771667.35600252077</v>
      </c>
    </row>
    <row r="134" spans="2:5" x14ac:dyDescent="0.2">
      <c r="B134" s="462">
        <v>41426</v>
      </c>
      <c r="C134" s="461">
        <f t="shared" si="31"/>
        <v>786307.79072562454</v>
      </c>
    </row>
    <row r="135" spans="2:5" x14ac:dyDescent="0.2">
      <c r="B135" s="462">
        <v>41456</v>
      </c>
      <c r="C135" s="461">
        <f t="shared" si="31"/>
        <v>800948.22544872831</v>
      </c>
    </row>
    <row r="136" spans="2:5" x14ac:dyDescent="0.2">
      <c r="B136" s="462">
        <v>41487</v>
      </c>
      <c r="C136" s="461">
        <f t="shared" si="31"/>
        <v>815588.66017183207</v>
      </c>
    </row>
    <row r="137" spans="2:5" x14ac:dyDescent="0.2">
      <c r="B137" s="462">
        <v>41518</v>
      </c>
      <c r="C137" s="461">
        <f t="shared" si="31"/>
        <v>830229.09489493584</v>
      </c>
    </row>
    <row r="138" spans="2:5" x14ac:dyDescent="0.2">
      <c r="B138" s="462">
        <v>41548</v>
      </c>
      <c r="C138" s="461">
        <f t="shared" si="31"/>
        <v>844869.52961803961</v>
      </c>
    </row>
    <row r="139" spans="2:5" x14ac:dyDescent="0.2">
      <c r="B139" s="462">
        <v>41579</v>
      </c>
      <c r="C139" s="461">
        <f t="shared" si="31"/>
        <v>859509.96434114338</v>
      </c>
    </row>
    <row r="140" spans="2:5" x14ac:dyDescent="0.2">
      <c r="B140" s="462">
        <v>41609</v>
      </c>
      <c r="C140" s="461">
        <f t="shared" si="31"/>
        <v>874150.39906424715</v>
      </c>
      <c r="D140" s="461">
        <f>SUM(C129:C140)</f>
        <v>9523536.0970461164</v>
      </c>
      <c r="E140" s="461">
        <f>C140*12</f>
        <v>10489804.788770966</v>
      </c>
    </row>
    <row r="141" spans="2:5" x14ac:dyDescent="0.2">
      <c r="B141" s="462">
        <v>41640</v>
      </c>
      <c r="C141" s="461">
        <f>C140+$H$32</f>
        <v>893476.07499423646</v>
      </c>
    </row>
    <row r="142" spans="2:5" x14ac:dyDescent="0.2">
      <c r="B142" s="462">
        <v>41671</v>
      </c>
      <c r="C142" s="461">
        <f t="shared" ref="C142:C152" si="32">C141+$H$32</f>
        <v>912801.75092422578</v>
      </c>
    </row>
    <row r="143" spans="2:5" x14ac:dyDescent="0.2">
      <c r="B143" s="462">
        <v>41699</v>
      </c>
      <c r="C143" s="461">
        <f t="shared" si="32"/>
        <v>932127.4268542151</v>
      </c>
    </row>
    <row r="144" spans="2:5" x14ac:dyDescent="0.2">
      <c r="B144" s="462">
        <v>41730</v>
      </c>
      <c r="C144" s="461">
        <f t="shared" si="32"/>
        <v>951453.10278420441</v>
      </c>
    </row>
    <row r="145" spans="2:5" x14ac:dyDescent="0.2">
      <c r="B145" s="462">
        <v>41760</v>
      </c>
      <c r="C145" s="461">
        <f t="shared" si="32"/>
        <v>970778.77871419373</v>
      </c>
    </row>
    <row r="146" spans="2:5" x14ac:dyDescent="0.2">
      <c r="B146" s="462">
        <v>41791</v>
      </c>
      <c r="C146" s="461">
        <f t="shared" si="32"/>
        <v>990104.45464418305</v>
      </c>
    </row>
    <row r="147" spans="2:5" x14ac:dyDescent="0.2">
      <c r="B147" s="462">
        <v>41821</v>
      </c>
      <c r="C147" s="461">
        <f t="shared" si="32"/>
        <v>1009430.1305741724</v>
      </c>
    </row>
    <row r="148" spans="2:5" x14ac:dyDescent="0.2">
      <c r="B148" s="462">
        <v>41852</v>
      </c>
      <c r="C148" s="461">
        <f t="shared" si="32"/>
        <v>1028755.8065041617</v>
      </c>
    </row>
    <row r="149" spans="2:5" x14ac:dyDescent="0.2">
      <c r="B149" s="462">
        <v>41883</v>
      </c>
      <c r="C149" s="461">
        <f t="shared" si="32"/>
        <v>1048081.482434151</v>
      </c>
    </row>
    <row r="150" spans="2:5" x14ac:dyDescent="0.2">
      <c r="B150" s="462">
        <v>41913</v>
      </c>
      <c r="C150" s="461">
        <f t="shared" si="32"/>
        <v>1067407.1583641404</v>
      </c>
    </row>
    <row r="151" spans="2:5" x14ac:dyDescent="0.2">
      <c r="B151" s="462">
        <v>41944</v>
      </c>
      <c r="C151" s="461">
        <f t="shared" si="32"/>
        <v>1086732.8342941299</v>
      </c>
    </row>
    <row r="152" spans="2:5" x14ac:dyDescent="0.2">
      <c r="B152" s="462">
        <v>41974</v>
      </c>
      <c r="C152" s="461">
        <f t="shared" si="32"/>
        <v>1106058.5102241193</v>
      </c>
      <c r="D152" s="461">
        <f>SUM(C141:C152)</f>
        <v>11997207.51131013</v>
      </c>
      <c r="E152" s="461">
        <f>C152*12</f>
        <v>13272702.122689432</v>
      </c>
    </row>
    <row r="153" spans="2:5" x14ac:dyDescent="0.2">
      <c r="B153" s="462">
        <v>42005</v>
      </c>
      <c r="C153" s="461">
        <f>C152+$H$33</f>
        <v>1159263.6597949404</v>
      </c>
    </row>
    <row r="154" spans="2:5" x14ac:dyDescent="0.2">
      <c r="B154" s="462">
        <v>42036</v>
      </c>
      <c r="C154" s="461">
        <f t="shared" ref="C154:C164" si="33">C153+$H$33</f>
        <v>1212468.8093657615</v>
      </c>
    </row>
    <row r="155" spans="2:5" x14ac:dyDescent="0.2">
      <c r="B155" s="462">
        <v>42064</v>
      </c>
      <c r="C155" s="461">
        <f t="shared" si="33"/>
        <v>1265673.9589365826</v>
      </c>
    </row>
    <row r="156" spans="2:5" x14ac:dyDescent="0.2">
      <c r="B156" s="462">
        <v>42095</v>
      </c>
      <c r="C156" s="461">
        <f t="shared" si="33"/>
        <v>1318879.1085074036</v>
      </c>
    </row>
    <row r="157" spans="2:5" x14ac:dyDescent="0.2">
      <c r="B157" s="462">
        <v>42125</v>
      </c>
      <c r="C157" s="461">
        <f t="shared" si="33"/>
        <v>1372084.2580782247</v>
      </c>
    </row>
    <row r="158" spans="2:5" x14ac:dyDescent="0.2">
      <c r="B158" s="462">
        <v>42156</v>
      </c>
      <c r="C158" s="461">
        <f t="shared" si="33"/>
        <v>1425289.4076490458</v>
      </c>
    </row>
    <row r="159" spans="2:5" x14ac:dyDescent="0.2">
      <c r="B159" s="462">
        <v>42186</v>
      </c>
      <c r="C159" s="461">
        <f t="shared" si="33"/>
        <v>1478494.5572198669</v>
      </c>
    </row>
    <row r="160" spans="2:5" x14ac:dyDescent="0.2">
      <c r="B160" s="462">
        <v>42217</v>
      </c>
      <c r="C160" s="461">
        <f t="shared" si="33"/>
        <v>1531699.706790688</v>
      </c>
    </row>
    <row r="161" spans="2:5" x14ac:dyDescent="0.2">
      <c r="B161" s="462">
        <v>42248</v>
      </c>
      <c r="C161" s="461">
        <f t="shared" si="33"/>
        <v>1584904.8563615091</v>
      </c>
    </row>
    <row r="162" spans="2:5" x14ac:dyDescent="0.2">
      <c r="B162" s="462">
        <v>42278</v>
      </c>
      <c r="C162" s="461">
        <f t="shared" si="33"/>
        <v>1638110.0059323302</v>
      </c>
    </row>
    <row r="163" spans="2:5" x14ac:dyDescent="0.2">
      <c r="B163" s="462">
        <v>42309</v>
      </c>
      <c r="C163" s="461">
        <f t="shared" si="33"/>
        <v>1691315.1555031512</v>
      </c>
    </row>
    <row r="164" spans="2:5" x14ac:dyDescent="0.2">
      <c r="B164" s="462">
        <v>42339</v>
      </c>
      <c r="C164" s="461">
        <f t="shared" si="33"/>
        <v>1744520.3050739723</v>
      </c>
      <c r="D164" s="461">
        <f>SUM(C153:C164)</f>
        <v>17422703.789213475</v>
      </c>
      <c r="E164" s="461">
        <f>C164*12</f>
        <v>20934243.660887666</v>
      </c>
    </row>
    <row r="165" spans="2:5" x14ac:dyDescent="0.2">
      <c r="B165" s="462">
        <v>42370</v>
      </c>
      <c r="C165" s="461">
        <f>C164+$H$34</f>
        <v>1798539.3135523656</v>
      </c>
    </row>
    <row r="166" spans="2:5" x14ac:dyDescent="0.2">
      <c r="B166" s="462">
        <v>42401</v>
      </c>
      <c r="C166" s="461">
        <f t="shared" ref="C166:C176" si="34">C165+$H$34</f>
        <v>1852558.322030759</v>
      </c>
    </row>
    <row r="167" spans="2:5" x14ac:dyDescent="0.2">
      <c r="B167" s="462">
        <v>42430</v>
      </c>
      <c r="C167" s="461">
        <f t="shared" si="34"/>
        <v>1906577.3305091523</v>
      </c>
    </row>
    <row r="168" spans="2:5" x14ac:dyDescent="0.2">
      <c r="B168" s="462">
        <v>42461</v>
      </c>
      <c r="C168" s="461">
        <f t="shared" si="34"/>
        <v>1960596.3389875456</v>
      </c>
    </row>
    <row r="169" spans="2:5" x14ac:dyDescent="0.2">
      <c r="B169" s="462">
        <v>42491</v>
      </c>
      <c r="C169" s="461">
        <f t="shared" si="34"/>
        <v>2014615.3474659389</v>
      </c>
    </row>
    <row r="170" spans="2:5" x14ac:dyDescent="0.2">
      <c r="B170" s="462">
        <v>42522</v>
      </c>
      <c r="C170" s="461">
        <f t="shared" si="34"/>
        <v>2068634.3559443322</v>
      </c>
    </row>
    <row r="171" spans="2:5" x14ac:dyDescent="0.2">
      <c r="B171" s="462">
        <v>42552</v>
      </c>
      <c r="C171" s="461">
        <f t="shared" si="34"/>
        <v>2122653.3644227255</v>
      </c>
    </row>
    <row r="172" spans="2:5" x14ac:dyDescent="0.2">
      <c r="B172" s="462">
        <v>42583</v>
      </c>
      <c r="C172" s="461">
        <f t="shared" si="34"/>
        <v>2176672.3729011188</v>
      </c>
    </row>
    <row r="173" spans="2:5" x14ac:dyDescent="0.2">
      <c r="B173" s="462">
        <v>42614</v>
      </c>
      <c r="C173" s="461">
        <f t="shared" si="34"/>
        <v>2230691.3813795121</v>
      </c>
    </row>
    <row r="174" spans="2:5" x14ac:dyDescent="0.2">
      <c r="B174" s="462">
        <v>42644</v>
      </c>
      <c r="C174" s="461">
        <f t="shared" si="34"/>
        <v>2284710.3898579055</v>
      </c>
    </row>
    <row r="175" spans="2:5" x14ac:dyDescent="0.2">
      <c r="B175" s="462">
        <v>42675</v>
      </c>
      <c r="C175" s="461">
        <f t="shared" si="34"/>
        <v>2338729.3983362988</v>
      </c>
    </row>
    <row r="176" spans="2:5" x14ac:dyDescent="0.2">
      <c r="B176" s="462">
        <v>42705</v>
      </c>
      <c r="C176" s="461">
        <f t="shared" si="34"/>
        <v>2392748.4068146921</v>
      </c>
      <c r="D176" s="461">
        <f>SUM(C165:C176)</f>
        <v>25147726.322202347</v>
      </c>
      <c r="E176" s="461">
        <f>C176*12</f>
        <v>28712980.881776303</v>
      </c>
    </row>
    <row r="177" spans="2:5" x14ac:dyDescent="0.2">
      <c r="B177" s="462">
        <v>42736</v>
      </c>
      <c r="C177" s="461">
        <f>C176+$H$35</f>
        <v>2432562.491074306</v>
      </c>
    </row>
    <row r="178" spans="2:5" x14ac:dyDescent="0.2">
      <c r="B178" s="462">
        <v>42767</v>
      </c>
      <c r="C178" s="461">
        <f t="shared" ref="C178:C188" si="35">C177+$H$35</f>
        <v>2472376.5753339198</v>
      </c>
    </row>
    <row r="179" spans="2:5" x14ac:dyDescent="0.2">
      <c r="B179" s="462">
        <v>42795</v>
      </c>
      <c r="C179" s="461">
        <f t="shared" si="35"/>
        <v>2512190.6595935337</v>
      </c>
    </row>
    <row r="180" spans="2:5" x14ac:dyDescent="0.2">
      <c r="B180" s="462">
        <v>42826</v>
      </c>
      <c r="C180" s="461">
        <f t="shared" si="35"/>
        <v>2552004.7438531476</v>
      </c>
    </row>
    <row r="181" spans="2:5" x14ac:dyDescent="0.2">
      <c r="B181" s="462">
        <v>42856</v>
      </c>
      <c r="C181" s="461">
        <f t="shared" si="35"/>
        <v>2591818.8281127615</v>
      </c>
    </row>
    <row r="182" spans="2:5" x14ac:dyDescent="0.2">
      <c r="B182" s="462">
        <v>42887</v>
      </c>
      <c r="C182" s="461">
        <f t="shared" si="35"/>
        <v>2631632.9123723754</v>
      </c>
    </row>
    <row r="183" spans="2:5" x14ac:dyDescent="0.2">
      <c r="B183" s="462">
        <v>42917</v>
      </c>
      <c r="C183" s="461">
        <f t="shared" si="35"/>
        <v>2671446.9966319893</v>
      </c>
    </row>
    <row r="184" spans="2:5" x14ac:dyDescent="0.2">
      <c r="B184" s="462">
        <v>42948</v>
      </c>
      <c r="C184" s="461">
        <f t="shared" si="35"/>
        <v>2711261.0808916031</v>
      </c>
    </row>
    <row r="185" spans="2:5" x14ac:dyDescent="0.2">
      <c r="B185" s="462">
        <v>42979</v>
      </c>
      <c r="C185" s="461">
        <f t="shared" si="35"/>
        <v>2751075.165151217</v>
      </c>
    </row>
    <row r="186" spans="2:5" x14ac:dyDescent="0.2">
      <c r="B186" s="462">
        <v>43009</v>
      </c>
      <c r="C186" s="461">
        <f t="shared" si="35"/>
        <v>2790889.2494108309</v>
      </c>
    </row>
    <row r="187" spans="2:5" x14ac:dyDescent="0.2">
      <c r="B187" s="462">
        <v>43040</v>
      </c>
      <c r="C187" s="461">
        <f t="shared" si="35"/>
        <v>2830703.3336704448</v>
      </c>
    </row>
    <row r="188" spans="2:5" x14ac:dyDescent="0.2">
      <c r="B188" s="462">
        <v>43070</v>
      </c>
      <c r="C188" s="461">
        <f t="shared" si="35"/>
        <v>2870517.4179300587</v>
      </c>
      <c r="D188" s="461">
        <f>SUM(C177:C188)</f>
        <v>31818479.454026185</v>
      </c>
      <c r="E188" s="461">
        <f>C188*12</f>
        <v>34446209.015160702</v>
      </c>
    </row>
    <row r="189" spans="2:5" x14ac:dyDescent="0.2">
      <c r="B189" s="462">
        <v>43101</v>
      </c>
      <c r="C189" s="461">
        <f>C188+$H$36</f>
        <v>2889719.2868504198</v>
      </c>
    </row>
    <row r="190" spans="2:5" x14ac:dyDescent="0.2">
      <c r="B190" s="462">
        <v>43132</v>
      </c>
      <c r="C190" s="461">
        <f t="shared" ref="C190:C200" si="36">C189+$H$36</f>
        <v>2908921.155770781</v>
      </c>
    </row>
    <row r="191" spans="2:5" x14ac:dyDescent="0.2">
      <c r="B191" s="462">
        <v>43160</v>
      </c>
      <c r="C191" s="461">
        <f t="shared" si="36"/>
        <v>2928123.0246911421</v>
      </c>
    </row>
    <row r="192" spans="2:5" x14ac:dyDescent="0.2">
      <c r="B192" s="462">
        <v>43191</v>
      </c>
      <c r="C192" s="461">
        <f t="shared" si="36"/>
        <v>2947324.8936115033</v>
      </c>
    </row>
    <row r="193" spans="2:5" x14ac:dyDescent="0.2">
      <c r="B193" s="462">
        <v>43221</v>
      </c>
      <c r="C193" s="461">
        <f t="shared" si="36"/>
        <v>2966526.7625318645</v>
      </c>
    </row>
    <row r="194" spans="2:5" x14ac:dyDescent="0.2">
      <c r="B194" s="462">
        <v>43252</v>
      </c>
      <c r="C194" s="461">
        <f t="shared" si="36"/>
        <v>2985728.6314522256</v>
      </c>
    </row>
    <row r="195" spans="2:5" x14ac:dyDescent="0.2">
      <c r="B195" s="462">
        <v>43282</v>
      </c>
      <c r="C195" s="461">
        <f t="shared" si="36"/>
        <v>3004930.5003725868</v>
      </c>
    </row>
    <row r="196" spans="2:5" x14ac:dyDescent="0.2">
      <c r="B196" s="462">
        <v>43313</v>
      </c>
      <c r="C196" s="461">
        <f t="shared" si="36"/>
        <v>3024132.3692929479</v>
      </c>
    </row>
    <row r="197" spans="2:5" x14ac:dyDescent="0.2">
      <c r="B197" s="462">
        <v>43344</v>
      </c>
      <c r="C197" s="461">
        <f t="shared" si="36"/>
        <v>3043334.2382133091</v>
      </c>
    </row>
    <row r="198" spans="2:5" x14ac:dyDescent="0.2">
      <c r="B198" s="462">
        <v>43374</v>
      </c>
      <c r="C198" s="461">
        <f t="shared" si="36"/>
        <v>3062536.1071336702</v>
      </c>
    </row>
    <row r="199" spans="2:5" x14ac:dyDescent="0.2">
      <c r="B199" s="462">
        <v>43405</v>
      </c>
      <c r="C199" s="461">
        <f t="shared" si="36"/>
        <v>3081737.9760540314</v>
      </c>
    </row>
    <row r="200" spans="2:5" x14ac:dyDescent="0.2">
      <c r="B200" s="462">
        <v>43435</v>
      </c>
      <c r="C200" s="461">
        <f t="shared" si="36"/>
        <v>3100939.8449743926</v>
      </c>
      <c r="D200" s="461">
        <f>SUM(C189:C200)</f>
        <v>35943954.790948875</v>
      </c>
      <c r="E200" s="461">
        <f>C200*12</f>
        <v>37211278.139692709</v>
      </c>
    </row>
    <row r="201" spans="2:5" x14ac:dyDescent="0.2">
      <c r="B201" s="462">
        <v>43466</v>
      </c>
      <c r="C201" s="461">
        <f>C200+$H$37</f>
        <v>3103377.6068723211</v>
      </c>
    </row>
    <row r="202" spans="2:5" x14ac:dyDescent="0.2">
      <c r="B202" s="462">
        <v>43497</v>
      </c>
      <c r="C202" s="461">
        <f t="shared" ref="C202:C212" si="37">C201+$H$37</f>
        <v>3105815.3687702497</v>
      </c>
    </row>
    <row r="203" spans="2:5" x14ac:dyDescent="0.2">
      <c r="B203" s="462">
        <v>43525</v>
      </c>
      <c r="C203" s="461">
        <f t="shared" si="37"/>
        <v>3108253.1306681782</v>
      </c>
    </row>
    <row r="204" spans="2:5" x14ac:dyDescent="0.2">
      <c r="B204" s="462">
        <v>43556</v>
      </c>
      <c r="C204" s="461">
        <f t="shared" si="37"/>
        <v>3110690.8925661067</v>
      </c>
    </row>
    <row r="205" spans="2:5" x14ac:dyDescent="0.2">
      <c r="B205" s="462">
        <v>43586</v>
      </c>
      <c r="C205" s="461">
        <f t="shared" si="37"/>
        <v>3113128.6544640353</v>
      </c>
    </row>
    <row r="206" spans="2:5" x14ac:dyDescent="0.2">
      <c r="B206" s="462">
        <v>43617</v>
      </c>
      <c r="C206" s="461">
        <f t="shared" si="37"/>
        <v>3115566.4163619638</v>
      </c>
    </row>
    <row r="207" spans="2:5" x14ac:dyDescent="0.2">
      <c r="B207" s="462">
        <v>43647</v>
      </c>
      <c r="C207" s="461">
        <f t="shared" si="37"/>
        <v>3118004.1782598924</v>
      </c>
    </row>
    <row r="208" spans="2:5" x14ac:dyDescent="0.2">
      <c r="B208" s="462">
        <v>43678</v>
      </c>
      <c r="C208" s="461">
        <f t="shared" si="37"/>
        <v>3120441.9401578209</v>
      </c>
    </row>
    <row r="209" spans="2:5" x14ac:dyDescent="0.2">
      <c r="B209" s="462">
        <v>43709</v>
      </c>
      <c r="C209" s="461">
        <f t="shared" si="37"/>
        <v>3122879.7020557495</v>
      </c>
    </row>
    <row r="210" spans="2:5" x14ac:dyDescent="0.2">
      <c r="B210" s="462">
        <v>43739</v>
      </c>
      <c r="C210" s="461">
        <f t="shared" si="37"/>
        <v>3125317.463953678</v>
      </c>
    </row>
    <row r="211" spans="2:5" x14ac:dyDescent="0.2">
      <c r="B211" s="462">
        <v>43770</v>
      </c>
      <c r="C211" s="461">
        <f t="shared" si="37"/>
        <v>3127755.2258516066</v>
      </c>
    </row>
    <row r="212" spans="2:5" x14ac:dyDescent="0.2">
      <c r="B212" s="462">
        <v>43800</v>
      </c>
      <c r="C212" s="461">
        <f t="shared" si="37"/>
        <v>3130192.9877495351</v>
      </c>
      <c r="D212" s="461">
        <f>SUM(C201:C212)</f>
        <v>37401423.567731135</v>
      </c>
      <c r="E212" s="461">
        <f>C212*12</f>
        <v>37562315.85299442</v>
      </c>
    </row>
    <row r="213" spans="2:5" x14ac:dyDescent="0.2">
      <c r="B213" s="462">
        <v>43831</v>
      </c>
      <c r="C213" s="461">
        <f>C212+$H$38</f>
        <v>3128290.8658073363</v>
      </c>
    </row>
    <row r="214" spans="2:5" x14ac:dyDescent="0.2">
      <c r="B214" s="462">
        <v>43862</v>
      </c>
      <c r="C214" s="461">
        <f t="shared" ref="C214:C224" si="38">C213+$H$38</f>
        <v>3126388.7438651375</v>
      </c>
    </row>
    <row r="215" spans="2:5" x14ac:dyDescent="0.2">
      <c r="B215" s="462">
        <v>43891</v>
      </c>
      <c r="C215" s="461">
        <f t="shared" si="38"/>
        <v>3124486.6219229386</v>
      </c>
    </row>
    <row r="216" spans="2:5" x14ac:dyDescent="0.2">
      <c r="B216" s="462">
        <v>43922</v>
      </c>
      <c r="C216" s="461">
        <f t="shared" si="38"/>
        <v>3122584.4999807398</v>
      </c>
    </row>
    <row r="217" spans="2:5" x14ac:dyDescent="0.2">
      <c r="B217" s="462">
        <v>43952</v>
      </c>
      <c r="C217" s="461">
        <f t="shared" si="38"/>
        <v>3120682.3780385409</v>
      </c>
    </row>
    <row r="218" spans="2:5" x14ac:dyDescent="0.2">
      <c r="B218" s="462">
        <v>43983</v>
      </c>
      <c r="C218" s="461">
        <f t="shared" si="38"/>
        <v>3118780.2560963421</v>
      </c>
    </row>
    <row r="219" spans="2:5" x14ac:dyDescent="0.2">
      <c r="B219" s="462">
        <v>44013</v>
      </c>
      <c r="C219" s="461">
        <f t="shared" si="38"/>
        <v>3116878.1341541433</v>
      </c>
    </row>
    <row r="220" spans="2:5" x14ac:dyDescent="0.2">
      <c r="B220" s="462">
        <v>44044</v>
      </c>
      <c r="C220" s="461">
        <f t="shared" si="38"/>
        <v>3114976.0122119444</v>
      </c>
    </row>
    <row r="221" spans="2:5" x14ac:dyDescent="0.2">
      <c r="B221" s="462">
        <v>44075</v>
      </c>
      <c r="C221" s="461">
        <f t="shared" si="38"/>
        <v>3113073.8902697456</v>
      </c>
    </row>
    <row r="222" spans="2:5" x14ac:dyDescent="0.2">
      <c r="B222" s="462">
        <v>44105</v>
      </c>
      <c r="C222" s="461">
        <f t="shared" si="38"/>
        <v>3111171.7683275468</v>
      </c>
    </row>
    <row r="223" spans="2:5" x14ac:dyDescent="0.2">
      <c r="B223" s="462">
        <v>44136</v>
      </c>
      <c r="C223" s="461">
        <f t="shared" si="38"/>
        <v>3109269.6463853479</v>
      </c>
    </row>
    <row r="224" spans="2:5" x14ac:dyDescent="0.2">
      <c r="B224" s="462">
        <v>44166</v>
      </c>
      <c r="C224" s="461">
        <f t="shared" si="38"/>
        <v>3107367.5244431491</v>
      </c>
      <c r="D224" s="461">
        <f>SUM(C213:C224)</f>
        <v>37413950.341502912</v>
      </c>
      <c r="E224" s="461">
        <f>C224*12</f>
        <v>37288410.293317787</v>
      </c>
    </row>
    <row r="225" spans="2:5" x14ac:dyDescent="0.2">
      <c r="B225" s="462">
        <v>44197</v>
      </c>
      <c r="C225" s="461">
        <f>C224+$H$39</f>
        <v>3099801.4736091159</v>
      </c>
    </row>
    <row r="226" spans="2:5" x14ac:dyDescent="0.2">
      <c r="B226" s="462">
        <v>44228</v>
      </c>
      <c r="C226" s="461">
        <f t="shared" ref="C226:C236" si="39">C225+$H$39</f>
        <v>3092235.4227750828</v>
      </c>
    </row>
    <row r="227" spans="2:5" x14ac:dyDescent="0.2">
      <c r="B227" s="462">
        <v>44256</v>
      </c>
      <c r="C227" s="461">
        <f t="shared" si="39"/>
        <v>3084669.3719410496</v>
      </c>
    </row>
    <row r="228" spans="2:5" x14ac:dyDescent="0.2">
      <c r="B228" s="462">
        <v>44287</v>
      </c>
      <c r="C228" s="461">
        <f t="shared" si="39"/>
        <v>3077103.3211070164</v>
      </c>
    </row>
    <row r="229" spans="2:5" x14ac:dyDescent="0.2">
      <c r="B229" s="462">
        <v>44317</v>
      </c>
      <c r="C229" s="461">
        <f t="shared" si="39"/>
        <v>3069537.2702729832</v>
      </c>
    </row>
    <row r="230" spans="2:5" x14ac:dyDescent="0.2">
      <c r="B230" s="462">
        <v>44348</v>
      </c>
      <c r="C230" s="461">
        <f t="shared" si="39"/>
        <v>3061971.2194389501</v>
      </c>
    </row>
    <row r="231" spans="2:5" x14ac:dyDescent="0.2">
      <c r="B231" s="462">
        <v>44378</v>
      </c>
      <c r="C231" s="461">
        <f t="shared" si="39"/>
        <v>3054405.1686049169</v>
      </c>
    </row>
    <row r="232" spans="2:5" x14ac:dyDescent="0.2">
      <c r="B232" s="462">
        <v>44409</v>
      </c>
      <c r="C232" s="461">
        <f t="shared" si="39"/>
        <v>3046839.1177708837</v>
      </c>
    </row>
    <row r="233" spans="2:5" x14ac:dyDescent="0.2">
      <c r="B233" s="462">
        <v>44440</v>
      </c>
      <c r="C233" s="461">
        <f t="shared" si="39"/>
        <v>3039273.0669368505</v>
      </c>
    </row>
    <row r="234" spans="2:5" x14ac:dyDescent="0.2">
      <c r="B234" s="462">
        <v>44470</v>
      </c>
      <c r="C234" s="461">
        <f t="shared" si="39"/>
        <v>3031707.0161028174</v>
      </c>
    </row>
    <row r="235" spans="2:5" x14ac:dyDescent="0.2">
      <c r="B235" s="462">
        <v>44501</v>
      </c>
      <c r="C235" s="461">
        <f t="shared" si="39"/>
        <v>3024140.9652687842</v>
      </c>
    </row>
    <row r="236" spans="2:5" x14ac:dyDescent="0.2">
      <c r="B236" s="462">
        <v>44531</v>
      </c>
      <c r="C236" s="461">
        <f t="shared" si="39"/>
        <v>3016574.914434751</v>
      </c>
      <c r="D236" s="461">
        <f>SUM(C225:C236)</f>
        <v>36698258.328263208</v>
      </c>
      <c r="E236" s="461">
        <f>C236*12</f>
        <v>36198898.97321701</v>
      </c>
    </row>
    <row r="237" spans="2:5" x14ac:dyDescent="0.2">
      <c r="B237" s="462">
        <v>44562</v>
      </c>
      <c r="C237" s="461">
        <f>C236+$H$40</f>
        <v>3010272.9139861898</v>
      </c>
    </row>
    <row r="238" spans="2:5" x14ac:dyDescent="0.2">
      <c r="B238" s="462">
        <v>44593</v>
      </c>
      <c r="C238" s="461">
        <f t="shared" ref="C238:C248" si="40">C237+$H$40</f>
        <v>3003970.9135376285</v>
      </c>
    </row>
    <row r="239" spans="2:5" x14ac:dyDescent="0.2">
      <c r="B239" s="462">
        <v>44621</v>
      </c>
      <c r="C239" s="461">
        <f t="shared" si="40"/>
        <v>2997668.9130890672</v>
      </c>
    </row>
    <row r="240" spans="2:5" x14ac:dyDescent="0.2">
      <c r="B240" s="462">
        <v>44652</v>
      </c>
      <c r="C240" s="461">
        <f t="shared" si="40"/>
        <v>2991366.9126405059</v>
      </c>
    </row>
    <row r="241" spans="2:5" x14ac:dyDescent="0.2">
      <c r="B241" s="462">
        <v>44682</v>
      </c>
      <c r="C241" s="461">
        <f t="shared" si="40"/>
        <v>2985064.9121919447</v>
      </c>
    </row>
    <row r="242" spans="2:5" x14ac:dyDescent="0.2">
      <c r="B242" s="462">
        <v>44713</v>
      </c>
      <c r="C242" s="461">
        <f t="shared" si="40"/>
        <v>2978762.9117433834</v>
      </c>
    </row>
    <row r="243" spans="2:5" x14ac:dyDescent="0.2">
      <c r="B243" s="462">
        <v>44743</v>
      </c>
      <c r="C243" s="461">
        <f t="shared" si="40"/>
        <v>2972460.9112948221</v>
      </c>
    </row>
    <row r="244" spans="2:5" x14ac:dyDescent="0.2">
      <c r="B244" s="462">
        <v>44774</v>
      </c>
      <c r="C244" s="461">
        <f t="shared" si="40"/>
        <v>2966158.9108462608</v>
      </c>
    </row>
    <row r="245" spans="2:5" x14ac:dyDescent="0.2">
      <c r="B245" s="462">
        <v>44805</v>
      </c>
      <c r="C245" s="461">
        <f t="shared" si="40"/>
        <v>2959856.9103976996</v>
      </c>
    </row>
    <row r="246" spans="2:5" x14ac:dyDescent="0.2">
      <c r="B246" s="462">
        <v>44835</v>
      </c>
      <c r="C246" s="461">
        <f t="shared" si="40"/>
        <v>2953554.9099491383</v>
      </c>
    </row>
    <row r="247" spans="2:5" x14ac:dyDescent="0.2">
      <c r="B247" s="462">
        <v>44866</v>
      </c>
      <c r="C247" s="461">
        <f t="shared" si="40"/>
        <v>2947252.909500577</v>
      </c>
    </row>
    <row r="248" spans="2:5" x14ac:dyDescent="0.2">
      <c r="B248" s="462">
        <v>44896</v>
      </c>
      <c r="C248" s="461">
        <f t="shared" si="40"/>
        <v>2940950.9090520157</v>
      </c>
      <c r="D248" s="461">
        <f>SUM(C237:C248)</f>
        <v>35707342.938229233</v>
      </c>
      <c r="E248" s="461">
        <f>C248*12</f>
        <v>35291410.908624187</v>
      </c>
    </row>
  </sheetData>
  <mergeCells count="3">
    <mergeCell ref="B1:B2"/>
    <mergeCell ref="C1:S1"/>
    <mergeCell ref="A3: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G5" sqref="G5"/>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511" t="s">
        <v>41</v>
      </c>
      <c r="D1" s="33"/>
      <c r="E1" s="34" t="s">
        <v>42</v>
      </c>
      <c r="F1" s="31">
        <v>0</v>
      </c>
      <c r="J1" s="35"/>
      <c r="K1" s="35"/>
      <c r="L1" s="35"/>
      <c r="M1" s="35"/>
      <c r="N1" s="35"/>
      <c r="O1" s="35"/>
      <c r="P1" s="35"/>
      <c r="R1" s="38">
        <v>1</v>
      </c>
      <c r="AS1" s="137"/>
      <c r="AT1" s="138"/>
      <c r="AU1" s="139" t="s">
        <v>46</v>
      </c>
      <c r="AV1" s="140">
        <v>10</v>
      </c>
    </row>
    <row r="2" spans="1:51" ht="15" customHeight="1" thickBot="1" x14ac:dyDescent="0.25">
      <c r="C2" s="512"/>
      <c r="D2" s="36"/>
      <c r="E2" s="37" t="s">
        <v>121</v>
      </c>
      <c r="F2" s="32">
        <v>0</v>
      </c>
      <c r="J2" s="35"/>
      <c r="K2" s="35"/>
      <c r="L2" s="35"/>
      <c r="M2" s="35"/>
      <c r="N2" s="35"/>
      <c r="O2" s="35"/>
      <c r="P2" s="35"/>
    </row>
    <row r="3" spans="1:51" ht="15" customHeight="1" thickBot="1" x14ac:dyDescent="0.25">
      <c r="A3" s="30" t="s">
        <v>40</v>
      </c>
      <c r="B3" s="141" t="s">
        <v>45</v>
      </c>
      <c r="C3" s="141" t="s">
        <v>45</v>
      </c>
      <c r="D3" s="141" t="s">
        <v>45</v>
      </c>
      <c r="E3" s="141" t="s">
        <v>45</v>
      </c>
      <c r="F3" s="141" t="s">
        <v>45</v>
      </c>
      <c r="G3" s="141" t="s">
        <v>191</v>
      </c>
      <c r="H3" s="141" t="s">
        <v>45</v>
      </c>
      <c r="I3" s="141" t="s">
        <v>45</v>
      </c>
      <c r="J3" s="141" t="s">
        <v>45</v>
      </c>
      <c r="K3" s="141" t="s">
        <v>45</v>
      </c>
      <c r="L3" s="141" t="s">
        <v>45</v>
      </c>
      <c r="M3" s="141" t="s">
        <v>45</v>
      </c>
      <c r="N3" s="141" t="s">
        <v>45</v>
      </c>
      <c r="O3" s="141" t="s">
        <v>45</v>
      </c>
      <c r="P3" s="141" t="s">
        <v>45</v>
      </c>
      <c r="Q3" s="141" t="s">
        <v>45</v>
      </c>
      <c r="R3" s="141" t="s">
        <v>45</v>
      </c>
      <c r="S3" s="141" t="s">
        <v>45</v>
      </c>
      <c r="T3" s="141" t="s">
        <v>45</v>
      </c>
      <c r="U3" s="141" t="s">
        <v>45</v>
      </c>
      <c r="V3" s="141" t="s">
        <v>45</v>
      </c>
      <c r="W3" s="141" t="s">
        <v>45</v>
      </c>
      <c r="X3" s="141" t="s">
        <v>45</v>
      </c>
      <c r="Y3" s="141" t="s">
        <v>45</v>
      </c>
      <c r="Z3" s="141" t="s">
        <v>45</v>
      </c>
      <c r="AA3" s="141" t="s">
        <v>45</v>
      </c>
      <c r="AB3" s="141" t="s">
        <v>45</v>
      </c>
      <c r="AC3" s="141" t="s">
        <v>45</v>
      </c>
      <c r="AD3" s="141" t="s">
        <v>45</v>
      </c>
      <c r="AE3" s="141" t="s">
        <v>45</v>
      </c>
      <c r="AF3" s="141" t="s">
        <v>45</v>
      </c>
      <c r="AG3" s="141" t="s">
        <v>45</v>
      </c>
      <c r="AH3" s="141" t="s">
        <v>45</v>
      </c>
      <c r="AI3" s="141" t="s">
        <v>45</v>
      </c>
      <c r="AJ3" s="141" t="s">
        <v>45</v>
      </c>
      <c r="AK3" s="141" t="s">
        <v>45</v>
      </c>
      <c r="AL3" s="141" t="s">
        <v>45</v>
      </c>
      <c r="AM3" s="141" t="s">
        <v>45</v>
      </c>
      <c r="AN3" s="141" t="s">
        <v>45</v>
      </c>
      <c r="AO3" s="141" t="s">
        <v>45</v>
      </c>
      <c r="AP3" s="141" t="s">
        <v>45</v>
      </c>
      <c r="AQ3" s="141" t="s">
        <v>45</v>
      </c>
      <c r="AR3" s="141" t="s">
        <v>45</v>
      </c>
      <c r="AS3" s="141" t="s">
        <v>45</v>
      </c>
      <c r="AT3" s="141" t="s">
        <v>45</v>
      </c>
      <c r="AU3" s="141" t="s">
        <v>45</v>
      </c>
      <c r="AV3" s="141" t="s">
        <v>45</v>
      </c>
      <c r="AW3" s="141" t="s">
        <v>45</v>
      </c>
      <c r="AX3" s="141" t="s">
        <v>45</v>
      </c>
      <c r="AY3" s="141" t="s">
        <v>45</v>
      </c>
    </row>
    <row r="4" spans="1:51" ht="25.5" customHeight="1" thickBot="1" x14ac:dyDescent="0.25">
      <c r="A4" s="22" t="s">
        <v>110</v>
      </c>
      <c r="B4" s="28" t="s">
        <v>48</v>
      </c>
      <c r="C4" s="28" t="s">
        <v>49</v>
      </c>
      <c r="D4" s="217" t="s">
        <v>189</v>
      </c>
      <c r="E4" s="217" t="s">
        <v>190</v>
      </c>
      <c r="F4" s="217" t="s">
        <v>212</v>
      </c>
      <c r="G4" s="28" t="s">
        <v>194</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464">
        <v>50205500</v>
      </c>
      <c r="B5" s="465">
        <v>794.5999755859375</v>
      </c>
      <c r="C5" s="465">
        <v>0</v>
      </c>
      <c r="D5" s="465">
        <v>31</v>
      </c>
      <c r="E5" s="465">
        <v>0</v>
      </c>
      <c r="F5" s="465">
        <v>598792.8125</v>
      </c>
      <c r="G5" s="465">
        <v>28443</v>
      </c>
      <c r="H5" s="275"/>
      <c r="I5" s="275"/>
      <c r="J5" s="275"/>
      <c r="K5" s="275"/>
      <c r="L5" s="275"/>
      <c r="M5" s="275"/>
      <c r="N5" s="275"/>
      <c r="O5" s="275"/>
      <c r="P5" s="275"/>
      <c r="Q5" s="275"/>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7"/>
      <c r="AW5" s="277"/>
      <c r="AX5" s="277"/>
      <c r="AY5" s="277"/>
    </row>
    <row r="6" spans="1:51" x14ac:dyDescent="0.2">
      <c r="A6" s="464">
        <v>45182972</v>
      </c>
      <c r="B6" s="465">
        <v>645.29998779296875</v>
      </c>
      <c r="C6" s="465">
        <v>0</v>
      </c>
      <c r="D6" s="465">
        <v>28</v>
      </c>
      <c r="E6" s="465">
        <v>0</v>
      </c>
      <c r="F6" s="465">
        <v>598931.625</v>
      </c>
      <c r="G6" s="465">
        <v>28447</v>
      </c>
      <c r="H6" s="275"/>
      <c r="I6" s="275"/>
      <c r="J6" s="275"/>
      <c r="K6" s="275"/>
      <c r="L6" s="275"/>
      <c r="M6" s="275"/>
      <c r="N6" s="275"/>
      <c r="O6" s="275"/>
      <c r="P6" s="275"/>
      <c r="Q6" s="275"/>
      <c r="R6" s="278"/>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row>
    <row r="7" spans="1:51" x14ac:dyDescent="0.2">
      <c r="A7" s="464">
        <v>46925212</v>
      </c>
      <c r="B7" s="465">
        <v>568.5999755859375</v>
      </c>
      <c r="C7" s="465">
        <v>0</v>
      </c>
      <c r="D7" s="465">
        <v>31</v>
      </c>
      <c r="E7" s="465">
        <v>1</v>
      </c>
      <c r="F7" s="465">
        <v>599070.5</v>
      </c>
      <c r="G7" s="465">
        <v>28437</v>
      </c>
      <c r="H7" s="275"/>
      <c r="I7" s="275"/>
      <c r="J7" s="275"/>
      <c r="K7" s="275"/>
      <c r="L7" s="275"/>
      <c r="M7" s="275"/>
      <c r="N7" s="275"/>
      <c r="O7" s="275"/>
      <c r="P7" s="275"/>
      <c r="Q7" s="275"/>
      <c r="R7" s="278"/>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row>
    <row r="8" spans="1:51" x14ac:dyDescent="0.2">
      <c r="A8" s="464">
        <v>40611160</v>
      </c>
      <c r="B8" s="465">
        <v>324.89999389648438</v>
      </c>
      <c r="C8" s="465">
        <v>0.40000000596046448</v>
      </c>
      <c r="D8" s="465">
        <v>30</v>
      </c>
      <c r="E8" s="465">
        <v>1</v>
      </c>
      <c r="F8" s="465">
        <v>599209.3125</v>
      </c>
      <c r="G8" s="465">
        <v>28398</v>
      </c>
      <c r="H8" s="275"/>
      <c r="I8" s="275"/>
      <c r="J8" s="275"/>
      <c r="K8" s="275"/>
      <c r="L8" s="275"/>
      <c r="M8" s="275"/>
      <c r="N8" s="275"/>
      <c r="O8" s="275"/>
      <c r="P8" s="275"/>
      <c r="Q8" s="275"/>
      <c r="R8" s="278"/>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row>
    <row r="9" spans="1:51" x14ac:dyDescent="0.2">
      <c r="A9" s="464">
        <v>40093912</v>
      </c>
      <c r="B9" s="465">
        <v>136</v>
      </c>
      <c r="C9" s="465">
        <v>12.5</v>
      </c>
      <c r="D9" s="465">
        <v>31</v>
      </c>
      <c r="E9" s="465">
        <v>1</v>
      </c>
      <c r="F9" s="465">
        <v>599348.1875</v>
      </c>
      <c r="G9" s="465">
        <v>28386</v>
      </c>
      <c r="H9" s="275"/>
      <c r="I9" s="275"/>
      <c r="J9" s="275"/>
      <c r="K9" s="275"/>
      <c r="L9" s="275"/>
      <c r="M9" s="275"/>
      <c r="N9" s="275"/>
      <c r="O9" s="275"/>
      <c r="P9" s="275"/>
      <c r="Q9" s="275"/>
      <c r="R9" s="278"/>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row>
    <row r="10" spans="1:51" x14ac:dyDescent="0.2">
      <c r="A10" s="464">
        <v>42370712</v>
      </c>
      <c r="B10" s="465">
        <v>22.700000762939453</v>
      </c>
      <c r="C10" s="465">
        <v>40.200000762939453</v>
      </c>
      <c r="D10" s="465">
        <v>30</v>
      </c>
      <c r="E10" s="465">
        <v>0</v>
      </c>
      <c r="F10" s="466">
        <v>599487</v>
      </c>
      <c r="G10" s="465">
        <v>28410</v>
      </c>
      <c r="H10" s="275"/>
      <c r="I10" s="275"/>
      <c r="J10" s="275"/>
      <c r="K10" s="275"/>
      <c r="L10" s="275"/>
      <c r="M10" s="275"/>
      <c r="N10" s="275"/>
      <c r="O10" s="275"/>
      <c r="P10" s="275"/>
      <c r="Q10" s="275"/>
      <c r="R10" s="278"/>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row>
    <row r="11" spans="1:51" x14ac:dyDescent="0.2">
      <c r="A11" s="464">
        <v>52548652</v>
      </c>
      <c r="B11" s="465">
        <v>0.20000000298023224</v>
      </c>
      <c r="C11" s="465">
        <v>158.60000610351563</v>
      </c>
      <c r="D11" s="465">
        <v>31</v>
      </c>
      <c r="E11" s="465">
        <v>0</v>
      </c>
      <c r="F11" s="465">
        <v>599625.875</v>
      </c>
      <c r="G11" s="465">
        <v>28362</v>
      </c>
      <c r="H11" s="275"/>
      <c r="I11" s="275"/>
      <c r="J11" s="275"/>
      <c r="K11" s="275"/>
      <c r="L11" s="275"/>
      <c r="M11" s="275"/>
      <c r="N11" s="275"/>
      <c r="O11" s="275"/>
      <c r="P11" s="275"/>
      <c r="Q11" s="275"/>
      <c r="R11" s="278"/>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row>
    <row r="12" spans="1:51" x14ac:dyDescent="0.2">
      <c r="A12" s="464">
        <v>49452684</v>
      </c>
      <c r="B12" s="465">
        <v>4.0999999046325684</v>
      </c>
      <c r="C12" s="465">
        <v>88.800003051757813</v>
      </c>
      <c r="D12" s="465">
        <v>31</v>
      </c>
      <c r="E12" s="465">
        <v>0</v>
      </c>
      <c r="F12" s="465">
        <v>599764.75</v>
      </c>
      <c r="G12" s="465">
        <v>28364</v>
      </c>
      <c r="H12" s="275"/>
      <c r="I12" s="275"/>
      <c r="J12" s="275"/>
      <c r="K12" s="275"/>
      <c r="L12" s="275"/>
      <c r="M12" s="275"/>
      <c r="N12" s="275"/>
      <c r="O12" s="275"/>
      <c r="P12" s="275"/>
      <c r="Q12" s="275"/>
      <c r="R12" s="278"/>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row>
    <row r="13" spans="1:51" x14ac:dyDescent="0.2">
      <c r="A13" s="464">
        <v>41925404</v>
      </c>
      <c r="B13" s="465">
        <v>55.5</v>
      </c>
      <c r="C13" s="465">
        <v>29.5</v>
      </c>
      <c r="D13" s="465">
        <v>30</v>
      </c>
      <c r="E13" s="465">
        <v>1</v>
      </c>
      <c r="F13" s="465">
        <v>599903.5625</v>
      </c>
      <c r="G13" s="465">
        <v>28384</v>
      </c>
      <c r="H13" s="275"/>
      <c r="I13" s="275"/>
      <c r="J13" s="275"/>
      <c r="K13" s="275"/>
      <c r="L13" s="275"/>
      <c r="M13" s="275"/>
      <c r="N13" s="275"/>
      <c r="O13" s="275"/>
      <c r="P13" s="275"/>
      <c r="Q13" s="275"/>
      <c r="R13" s="278"/>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row>
    <row r="14" spans="1:51" x14ac:dyDescent="0.2">
      <c r="A14" s="464">
        <v>40507084</v>
      </c>
      <c r="B14" s="465">
        <v>238.80000305175781</v>
      </c>
      <c r="C14" s="465">
        <v>0</v>
      </c>
      <c r="D14" s="465">
        <v>31</v>
      </c>
      <c r="E14" s="465">
        <v>1</v>
      </c>
      <c r="F14" s="465">
        <v>600042.4375</v>
      </c>
      <c r="G14" s="465">
        <v>28497</v>
      </c>
      <c r="H14" s="275"/>
      <c r="I14" s="275"/>
      <c r="J14" s="275"/>
      <c r="K14" s="275"/>
      <c r="L14" s="275"/>
      <c r="M14" s="275"/>
      <c r="N14" s="275"/>
      <c r="O14" s="275"/>
      <c r="P14" s="275"/>
      <c r="Q14" s="275"/>
      <c r="R14" s="278"/>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row>
    <row r="15" spans="1:51" x14ac:dyDescent="0.2">
      <c r="A15" s="464">
        <v>40896332</v>
      </c>
      <c r="B15" s="465">
        <v>320</v>
      </c>
      <c r="C15" s="465">
        <v>0</v>
      </c>
      <c r="D15" s="465">
        <v>30</v>
      </c>
      <c r="E15" s="465">
        <v>1</v>
      </c>
      <c r="F15" s="465">
        <v>600181.25</v>
      </c>
      <c r="G15" s="465">
        <v>28559</v>
      </c>
      <c r="H15" s="275"/>
      <c r="I15" s="275"/>
      <c r="J15" s="275"/>
      <c r="K15" s="275"/>
      <c r="L15" s="275"/>
      <c r="M15" s="275"/>
      <c r="N15" s="275"/>
      <c r="O15" s="275"/>
      <c r="P15" s="275"/>
      <c r="Q15" s="275"/>
      <c r="R15" s="278"/>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row>
    <row r="16" spans="1:51" x14ac:dyDescent="0.2">
      <c r="A16" s="464">
        <v>44967260</v>
      </c>
      <c r="B16" s="465">
        <v>512</v>
      </c>
      <c r="C16" s="465">
        <v>0</v>
      </c>
      <c r="D16" s="465">
        <v>31</v>
      </c>
      <c r="E16" s="465">
        <v>0</v>
      </c>
      <c r="F16" s="465">
        <v>600320.125</v>
      </c>
      <c r="G16" s="465">
        <v>28539</v>
      </c>
      <c r="H16" s="275"/>
      <c r="I16" s="275"/>
      <c r="J16" s="275"/>
      <c r="K16" s="275"/>
      <c r="L16" s="275"/>
      <c r="M16" s="275"/>
      <c r="N16" s="275"/>
      <c r="O16" s="275"/>
      <c r="P16" s="275"/>
      <c r="Q16" s="275"/>
      <c r="R16" s="278"/>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row>
    <row r="17" spans="1:51" x14ac:dyDescent="0.2">
      <c r="A17" s="464">
        <v>46829264</v>
      </c>
      <c r="B17" s="465">
        <v>600.79998779296875</v>
      </c>
      <c r="C17" s="465">
        <v>0</v>
      </c>
      <c r="D17" s="465">
        <v>31</v>
      </c>
      <c r="E17" s="465">
        <v>0</v>
      </c>
      <c r="F17" s="465">
        <v>608498.875</v>
      </c>
      <c r="G17" s="465">
        <v>28599</v>
      </c>
      <c r="H17" s="275"/>
      <c r="I17" s="275"/>
      <c r="J17" s="275"/>
      <c r="K17" s="275"/>
      <c r="L17" s="275"/>
      <c r="M17" s="275"/>
      <c r="N17" s="275"/>
      <c r="O17" s="275"/>
      <c r="P17" s="275"/>
      <c r="Q17" s="275"/>
      <c r="R17" s="278"/>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row>
    <row r="18" spans="1:51" x14ac:dyDescent="0.2">
      <c r="A18" s="464">
        <v>43072944</v>
      </c>
      <c r="B18" s="465">
        <v>533.20001220703125</v>
      </c>
      <c r="C18" s="465">
        <v>0</v>
      </c>
      <c r="D18" s="465">
        <v>28</v>
      </c>
      <c r="E18" s="465">
        <v>0</v>
      </c>
      <c r="F18" s="465">
        <v>616677.625</v>
      </c>
      <c r="G18" s="465">
        <v>28605</v>
      </c>
      <c r="H18" s="275"/>
      <c r="I18" s="275"/>
      <c r="J18" s="275"/>
      <c r="K18" s="275"/>
      <c r="L18" s="275"/>
      <c r="M18" s="275"/>
      <c r="N18" s="275"/>
      <c r="O18" s="275"/>
      <c r="P18" s="275"/>
      <c r="Q18" s="275"/>
      <c r="R18" s="278"/>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row>
    <row r="19" spans="1:51" x14ac:dyDescent="0.2">
      <c r="A19" s="464">
        <v>41849536</v>
      </c>
      <c r="B19" s="465">
        <v>333.79998779296875</v>
      </c>
      <c r="C19" s="465">
        <v>0</v>
      </c>
      <c r="D19" s="465">
        <v>31</v>
      </c>
      <c r="E19" s="465">
        <v>1</v>
      </c>
      <c r="F19" s="465">
        <v>624856.375</v>
      </c>
      <c r="G19" s="465">
        <v>28561</v>
      </c>
      <c r="H19" s="275"/>
      <c r="I19" s="275"/>
      <c r="J19" s="275"/>
      <c r="K19" s="275"/>
      <c r="L19" s="275"/>
      <c r="M19" s="275"/>
      <c r="N19" s="275"/>
      <c r="O19" s="275"/>
      <c r="P19" s="275"/>
      <c r="Q19" s="275"/>
      <c r="R19" s="278"/>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row>
    <row r="20" spans="1:51" x14ac:dyDescent="0.2">
      <c r="A20" s="464">
        <v>38334680</v>
      </c>
      <c r="B20" s="465">
        <v>340.5</v>
      </c>
      <c r="C20" s="465">
        <v>0</v>
      </c>
      <c r="D20" s="465">
        <v>30</v>
      </c>
      <c r="E20" s="465">
        <v>1</v>
      </c>
      <c r="F20" s="465">
        <v>633035.125</v>
      </c>
      <c r="G20" s="465">
        <v>28583</v>
      </c>
      <c r="H20" s="275"/>
      <c r="I20" s="275"/>
      <c r="J20" s="275"/>
      <c r="K20" s="275"/>
      <c r="L20" s="275"/>
      <c r="M20" s="275"/>
      <c r="N20" s="275"/>
      <c r="O20" s="275"/>
      <c r="P20" s="275"/>
      <c r="Q20" s="275"/>
      <c r="R20" s="278"/>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row>
    <row r="21" spans="1:51" x14ac:dyDescent="0.2">
      <c r="A21" s="464">
        <v>39723388</v>
      </c>
      <c r="B21" s="465">
        <v>82.300003051757813</v>
      </c>
      <c r="C21" s="465">
        <v>28.899999618530273</v>
      </c>
      <c r="D21" s="465">
        <v>31</v>
      </c>
      <c r="E21" s="465">
        <v>1</v>
      </c>
      <c r="F21" s="465">
        <v>641213.875</v>
      </c>
      <c r="G21" s="465">
        <v>28574</v>
      </c>
      <c r="H21" s="275"/>
      <c r="I21" s="275"/>
      <c r="J21" s="275"/>
      <c r="K21" s="275"/>
      <c r="L21" s="275"/>
      <c r="M21" s="275"/>
      <c r="N21" s="275"/>
      <c r="O21" s="275"/>
      <c r="P21" s="275"/>
      <c r="Q21" s="275"/>
      <c r="R21" s="278"/>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row>
    <row r="22" spans="1:51" x14ac:dyDescent="0.2">
      <c r="A22" s="464">
        <v>42958924</v>
      </c>
      <c r="B22" s="465">
        <v>31.600000381469727</v>
      </c>
      <c r="C22" s="465">
        <v>64.599998474121094</v>
      </c>
      <c r="D22" s="465">
        <v>30</v>
      </c>
      <c r="E22" s="465">
        <v>0</v>
      </c>
      <c r="F22" s="465">
        <v>649392.625</v>
      </c>
      <c r="G22" s="465">
        <v>28616</v>
      </c>
      <c r="H22" s="275"/>
      <c r="I22" s="275"/>
      <c r="J22" s="275"/>
      <c r="K22" s="275"/>
      <c r="L22" s="275"/>
      <c r="M22" s="275"/>
      <c r="N22" s="275"/>
      <c r="O22" s="275"/>
      <c r="P22" s="275"/>
      <c r="Q22" s="275"/>
      <c r="R22" s="278"/>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row>
    <row r="23" spans="1:51" x14ac:dyDescent="0.2">
      <c r="A23" s="464">
        <v>51833832</v>
      </c>
      <c r="B23" s="465">
        <v>0</v>
      </c>
      <c r="C23" s="465">
        <v>152.89999389648438</v>
      </c>
      <c r="D23" s="465">
        <v>31</v>
      </c>
      <c r="E23" s="465">
        <v>0</v>
      </c>
      <c r="F23" s="465">
        <v>657571.375</v>
      </c>
      <c r="G23" s="465">
        <v>28618</v>
      </c>
      <c r="H23" s="275"/>
      <c r="I23" s="275"/>
      <c r="J23" s="275"/>
      <c r="K23" s="275"/>
      <c r="L23" s="275"/>
      <c r="M23" s="275"/>
      <c r="N23" s="275"/>
      <c r="O23" s="275"/>
      <c r="P23" s="275"/>
      <c r="Q23" s="275"/>
      <c r="R23" s="278"/>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row>
    <row r="24" spans="1:51" x14ac:dyDescent="0.2">
      <c r="A24" s="464">
        <v>48709368</v>
      </c>
      <c r="B24" s="465">
        <v>6</v>
      </c>
      <c r="C24" s="465">
        <v>76.599998474121094</v>
      </c>
      <c r="D24" s="465">
        <v>31</v>
      </c>
      <c r="E24" s="465">
        <v>0</v>
      </c>
      <c r="F24" s="465">
        <v>665750.1875</v>
      </c>
      <c r="G24" s="465">
        <v>28610</v>
      </c>
      <c r="H24" s="275"/>
      <c r="I24" s="275"/>
      <c r="J24" s="275"/>
      <c r="K24" s="275"/>
      <c r="L24" s="275"/>
      <c r="M24" s="275"/>
      <c r="N24" s="275"/>
      <c r="O24" s="275"/>
      <c r="P24" s="275"/>
      <c r="Q24" s="275"/>
      <c r="R24" s="278"/>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row>
    <row r="25" spans="1:51" x14ac:dyDescent="0.2">
      <c r="A25" s="464">
        <v>40386344</v>
      </c>
      <c r="B25" s="465">
        <v>86.099998474121094</v>
      </c>
      <c r="C25" s="465">
        <v>28.899999618530273</v>
      </c>
      <c r="D25" s="465">
        <v>30</v>
      </c>
      <c r="E25" s="465">
        <v>1</v>
      </c>
      <c r="F25" s="465">
        <v>673928.9375</v>
      </c>
      <c r="G25" s="465">
        <v>28614</v>
      </c>
      <c r="H25" s="275"/>
      <c r="I25" s="275"/>
      <c r="J25" s="275"/>
      <c r="K25" s="275"/>
      <c r="L25" s="275"/>
      <c r="M25" s="275"/>
      <c r="N25" s="275"/>
      <c r="O25" s="275"/>
      <c r="P25" s="275"/>
      <c r="Q25" s="275"/>
      <c r="R25" s="278"/>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row>
    <row r="26" spans="1:51" x14ac:dyDescent="0.2">
      <c r="A26" s="464">
        <v>40191612</v>
      </c>
      <c r="B26" s="465">
        <v>227.39999389648438</v>
      </c>
      <c r="C26" s="465">
        <v>0.80000001192092896</v>
      </c>
      <c r="D26" s="465">
        <v>31</v>
      </c>
      <c r="E26" s="465">
        <v>1</v>
      </c>
      <c r="F26" s="465">
        <v>682107.6875</v>
      </c>
      <c r="G26" s="465">
        <v>28631</v>
      </c>
      <c r="H26" s="275"/>
      <c r="I26" s="275"/>
      <c r="J26" s="275"/>
      <c r="K26" s="275"/>
      <c r="L26" s="275"/>
      <c r="M26" s="275"/>
      <c r="N26" s="275"/>
      <c r="O26" s="275"/>
      <c r="P26" s="275"/>
      <c r="Q26" s="275"/>
      <c r="R26" s="278"/>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row>
    <row r="27" spans="1:51" x14ac:dyDescent="0.2">
      <c r="A27" s="464">
        <v>42546572</v>
      </c>
      <c r="B27" s="465">
        <v>432.39999389648438</v>
      </c>
      <c r="C27" s="465">
        <v>0</v>
      </c>
      <c r="D27" s="465">
        <v>30</v>
      </c>
      <c r="E27" s="465">
        <v>1</v>
      </c>
      <c r="F27" s="465">
        <v>690286.4375</v>
      </c>
      <c r="G27" s="465">
        <v>28647</v>
      </c>
      <c r="H27" s="275"/>
      <c r="I27" s="275"/>
      <c r="J27" s="275"/>
      <c r="K27" s="275"/>
      <c r="L27" s="275"/>
      <c r="M27" s="275"/>
      <c r="N27" s="275"/>
      <c r="O27" s="275"/>
      <c r="P27" s="275"/>
      <c r="Q27" s="275"/>
      <c r="R27" s="278"/>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row>
    <row r="28" spans="1:51" x14ac:dyDescent="0.2">
      <c r="A28" s="464">
        <v>44574932</v>
      </c>
      <c r="B28" s="465">
        <v>505.10000610351563</v>
      </c>
      <c r="C28" s="465">
        <v>0</v>
      </c>
      <c r="D28" s="465">
        <v>31</v>
      </c>
      <c r="E28" s="465">
        <v>0</v>
      </c>
      <c r="F28" s="465">
        <v>698465.1875</v>
      </c>
      <c r="G28" s="465">
        <v>28658</v>
      </c>
      <c r="H28" s="275"/>
      <c r="I28" s="275"/>
      <c r="J28" s="275"/>
      <c r="K28" s="275"/>
      <c r="L28" s="275"/>
      <c r="M28" s="275"/>
      <c r="N28" s="275"/>
      <c r="O28" s="275"/>
      <c r="P28" s="275"/>
      <c r="Q28" s="275"/>
      <c r="R28" s="278"/>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row>
    <row r="29" spans="1:51" x14ac:dyDescent="0.2">
      <c r="A29" s="464">
        <v>48092056</v>
      </c>
      <c r="B29" s="465">
        <v>617.29998779296875</v>
      </c>
      <c r="C29" s="465">
        <v>0</v>
      </c>
      <c r="D29" s="465">
        <v>31</v>
      </c>
      <c r="E29" s="465">
        <v>0</v>
      </c>
      <c r="F29" s="465">
        <v>713105.625</v>
      </c>
      <c r="G29" s="465">
        <v>28708</v>
      </c>
      <c r="H29" s="275"/>
      <c r="I29" s="275"/>
      <c r="J29" s="275"/>
      <c r="K29" s="275"/>
      <c r="L29" s="275"/>
      <c r="M29" s="275"/>
      <c r="N29" s="275"/>
      <c r="O29" s="275"/>
      <c r="P29" s="275"/>
      <c r="Q29" s="275"/>
      <c r="R29" s="278"/>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row>
    <row r="30" spans="1:51" x14ac:dyDescent="0.2">
      <c r="A30" s="464">
        <v>43415700</v>
      </c>
      <c r="B30" s="465">
        <v>640.0999755859375</v>
      </c>
      <c r="C30" s="465">
        <v>0</v>
      </c>
      <c r="D30" s="465">
        <v>28</v>
      </c>
      <c r="E30" s="465">
        <v>0</v>
      </c>
      <c r="F30" s="465">
        <v>727746.0625</v>
      </c>
      <c r="G30" s="465">
        <v>28707</v>
      </c>
      <c r="H30" s="275"/>
      <c r="I30" s="275"/>
      <c r="J30" s="275"/>
      <c r="K30" s="275"/>
      <c r="L30" s="275"/>
      <c r="M30" s="275"/>
      <c r="N30" s="275"/>
      <c r="O30" s="275"/>
      <c r="P30" s="275"/>
      <c r="Q30" s="275"/>
      <c r="R30" s="278"/>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row>
    <row r="31" spans="1:51" x14ac:dyDescent="0.2">
      <c r="A31" s="464">
        <v>43520436</v>
      </c>
      <c r="B31" s="465">
        <v>555.4000244140625</v>
      </c>
      <c r="C31" s="465">
        <v>0</v>
      </c>
      <c r="D31" s="465">
        <v>31</v>
      </c>
      <c r="E31" s="465">
        <v>1</v>
      </c>
      <c r="F31" s="465">
        <v>742386.5</v>
      </c>
      <c r="G31" s="465">
        <v>28697</v>
      </c>
      <c r="H31" s="275"/>
      <c r="I31" s="275"/>
      <c r="J31" s="275"/>
      <c r="K31" s="275"/>
      <c r="L31" s="275"/>
      <c r="M31" s="275"/>
      <c r="N31" s="275"/>
      <c r="O31" s="275"/>
      <c r="P31" s="275"/>
      <c r="Q31" s="275"/>
      <c r="R31" s="278"/>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row>
    <row r="32" spans="1:51" x14ac:dyDescent="0.2">
      <c r="A32" s="464">
        <v>38293524</v>
      </c>
      <c r="B32" s="465">
        <v>339.89999389648438</v>
      </c>
      <c r="C32" s="465">
        <v>0</v>
      </c>
      <c r="D32" s="465">
        <v>30</v>
      </c>
      <c r="E32" s="465">
        <v>1</v>
      </c>
      <c r="F32" s="465">
        <v>757026.9375</v>
      </c>
      <c r="G32" s="465">
        <v>28661</v>
      </c>
      <c r="H32" s="275"/>
      <c r="I32" s="275"/>
      <c r="J32" s="275"/>
      <c r="K32" s="275"/>
      <c r="L32" s="275"/>
      <c r="M32" s="275"/>
      <c r="N32" s="275"/>
      <c r="O32" s="275"/>
      <c r="P32" s="275"/>
      <c r="Q32" s="275"/>
      <c r="R32" s="278"/>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row>
    <row r="33" spans="1:51" x14ac:dyDescent="0.2">
      <c r="A33" s="464">
        <v>37947560</v>
      </c>
      <c r="B33" s="465">
        <v>116.5</v>
      </c>
      <c r="C33" s="465">
        <v>24.200000762939453</v>
      </c>
      <c r="D33" s="465">
        <v>31</v>
      </c>
      <c r="E33" s="465">
        <v>1</v>
      </c>
      <c r="F33" s="465">
        <v>771667.375</v>
      </c>
      <c r="G33" s="465">
        <v>28653</v>
      </c>
      <c r="H33" s="275"/>
      <c r="I33" s="275"/>
      <c r="J33" s="275"/>
      <c r="K33" s="275"/>
      <c r="L33" s="275"/>
      <c r="M33" s="275"/>
      <c r="N33" s="275"/>
      <c r="O33" s="275"/>
      <c r="P33" s="275"/>
      <c r="Q33" s="275"/>
      <c r="R33" s="278"/>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row>
    <row r="34" spans="1:51" x14ac:dyDescent="0.2">
      <c r="A34" s="464">
        <v>39558052</v>
      </c>
      <c r="B34" s="465">
        <v>42.799999237060547</v>
      </c>
      <c r="C34" s="465">
        <v>48.5</v>
      </c>
      <c r="D34" s="465">
        <v>30</v>
      </c>
      <c r="E34" s="465">
        <v>0</v>
      </c>
      <c r="F34" s="466">
        <v>786307.8125</v>
      </c>
      <c r="G34" s="465">
        <v>28656</v>
      </c>
      <c r="H34" s="275"/>
      <c r="I34" s="275"/>
      <c r="J34" s="275"/>
      <c r="K34" s="275"/>
      <c r="L34" s="275"/>
      <c r="M34" s="275"/>
      <c r="N34" s="275"/>
      <c r="O34" s="275"/>
      <c r="P34" s="275"/>
      <c r="Q34" s="275"/>
      <c r="R34" s="278"/>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row>
    <row r="35" spans="1:51" x14ac:dyDescent="0.2">
      <c r="A35" s="464">
        <v>48777836</v>
      </c>
      <c r="B35" s="465">
        <v>5.5</v>
      </c>
      <c r="C35" s="465">
        <v>117</v>
      </c>
      <c r="D35" s="465">
        <v>31</v>
      </c>
      <c r="E35" s="465">
        <v>0</v>
      </c>
      <c r="F35" s="465">
        <v>800948.25</v>
      </c>
      <c r="G35" s="465">
        <v>28691</v>
      </c>
      <c r="H35" s="275"/>
      <c r="I35" s="275"/>
      <c r="J35" s="275"/>
      <c r="K35" s="275"/>
      <c r="L35" s="275"/>
      <c r="M35" s="275"/>
      <c r="N35" s="275"/>
      <c r="O35" s="275"/>
      <c r="P35" s="275"/>
      <c r="Q35" s="275"/>
      <c r="R35" s="278"/>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row>
    <row r="36" spans="1:51" x14ac:dyDescent="0.2">
      <c r="A36" s="464">
        <v>44931328</v>
      </c>
      <c r="B36" s="465">
        <v>19.100000381469727</v>
      </c>
      <c r="C36" s="465">
        <v>113</v>
      </c>
      <c r="D36" s="465">
        <v>31</v>
      </c>
      <c r="E36" s="465">
        <v>0</v>
      </c>
      <c r="F36" s="465">
        <v>815588.6875</v>
      </c>
      <c r="G36" s="465">
        <v>28674</v>
      </c>
      <c r="H36" s="275"/>
      <c r="I36" s="275"/>
      <c r="J36" s="275"/>
      <c r="K36" s="275"/>
      <c r="L36" s="275"/>
      <c r="M36" s="275"/>
      <c r="N36" s="275"/>
      <c r="O36" s="275"/>
      <c r="P36" s="275"/>
      <c r="Q36" s="275"/>
      <c r="R36" s="278"/>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row>
    <row r="37" spans="1:51" x14ac:dyDescent="0.2">
      <c r="A37" s="464">
        <v>38566848</v>
      </c>
      <c r="B37" s="465">
        <v>110.40000152587891</v>
      </c>
      <c r="C37" s="465">
        <v>22.899999618530273</v>
      </c>
      <c r="D37" s="465">
        <v>30</v>
      </c>
      <c r="E37" s="465">
        <v>1</v>
      </c>
      <c r="F37" s="465">
        <v>830229.125</v>
      </c>
      <c r="G37" s="465">
        <v>28700</v>
      </c>
      <c r="H37" s="275"/>
      <c r="I37" s="275"/>
      <c r="J37" s="275"/>
      <c r="K37" s="275"/>
      <c r="L37" s="275"/>
      <c r="M37" s="275"/>
      <c r="N37" s="275"/>
      <c r="O37" s="275"/>
      <c r="P37" s="275"/>
      <c r="Q37" s="275"/>
      <c r="R37" s="278"/>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row>
    <row r="38" spans="1:51" x14ac:dyDescent="0.2">
      <c r="A38" s="464">
        <v>39059440</v>
      </c>
      <c r="B38" s="465">
        <v>211.5</v>
      </c>
      <c r="C38" s="465">
        <v>4.1999998092651367</v>
      </c>
      <c r="D38" s="465">
        <v>31</v>
      </c>
      <c r="E38" s="465">
        <v>1</v>
      </c>
      <c r="F38" s="465">
        <v>844869.5</v>
      </c>
      <c r="G38" s="465">
        <v>28700</v>
      </c>
      <c r="H38" s="275"/>
      <c r="I38" s="275"/>
      <c r="J38" s="275"/>
      <c r="K38" s="275"/>
      <c r="L38" s="275"/>
      <c r="M38" s="275"/>
      <c r="N38" s="275"/>
      <c r="O38" s="275"/>
      <c r="P38" s="275"/>
      <c r="Q38" s="275"/>
      <c r="R38" s="278"/>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row>
    <row r="39" spans="1:51" x14ac:dyDescent="0.2">
      <c r="A39" s="464">
        <v>41311172</v>
      </c>
      <c r="B39" s="465">
        <v>460.70001220703125</v>
      </c>
      <c r="C39" s="465">
        <v>0</v>
      </c>
      <c r="D39" s="465">
        <v>30</v>
      </c>
      <c r="E39" s="465">
        <v>1</v>
      </c>
      <c r="F39" s="465">
        <v>859509.9375</v>
      </c>
      <c r="G39" s="465">
        <v>28704</v>
      </c>
      <c r="H39" s="275"/>
      <c r="I39" s="275"/>
      <c r="J39" s="275"/>
      <c r="K39" s="275"/>
      <c r="L39" s="275"/>
      <c r="M39" s="275"/>
      <c r="N39" s="275"/>
      <c r="O39" s="275"/>
      <c r="P39" s="275"/>
      <c r="Q39" s="275"/>
      <c r="R39" s="278"/>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row>
    <row r="40" spans="1:51" x14ac:dyDescent="0.2">
      <c r="A40" s="464">
        <v>46300080</v>
      </c>
      <c r="B40" s="465">
        <v>656.4000244140625</v>
      </c>
      <c r="C40" s="465">
        <v>0</v>
      </c>
      <c r="D40" s="465">
        <v>31</v>
      </c>
      <c r="E40" s="465">
        <v>0</v>
      </c>
      <c r="F40" s="465">
        <v>874150.375</v>
      </c>
      <c r="G40" s="465">
        <v>28722</v>
      </c>
      <c r="H40" s="275"/>
      <c r="I40" s="275"/>
      <c r="J40" s="275"/>
      <c r="K40" s="275"/>
      <c r="L40" s="275"/>
      <c r="M40" s="275"/>
      <c r="N40" s="275"/>
      <c r="O40" s="275"/>
      <c r="P40" s="275"/>
      <c r="Q40" s="275"/>
      <c r="R40" s="278"/>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row>
    <row r="41" spans="1:51" x14ac:dyDescent="0.2">
      <c r="A41" s="464">
        <v>50496524</v>
      </c>
      <c r="B41" s="465">
        <v>783.20001220703125</v>
      </c>
      <c r="C41" s="465">
        <v>0</v>
      </c>
      <c r="D41" s="465">
        <v>31</v>
      </c>
      <c r="E41" s="465">
        <v>0</v>
      </c>
      <c r="F41" s="465">
        <v>893476.0625</v>
      </c>
      <c r="G41" s="465">
        <v>28748</v>
      </c>
      <c r="H41" s="275"/>
      <c r="I41" s="275"/>
      <c r="J41" s="275"/>
      <c r="K41" s="275"/>
      <c r="L41" s="275"/>
      <c r="M41" s="275"/>
      <c r="N41" s="275"/>
      <c r="O41" s="275"/>
      <c r="P41" s="275"/>
      <c r="Q41" s="275"/>
      <c r="R41" s="278"/>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row>
    <row r="42" spans="1:51" x14ac:dyDescent="0.2">
      <c r="A42" s="464">
        <v>44559480</v>
      </c>
      <c r="B42" s="465">
        <v>743.70001220703125</v>
      </c>
      <c r="C42" s="465">
        <v>0</v>
      </c>
      <c r="D42" s="465">
        <v>28</v>
      </c>
      <c r="E42" s="465">
        <v>0</v>
      </c>
      <c r="F42" s="465">
        <v>912801.75</v>
      </c>
      <c r="G42" s="465">
        <v>28744</v>
      </c>
      <c r="H42" s="275"/>
      <c r="I42" s="275"/>
      <c r="J42" s="275"/>
      <c r="K42" s="275"/>
      <c r="L42" s="275"/>
      <c r="M42" s="275"/>
      <c r="N42" s="275"/>
      <c r="O42" s="275"/>
      <c r="P42" s="275"/>
      <c r="Q42" s="275"/>
      <c r="R42" s="278"/>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row>
    <row r="43" spans="1:51" x14ac:dyDescent="0.2">
      <c r="A43" s="464">
        <v>45832980</v>
      </c>
      <c r="B43" s="465">
        <v>692.29998779296875</v>
      </c>
      <c r="C43" s="465">
        <v>0</v>
      </c>
      <c r="D43" s="465">
        <v>31</v>
      </c>
      <c r="E43" s="465">
        <v>1</v>
      </c>
      <c r="F43" s="465">
        <v>932127.4375</v>
      </c>
      <c r="G43" s="465">
        <v>28756</v>
      </c>
      <c r="H43" s="275"/>
      <c r="I43" s="275"/>
      <c r="J43" s="275"/>
      <c r="K43" s="275"/>
      <c r="L43" s="275"/>
      <c r="M43" s="275"/>
      <c r="N43" s="275"/>
      <c r="O43" s="275"/>
      <c r="P43" s="275"/>
      <c r="Q43" s="275"/>
      <c r="R43" s="278"/>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row>
    <row r="44" spans="1:51" x14ac:dyDescent="0.2">
      <c r="A44" s="464">
        <v>38389928</v>
      </c>
      <c r="B44" s="465">
        <v>338.39999389648438</v>
      </c>
      <c r="C44" s="465">
        <v>0</v>
      </c>
      <c r="D44" s="465">
        <v>30</v>
      </c>
      <c r="E44" s="465">
        <v>1</v>
      </c>
      <c r="F44" s="465">
        <v>951453.125</v>
      </c>
      <c r="G44" s="465">
        <v>28739</v>
      </c>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row>
    <row r="45" spans="1:51" x14ac:dyDescent="0.2">
      <c r="A45" s="464">
        <v>36955320</v>
      </c>
      <c r="B45" s="465">
        <v>147.69999694824219</v>
      </c>
      <c r="C45" s="465">
        <v>7.3000001907348633</v>
      </c>
      <c r="D45" s="465">
        <v>31</v>
      </c>
      <c r="E45" s="465">
        <v>1</v>
      </c>
      <c r="F45" s="465">
        <v>970778.75</v>
      </c>
      <c r="G45" s="465">
        <v>28715</v>
      </c>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row>
    <row r="46" spans="1:51" x14ac:dyDescent="0.2">
      <c r="A46" s="464">
        <v>40743556</v>
      </c>
      <c r="B46" s="465">
        <v>21.299999237060547</v>
      </c>
      <c r="C46" s="465">
        <v>69</v>
      </c>
      <c r="D46" s="465">
        <v>30</v>
      </c>
      <c r="E46" s="465">
        <v>0</v>
      </c>
      <c r="F46" s="465">
        <v>990104.4375</v>
      </c>
      <c r="G46" s="465">
        <v>28716</v>
      </c>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row>
    <row r="47" spans="1:51" x14ac:dyDescent="0.2">
      <c r="A47" s="464">
        <v>44141052</v>
      </c>
      <c r="B47" s="465">
        <v>13.699999809265137</v>
      </c>
      <c r="C47" s="465">
        <v>51</v>
      </c>
      <c r="D47" s="465">
        <v>31</v>
      </c>
      <c r="E47" s="465">
        <v>0</v>
      </c>
      <c r="F47" s="465">
        <v>1009430.125</v>
      </c>
      <c r="G47" s="465">
        <v>28720</v>
      </c>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row>
    <row r="48" spans="1:51" x14ac:dyDescent="0.2">
      <c r="A48" s="464">
        <v>43108352</v>
      </c>
      <c r="B48" s="465">
        <v>12</v>
      </c>
      <c r="C48" s="465">
        <v>59</v>
      </c>
      <c r="D48" s="465">
        <v>31</v>
      </c>
      <c r="E48" s="465">
        <v>0</v>
      </c>
      <c r="F48" s="465">
        <v>1028755.8125</v>
      </c>
      <c r="G48" s="465">
        <v>28724</v>
      </c>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row>
    <row r="49" spans="1:51" x14ac:dyDescent="0.2">
      <c r="A49" s="464">
        <v>38472316</v>
      </c>
      <c r="B49" s="465">
        <v>85.300003051757813</v>
      </c>
      <c r="C49" s="465">
        <v>27.5</v>
      </c>
      <c r="D49" s="465">
        <v>30</v>
      </c>
      <c r="E49" s="465">
        <v>1</v>
      </c>
      <c r="F49" s="465">
        <v>1048081.5</v>
      </c>
      <c r="G49" s="465">
        <v>28750</v>
      </c>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row>
    <row r="50" spans="1:51" x14ac:dyDescent="0.2">
      <c r="A50" s="464">
        <v>38196496</v>
      </c>
      <c r="B50" s="465">
        <v>225.10000610351563</v>
      </c>
      <c r="C50" s="465">
        <v>5.9000000953674316</v>
      </c>
      <c r="D50" s="465">
        <v>31</v>
      </c>
      <c r="E50" s="465">
        <v>1</v>
      </c>
      <c r="F50" s="465">
        <v>1067407.125</v>
      </c>
      <c r="G50" s="465">
        <v>28746</v>
      </c>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row>
    <row r="51" spans="1:51" x14ac:dyDescent="0.2">
      <c r="A51" s="464">
        <v>40658384</v>
      </c>
      <c r="B51" s="465">
        <v>465.70001220703125</v>
      </c>
      <c r="C51" s="465">
        <v>0</v>
      </c>
      <c r="D51" s="465">
        <v>30</v>
      </c>
      <c r="E51" s="465">
        <v>1</v>
      </c>
      <c r="F51" s="465">
        <v>1086732.875</v>
      </c>
      <c r="G51" s="465">
        <v>28745</v>
      </c>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row>
    <row r="52" spans="1:51" x14ac:dyDescent="0.2">
      <c r="A52" s="464">
        <v>43373536</v>
      </c>
      <c r="B52" s="465">
        <v>540.79998779296875</v>
      </c>
      <c r="C52" s="465">
        <v>0</v>
      </c>
      <c r="D52" s="465">
        <v>31</v>
      </c>
      <c r="E52" s="465">
        <v>0</v>
      </c>
      <c r="F52" s="465">
        <v>1106058.5</v>
      </c>
      <c r="G52" s="465">
        <v>28755</v>
      </c>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row>
    <row r="53" spans="1:51" x14ac:dyDescent="0.2">
      <c r="A53" s="464">
        <v>48336984</v>
      </c>
      <c r="B53" s="465">
        <v>771.70001220703125</v>
      </c>
      <c r="C53" s="465">
        <v>0</v>
      </c>
      <c r="D53" s="465">
        <v>31</v>
      </c>
      <c r="E53" s="465">
        <v>0</v>
      </c>
      <c r="F53" s="465">
        <v>1159263.625</v>
      </c>
      <c r="G53" s="465">
        <v>28776</v>
      </c>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row>
    <row r="54" spans="1:51" x14ac:dyDescent="0.2">
      <c r="A54" s="464">
        <v>45806080</v>
      </c>
      <c r="B54" s="465">
        <v>871.9000244140625</v>
      </c>
      <c r="C54" s="465">
        <v>0</v>
      </c>
      <c r="D54" s="465">
        <v>28</v>
      </c>
      <c r="E54" s="465">
        <v>0</v>
      </c>
      <c r="F54" s="465">
        <v>1212468.75</v>
      </c>
      <c r="G54" s="465">
        <v>28756</v>
      </c>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row>
    <row r="55" spans="1:51" x14ac:dyDescent="0.2">
      <c r="A55" s="464">
        <v>44467252</v>
      </c>
      <c r="B55" s="465">
        <v>637</v>
      </c>
      <c r="C55" s="465">
        <v>0</v>
      </c>
      <c r="D55" s="465">
        <v>31</v>
      </c>
      <c r="E55" s="465">
        <v>1</v>
      </c>
      <c r="F55" s="465">
        <v>1265674</v>
      </c>
      <c r="G55" s="465">
        <v>28748</v>
      </c>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row>
    <row r="56" spans="1:51" x14ac:dyDescent="0.2">
      <c r="A56" s="464">
        <v>37066328</v>
      </c>
      <c r="B56" s="465">
        <v>330</v>
      </c>
      <c r="C56" s="465">
        <v>0</v>
      </c>
      <c r="D56" s="465">
        <v>30</v>
      </c>
      <c r="E56" s="465">
        <v>1</v>
      </c>
      <c r="F56" s="465">
        <v>1318879.125</v>
      </c>
      <c r="G56" s="465">
        <v>28733</v>
      </c>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row>
    <row r="57" spans="1:51" x14ac:dyDescent="0.2">
      <c r="A57" s="464">
        <v>36561144</v>
      </c>
      <c r="B57" s="465">
        <v>102.69999694824219</v>
      </c>
      <c r="C57" s="465">
        <v>34.200000762939453</v>
      </c>
      <c r="D57" s="465">
        <v>31</v>
      </c>
      <c r="E57" s="465">
        <v>1</v>
      </c>
      <c r="F57" s="465">
        <v>1372084.25</v>
      </c>
      <c r="G57" s="465">
        <v>28701</v>
      </c>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row>
    <row r="58" spans="1:51" x14ac:dyDescent="0.2">
      <c r="A58" s="464">
        <v>38156280</v>
      </c>
      <c r="B58" s="465">
        <v>35.900001525878906</v>
      </c>
      <c r="C58" s="465">
        <v>28.600000381469727</v>
      </c>
      <c r="D58" s="465">
        <v>30</v>
      </c>
      <c r="E58" s="465">
        <v>0</v>
      </c>
      <c r="F58" s="466">
        <v>1425289.375</v>
      </c>
      <c r="G58" s="465">
        <v>28699</v>
      </c>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row>
    <row r="59" spans="1:51" x14ac:dyDescent="0.2">
      <c r="A59" s="464">
        <v>44608128</v>
      </c>
      <c r="B59" s="465">
        <v>7.5999999046325684</v>
      </c>
      <c r="C59" s="465">
        <v>79.099998474121094</v>
      </c>
      <c r="D59" s="465">
        <v>31</v>
      </c>
      <c r="E59" s="465">
        <v>0</v>
      </c>
      <c r="F59" s="465">
        <v>1478494.5</v>
      </c>
      <c r="G59" s="465">
        <v>28743</v>
      </c>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row>
    <row r="60" spans="1:51" x14ac:dyDescent="0.2">
      <c r="A60" s="464">
        <v>43859864</v>
      </c>
      <c r="B60" s="465">
        <v>12</v>
      </c>
      <c r="C60" s="465">
        <v>59</v>
      </c>
      <c r="D60" s="465">
        <v>31</v>
      </c>
      <c r="E60" s="465">
        <v>0</v>
      </c>
      <c r="F60" s="465">
        <v>1531699.75</v>
      </c>
      <c r="G60" s="465">
        <v>28760</v>
      </c>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row>
    <row r="61" spans="1:51" x14ac:dyDescent="0.2">
      <c r="A61" s="464">
        <v>41747992</v>
      </c>
      <c r="B61" s="465">
        <v>37</v>
      </c>
      <c r="C61" s="465">
        <v>54.400001525878906</v>
      </c>
      <c r="D61" s="465">
        <v>30</v>
      </c>
      <c r="E61" s="465">
        <v>1</v>
      </c>
      <c r="F61" s="465">
        <v>1584904.875</v>
      </c>
      <c r="G61" s="465">
        <v>28792</v>
      </c>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row>
    <row r="62" spans="1:51" x14ac:dyDescent="0.2">
      <c r="A62" s="464">
        <v>36786432</v>
      </c>
      <c r="B62" s="465">
        <v>252.30000305175781</v>
      </c>
      <c r="C62" s="465">
        <v>0.89999997615814209</v>
      </c>
      <c r="D62" s="465">
        <v>31</v>
      </c>
      <c r="E62" s="465">
        <v>1</v>
      </c>
      <c r="F62" s="465">
        <v>1638110</v>
      </c>
      <c r="G62" s="465">
        <v>28795</v>
      </c>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row>
    <row r="63" spans="1:51" x14ac:dyDescent="0.2">
      <c r="A63" s="464">
        <v>37158576</v>
      </c>
      <c r="B63" s="465">
        <v>341.39999389648438</v>
      </c>
      <c r="C63" s="465">
        <v>0</v>
      </c>
      <c r="D63" s="465">
        <v>30</v>
      </c>
      <c r="E63" s="465">
        <v>1</v>
      </c>
      <c r="F63" s="465">
        <v>1691315.125</v>
      </c>
      <c r="G63" s="465">
        <v>28801</v>
      </c>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row>
    <row r="64" spans="1:51" x14ac:dyDescent="0.2">
      <c r="A64" s="464">
        <v>39769880</v>
      </c>
      <c r="B64" s="465">
        <v>418</v>
      </c>
      <c r="C64" s="465">
        <v>0</v>
      </c>
      <c r="D64" s="465">
        <v>31</v>
      </c>
      <c r="E64" s="465">
        <v>0</v>
      </c>
      <c r="F64" s="465">
        <v>1744520.25</v>
      </c>
      <c r="G64" s="465">
        <v>28826</v>
      </c>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row>
    <row r="65" spans="1:51" x14ac:dyDescent="0.2">
      <c r="A65" s="464">
        <v>44548272</v>
      </c>
      <c r="B65" s="465">
        <v>657.20001220703125</v>
      </c>
      <c r="C65" s="465">
        <v>0</v>
      </c>
      <c r="D65" s="465">
        <v>31</v>
      </c>
      <c r="E65" s="465">
        <v>0</v>
      </c>
      <c r="F65" s="465">
        <v>1798539.375</v>
      </c>
      <c r="G65" s="465">
        <v>28830</v>
      </c>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row>
    <row r="66" spans="1:51" x14ac:dyDescent="0.2">
      <c r="A66" s="464">
        <v>41158164</v>
      </c>
      <c r="B66" s="465">
        <v>587.0999755859375</v>
      </c>
      <c r="C66" s="465">
        <v>0</v>
      </c>
      <c r="D66" s="465">
        <v>28</v>
      </c>
      <c r="E66" s="465">
        <v>0</v>
      </c>
      <c r="F66" s="465">
        <v>1852558.375</v>
      </c>
      <c r="G66" s="465">
        <v>28843</v>
      </c>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row>
    <row r="67" spans="1:51" x14ac:dyDescent="0.2">
      <c r="A67" s="464">
        <v>39809144</v>
      </c>
      <c r="B67" s="465">
        <v>448.79998779296875</v>
      </c>
      <c r="C67" s="465">
        <v>0</v>
      </c>
      <c r="D67" s="465">
        <v>31</v>
      </c>
      <c r="E67" s="465">
        <v>1</v>
      </c>
      <c r="F67" s="465">
        <v>1906577.375</v>
      </c>
      <c r="G67" s="465">
        <v>28835</v>
      </c>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row>
    <row r="68" spans="1:51" x14ac:dyDescent="0.2">
      <c r="A68" s="464">
        <v>36222796</v>
      </c>
      <c r="B68" s="465">
        <v>384.10000610351563</v>
      </c>
      <c r="C68" s="465">
        <v>0</v>
      </c>
      <c r="D68" s="465">
        <v>30</v>
      </c>
      <c r="E68" s="465">
        <v>1</v>
      </c>
      <c r="F68" s="465">
        <v>1960596.375</v>
      </c>
      <c r="G68" s="465">
        <v>28853</v>
      </c>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row>
    <row r="69" spans="1:51" x14ac:dyDescent="0.2">
      <c r="A69" s="464">
        <v>35890392</v>
      </c>
      <c r="B69" s="465">
        <v>153.10000610351563</v>
      </c>
      <c r="C69" s="465">
        <v>24.399999618530273</v>
      </c>
      <c r="D69" s="465">
        <v>31</v>
      </c>
      <c r="E69" s="465">
        <v>1</v>
      </c>
      <c r="F69" s="465">
        <v>2014615.375</v>
      </c>
      <c r="G69" s="465">
        <v>28859</v>
      </c>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row>
    <row r="70" spans="1:51" x14ac:dyDescent="0.2">
      <c r="A70" s="464">
        <v>39662848</v>
      </c>
      <c r="B70" s="465">
        <v>29.200000762939453</v>
      </c>
      <c r="C70" s="465">
        <v>51.700000762939453</v>
      </c>
      <c r="D70" s="465">
        <v>30</v>
      </c>
      <c r="E70" s="465">
        <v>0</v>
      </c>
      <c r="F70" s="465">
        <v>2068634.375</v>
      </c>
      <c r="G70" s="465">
        <v>28872</v>
      </c>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row>
    <row r="71" spans="1:51" x14ac:dyDescent="0.2">
      <c r="A71" s="464">
        <v>47528892</v>
      </c>
      <c r="B71" s="465">
        <v>0</v>
      </c>
      <c r="C71" s="465">
        <v>140.69999694824219</v>
      </c>
      <c r="D71" s="465">
        <v>31</v>
      </c>
      <c r="E71" s="465">
        <v>0</v>
      </c>
      <c r="F71" s="465">
        <v>2122653.25</v>
      </c>
      <c r="G71" s="465">
        <v>28792</v>
      </c>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row>
    <row r="72" spans="1:51" x14ac:dyDescent="0.2">
      <c r="A72" s="464">
        <v>51243328</v>
      </c>
      <c r="B72" s="465">
        <v>0.10000000149011612</v>
      </c>
      <c r="C72" s="465">
        <v>159.30000305175781</v>
      </c>
      <c r="D72" s="465">
        <v>31</v>
      </c>
      <c r="E72" s="465">
        <v>0</v>
      </c>
      <c r="F72" s="465">
        <v>2176672.25</v>
      </c>
      <c r="G72" s="465">
        <v>28833</v>
      </c>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row>
    <row r="73" spans="1:51" x14ac:dyDescent="0.2">
      <c r="A73" s="464">
        <v>39994232</v>
      </c>
      <c r="B73" s="465">
        <v>34.299999237060547</v>
      </c>
      <c r="C73" s="465">
        <v>48.099998474121094</v>
      </c>
      <c r="D73" s="465">
        <v>30</v>
      </c>
      <c r="E73" s="465">
        <v>1</v>
      </c>
      <c r="F73" s="465">
        <v>2230691.5</v>
      </c>
      <c r="G73" s="465">
        <v>28864</v>
      </c>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row>
    <row r="74" spans="1:51" x14ac:dyDescent="0.2">
      <c r="A74" s="464">
        <v>36210144</v>
      </c>
      <c r="B74" s="465">
        <v>198.69999694824219</v>
      </c>
      <c r="C74" s="465">
        <v>5.0999999046325684</v>
      </c>
      <c r="D74" s="465">
        <v>31</v>
      </c>
      <c r="E74" s="465">
        <v>1</v>
      </c>
      <c r="F74" s="465">
        <v>2284710.5</v>
      </c>
      <c r="G74" s="465">
        <v>28858</v>
      </c>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row>
    <row r="75" spans="1:51" x14ac:dyDescent="0.2">
      <c r="A75" s="464">
        <v>36789736</v>
      </c>
      <c r="B75" s="465">
        <v>356.70001220703125</v>
      </c>
      <c r="C75" s="465">
        <v>0</v>
      </c>
      <c r="D75" s="465">
        <v>30</v>
      </c>
      <c r="E75" s="465">
        <v>1</v>
      </c>
      <c r="F75" s="465">
        <v>2338729.5</v>
      </c>
      <c r="G75" s="465">
        <v>28896</v>
      </c>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row>
    <row r="76" spans="1:51" x14ac:dyDescent="0.2">
      <c r="A76" s="464">
        <v>42575324</v>
      </c>
      <c r="B76" s="465">
        <v>581.20001220703125</v>
      </c>
      <c r="C76" s="465">
        <v>0</v>
      </c>
      <c r="D76" s="465">
        <v>31</v>
      </c>
      <c r="E76" s="465">
        <v>0</v>
      </c>
      <c r="F76" s="465">
        <v>2392748.5</v>
      </c>
      <c r="G76" s="465">
        <v>28913</v>
      </c>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row>
    <row r="77" spans="1:51" x14ac:dyDescent="0.2">
      <c r="A77" s="464">
        <v>43131420</v>
      </c>
      <c r="B77" s="465">
        <v>593.9000244140625</v>
      </c>
      <c r="C77" s="465">
        <v>0</v>
      </c>
      <c r="D77" s="465">
        <v>31</v>
      </c>
      <c r="E77" s="465">
        <v>0</v>
      </c>
      <c r="F77" s="465">
        <v>2432562.5</v>
      </c>
      <c r="G77" s="465">
        <v>28933</v>
      </c>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row>
    <row r="78" spans="1:51" x14ac:dyDescent="0.2">
      <c r="A78" s="464">
        <v>37533892</v>
      </c>
      <c r="B78" s="465">
        <v>487.79998779296875</v>
      </c>
      <c r="C78" s="465">
        <v>0</v>
      </c>
      <c r="D78" s="465">
        <v>28</v>
      </c>
      <c r="E78" s="465">
        <v>0</v>
      </c>
      <c r="F78" s="465">
        <v>2472376.5</v>
      </c>
      <c r="G78" s="465">
        <v>28960</v>
      </c>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row>
    <row r="79" spans="1:51" x14ac:dyDescent="0.2">
      <c r="A79" s="464">
        <v>41563416</v>
      </c>
      <c r="B79" s="465">
        <v>555.29998779296875</v>
      </c>
      <c r="C79" s="465">
        <v>0</v>
      </c>
      <c r="D79" s="465">
        <v>31</v>
      </c>
      <c r="E79" s="465">
        <v>1</v>
      </c>
      <c r="F79" s="465">
        <v>2512190.75</v>
      </c>
      <c r="G79" s="465">
        <v>28960</v>
      </c>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row>
    <row r="80" spans="1:51" x14ac:dyDescent="0.2">
      <c r="A80" s="464">
        <v>34947464</v>
      </c>
      <c r="B80" s="465">
        <v>261.79998779296875</v>
      </c>
      <c r="C80" s="465">
        <v>0.5</v>
      </c>
      <c r="D80" s="465">
        <v>30</v>
      </c>
      <c r="E80" s="465">
        <v>1</v>
      </c>
      <c r="F80" s="465">
        <v>2552004.75</v>
      </c>
      <c r="G80" s="465">
        <v>28969</v>
      </c>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c r="AV80" s="275"/>
      <c r="AW80" s="275"/>
      <c r="AX80" s="275"/>
      <c r="AY80" s="275"/>
    </row>
    <row r="81" spans="1:51" x14ac:dyDescent="0.2">
      <c r="A81" s="464">
        <v>35633124</v>
      </c>
      <c r="B81" s="465">
        <v>168.30000305175781</v>
      </c>
      <c r="C81" s="465">
        <v>6.5</v>
      </c>
      <c r="D81" s="465">
        <v>31</v>
      </c>
      <c r="E81" s="465">
        <v>1</v>
      </c>
      <c r="F81" s="465">
        <v>2591818.75</v>
      </c>
      <c r="G81" s="465">
        <v>29025</v>
      </c>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row>
    <row r="82" spans="1:51" x14ac:dyDescent="0.2">
      <c r="A82" s="464">
        <v>38155784</v>
      </c>
      <c r="B82" s="465">
        <v>32.599998474121094</v>
      </c>
      <c r="C82" s="465">
        <v>62.200000762939453</v>
      </c>
      <c r="D82" s="465">
        <v>30</v>
      </c>
      <c r="E82" s="465">
        <v>0</v>
      </c>
      <c r="F82" s="466">
        <v>2631633</v>
      </c>
      <c r="G82" s="465">
        <v>29019</v>
      </c>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c r="AV82" s="275"/>
      <c r="AW82" s="275"/>
      <c r="AX82" s="275"/>
      <c r="AY82" s="275"/>
    </row>
    <row r="83" spans="1:51" x14ac:dyDescent="0.2">
      <c r="A83" s="464">
        <v>44273988</v>
      </c>
      <c r="B83" s="465">
        <v>2.2000000476837158</v>
      </c>
      <c r="C83" s="465">
        <v>88.099998474121094</v>
      </c>
      <c r="D83" s="465">
        <v>31</v>
      </c>
      <c r="E83" s="465">
        <v>0</v>
      </c>
      <c r="F83" s="465">
        <v>2671447</v>
      </c>
      <c r="G83" s="465">
        <v>29037</v>
      </c>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275"/>
      <c r="AV83" s="275"/>
      <c r="AW83" s="275"/>
      <c r="AX83" s="275"/>
      <c r="AY83" s="275"/>
    </row>
    <row r="84" spans="1:51" x14ac:dyDescent="0.2">
      <c r="A84" s="464">
        <v>43579956</v>
      </c>
      <c r="B84" s="465">
        <v>19.200000762939453</v>
      </c>
      <c r="C84" s="465">
        <v>50.799999237060547</v>
      </c>
      <c r="D84" s="465">
        <v>31</v>
      </c>
      <c r="E84" s="465">
        <v>0</v>
      </c>
      <c r="F84" s="465">
        <v>2711261</v>
      </c>
      <c r="G84" s="465">
        <v>29054</v>
      </c>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row>
    <row r="85" spans="1:51" x14ac:dyDescent="0.2">
      <c r="A85" s="464">
        <v>38972984</v>
      </c>
      <c r="B85" s="465">
        <v>66.5</v>
      </c>
      <c r="C85" s="465">
        <v>49.299999237060547</v>
      </c>
      <c r="D85" s="465">
        <v>30</v>
      </c>
      <c r="E85" s="465">
        <v>1</v>
      </c>
      <c r="F85" s="465">
        <v>2751075.25</v>
      </c>
      <c r="G85" s="465">
        <v>29085</v>
      </c>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c r="AV85" s="275"/>
      <c r="AW85" s="275"/>
      <c r="AX85" s="275"/>
      <c r="AY85" s="275"/>
    </row>
    <row r="86" spans="1:51" x14ac:dyDescent="0.2">
      <c r="A86" s="464">
        <v>36256780</v>
      </c>
      <c r="B86" s="465">
        <v>152</v>
      </c>
      <c r="C86" s="465">
        <v>6.4000000953674316</v>
      </c>
      <c r="D86" s="465">
        <v>31</v>
      </c>
      <c r="E86" s="465">
        <v>1</v>
      </c>
      <c r="F86" s="465">
        <v>2790889.25</v>
      </c>
      <c r="G86" s="465">
        <v>29091</v>
      </c>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c r="AV86" s="275"/>
      <c r="AW86" s="275"/>
      <c r="AX86" s="275"/>
      <c r="AY86" s="275"/>
    </row>
    <row r="87" spans="1:51" x14ac:dyDescent="0.2">
      <c r="A87" s="464">
        <v>38948952</v>
      </c>
      <c r="B87" s="465">
        <v>426.39999389648438</v>
      </c>
      <c r="C87" s="465">
        <v>0</v>
      </c>
      <c r="D87" s="465">
        <v>30</v>
      </c>
      <c r="E87" s="465">
        <v>1</v>
      </c>
      <c r="F87" s="465">
        <v>2830703.25</v>
      </c>
      <c r="G87" s="465">
        <v>29149</v>
      </c>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75"/>
      <c r="AV87" s="275"/>
      <c r="AW87" s="275"/>
      <c r="AX87" s="275"/>
      <c r="AY87" s="275"/>
    </row>
    <row r="88" spans="1:51" x14ac:dyDescent="0.2">
      <c r="A88" s="464">
        <v>43911244</v>
      </c>
      <c r="B88" s="465">
        <v>711.29998779296875</v>
      </c>
      <c r="C88" s="465">
        <v>0</v>
      </c>
      <c r="D88" s="465">
        <v>31</v>
      </c>
      <c r="E88" s="465">
        <v>0</v>
      </c>
      <c r="F88" s="465">
        <v>2870517.5</v>
      </c>
      <c r="G88" s="465">
        <v>29158</v>
      </c>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c r="AO88" s="275"/>
      <c r="AP88" s="275"/>
      <c r="AQ88" s="275"/>
      <c r="AR88" s="275"/>
      <c r="AS88" s="275"/>
      <c r="AT88" s="275"/>
      <c r="AU88" s="275"/>
      <c r="AV88" s="275"/>
      <c r="AW88" s="275"/>
      <c r="AX88" s="275"/>
      <c r="AY88" s="275"/>
    </row>
    <row r="89" spans="1:51" x14ac:dyDescent="0.2">
      <c r="A89" s="464">
        <v>47094720</v>
      </c>
      <c r="B89" s="465">
        <v>731</v>
      </c>
      <c r="C89" s="465">
        <v>0</v>
      </c>
      <c r="D89" s="465">
        <v>31</v>
      </c>
      <c r="E89" s="465">
        <v>0</v>
      </c>
      <c r="F89" s="465">
        <v>2889719.25</v>
      </c>
      <c r="G89" s="465">
        <v>29201</v>
      </c>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c r="AV89" s="275"/>
      <c r="AW89" s="275"/>
      <c r="AX89" s="275"/>
      <c r="AY89" s="275"/>
    </row>
    <row r="90" spans="1:51" x14ac:dyDescent="0.2">
      <c r="A90" s="464">
        <v>39631600</v>
      </c>
      <c r="B90" s="465">
        <v>540.29998779296875</v>
      </c>
      <c r="C90" s="465">
        <v>0</v>
      </c>
      <c r="D90" s="465">
        <v>28</v>
      </c>
      <c r="E90" s="465">
        <v>0</v>
      </c>
      <c r="F90" s="465">
        <v>2908921.25</v>
      </c>
      <c r="G90" s="465">
        <v>29208</v>
      </c>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75"/>
      <c r="AV90" s="275"/>
      <c r="AW90" s="275"/>
      <c r="AX90" s="275"/>
      <c r="AY90" s="275"/>
    </row>
    <row r="91" spans="1:51" x14ac:dyDescent="0.2">
      <c r="A91" s="464">
        <v>41656908</v>
      </c>
      <c r="B91" s="465">
        <v>577.70001220703125</v>
      </c>
      <c r="C91" s="465">
        <v>0</v>
      </c>
      <c r="D91" s="465">
        <v>31</v>
      </c>
      <c r="E91" s="465">
        <v>1</v>
      </c>
      <c r="F91" s="465">
        <v>2928123</v>
      </c>
      <c r="G91" s="465">
        <v>29230</v>
      </c>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5"/>
      <c r="AK91" s="275"/>
      <c r="AL91" s="275"/>
      <c r="AM91" s="275"/>
      <c r="AN91" s="275"/>
      <c r="AO91" s="275"/>
      <c r="AP91" s="275"/>
      <c r="AQ91" s="275"/>
      <c r="AR91" s="275"/>
      <c r="AS91" s="275"/>
      <c r="AT91" s="275"/>
      <c r="AU91" s="275"/>
      <c r="AV91" s="275"/>
      <c r="AW91" s="275"/>
      <c r="AX91" s="275"/>
      <c r="AY91" s="275"/>
    </row>
    <row r="92" spans="1:51" x14ac:dyDescent="0.2">
      <c r="A92" s="464">
        <v>38614768</v>
      </c>
      <c r="B92" s="465">
        <v>438.29998779296875</v>
      </c>
      <c r="C92" s="465">
        <v>0</v>
      </c>
      <c r="D92" s="465">
        <v>30</v>
      </c>
      <c r="E92" s="465">
        <v>1</v>
      </c>
      <c r="F92" s="465">
        <v>2947325</v>
      </c>
      <c r="G92" s="465">
        <v>29230</v>
      </c>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5"/>
      <c r="AQ92" s="275"/>
      <c r="AR92" s="275"/>
      <c r="AS92" s="275"/>
      <c r="AT92" s="275"/>
      <c r="AU92" s="275"/>
      <c r="AV92" s="275"/>
      <c r="AW92" s="275"/>
      <c r="AX92" s="275"/>
      <c r="AY92" s="275"/>
    </row>
    <row r="93" spans="1:51" x14ac:dyDescent="0.2">
      <c r="A93" s="464">
        <v>36061876</v>
      </c>
      <c r="B93" s="465">
        <v>83.599998474121094</v>
      </c>
      <c r="C93" s="465">
        <v>30</v>
      </c>
      <c r="D93" s="465">
        <v>31</v>
      </c>
      <c r="E93" s="465">
        <v>1</v>
      </c>
      <c r="F93" s="465">
        <v>2966526.75</v>
      </c>
      <c r="G93" s="465">
        <v>29232</v>
      </c>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c r="AV93" s="275"/>
      <c r="AW93" s="275"/>
      <c r="AX93" s="275"/>
      <c r="AY93" s="275"/>
    </row>
    <row r="94" spans="1:51" x14ac:dyDescent="0.2">
      <c r="A94" s="464">
        <v>39000368</v>
      </c>
      <c r="B94" s="465">
        <v>21.200000762939453</v>
      </c>
      <c r="C94" s="465">
        <v>47.799999237060547</v>
      </c>
      <c r="D94" s="465">
        <v>30</v>
      </c>
      <c r="E94" s="465">
        <v>0</v>
      </c>
      <c r="F94" s="465">
        <v>2985728.75</v>
      </c>
      <c r="G94" s="465">
        <v>29229</v>
      </c>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5"/>
      <c r="AR94" s="275"/>
      <c r="AS94" s="275"/>
      <c r="AT94" s="275"/>
      <c r="AU94" s="275"/>
      <c r="AV94" s="275"/>
      <c r="AW94" s="275"/>
      <c r="AX94" s="275"/>
      <c r="AY94" s="275"/>
    </row>
    <row r="95" spans="1:51" x14ac:dyDescent="0.2">
      <c r="A95" s="464">
        <v>50076316</v>
      </c>
      <c r="B95" s="465">
        <v>0</v>
      </c>
      <c r="C95" s="465">
        <v>137.5</v>
      </c>
      <c r="D95" s="465">
        <v>31</v>
      </c>
      <c r="E95" s="465">
        <v>0</v>
      </c>
      <c r="F95" s="465">
        <v>3004930.5</v>
      </c>
      <c r="G95" s="465">
        <v>29248</v>
      </c>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5"/>
      <c r="AX95" s="275"/>
      <c r="AY95" s="275"/>
    </row>
    <row r="96" spans="1:51" x14ac:dyDescent="0.2">
      <c r="A96" s="464">
        <v>49158088</v>
      </c>
      <c r="B96" s="465">
        <v>1.6000000238418579</v>
      </c>
      <c r="C96" s="465">
        <v>124</v>
      </c>
      <c r="D96" s="465">
        <v>31</v>
      </c>
      <c r="E96" s="465">
        <v>0</v>
      </c>
      <c r="F96" s="465">
        <v>3024132.25</v>
      </c>
      <c r="G96" s="465">
        <v>29265</v>
      </c>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5"/>
      <c r="AF96" s="275"/>
      <c r="AG96" s="275"/>
      <c r="AH96" s="275"/>
      <c r="AI96" s="275"/>
      <c r="AJ96" s="275"/>
      <c r="AK96" s="275"/>
      <c r="AL96" s="275"/>
      <c r="AM96" s="275"/>
      <c r="AN96" s="275"/>
      <c r="AO96" s="275"/>
      <c r="AP96" s="275"/>
      <c r="AQ96" s="275"/>
      <c r="AR96" s="275"/>
      <c r="AS96" s="275"/>
      <c r="AT96" s="275"/>
      <c r="AU96" s="275"/>
      <c r="AV96" s="275"/>
      <c r="AW96" s="275"/>
      <c r="AX96" s="275"/>
      <c r="AY96" s="275"/>
    </row>
    <row r="97" spans="1:51" x14ac:dyDescent="0.2">
      <c r="A97" s="464">
        <v>41496540</v>
      </c>
      <c r="B97" s="465">
        <v>57.900001525878906</v>
      </c>
      <c r="C97" s="465">
        <v>69.300003051757813</v>
      </c>
      <c r="D97" s="465">
        <v>30</v>
      </c>
      <c r="E97" s="465">
        <v>1</v>
      </c>
      <c r="F97" s="465">
        <v>3043334.25</v>
      </c>
      <c r="G97" s="465">
        <v>29273</v>
      </c>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c r="AV97" s="275"/>
      <c r="AW97" s="275"/>
      <c r="AX97" s="275"/>
      <c r="AY97" s="275"/>
    </row>
    <row r="98" spans="1:51" x14ac:dyDescent="0.2">
      <c r="A98" s="464">
        <v>37763352</v>
      </c>
      <c r="B98" s="465">
        <v>258.20001220703125</v>
      </c>
      <c r="C98" s="465">
        <v>11.100000381469727</v>
      </c>
      <c r="D98" s="465">
        <v>31</v>
      </c>
      <c r="E98" s="465">
        <v>1</v>
      </c>
      <c r="F98" s="465">
        <v>3062536</v>
      </c>
      <c r="G98" s="465">
        <v>29290</v>
      </c>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75"/>
      <c r="AL98" s="275"/>
      <c r="AM98" s="275"/>
      <c r="AN98" s="275"/>
      <c r="AO98" s="275"/>
      <c r="AP98" s="275"/>
      <c r="AQ98" s="275"/>
      <c r="AR98" s="275"/>
      <c r="AS98" s="275"/>
      <c r="AT98" s="275"/>
      <c r="AU98" s="275"/>
      <c r="AV98" s="275"/>
      <c r="AW98" s="275"/>
      <c r="AX98" s="275"/>
      <c r="AY98" s="275"/>
    </row>
    <row r="99" spans="1:51" x14ac:dyDescent="0.2">
      <c r="A99" s="464">
        <v>40051456</v>
      </c>
      <c r="B99" s="465">
        <v>479.79998779296875</v>
      </c>
      <c r="C99" s="465">
        <v>0</v>
      </c>
      <c r="D99" s="465">
        <v>30</v>
      </c>
      <c r="E99" s="465">
        <v>1</v>
      </c>
      <c r="F99" s="465">
        <v>3081738</v>
      </c>
      <c r="G99" s="465">
        <v>29307</v>
      </c>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275"/>
      <c r="AL99" s="275"/>
      <c r="AM99" s="275"/>
      <c r="AN99" s="275"/>
      <c r="AO99" s="275"/>
      <c r="AP99" s="275"/>
      <c r="AQ99" s="275"/>
      <c r="AR99" s="275"/>
      <c r="AS99" s="275"/>
      <c r="AT99" s="275"/>
      <c r="AU99" s="275"/>
      <c r="AV99" s="275"/>
      <c r="AW99" s="275"/>
      <c r="AX99" s="275"/>
      <c r="AY99" s="275"/>
    </row>
    <row r="100" spans="1:51" x14ac:dyDescent="0.2">
      <c r="A100" s="464">
        <v>42019276</v>
      </c>
      <c r="B100" s="465">
        <v>550.4000244140625</v>
      </c>
      <c r="C100" s="465">
        <v>0</v>
      </c>
      <c r="D100" s="465">
        <v>31</v>
      </c>
      <c r="E100" s="465">
        <v>0</v>
      </c>
      <c r="F100" s="465">
        <v>3100939.75</v>
      </c>
      <c r="G100" s="465">
        <v>29323</v>
      </c>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5"/>
      <c r="AF100" s="275"/>
      <c r="AG100" s="275"/>
      <c r="AH100" s="275"/>
      <c r="AI100" s="275"/>
      <c r="AJ100" s="275"/>
      <c r="AK100" s="275"/>
      <c r="AL100" s="275"/>
      <c r="AM100" s="275"/>
      <c r="AN100" s="275"/>
      <c r="AO100" s="275"/>
      <c r="AP100" s="275"/>
      <c r="AQ100" s="275"/>
      <c r="AR100" s="275"/>
      <c r="AS100" s="275"/>
      <c r="AT100" s="275"/>
      <c r="AU100" s="275"/>
      <c r="AV100" s="275"/>
      <c r="AW100" s="275"/>
      <c r="AX100" s="275"/>
      <c r="AY100" s="275"/>
    </row>
    <row r="101" spans="1:51" x14ac:dyDescent="0.2">
      <c r="A101" s="464">
        <v>46678584</v>
      </c>
      <c r="B101" s="465">
        <v>726.29998779296875</v>
      </c>
      <c r="C101" s="465">
        <v>0</v>
      </c>
      <c r="D101" s="465">
        <v>31</v>
      </c>
      <c r="E101" s="465">
        <v>0</v>
      </c>
      <c r="F101" s="465">
        <v>3103377.5</v>
      </c>
      <c r="G101" s="465">
        <v>29344</v>
      </c>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c r="AV101" s="275"/>
      <c r="AW101" s="275"/>
      <c r="AX101" s="275"/>
      <c r="AY101" s="275"/>
    </row>
    <row r="102" spans="1:51" x14ac:dyDescent="0.2">
      <c r="A102" s="464">
        <v>41194468</v>
      </c>
      <c r="B102" s="465">
        <v>587.79998779296875</v>
      </c>
      <c r="C102" s="465">
        <v>0</v>
      </c>
      <c r="D102" s="465">
        <v>28</v>
      </c>
      <c r="E102" s="465">
        <v>0</v>
      </c>
      <c r="F102" s="465">
        <v>3105815.25</v>
      </c>
      <c r="G102" s="465">
        <v>29330</v>
      </c>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275"/>
      <c r="AJ102" s="275"/>
      <c r="AK102" s="275"/>
      <c r="AL102" s="275"/>
      <c r="AM102" s="275"/>
      <c r="AN102" s="275"/>
      <c r="AO102" s="275"/>
      <c r="AP102" s="275"/>
      <c r="AQ102" s="275"/>
      <c r="AR102" s="275"/>
      <c r="AS102" s="275"/>
      <c r="AT102" s="275"/>
      <c r="AU102" s="275"/>
      <c r="AV102" s="275"/>
      <c r="AW102" s="275"/>
      <c r="AX102" s="275"/>
      <c r="AY102" s="275"/>
    </row>
    <row r="103" spans="1:51" x14ac:dyDescent="0.2">
      <c r="A103" s="464">
        <v>42090500</v>
      </c>
      <c r="B103" s="465">
        <v>598</v>
      </c>
      <c r="C103" s="465">
        <v>0</v>
      </c>
      <c r="D103" s="465">
        <v>31</v>
      </c>
      <c r="E103" s="465">
        <v>1</v>
      </c>
      <c r="F103" s="465">
        <v>3108253.25</v>
      </c>
      <c r="G103" s="465">
        <v>29340</v>
      </c>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5"/>
      <c r="AR103" s="275"/>
      <c r="AS103" s="275"/>
      <c r="AT103" s="275"/>
      <c r="AU103" s="275"/>
      <c r="AV103" s="275"/>
      <c r="AW103" s="275"/>
      <c r="AX103" s="275"/>
      <c r="AY103" s="275"/>
    </row>
    <row r="104" spans="1:51" x14ac:dyDescent="0.2">
      <c r="A104" s="464">
        <v>36539752</v>
      </c>
      <c r="B104" s="465">
        <v>334.10000610351563</v>
      </c>
      <c r="C104" s="465">
        <v>0</v>
      </c>
      <c r="D104" s="465">
        <v>30</v>
      </c>
      <c r="E104" s="465">
        <v>1</v>
      </c>
      <c r="F104" s="465">
        <v>3110691</v>
      </c>
      <c r="G104" s="465">
        <v>29411</v>
      </c>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H104" s="275"/>
      <c r="AI104" s="275"/>
      <c r="AJ104" s="275"/>
      <c r="AK104" s="275"/>
      <c r="AL104" s="275"/>
      <c r="AM104" s="275"/>
      <c r="AN104" s="275"/>
      <c r="AO104" s="275"/>
      <c r="AP104" s="275"/>
      <c r="AQ104" s="275"/>
      <c r="AR104" s="275"/>
      <c r="AS104" s="275"/>
      <c r="AT104" s="275"/>
      <c r="AU104" s="275"/>
      <c r="AV104" s="275"/>
      <c r="AW104" s="275"/>
      <c r="AX104" s="275"/>
      <c r="AY104" s="275"/>
    </row>
    <row r="105" spans="1:51" x14ac:dyDescent="0.2">
      <c r="A105" s="464">
        <v>35532004</v>
      </c>
      <c r="B105" s="465">
        <v>173.69999694824219</v>
      </c>
      <c r="C105" s="465">
        <v>1.7999999523162842</v>
      </c>
      <c r="D105" s="465">
        <v>31</v>
      </c>
      <c r="E105" s="465">
        <v>1</v>
      </c>
      <c r="F105" s="465">
        <v>3113128.75</v>
      </c>
      <c r="G105" s="465">
        <v>29394</v>
      </c>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275"/>
      <c r="AM105" s="275"/>
      <c r="AN105" s="275"/>
      <c r="AO105" s="275"/>
      <c r="AP105" s="275"/>
      <c r="AQ105" s="275"/>
      <c r="AR105" s="275"/>
      <c r="AS105" s="275"/>
      <c r="AT105" s="275"/>
      <c r="AU105" s="275"/>
      <c r="AV105" s="275"/>
      <c r="AW105" s="275"/>
      <c r="AX105" s="275"/>
      <c r="AY105" s="275"/>
    </row>
    <row r="106" spans="1:51" x14ac:dyDescent="0.2">
      <c r="A106" s="464">
        <v>37150892</v>
      </c>
      <c r="B106" s="465">
        <v>33.599998474121094</v>
      </c>
      <c r="C106" s="465">
        <v>31.799999237060547</v>
      </c>
      <c r="D106" s="465">
        <v>30</v>
      </c>
      <c r="E106" s="465">
        <v>0</v>
      </c>
      <c r="F106" s="466">
        <v>3115566.5</v>
      </c>
      <c r="G106" s="465">
        <v>29406</v>
      </c>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row>
    <row r="107" spans="1:51" x14ac:dyDescent="0.2">
      <c r="A107" s="464">
        <v>49164276</v>
      </c>
      <c r="B107" s="465">
        <v>0</v>
      </c>
      <c r="C107" s="465">
        <v>143.80000305175781</v>
      </c>
      <c r="D107" s="465">
        <v>31</v>
      </c>
      <c r="E107" s="465">
        <v>0</v>
      </c>
      <c r="F107" s="465">
        <v>3118004.25</v>
      </c>
      <c r="G107" s="465">
        <v>29415</v>
      </c>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75"/>
      <c r="AG107" s="275"/>
      <c r="AH107" s="275"/>
      <c r="AI107" s="275"/>
      <c r="AJ107" s="275"/>
      <c r="AK107" s="275"/>
      <c r="AL107" s="275"/>
      <c r="AM107" s="275"/>
      <c r="AN107" s="275"/>
      <c r="AO107" s="275"/>
      <c r="AP107" s="275"/>
      <c r="AQ107" s="275"/>
      <c r="AR107" s="275"/>
      <c r="AS107" s="275"/>
      <c r="AT107" s="275"/>
      <c r="AU107" s="275"/>
      <c r="AV107" s="275"/>
      <c r="AW107" s="275"/>
      <c r="AX107" s="275"/>
      <c r="AY107" s="275"/>
    </row>
    <row r="108" spans="1:51" x14ac:dyDescent="0.2">
      <c r="A108" s="464">
        <v>45907060</v>
      </c>
      <c r="B108" s="465">
        <v>4.5999999046325684</v>
      </c>
      <c r="C108" s="465">
        <v>76</v>
      </c>
      <c r="D108" s="465">
        <v>31</v>
      </c>
      <c r="E108" s="465">
        <v>0</v>
      </c>
      <c r="F108" s="465">
        <v>3120442</v>
      </c>
      <c r="G108" s="465">
        <v>29440</v>
      </c>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5"/>
      <c r="AF108" s="275"/>
      <c r="AG108" s="275"/>
      <c r="AH108" s="275"/>
      <c r="AI108" s="275"/>
      <c r="AJ108" s="275"/>
      <c r="AK108" s="275"/>
      <c r="AL108" s="275"/>
      <c r="AM108" s="275"/>
      <c r="AN108" s="275"/>
      <c r="AO108" s="275"/>
      <c r="AP108" s="275"/>
      <c r="AQ108" s="275"/>
      <c r="AR108" s="275"/>
      <c r="AS108" s="275"/>
      <c r="AT108" s="275"/>
      <c r="AU108" s="275"/>
      <c r="AV108" s="275"/>
      <c r="AW108" s="275"/>
      <c r="AX108" s="275"/>
      <c r="AY108" s="275"/>
    </row>
    <row r="109" spans="1:51" x14ac:dyDescent="0.2">
      <c r="A109" s="464">
        <v>37534148</v>
      </c>
      <c r="B109" s="465">
        <v>32</v>
      </c>
      <c r="C109" s="465">
        <v>11.600000381469727</v>
      </c>
      <c r="D109" s="465">
        <v>30</v>
      </c>
      <c r="E109" s="465">
        <v>1</v>
      </c>
      <c r="F109" s="465">
        <v>3122879.75</v>
      </c>
      <c r="G109" s="465">
        <v>29481</v>
      </c>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5"/>
      <c r="AO109" s="275"/>
      <c r="AP109" s="275"/>
      <c r="AQ109" s="275"/>
      <c r="AR109" s="275"/>
      <c r="AS109" s="275"/>
      <c r="AT109" s="275"/>
      <c r="AU109" s="275"/>
      <c r="AV109" s="275"/>
      <c r="AW109" s="275"/>
      <c r="AX109" s="275"/>
      <c r="AY109" s="275"/>
    </row>
    <row r="110" spans="1:51" x14ac:dyDescent="0.2">
      <c r="A110" s="464">
        <v>36176532</v>
      </c>
      <c r="B110" s="465">
        <v>220.89999389648438</v>
      </c>
      <c r="C110" s="465">
        <v>3.9000000953674316</v>
      </c>
      <c r="D110" s="465">
        <v>31</v>
      </c>
      <c r="E110" s="465">
        <v>1</v>
      </c>
      <c r="F110" s="465">
        <v>3125317.5</v>
      </c>
      <c r="G110" s="465">
        <v>29505</v>
      </c>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275"/>
      <c r="AN110" s="275"/>
      <c r="AO110" s="275"/>
      <c r="AP110" s="275"/>
      <c r="AQ110" s="275"/>
      <c r="AR110" s="275"/>
      <c r="AS110" s="275"/>
      <c r="AT110" s="275"/>
      <c r="AU110" s="275"/>
      <c r="AV110" s="275"/>
      <c r="AW110" s="275"/>
      <c r="AX110" s="275"/>
      <c r="AY110" s="275"/>
    </row>
    <row r="111" spans="1:51" x14ac:dyDescent="0.2">
      <c r="A111" s="464">
        <v>39737440</v>
      </c>
      <c r="B111" s="465">
        <v>502.70001220703125</v>
      </c>
      <c r="C111" s="465">
        <v>0</v>
      </c>
      <c r="D111" s="465">
        <v>30</v>
      </c>
      <c r="E111" s="465">
        <v>1</v>
      </c>
      <c r="F111" s="465">
        <v>3127755.25</v>
      </c>
      <c r="G111" s="465">
        <v>29533</v>
      </c>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5"/>
      <c r="AJ111" s="275"/>
      <c r="AK111" s="275"/>
      <c r="AL111" s="275"/>
      <c r="AM111" s="275"/>
      <c r="AN111" s="275"/>
      <c r="AO111" s="275"/>
      <c r="AP111" s="275"/>
      <c r="AQ111" s="275"/>
      <c r="AR111" s="275"/>
      <c r="AS111" s="275"/>
      <c r="AT111" s="275"/>
      <c r="AU111" s="275"/>
      <c r="AV111" s="275"/>
      <c r="AW111" s="275"/>
      <c r="AX111" s="275"/>
      <c r="AY111" s="275"/>
    </row>
    <row r="112" spans="1:51" x14ac:dyDescent="0.2">
      <c r="A112" s="464">
        <v>42323844</v>
      </c>
      <c r="B112" s="465">
        <v>564.5999755859375</v>
      </c>
      <c r="C112" s="465">
        <v>0</v>
      </c>
      <c r="D112" s="465">
        <v>31</v>
      </c>
      <c r="E112" s="465">
        <v>0</v>
      </c>
      <c r="F112" s="465">
        <v>3130193</v>
      </c>
      <c r="G112" s="465">
        <v>29573</v>
      </c>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5"/>
      <c r="AO112" s="275"/>
      <c r="AP112" s="275"/>
      <c r="AQ112" s="275"/>
      <c r="AR112" s="275"/>
      <c r="AS112" s="275"/>
      <c r="AT112" s="275"/>
      <c r="AU112" s="275"/>
      <c r="AV112" s="275"/>
      <c r="AW112" s="275"/>
      <c r="AX112" s="275"/>
      <c r="AY112" s="275"/>
    </row>
    <row r="113" spans="1:51" x14ac:dyDescent="0.2">
      <c r="A113" s="464">
        <v>43498988</v>
      </c>
      <c r="B113" s="465">
        <v>566.4000244140625</v>
      </c>
      <c r="C113" s="465">
        <v>0</v>
      </c>
      <c r="D113" s="465">
        <v>31</v>
      </c>
      <c r="E113" s="465">
        <v>0</v>
      </c>
      <c r="F113" s="465">
        <v>3128290.75</v>
      </c>
      <c r="G113" s="465">
        <v>29597</v>
      </c>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c r="AI113" s="275"/>
      <c r="AJ113" s="275"/>
      <c r="AK113" s="275"/>
      <c r="AL113" s="275"/>
      <c r="AM113" s="275"/>
      <c r="AN113" s="275"/>
      <c r="AO113" s="275"/>
      <c r="AP113" s="275"/>
      <c r="AQ113" s="275"/>
      <c r="AR113" s="275"/>
      <c r="AS113" s="275"/>
      <c r="AT113" s="275"/>
      <c r="AU113" s="275"/>
      <c r="AV113" s="275"/>
      <c r="AW113" s="275"/>
      <c r="AX113" s="275"/>
      <c r="AY113" s="275"/>
    </row>
    <row r="114" spans="1:51" x14ac:dyDescent="0.2">
      <c r="A114" s="464">
        <v>40767224</v>
      </c>
      <c r="B114" s="465">
        <v>586.9000244140625</v>
      </c>
      <c r="C114" s="465">
        <v>0</v>
      </c>
      <c r="D114" s="465">
        <v>28</v>
      </c>
      <c r="E114" s="465">
        <v>0</v>
      </c>
      <c r="F114" s="465">
        <v>3126388.75</v>
      </c>
      <c r="G114" s="465">
        <v>29634</v>
      </c>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275"/>
      <c r="AL114" s="275"/>
      <c r="AM114" s="275"/>
      <c r="AN114" s="275"/>
      <c r="AO114" s="275"/>
      <c r="AP114" s="275"/>
      <c r="AQ114" s="275"/>
      <c r="AR114" s="275"/>
      <c r="AS114" s="275"/>
      <c r="AT114" s="275"/>
      <c r="AU114" s="275"/>
      <c r="AV114" s="275"/>
      <c r="AW114" s="275"/>
      <c r="AX114" s="275"/>
      <c r="AY114" s="275"/>
    </row>
    <row r="115" spans="1:51" x14ac:dyDescent="0.2">
      <c r="A115" s="464">
        <v>39452644</v>
      </c>
      <c r="B115" s="465">
        <v>433.79998779296875</v>
      </c>
      <c r="C115" s="465">
        <v>0</v>
      </c>
      <c r="D115" s="465">
        <v>31</v>
      </c>
      <c r="E115" s="465">
        <v>1</v>
      </c>
      <c r="F115" s="465">
        <v>3124486.5</v>
      </c>
      <c r="G115" s="465">
        <v>29659</v>
      </c>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75"/>
      <c r="AP115" s="275"/>
      <c r="AQ115" s="275"/>
      <c r="AR115" s="275"/>
      <c r="AS115" s="275"/>
      <c r="AT115" s="275"/>
      <c r="AU115" s="275"/>
      <c r="AV115" s="275"/>
      <c r="AW115" s="275"/>
      <c r="AX115" s="275"/>
      <c r="AY115" s="275"/>
    </row>
    <row r="116" spans="1:51" x14ac:dyDescent="0.2">
      <c r="A116" s="464">
        <v>34488964</v>
      </c>
      <c r="B116" s="465">
        <v>372.89999389648438</v>
      </c>
      <c r="C116" s="465">
        <v>0</v>
      </c>
      <c r="D116" s="465">
        <v>30</v>
      </c>
      <c r="E116" s="465">
        <v>1</v>
      </c>
      <c r="F116" s="465">
        <v>3122584.5</v>
      </c>
      <c r="G116" s="465">
        <v>29701</v>
      </c>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c r="AV116" s="275"/>
      <c r="AW116" s="275"/>
      <c r="AX116" s="275"/>
      <c r="AY116" s="275"/>
    </row>
    <row r="117" spans="1:51" x14ac:dyDescent="0.2">
      <c r="A117" s="464">
        <v>35010608</v>
      </c>
      <c r="B117" s="465">
        <v>207.89999389648438</v>
      </c>
      <c r="C117" s="465">
        <v>22.799999237060547</v>
      </c>
      <c r="D117" s="465">
        <v>31</v>
      </c>
      <c r="E117" s="465">
        <v>1</v>
      </c>
      <c r="F117" s="465">
        <v>3120682.5</v>
      </c>
      <c r="G117" s="465">
        <v>29709</v>
      </c>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275"/>
      <c r="AY117" s="275"/>
    </row>
    <row r="118" spans="1:51" x14ac:dyDescent="0.2">
      <c r="A118" s="464">
        <v>39038300</v>
      </c>
      <c r="B118" s="465">
        <v>27.5</v>
      </c>
      <c r="C118" s="465">
        <v>73.699996948242188</v>
      </c>
      <c r="D118" s="465">
        <v>30</v>
      </c>
      <c r="E118" s="465">
        <v>0</v>
      </c>
      <c r="F118" s="465">
        <v>3118780.25</v>
      </c>
      <c r="G118" s="465">
        <v>29739</v>
      </c>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K118" s="275"/>
      <c r="AL118" s="275"/>
      <c r="AM118" s="275"/>
      <c r="AN118" s="275"/>
      <c r="AO118" s="275"/>
      <c r="AP118" s="275"/>
      <c r="AQ118" s="275"/>
      <c r="AR118" s="275"/>
      <c r="AS118" s="275"/>
      <c r="AT118" s="275"/>
      <c r="AU118" s="275"/>
      <c r="AV118" s="275"/>
      <c r="AW118" s="275"/>
      <c r="AX118" s="275"/>
      <c r="AY118" s="275"/>
    </row>
    <row r="119" spans="1:51" x14ac:dyDescent="0.2">
      <c r="A119" s="464">
        <v>51707560</v>
      </c>
      <c r="B119" s="465">
        <v>0</v>
      </c>
      <c r="C119" s="465">
        <v>168.5</v>
      </c>
      <c r="D119" s="465">
        <v>31</v>
      </c>
      <c r="E119" s="465">
        <v>0</v>
      </c>
      <c r="F119" s="465">
        <v>3116878.25</v>
      </c>
      <c r="G119" s="465">
        <v>29749</v>
      </c>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K119" s="275"/>
      <c r="AL119" s="275"/>
      <c r="AM119" s="275"/>
      <c r="AN119" s="275"/>
      <c r="AO119" s="275"/>
      <c r="AP119" s="275"/>
      <c r="AQ119" s="275"/>
      <c r="AR119" s="275"/>
      <c r="AS119" s="275"/>
      <c r="AT119" s="275"/>
      <c r="AU119" s="275"/>
      <c r="AV119" s="275"/>
      <c r="AW119" s="275"/>
      <c r="AX119" s="275"/>
      <c r="AY119" s="275"/>
    </row>
    <row r="120" spans="1:51" x14ac:dyDescent="0.2">
      <c r="A120" s="464">
        <v>46254924</v>
      </c>
      <c r="B120" s="465">
        <v>1.6000000238418579</v>
      </c>
      <c r="C120" s="465">
        <v>95.599998474121094</v>
      </c>
      <c r="D120" s="465">
        <v>31</v>
      </c>
      <c r="E120" s="465">
        <v>0</v>
      </c>
      <c r="F120" s="465">
        <v>3114976</v>
      </c>
      <c r="G120" s="465">
        <v>29752</v>
      </c>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c r="AU120" s="275"/>
      <c r="AV120" s="275"/>
      <c r="AW120" s="275"/>
      <c r="AX120" s="275"/>
      <c r="AY120" s="275"/>
    </row>
    <row r="121" spans="1:51" x14ac:dyDescent="0.2">
      <c r="A121" s="464">
        <v>36708176</v>
      </c>
      <c r="B121" s="465">
        <v>75</v>
      </c>
      <c r="C121" s="465">
        <v>23.399999618530273</v>
      </c>
      <c r="D121" s="465">
        <v>30</v>
      </c>
      <c r="E121" s="465">
        <v>1</v>
      </c>
      <c r="F121" s="465">
        <v>3113074</v>
      </c>
      <c r="G121" s="465">
        <v>29726</v>
      </c>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K121" s="275"/>
      <c r="AL121" s="275"/>
      <c r="AM121" s="275"/>
      <c r="AN121" s="275"/>
      <c r="AO121" s="275"/>
      <c r="AP121" s="275"/>
      <c r="AQ121" s="275"/>
      <c r="AR121" s="275"/>
      <c r="AS121" s="275"/>
      <c r="AT121" s="275"/>
      <c r="AU121" s="275"/>
      <c r="AV121" s="275"/>
      <c r="AW121" s="275"/>
      <c r="AX121" s="275"/>
      <c r="AY121" s="275"/>
    </row>
    <row r="122" spans="1:51" x14ac:dyDescent="0.2">
      <c r="A122" s="464">
        <v>35798052</v>
      </c>
      <c r="B122" s="465">
        <v>252.5</v>
      </c>
      <c r="C122" s="465">
        <v>0</v>
      </c>
      <c r="D122" s="465">
        <v>31</v>
      </c>
      <c r="E122" s="465">
        <v>1</v>
      </c>
      <c r="F122" s="465">
        <v>3111171.75</v>
      </c>
      <c r="G122" s="465">
        <v>29745</v>
      </c>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K122" s="275"/>
      <c r="AL122" s="275"/>
      <c r="AM122" s="275"/>
      <c r="AN122" s="275"/>
      <c r="AO122" s="275"/>
      <c r="AP122" s="275"/>
      <c r="AQ122" s="275"/>
      <c r="AR122" s="275"/>
      <c r="AS122" s="275"/>
      <c r="AT122" s="275"/>
      <c r="AU122" s="275"/>
      <c r="AV122" s="275"/>
      <c r="AW122" s="275"/>
      <c r="AX122" s="275"/>
      <c r="AY122" s="275"/>
    </row>
    <row r="123" spans="1:51" x14ac:dyDescent="0.2">
      <c r="A123" s="464">
        <v>36898344</v>
      </c>
      <c r="B123" s="465">
        <v>329.20001220703125</v>
      </c>
      <c r="C123" s="465">
        <v>0</v>
      </c>
      <c r="D123" s="465">
        <v>30</v>
      </c>
      <c r="E123" s="465">
        <v>1</v>
      </c>
      <c r="F123" s="465">
        <v>3109269.75</v>
      </c>
      <c r="G123" s="465">
        <v>29783</v>
      </c>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K123" s="275"/>
      <c r="AL123" s="275"/>
      <c r="AM123" s="275"/>
      <c r="AN123" s="275"/>
      <c r="AO123" s="275"/>
      <c r="AP123" s="275"/>
      <c r="AQ123" s="275"/>
      <c r="AR123" s="275"/>
      <c r="AS123" s="275"/>
      <c r="AT123" s="275"/>
      <c r="AU123" s="275"/>
      <c r="AV123" s="275"/>
      <c r="AW123" s="275"/>
      <c r="AX123" s="275"/>
      <c r="AY123" s="275"/>
    </row>
    <row r="124" spans="1:51" x14ac:dyDescent="0.2">
      <c r="A124" s="464">
        <v>42870244</v>
      </c>
      <c r="B124" s="465">
        <v>540.4000244140625</v>
      </c>
      <c r="C124" s="465">
        <v>0</v>
      </c>
      <c r="D124" s="465">
        <v>31</v>
      </c>
      <c r="E124" s="465">
        <v>0</v>
      </c>
      <c r="F124" s="465">
        <v>3107367.5</v>
      </c>
      <c r="G124" s="465">
        <v>29827</v>
      </c>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K124" s="275"/>
      <c r="AL124" s="275"/>
      <c r="AM124" s="275"/>
      <c r="AN124" s="275"/>
      <c r="AO124" s="275"/>
      <c r="AP124" s="275"/>
      <c r="AQ124" s="275"/>
      <c r="AR124" s="275"/>
      <c r="AS124" s="275"/>
      <c r="AT124" s="275"/>
      <c r="AU124" s="275"/>
      <c r="AV124" s="275"/>
      <c r="AW124" s="275"/>
      <c r="AX124" s="275"/>
      <c r="AY124" s="275"/>
    </row>
    <row r="125" spans="1:51" x14ac:dyDescent="0.2">
      <c r="A125" s="274"/>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K125" s="275"/>
      <c r="AL125" s="275"/>
      <c r="AM125" s="275"/>
      <c r="AN125" s="275"/>
      <c r="AO125" s="275"/>
      <c r="AP125" s="275"/>
      <c r="AQ125" s="275"/>
      <c r="AR125" s="275"/>
      <c r="AS125" s="275"/>
      <c r="AT125" s="275"/>
      <c r="AU125" s="275"/>
      <c r="AV125" s="275"/>
      <c r="AW125" s="275"/>
      <c r="AX125" s="275"/>
      <c r="AY125" s="275"/>
    </row>
    <row r="126" spans="1:51" x14ac:dyDescent="0.2">
      <c r="A126" s="274"/>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c r="AK126" s="275"/>
      <c r="AL126" s="275"/>
      <c r="AM126" s="275"/>
      <c r="AN126" s="275"/>
      <c r="AO126" s="275"/>
      <c r="AP126" s="275"/>
      <c r="AQ126" s="275"/>
      <c r="AR126" s="275"/>
      <c r="AS126" s="275"/>
      <c r="AT126" s="275"/>
      <c r="AU126" s="275"/>
      <c r="AV126" s="275"/>
      <c r="AW126" s="275"/>
      <c r="AX126" s="275"/>
      <c r="AY126" s="275"/>
    </row>
    <row r="127" spans="1:51" x14ac:dyDescent="0.2">
      <c r="A127" s="274"/>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c r="AK127" s="275"/>
      <c r="AL127" s="275"/>
      <c r="AM127" s="275"/>
      <c r="AN127" s="275"/>
      <c r="AO127" s="275"/>
      <c r="AP127" s="275"/>
      <c r="AQ127" s="275"/>
      <c r="AR127" s="275"/>
      <c r="AS127" s="275"/>
      <c r="AT127" s="275"/>
      <c r="AU127" s="275"/>
      <c r="AV127" s="275"/>
      <c r="AW127" s="275"/>
      <c r="AX127" s="275"/>
      <c r="AY127" s="275"/>
    </row>
    <row r="128" spans="1:51" x14ac:dyDescent="0.2">
      <c r="A128" s="274"/>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c r="AK128" s="275"/>
      <c r="AL128" s="275"/>
      <c r="AM128" s="275"/>
      <c r="AN128" s="275"/>
      <c r="AO128" s="275"/>
      <c r="AP128" s="275"/>
      <c r="AQ128" s="275"/>
      <c r="AR128" s="275"/>
      <c r="AS128" s="275"/>
      <c r="AT128" s="275"/>
      <c r="AU128" s="275"/>
      <c r="AV128" s="275"/>
      <c r="AW128" s="275"/>
      <c r="AX128" s="275"/>
      <c r="AY128" s="275"/>
    </row>
    <row r="129" spans="1:51" x14ac:dyDescent="0.2">
      <c r="A129" s="274"/>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275"/>
      <c r="AP129" s="275"/>
      <c r="AQ129" s="275"/>
      <c r="AR129" s="275"/>
      <c r="AS129" s="275"/>
      <c r="AT129" s="275"/>
      <c r="AU129" s="275"/>
      <c r="AV129" s="275"/>
      <c r="AW129" s="275"/>
      <c r="AX129" s="275"/>
      <c r="AY129" s="275"/>
    </row>
    <row r="130" spans="1:51" x14ac:dyDescent="0.2">
      <c r="A130" s="274"/>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5"/>
      <c r="AN130" s="275"/>
      <c r="AO130" s="275"/>
      <c r="AP130" s="275"/>
      <c r="AQ130" s="275"/>
      <c r="AR130" s="275"/>
      <c r="AS130" s="275"/>
      <c r="AT130" s="275"/>
      <c r="AU130" s="275"/>
      <c r="AV130" s="275"/>
      <c r="AW130" s="275"/>
      <c r="AX130" s="275"/>
      <c r="AY130" s="275"/>
    </row>
    <row r="131" spans="1:51" x14ac:dyDescent="0.2">
      <c r="A131" s="274"/>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5"/>
      <c r="AN131" s="275"/>
      <c r="AO131" s="275"/>
      <c r="AP131" s="275"/>
      <c r="AQ131" s="275"/>
      <c r="AR131" s="275"/>
      <c r="AS131" s="275"/>
      <c r="AT131" s="275"/>
      <c r="AU131" s="275"/>
      <c r="AV131" s="275"/>
      <c r="AW131" s="275"/>
      <c r="AX131" s="275"/>
      <c r="AY131" s="275"/>
    </row>
    <row r="132" spans="1:51" x14ac:dyDescent="0.2">
      <c r="A132" s="274"/>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c r="AK132" s="275"/>
      <c r="AL132" s="275"/>
      <c r="AM132" s="275"/>
      <c r="AN132" s="275"/>
      <c r="AO132" s="275"/>
      <c r="AP132" s="275"/>
      <c r="AQ132" s="275"/>
      <c r="AR132" s="275"/>
      <c r="AS132" s="275"/>
      <c r="AT132" s="275"/>
      <c r="AU132" s="275"/>
      <c r="AV132" s="275"/>
      <c r="AW132" s="275"/>
      <c r="AX132" s="275"/>
      <c r="AY132" s="275"/>
    </row>
    <row r="133" spans="1:51" x14ac:dyDescent="0.2">
      <c r="A133" s="274"/>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5"/>
      <c r="AO133" s="275"/>
      <c r="AP133" s="275"/>
      <c r="AQ133" s="275"/>
      <c r="AR133" s="275"/>
      <c r="AS133" s="275"/>
      <c r="AT133" s="275"/>
      <c r="AU133" s="275"/>
      <c r="AV133" s="275"/>
      <c r="AW133" s="275"/>
      <c r="AX133" s="275"/>
      <c r="AY133" s="275"/>
    </row>
    <row r="134" spans="1:51" x14ac:dyDescent="0.2">
      <c r="A134" s="274"/>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c r="AO134" s="275"/>
      <c r="AP134" s="275"/>
      <c r="AQ134" s="275"/>
      <c r="AR134" s="275"/>
      <c r="AS134" s="275"/>
      <c r="AT134" s="275"/>
      <c r="AU134" s="275"/>
      <c r="AV134" s="275"/>
      <c r="AW134" s="275"/>
      <c r="AX134" s="275"/>
      <c r="AY134" s="275"/>
    </row>
    <row r="135" spans="1:51" x14ac:dyDescent="0.2">
      <c r="A135" s="274"/>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c r="AO135" s="275"/>
      <c r="AP135" s="275"/>
      <c r="AQ135" s="275"/>
      <c r="AR135" s="275"/>
      <c r="AS135" s="275"/>
      <c r="AT135" s="275"/>
      <c r="AU135" s="275"/>
      <c r="AV135" s="275"/>
      <c r="AW135" s="275"/>
      <c r="AX135" s="275"/>
      <c r="AY135" s="275"/>
    </row>
    <row r="136" spans="1:51" x14ac:dyDescent="0.2">
      <c r="A136" s="274"/>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row>
    <row r="137" spans="1:51" x14ac:dyDescent="0.2">
      <c r="A137" s="274"/>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row>
    <row r="138" spans="1:51" x14ac:dyDescent="0.2">
      <c r="A138" s="274"/>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row>
    <row r="139" spans="1:51" x14ac:dyDescent="0.2">
      <c r="A139" s="274"/>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row>
    <row r="140" spans="1:51" x14ac:dyDescent="0.2">
      <c r="A140" s="274"/>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row>
    <row r="141" spans="1:51" x14ac:dyDescent="0.2">
      <c r="A141" s="274"/>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row>
    <row r="142" spans="1:51" x14ac:dyDescent="0.2">
      <c r="A142" s="274"/>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row>
    <row r="143" spans="1:51" x14ac:dyDescent="0.2">
      <c r="A143" s="274"/>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row>
    <row r="144" spans="1:51" x14ac:dyDescent="0.2">
      <c r="A144" s="274"/>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row>
    <row r="145" spans="1:51" x14ac:dyDescent="0.2">
      <c r="A145" s="274"/>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5"/>
      <c r="AP145" s="275"/>
      <c r="AQ145" s="275"/>
      <c r="AR145" s="275"/>
      <c r="AS145" s="275"/>
      <c r="AT145" s="275"/>
      <c r="AU145" s="275"/>
      <c r="AV145" s="275"/>
      <c r="AW145" s="275"/>
      <c r="AX145" s="275"/>
      <c r="AY145" s="275"/>
    </row>
    <row r="146" spans="1:51" x14ac:dyDescent="0.2">
      <c r="A146" s="274"/>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c r="AT146" s="275"/>
      <c r="AU146" s="275"/>
      <c r="AV146" s="275"/>
      <c r="AW146" s="275"/>
      <c r="AX146" s="275"/>
      <c r="AY146" s="275"/>
    </row>
    <row r="147" spans="1:51" x14ac:dyDescent="0.2">
      <c r="A147" s="274"/>
      <c r="B147" s="275"/>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c r="AU147" s="275"/>
      <c r="AV147" s="275"/>
      <c r="AW147" s="275"/>
      <c r="AX147" s="275"/>
      <c r="AY147" s="275"/>
    </row>
    <row r="148" spans="1:51" x14ac:dyDescent="0.2">
      <c r="A148" s="274"/>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c r="AU148" s="275"/>
      <c r="AV148" s="275"/>
      <c r="AW148" s="275"/>
      <c r="AX148" s="275"/>
      <c r="AY148" s="275"/>
    </row>
    <row r="149" spans="1:51" x14ac:dyDescent="0.2">
      <c r="A149" s="274"/>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c r="AP149" s="275"/>
      <c r="AQ149" s="275"/>
      <c r="AR149" s="275"/>
      <c r="AS149" s="275"/>
      <c r="AT149" s="275"/>
      <c r="AU149" s="275"/>
      <c r="AV149" s="275"/>
      <c r="AW149" s="275"/>
      <c r="AX149" s="275"/>
      <c r="AY149" s="275"/>
    </row>
    <row r="150" spans="1:51" x14ac:dyDescent="0.2">
      <c r="A150" s="274"/>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5"/>
      <c r="AS150" s="275"/>
      <c r="AT150" s="275"/>
      <c r="AU150" s="275"/>
      <c r="AV150" s="275"/>
      <c r="AW150" s="275"/>
      <c r="AX150" s="275"/>
      <c r="AY150" s="275"/>
    </row>
    <row r="151" spans="1:51" x14ac:dyDescent="0.2">
      <c r="A151" s="274"/>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row>
    <row r="152" spans="1:51" x14ac:dyDescent="0.2">
      <c r="A152" s="274"/>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275"/>
    </row>
    <row r="153" spans="1:51" x14ac:dyDescent="0.2">
      <c r="A153" s="274"/>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c r="AV153" s="275"/>
      <c r="AW153" s="275"/>
      <c r="AX153" s="275"/>
      <c r="AY153" s="275"/>
    </row>
    <row r="154" spans="1:51" x14ac:dyDescent="0.2">
      <c r="A154" s="274"/>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c r="AT154" s="275"/>
      <c r="AU154" s="275"/>
      <c r="AV154" s="275"/>
      <c r="AW154" s="275"/>
      <c r="AX154" s="275"/>
      <c r="AY154" s="275"/>
    </row>
    <row r="155" spans="1:51" x14ac:dyDescent="0.2">
      <c r="A155" s="274"/>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c r="AP155" s="275"/>
      <c r="AQ155" s="275"/>
      <c r="AR155" s="275"/>
      <c r="AS155" s="275"/>
      <c r="AT155" s="275"/>
      <c r="AU155" s="275"/>
      <c r="AV155" s="275"/>
      <c r="AW155" s="275"/>
      <c r="AX155" s="275"/>
      <c r="AY155" s="275"/>
    </row>
    <row r="156" spans="1:51" x14ac:dyDescent="0.2">
      <c r="A156" s="274"/>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c r="AP156" s="275"/>
      <c r="AQ156" s="275"/>
      <c r="AR156" s="275"/>
      <c r="AS156" s="275"/>
      <c r="AT156" s="275"/>
      <c r="AU156" s="275"/>
      <c r="AV156" s="275"/>
      <c r="AW156" s="275"/>
      <c r="AX156" s="275"/>
      <c r="AY156" s="275"/>
    </row>
    <row r="157" spans="1:51" x14ac:dyDescent="0.2">
      <c r="A157" s="274"/>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c r="AP157" s="275"/>
      <c r="AQ157" s="275"/>
      <c r="AR157" s="275"/>
      <c r="AS157" s="275"/>
      <c r="AT157" s="275"/>
      <c r="AU157" s="275"/>
      <c r="AV157" s="275"/>
      <c r="AW157" s="275"/>
      <c r="AX157" s="275"/>
      <c r="AY157" s="275"/>
    </row>
    <row r="158" spans="1:51" x14ac:dyDescent="0.2">
      <c r="A158" s="274"/>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5"/>
      <c r="AK158" s="275"/>
      <c r="AL158" s="275"/>
      <c r="AM158" s="275"/>
      <c r="AN158" s="275"/>
      <c r="AO158" s="275"/>
      <c r="AP158" s="275"/>
      <c r="AQ158" s="275"/>
      <c r="AR158" s="275"/>
      <c r="AS158" s="275"/>
      <c r="AT158" s="275"/>
      <c r="AU158" s="275"/>
      <c r="AV158" s="275"/>
      <c r="AW158" s="275"/>
      <c r="AX158" s="275"/>
      <c r="AY158" s="275"/>
    </row>
    <row r="159" spans="1:51" x14ac:dyDescent="0.2">
      <c r="A159" s="274"/>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1:51" x14ac:dyDescent="0.2">
      <c r="A160" s="274"/>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5"/>
      <c r="AK160" s="275"/>
      <c r="AL160" s="275"/>
      <c r="AM160" s="275"/>
      <c r="AN160" s="275"/>
      <c r="AO160" s="275"/>
      <c r="AP160" s="275"/>
      <c r="AQ160" s="275"/>
      <c r="AR160" s="275"/>
      <c r="AS160" s="275"/>
      <c r="AT160" s="275"/>
      <c r="AU160" s="275"/>
      <c r="AV160" s="275"/>
      <c r="AW160" s="275"/>
      <c r="AX160" s="275"/>
      <c r="AY160" s="275"/>
    </row>
    <row r="161" spans="1:51" x14ac:dyDescent="0.2">
      <c r="A161" s="274"/>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275"/>
      <c r="AF161" s="275"/>
      <c r="AG161" s="275"/>
      <c r="AH161" s="275"/>
      <c r="AI161" s="275"/>
      <c r="AJ161" s="275"/>
      <c r="AK161" s="275"/>
      <c r="AL161" s="275"/>
      <c r="AM161" s="275"/>
      <c r="AN161" s="275"/>
      <c r="AO161" s="275"/>
      <c r="AP161" s="275"/>
      <c r="AQ161" s="275"/>
      <c r="AR161" s="275"/>
      <c r="AS161" s="275"/>
      <c r="AT161" s="275"/>
      <c r="AU161" s="275"/>
      <c r="AV161" s="275"/>
      <c r="AW161" s="275"/>
      <c r="AX161" s="275"/>
      <c r="AY161" s="275"/>
    </row>
    <row r="162" spans="1:51" x14ac:dyDescent="0.2">
      <c r="A162" s="274"/>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row>
    <row r="163" spans="1:51" x14ac:dyDescent="0.2">
      <c r="A163" s="274"/>
      <c r="B163" s="275"/>
      <c r="C163" s="275"/>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row>
    <row r="164" spans="1:51" x14ac:dyDescent="0.2">
      <c r="A164" s="274"/>
      <c r="B164" s="275"/>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c r="AV164" s="275"/>
      <c r="AW164" s="275"/>
      <c r="AX164" s="275"/>
      <c r="AY164" s="275"/>
    </row>
    <row r="165" spans="1:51" x14ac:dyDescent="0.2">
      <c r="A165" s="274"/>
      <c r="B165" s="275"/>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c r="AV165" s="275"/>
      <c r="AW165" s="275"/>
      <c r="AX165" s="275"/>
      <c r="AY165" s="275"/>
    </row>
    <row r="166" spans="1:51" x14ac:dyDescent="0.2">
      <c r="A166" s="274"/>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c r="AV166" s="275"/>
      <c r="AW166" s="275"/>
      <c r="AX166" s="275"/>
      <c r="AY166" s="275"/>
    </row>
    <row r="167" spans="1:51" x14ac:dyDescent="0.2">
      <c r="A167" s="274"/>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c r="AV167" s="275"/>
      <c r="AW167" s="275"/>
      <c r="AX167" s="275"/>
      <c r="AY167" s="275"/>
    </row>
    <row r="168" spans="1:51" x14ac:dyDescent="0.2">
      <c r="A168" s="274"/>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row>
    <row r="169" spans="1:51" x14ac:dyDescent="0.2">
      <c r="A169" s="274"/>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row>
    <row r="170" spans="1:51" x14ac:dyDescent="0.2">
      <c r="A170" s="274"/>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row>
    <row r="171" spans="1:51" x14ac:dyDescent="0.2">
      <c r="A171" s="274"/>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row>
    <row r="172" spans="1:51" x14ac:dyDescent="0.2">
      <c r="A172" s="274"/>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row>
    <row r="173" spans="1:51" x14ac:dyDescent="0.2">
      <c r="A173" s="274"/>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row>
    <row r="174" spans="1:51" x14ac:dyDescent="0.2">
      <c r="A174" s="274"/>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row>
    <row r="175" spans="1:51" x14ac:dyDescent="0.2">
      <c r="A175" s="274"/>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row>
    <row r="176" spans="1:51" x14ac:dyDescent="0.2">
      <c r="A176" s="274"/>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c r="AV176" s="275"/>
      <c r="AW176" s="275"/>
      <c r="AX176" s="275"/>
      <c r="AY176" s="275"/>
    </row>
    <row r="177" spans="1:51" x14ac:dyDescent="0.2">
      <c r="A177" s="274"/>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c r="AV177" s="275"/>
      <c r="AW177" s="275"/>
      <c r="AX177" s="275"/>
      <c r="AY177" s="275"/>
    </row>
    <row r="178" spans="1:51" x14ac:dyDescent="0.2">
      <c r="A178" s="274"/>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row>
    <row r="179" spans="1:51" x14ac:dyDescent="0.2">
      <c r="A179" s="274"/>
      <c r="B179" s="275"/>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row>
    <row r="180" spans="1:51" x14ac:dyDescent="0.2">
      <c r="A180" s="274"/>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c r="AV180" s="275"/>
      <c r="AW180" s="275"/>
      <c r="AX180" s="275"/>
      <c r="AY180" s="275"/>
    </row>
    <row r="181" spans="1:51" x14ac:dyDescent="0.2">
      <c r="A181" s="274"/>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c r="AV181" s="275"/>
      <c r="AW181" s="275"/>
      <c r="AX181" s="275"/>
      <c r="AY181" s="275"/>
    </row>
    <row r="182" spans="1:51" x14ac:dyDescent="0.2">
      <c r="A182" s="274"/>
      <c r="B182" s="275"/>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c r="AV182" s="275"/>
      <c r="AW182" s="275"/>
      <c r="AX182" s="275"/>
      <c r="AY182" s="275"/>
    </row>
    <row r="183" spans="1:51" x14ac:dyDescent="0.2">
      <c r="A183" s="274"/>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c r="AV183" s="275"/>
      <c r="AW183" s="275"/>
      <c r="AX183" s="275"/>
      <c r="AY183" s="275"/>
    </row>
    <row r="184" spans="1:51" x14ac:dyDescent="0.2">
      <c r="A184" s="274"/>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row>
    <row r="185" spans="1:51" x14ac:dyDescent="0.2">
      <c r="A185" s="274"/>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row>
    <row r="186" spans="1:51" x14ac:dyDescent="0.2">
      <c r="A186" s="274"/>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row>
    <row r="187" spans="1:51" x14ac:dyDescent="0.2">
      <c r="A187" s="274"/>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row>
    <row r="188" spans="1:51" x14ac:dyDescent="0.2">
      <c r="A188" s="274"/>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row>
    <row r="189" spans="1:51" x14ac:dyDescent="0.2">
      <c r="A189" s="274"/>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row>
    <row r="190" spans="1:51" x14ac:dyDescent="0.2">
      <c r="A190" s="274"/>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5"/>
      <c r="AK190" s="275"/>
      <c r="AL190" s="275"/>
      <c r="AM190" s="275"/>
      <c r="AN190" s="275"/>
      <c r="AO190" s="275"/>
      <c r="AP190" s="275"/>
      <c r="AQ190" s="275"/>
      <c r="AR190" s="275"/>
      <c r="AS190" s="275"/>
      <c r="AT190" s="275"/>
      <c r="AU190" s="275"/>
      <c r="AV190" s="275"/>
      <c r="AW190" s="275"/>
      <c r="AX190" s="275"/>
      <c r="AY190" s="275"/>
    </row>
    <row r="191" spans="1:51" x14ac:dyDescent="0.2">
      <c r="A191" s="274"/>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5"/>
      <c r="AK191" s="275"/>
      <c r="AL191" s="275"/>
      <c r="AM191" s="275"/>
      <c r="AN191" s="275"/>
      <c r="AO191" s="275"/>
      <c r="AP191" s="275"/>
      <c r="AQ191" s="275"/>
      <c r="AR191" s="275"/>
      <c r="AS191" s="275"/>
      <c r="AT191" s="275"/>
      <c r="AU191" s="275"/>
      <c r="AV191" s="275"/>
      <c r="AW191" s="275"/>
      <c r="AX191" s="275"/>
      <c r="AY191" s="275"/>
    </row>
    <row r="192" spans="1:51" x14ac:dyDescent="0.2">
      <c r="A192" s="274"/>
      <c r="B192" s="275"/>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5"/>
      <c r="AK192" s="275"/>
      <c r="AL192" s="275"/>
      <c r="AM192" s="275"/>
      <c r="AN192" s="275"/>
      <c r="AO192" s="275"/>
      <c r="AP192" s="275"/>
      <c r="AQ192" s="275"/>
      <c r="AR192" s="275"/>
      <c r="AS192" s="275"/>
      <c r="AT192" s="275"/>
      <c r="AU192" s="275"/>
      <c r="AV192" s="275"/>
      <c r="AW192" s="275"/>
      <c r="AX192" s="275"/>
      <c r="AY192" s="275"/>
    </row>
    <row r="193" spans="1:51" x14ac:dyDescent="0.2">
      <c r="A193" s="274"/>
      <c r="B193" s="275"/>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c r="AV193" s="275"/>
      <c r="AW193" s="275"/>
      <c r="AX193" s="275"/>
      <c r="AY193" s="275"/>
    </row>
    <row r="194" spans="1:51" x14ac:dyDescent="0.2">
      <c r="A194" s="274"/>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c r="AO194" s="275"/>
      <c r="AP194" s="275"/>
      <c r="AQ194" s="275"/>
      <c r="AR194" s="275"/>
      <c r="AS194" s="275"/>
      <c r="AT194" s="275"/>
      <c r="AU194" s="275"/>
      <c r="AV194" s="275"/>
      <c r="AW194" s="275"/>
      <c r="AX194" s="275"/>
      <c r="AY194" s="275"/>
    </row>
    <row r="195" spans="1:51" x14ac:dyDescent="0.2">
      <c r="A195" s="274"/>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5"/>
      <c r="AK195" s="275"/>
      <c r="AL195" s="275"/>
      <c r="AM195" s="275"/>
      <c r="AN195" s="275"/>
      <c r="AO195" s="275"/>
      <c r="AP195" s="275"/>
      <c r="AQ195" s="275"/>
      <c r="AR195" s="275"/>
      <c r="AS195" s="275"/>
      <c r="AT195" s="275"/>
      <c r="AU195" s="275"/>
      <c r="AV195" s="275"/>
      <c r="AW195" s="275"/>
      <c r="AX195" s="275"/>
      <c r="AY195" s="275"/>
    </row>
    <row r="196" spans="1:51" x14ac:dyDescent="0.2">
      <c r="A196" s="274"/>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5"/>
      <c r="AS196" s="275"/>
      <c r="AT196" s="275"/>
      <c r="AU196" s="275"/>
      <c r="AV196" s="275"/>
      <c r="AW196" s="275"/>
      <c r="AX196" s="275"/>
      <c r="AY196" s="275"/>
    </row>
    <row r="197" spans="1:51" x14ac:dyDescent="0.2">
      <c r="A197" s="274"/>
      <c r="B197" s="275"/>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275"/>
      <c r="AL197" s="275"/>
      <c r="AM197" s="275"/>
      <c r="AN197" s="275"/>
      <c r="AO197" s="275"/>
      <c r="AP197" s="275"/>
      <c r="AQ197" s="275"/>
      <c r="AR197" s="275"/>
      <c r="AS197" s="275"/>
      <c r="AT197" s="275"/>
      <c r="AU197" s="275"/>
      <c r="AV197" s="275"/>
      <c r="AW197" s="275"/>
      <c r="AX197" s="275"/>
      <c r="AY197" s="275"/>
    </row>
    <row r="198" spans="1:51" x14ac:dyDescent="0.2">
      <c r="A198" s="274"/>
      <c r="B198" s="275"/>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75"/>
      <c r="AK198" s="275"/>
      <c r="AL198" s="275"/>
      <c r="AM198" s="275"/>
      <c r="AN198" s="275"/>
      <c r="AO198" s="275"/>
      <c r="AP198" s="275"/>
      <c r="AQ198" s="275"/>
      <c r="AR198" s="275"/>
      <c r="AS198" s="275"/>
      <c r="AT198" s="275"/>
      <c r="AU198" s="275"/>
      <c r="AV198" s="275"/>
      <c r="AW198" s="275"/>
      <c r="AX198" s="275"/>
      <c r="AY198" s="275"/>
    </row>
    <row r="199" spans="1:51" x14ac:dyDescent="0.2">
      <c r="A199" s="274"/>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c r="AD199" s="275"/>
      <c r="AE199" s="275"/>
      <c r="AF199" s="275"/>
      <c r="AG199" s="275"/>
      <c r="AH199" s="275"/>
      <c r="AI199" s="275"/>
      <c r="AJ199" s="275"/>
      <c r="AK199" s="275"/>
      <c r="AL199" s="275"/>
      <c r="AM199" s="275"/>
      <c r="AN199" s="275"/>
      <c r="AO199" s="275"/>
      <c r="AP199" s="275"/>
      <c r="AQ199" s="275"/>
      <c r="AR199" s="275"/>
      <c r="AS199" s="275"/>
      <c r="AT199" s="275"/>
      <c r="AU199" s="275"/>
      <c r="AV199" s="275"/>
      <c r="AW199" s="275"/>
      <c r="AX199" s="275"/>
      <c r="AY199" s="275"/>
    </row>
    <row r="200" spans="1:51" x14ac:dyDescent="0.2">
      <c r="A200" s="274"/>
      <c r="B200" s="275"/>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c r="AA200" s="275"/>
      <c r="AB200" s="275"/>
      <c r="AC200" s="275"/>
      <c r="AD200" s="275"/>
      <c r="AE200" s="275"/>
      <c r="AF200" s="275"/>
      <c r="AG200" s="275"/>
      <c r="AH200" s="275"/>
      <c r="AI200" s="275"/>
      <c r="AJ200" s="275"/>
      <c r="AK200" s="275"/>
      <c r="AL200" s="275"/>
      <c r="AM200" s="275"/>
      <c r="AN200" s="275"/>
      <c r="AO200" s="275"/>
      <c r="AP200" s="275"/>
      <c r="AQ200" s="275"/>
      <c r="AR200" s="275"/>
      <c r="AS200" s="275"/>
      <c r="AT200" s="275"/>
      <c r="AU200" s="275"/>
      <c r="AV200" s="275"/>
      <c r="AW200" s="275"/>
      <c r="AX200" s="275"/>
      <c r="AY200" s="275"/>
    </row>
    <row r="201" spans="1:51" x14ac:dyDescent="0.2">
      <c r="A201" s="274"/>
      <c r="B201" s="275"/>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c r="AC201" s="275"/>
      <c r="AD201" s="275"/>
      <c r="AE201" s="275"/>
      <c r="AF201" s="275"/>
      <c r="AG201" s="275"/>
      <c r="AH201" s="275"/>
      <c r="AI201" s="275"/>
      <c r="AJ201" s="275"/>
      <c r="AK201" s="275"/>
      <c r="AL201" s="275"/>
      <c r="AM201" s="275"/>
      <c r="AN201" s="275"/>
      <c r="AO201" s="275"/>
      <c r="AP201" s="275"/>
      <c r="AQ201" s="275"/>
      <c r="AR201" s="275"/>
      <c r="AS201" s="275"/>
      <c r="AT201" s="275"/>
      <c r="AU201" s="275"/>
      <c r="AV201" s="275"/>
      <c r="AW201" s="275"/>
      <c r="AX201" s="275"/>
      <c r="AY201" s="275"/>
    </row>
    <row r="202" spans="1:51" x14ac:dyDescent="0.2">
      <c r="A202" s="274"/>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row>
    <row r="203" spans="1:51" x14ac:dyDescent="0.2">
      <c r="A203" s="274"/>
      <c r="B203" s="275"/>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c r="AV203" s="275"/>
      <c r="AW203" s="275"/>
      <c r="AX203" s="275"/>
      <c r="AY203" s="275"/>
    </row>
    <row r="204" spans="1:51" ht="13.5" thickBot="1" x14ac:dyDescent="0.25">
      <c r="A204" s="276"/>
      <c r="B204" s="275"/>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5"/>
      <c r="AJ204" s="275"/>
      <c r="AK204" s="275"/>
      <c r="AL204" s="275"/>
      <c r="AM204" s="275"/>
      <c r="AN204" s="275"/>
      <c r="AO204" s="275"/>
      <c r="AP204" s="275"/>
      <c r="AQ204" s="275"/>
      <c r="AR204" s="275"/>
      <c r="AS204" s="275"/>
      <c r="AT204" s="275"/>
      <c r="AU204" s="275"/>
      <c r="AV204" s="275"/>
      <c r="AW204" s="275"/>
      <c r="AX204" s="275"/>
      <c r="AY204" s="275"/>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5"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E32" sqref="E32"/>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60" customWidth="1"/>
    <col min="29" max="16384" width="9.33203125" style="60"/>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14478.87*HDD + 100979.29*CDD + 1012235.53*Days per month + -1797623.51*SpringFall + -1.20*CDM Activity + </v>
      </c>
    </row>
    <row r="3" spans="1:68" s="39" customFormat="1" ht="22.5" customHeight="1" thickTop="1" thickBot="1" x14ac:dyDescent="0.25">
      <c r="A3" s="518" t="s">
        <v>7</v>
      </c>
      <c r="B3" s="519"/>
      <c r="C3" s="526" t="str">
        <f>TEXT(B5,"00.00%") &amp; " of the change in " &amp; TEXT(Input!$A$4,"###") &amp; " can be explained by the change in the " &amp; COUNT(B12:B977) &amp; " independent variables"</f>
        <v>87.07% of the change in Wholesale can be explained by the change in the 5 independent variables</v>
      </c>
      <c r="D3" s="527"/>
      <c r="E3" s="527"/>
      <c r="F3" s="527"/>
      <c r="G3" s="530" t="s">
        <v>36</v>
      </c>
      <c r="H3" s="531"/>
      <c r="I3" s="531"/>
      <c r="J3" s="532"/>
      <c r="K3" s="44"/>
      <c r="L3" s="513" t="str">
        <f>"Actual versus Predicted " &amp; TEXT(Input!A4,"###")</f>
        <v>Actual versus Predicted Wholesale</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124</v>
      </c>
      <c r="B4" s="47">
        <v>0.87608581781387329</v>
      </c>
      <c r="C4" s="528"/>
      <c r="D4" s="529"/>
      <c r="E4" s="529"/>
      <c r="F4" s="529"/>
      <c r="G4" s="48">
        <v>1.2371582984924316</v>
      </c>
      <c r="H4" s="49" t="s">
        <v>20</v>
      </c>
      <c r="I4" s="50"/>
      <c r="J4" s="51"/>
      <c r="K4" s="52"/>
      <c r="L4" s="514"/>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2">
      <c r="A5" s="46" t="s">
        <v>21</v>
      </c>
      <c r="B5" s="55">
        <v>0.87065088748931885</v>
      </c>
      <c r="C5" s="528"/>
      <c r="D5" s="529"/>
      <c r="E5" s="529"/>
      <c r="F5" s="529"/>
      <c r="G5" s="56" t="str">
        <f>TEXT(AG3,"0.00")&amp;" - " &amp;TEXT(AG4,"0.00")</f>
        <v>1.63 - 1.77</v>
      </c>
      <c r="H5" s="57" t="s">
        <v>133</v>
      </c>
      <c r="I5" s="58"/>
      <c r="J5" s="59"/>
      <c r="L5" s="514"/>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25">
      <c r="A6" s="46" t="s">
        <v>0</v>
      </c>
      <c r="B6" s="55">
        <v>1571343.375</v>
      </c>
      <c r="C6" s="63" t="s">
        <v>34</v>
      </c>
      <c r="D6" s="52"/>
      <c r="E6" s="52"/>
      <c r="F6" s="52"/>
      <c r="G6" s="64">
        <v>2.2899999618530273</v>
      </c>
      <c r="H6" s="65" t="s">
        <v>43</v>
      </c>
      <c r="I6" s="58"/>
      <c r="J6" s="59"/>
      <c r="L6" s="514"/>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
      <c r="A7" s="67" t="s">
        <v>1</v>
      </c>
      <c r="B7" s="68">
        <v>161.19825744628906</v>
      </c>
      <c r="C7" s="63" t="str">
        <f>IF(B7&gt;M7,"Therefore analysis IS Significant","Therefore analysis IS NOT Significant")</f>
        <v>Therefore analysis IS Significant</v>
      </c>
      <c r="D7" s="52"/>
      <c r="E7" s="52"/>
      <c r="F7" s="52"/>
      <c r="G7" s="69">
        <v>0.89620000123977661</v>
      </c>
      <c r="H7" s="70" t="s">
        <v>44</v>
      </c>
      <c r="I7" s="71"/>
      <c r="J7" s="72"/>
      <c r="L7" s="515"/>
      <c r="M7" s="60"/>
      <c r="N7" s="60"/>
      <c r="O7" s="60"/>
      <c r="P7" s="60"/>
      <c r="Q7" s="60"/>
      <c r="R7" s="60"/>
      <c r="S7" s="60"/>
      <c r="T7" s="60"/>
      <c r="U7" s="60"/>
      <c r="V7" s="60"/>
      <c r="W7" s="60"/>
      <c r="X7" s="61"/>
      <c r="Y7" s="61"/>
      <c r="Z7" s="61"/>
      <c r="AA7" s="133">
        <v>24</v>
      </c>
      <c r="AE7" s="38" t="s">
        <v>12</v>
      </c>
      <c r="AF7" s="38"/>
      <c r="AG7" s="38"/>
    </row>
    <row r="8" spans="1:68" s="39" customFormat="1" ht="9.75" customHeight="1" thickBot="1" x14ac:dyDescent="0.25">
      <c r="A8" s="73"/>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25">
      <c r="A9" s="525" t="s">
        <v>2</v>
      </c>
      <c r="B9" s="523"/>
      <c r="C9" s="523"/>
      <c r="D9" s="523"/>
      <c r="E9" s="524"/>
      <c r="F9" s="522" t="s">
        <v>3</v>
      </c>
      <c r="G9" s="523"/>
      <c r="H9" s="524"/>
      <c r="I9" s="142" t="s">
        <v>16</v>
      </c>
      <c r="J9" s="522" t="s">
        <v>24</v>
      </c>
      <c r="K9" s="524"/>
      <c r="L9" s="74"/>
      <c r="M9" s="75"/>
      <c r="N9" s="523" t="s">
        <v>33</v>
      </c>
      <c r="O9" s="523"/>
      <c r="P9" s="523"/>
      <c r="Q9" s="523"/>
      <c r="R9" s="523"/>
      <c r="S9" s="523"/>
      <c r="T9" s="523"/>
      <c r="U9" s="523"/>
      <c r="V9" s="523"/>
      <c r="W9" s="523"/>
      <c r="X9" s="523"/>
      <c r="Y9" s="75"/>
      <c r="Z9" s="143" t="s">
        <v>35</v>
      </c>
      <c r="AA9" s="76"/>
    </row>
    <row r="10" spans="1:68" s="39" customFormat="1" ht="29.25" customHeight="1" x14ac:dyDescent="0.2">
      <c r="A10" s="77"/>
      <c r="B10" s="78" t="s">
        <v>4</v>
      </c>
      <c r="C10" s="79" t="s">
        <v>0</v>
      </c>
      <c r="D10" s="79" t="s">
        <v>22</v>
      </c>
      <c r="E10" s="80" t="s">
        <v>23</v>
      </c>
      <c r="F10" s="81" t="s">
        <v>14</v>
      </c>
      <c r="G10" s="82" t="s">
        <v>37</v>
      </c>
      <c r="H10" s="83" t="s">
        <v>5</v>
      </c>
      <c r="I10" s="84" t="str">
        <f>"Dl=" &amp; TEXT(AG5,"0.00") &amp; " Du=" &amp;TEXT(AG6,"0.00")</f>
        <v>Dl=1.69 Du=1.72</v>
      </c>
      <c r="J10" s="520" t="s">
        <v>18</v>
      </c>
      <c r="K10" s="516" t="s">
        <v>47</v>
      </c>
      <c r="L10" s="535" t="s">
        <v>9</v>
      </c>
      <c r="M10" s="536"/>
      <c r="N10" s="537"/>
      <c r="O10" s="538" t="s">
        <v>8</v>
      </c>
      <c r="P10" s="536"/>
      <c r="Q10" s="537"/>
      <c r="R10" s="538" t="s">
        <v>183</v>
      </c>
      <c r="S10" s="536"/>
      <c r="T10" s="536"/>
      <c r="U10" s="537"/>
      <c r="V10" s="538" t="s">
        <v>32</v>
      </c>
      <c r="W10" s="536"/>
      <c r="X10" s="536"/>
      <c r="Y10" s="536"/>
      <c r="Z10" s="537"/>
      <c r="AA10" s="533" t="s">
        <v>19</v>
      </c>
    </row>
    <row r="11" spans="1:68" s="39" customFormat="1" ht="15" customHeight="1" x14ac:dyDescent="0.25">
      <c r="A11" s="85" t="s">
        <v>6</v>
      </c>
      <c r="B11" s="86">
        <v>6952526.2193636997</v>
      </c>
      <c r="C11" s="87">
        <v>5286018.6990964999</v>
      </c>
      <c r="D11" s="87">
        <v>1.315267</v>
      </c>
      <c r="E11" s="88">
        <v>0.19105949999999999</v>
      </c>
      <c r="F11" s="89"/>
      <c r="G11" s="90"/>
      <c r="H11" s="91"/>
      <c r="I11" s="92" t="s">
        <v>17</v>
      </c>
      <c r="J11" s="521"/>
      <c r="K11" s="517"/>
      <c r="L11" s="93" t="s">
        <v>27</v>
      </c>
      <c r="M11" s="94" t="s">
        <v>10</v>
      </c>
      <c r="N11" s="95" t="s">
        <v>28</v>
      </c>
      <c r="O11" s="96" t="s">
        <v>27</v>
      </c>
      <c r="P11" s="94" t="s">
        <v>10</v>
      </c>
      <c r="Q11" s="97" t="s">
        <v>28</v>
      </c>
      <c r="R11" s="96" t="s">
        <v>29</v>
      </c>
      <c r="S11" s="94" t="s">
        <v>30</v>
      </c>
      <c r="T11" s="94" t="s">
        <v>10</v>
      </c>
      <c r="U11" s="97" t="s">
        <v>28</v>
      </c>
      <c r="V11" s="96" t="s">
        <v>29</v>
      </c>
      <c r="W11" s="94" t="s">
        <v>30</v>
      </c>
      <c r="X11" s="94" t="s">
        <v>31</v>
      </c>
      <c r="Y11" s="94" t="s">
        <v>10</v>
      </c>
      <c r="Z11" s="97" t="s">
        <v>28</v>
      </c>
      <c r="AA11" s="534"/>
    </row>
    <row r="12" spans="1:68" x14ac:dyDescent="0.2">
      <c r="A12" s="98" t="s">
        <v>48</v>
      </c>
      <c r="B12" s="99">
        <v>14478.867220599999</v>
      </c>
      <c r="C12" s="100">
        <v>921.88833990000001</v>
      </c>
      <c r="D12" s="100">
        <v>15.7056626</v>
      </c>
      <c r="E12" s="101">
        <v>0</v>
      </c>
      <c r="F12" s="102">
        <v>1.5664600000000001E-2</v>
      </c>
      <c r="G12" s="103">
        <v>2152.1791920000001</v>
      </c>
      <c r="H12" s="104">
        <v>41094380</v>
      </c>
      <c r="I12" s="105">
        <v>0.34567700000000001</v>
      </c>
      <c r="J12" s="106">
        <v>0.60866620000000005</v>
      </c>
      <c r="K12" s="107"/>
      <c r="L12" s="108">
        <v>-0.26296999999999998</v>
      </c>
      <c r="M12" s="109">
        <v>318.54266999999999</v>
      </c>
      <c r="N12" s="110">
        <v>1.2999999999999999E-3</v>
      </c>
      <c r="O12" s="111">
        <v>0</v>
      </c>
      <c r="P12" s="109">
        <v>0</v>
      </c>
      <c r="Q12" s="112">
        <v>0</v>
      </c>
      <c r="R12" s="113">
        <v>0.12088</v>
      </c>
      <c r="S12" s="114">
        <v>-3.1199999999999999E-3</v>
      </c>
      <c r="T12" s="109">
        <v>310.48381999999998</v>
      </c>
      <c r="U12" s="110">
        <v>1.47E-3</v>
      </c>
      <c r="V12" s="111">
        <v>-2.7732000000000001</v>
      </c>
      <c r="W12" s="114">
        <v>5.5E-2</v>
      </c>
      <c r="X12" s="114">
        <v>-3.2000000000000003E-4</v>
      </c>
      <c r="Y12" s="109">
        <v>341.91924999999998</v>
      </c>
      <c r="Z12" s="112">
        <v>3.1199999999999999E-3</v>
      </c>
      <c r="AA12" s="8" t="s">
        <v>9</v>
      </c>
    </row>
    <row r="13" spans="1:68" x14ac:dyDescent="0.2">
      <c r="A13" s="115" t="s">
        <v>49</v>
      </c>
      <c r="B13" s="116">
        <v>100979.29113139999</v>
      </c>
      <c r="C13" s="117">
        <v>6046.5675277999999</v>
      </c>
      <c r="D13" s="117">
        <v>16.700266800000001</v>
      </c>
      <c r="E13" s="118">
        <v>0</v>
      </c>
      <c r="F13" s="119">
        <v>0.2760475</v>
      </c>
      <c r="G13" s="120">
        <v>53340.947479199996</v>
      </c>
      <c r="H13" s="121">
        <v>40298664</v>
      </c>
      <c r="I13" s="122">
        <v>0.74009590000000003</v>
      </c>
      <c r="J13" s="123">
        <v>0.68290810000000002</v>
      </c>
      <c r="K13" s="124"/>
      <c r="L13" s="125">
        <v>4.4400000000000002E-2</v>
      </c>
      <c r="M13" s="126">
        <v>24.386690000000002</v>
      </c>
      <c r="N13" s="127">
        <v>1.2899999999999999E-3</v>
      </c>
      <c r="O13" s="128">
        <v>0</v>
      </c>
      <c r="P13" s="126">
        <v>0</v>
      </c>
      <c r="Q13" s="129">
        <v>0</v>
      </c>
      <c r="R13" s="130">
        <v>-8.7090000000000001E-2</v>
      </c>
      <c r="S13" s="131">
        <v>1.07E-3</v>
      </c>
      <c r="T13" s="126">
        <v>27.147310000000001</v>
      </c>
      <c r="U13" s="127">
        <v>2E-3</v>
      </c>
      <c r="V13" s="128">
        <v>-0.11846</v>
      </c>
      <c r="W13" s="131">
        <v>1.6999999999999999E-3</v>
      </c>
      <c r="X13" s="131">
        <v>0</v>
      </c>
      <c r="Y13" s="126">
        <v>27.488040000000002</v>
      </c>
      <c r="Z13" s="129">
        <v>2.0100000000000001E-3</v>
      </c>
      <c r="AA13" s="8" t="s">
        <v>9</v>
      </c>
    </row>
    <row r="14" spans="1:68" x14ac:dyDescent="0.2">
      <c r="A14" s="115" t="s">
        <v>189</v>
      </c>
      <c r="B14" s="116">
        <v>1012235.5287913</v>
      </c>
      <c r="C14" s="117">
        <v>174893.90995189999</v>
      </c>
      <c r="D14" s="117">
        <v>5.7877117</v>
      </c>
      <c r="E14" s="118">
        <v>9.9999999999999995E-8</v>
      </c>
      <c r="F14" s="119">
        <v>4.3702999999999999E-2</v>
      </c>
      <c r="G14" s="120">
        <v>1055157.5102804</v>
      </c>
      <c r="H14" s="121">
        <v>9650761</v>
      </c>
      <c r="I14" s="122">
        <v>2.9306909999999999</v>
      </c>
      <c r="J14" s="123">
        <v>6.3216099999999997E-2</v>
      </c>
      <c r="K14" s="124"/>
      <c r="L14" s="125">
        <v>6.6E-4</v>
      </c>
      <c r="M14" s="126">
        <v>30.376090000000001</v>
      </c>
      <c r="N14" s="127">
        <v>6.9999999999999999E-4</v>
      </c>
      <c r="O14" s="128">
        <v>1.0000199999999999</v>
      </c>
      <c r="P14" s="126">
        <v>30.361619999999998</v>
      </c>
      <c r="Q14" s="129">
        <v>7.2999999999999996E-4</v>
      </c>
      <c r="R14" s="130">
        <v>7.5000000000000002E-4</v>
      </c>
      <c r="S14" s="131">
        <v>0</v>
      </c>
      <c r="T14" s="126">
        <v>30.37416</v>
      </c>
      <c r="U14" s="127">
        <v>6.9999999999999999E-4</v>
      </c>
      <c r="V14" s="128">
        <v>1.047E-2</v>
      </c>
      <c r="W14" s="131">
        <v>-2.0000000000000001E-4</v>
      </c>
      <c r="X14" s="131">
        <v>0</v>
      </c>
      <c r="Y14" s="126">
        <v>30.268599999999999</v>
      </c>
      <c r="Z14" s="129">
        <v>2.31E-3</v>
      </c>
      <c r="AA14" s="8" t="s">
        <v>9</v>
      </c>
    </row>
    <row r="15" spans="1:68" x14ac:dyDescent="0.2">
      <c r="A15" s="115" t="s">
        <v>190</v>
      </c>
      <c r="B15" s="116">
        <v>-1797623.5064097</v>
      </c>
      <c r="C15" s="117">
        <v>372130.73259209999</v>
      </c>
      <c r="D15" s="117">
        <v>-4.8306236</v>
      </c>
      <c r="E15" s="118">
        <v>4.3000000000000003E-6</v>
      </c>
      <c r="F15" s="119">
        <v>0.40862769999999998</v>
      </c>
      <c r="G15" s="120">
        <v>-5562451.0666666999</v>
      </c>
      <c r="H15" s="121">
        <v>44526360</v>
      </c>
      <c r="I15" s="122">
        <v>1.3442670000000001</v>
      </c>
      <c r="J15" s="123">
        <v>0.38499450000000002</v>
      </c>
      <c r="K15" s="124"/>
      <c r="L15" s="125">
        <v>2.1000000000000001E-4</v>
      </c>
      <c r="M15" s="126">
        <v>0.48719000000000001</v>
      </c>
      <c r="N15" s="127">
        <v>2.1000000000000001E-4</v>
      </c>
      <c r="O15" s="128">
        <v>0</v>
      </c>
      <c r="P15" s="126">
        <v>0</v>
      </c>
      <c r="Q15" s="129">
        <v>0</v>
      </c>
      <c r="R15" s="130">
        <v>3.2000000000000003E-4</v>
      </c>
      <c r="S15" s="131">
        <v>0</v>
      </c>
      <c r="T15" s="126">
        <v>0.48493999999999998</v>
      </c>
      <c r="U15" s="127">
        <v>2.1000000000000001E-4</v>
      </c>
      <c r="V15" s="128">
        <v>3.4099999999999998E-3</v>
      </c>
      <c r="W15" s="131">
        <v>-6.0000000000000002E-5</v>
      </c>
      <c r="X15" s="131">
        <v>0</v>
      </c>
      <c r="Y15" s="126">
        <v>0.45136999999999999</v>
      </c>
      <c r="Z15" s="129">
        <v>6.8999999999999997E-4</v>
      </c>
      <c r="AA15" s="8" t="s">
        <v>9</v>
      </c>
    </row>
    <row r="16" spans="1:68" x14ac:dyDescent="0.2">
      <c r="A16" s="115" t="s">
        <v>212</v>
      </c>
      <c r="B16" s="116">
        <v>-1.1981793999999999</v>
      </c>
      <c r="C16" s="117">
        <v>0.14140130000000001</v>
      </c>
      <c r="D16" s="117">
        <v>-8.473611</v>
      </c>
      <c r="E16" s="118">
        <v>0</v>
      </c>
      <c r="F16" s="119">
        <v>7.0231699999999994E-2</v>
      </c>
      <c r="G16" s="120">
        <v>-1.1350663000000001</v>
      </c>
      <c r="H16" s="121">
        <v>43842220</v>
      </c>
      <c r="I16" s="122">
        <v>7.7800999999999999E-3</v>
      </c>
      <c r="J16" s="123">
        <v>-3.1972899999999999E-2</v>
      </c>
      <c r="K16" s="124"/>
      <c r="L16" s="125">
        <v>28467.162359999998</v>
      </c>
      <c r="M16" s="126">
        <v>96814.885949999996</v>
      </c>
      <c r="N16" s="127">
        <v>0.94233</v>
      </c>
      <c r="O16" s="128">
        <v>1.01816</v>
      </c>
      <c r="P16" s="126">
        <v>506676.66087000002</v>
      </c>
      <c r="Q16" s="129">
        <v>0.94313000000000002</v>
      </c>
      <c r="R16" s="130">
        <v>25621.802189999999</v>
      </c>
      <c r="S16" s="131">
        <v>23.133009999999999</v>
      </c>
      <c r="T16" s="126">
        <v>156552.02763999999</v>
      </c>
      <c r="U16" s="127">
        <v>0.94293000000000005</v>
      </c>
      <c r="V16" s="128">
        <v>-38939.128259999998</v>
      </c>
      <c r="W16" s="131">
        <v>1319.6783499999999</v>
      </c>
      <c r="X16" s="131">
        <v>-7.0273500000000002</v>
      </c>
      <c r="Y16" s="126">
        <v>857810.18240000005</v>
      </c>
      <c r="Z16" s="129">
        <v>0.99392000000000003</v>
      </c>
      <c r="AA16" s="8" t="s">
        <v>9</v>
      </c>
    </row>
    <row r="17" spans="1:27" x14ac:dyDescent="0.2">
      <c r="A17" s="115"/>
      <c r="B17" s="132"/>
      <c r="C17" s="117"/>
      <c r="D17" s="117"/>
      <c r="E17" s="118"/>
      <c r="F17" s="119"/>
      <c r="G17" s="120"/>
      <c r="H17" s="121"/>
      <c r="I17" s="122"/>
      <c r="J17" s="123"/>
      <c r="K17" s="124"/>
      <c r="L17" s="125"/>
      <c r="M17" s="126"/>
      <c r="N17" s="127"/>
      <c r="O17" s="128"/>
      <c r="P17" s="126"/>
      <c r="Q17" s="129"/>
      <c r="R17" s="130"/>
      <c r="S17" s="131"/>
      <c r="T17" s="126"/>
      <c r="U17" s="127"/>
      <c r="V17" s="128"/>
      <c r="W17" s="131"/>
      <c r="X17" s="131"/>
      <c r="Y17" s="126"/>
      <c r="Z17" s="129"/>
      <c r="AA17" s="8"/>
    </row>
    <row r="18" spans="1:27" x14ac:dyDescent="0.2">
      <c r="A18" s="115"/>
      <c r="B18" s="132"/>
      <c r="C18" s="117"/>
      <c r="D18" s="117"/>
      <c r="E18" s="118"/>
      <c r="F18" s="119"/>
      <c r="G18" s="120"/>
      <c r="H18" s="121"/>
      <c r="I18" s="122"/>
      <c r="J18" s="123"/>
      <c r="K18" s="124"/>
      <c r="L18" s="125"/>
      <c r="M18" s="126"/>
      <c r="N18" s="127"/>
      <c r="O18" s="128"/>
      <c r="P18" s="126"/>
      <c r="Q18" s="129"/>
      <c r="R18" s="130"/>
      <c r="S18" s="131"/>
      <c r="T18" s="126"/>
      <c r="U18" s="127"/>
      <c r="V18" s="128"/>
      <c r="W18" s="131"/>
      <c r="X18" s="131"/>
      <c r="Y18" s="126"/>
      <c r="Z18" s="129"/>
      <c r="AA18" s="8"/>
    </row>
    <row r="19" spans="1:27" x14ac:dyDescent="0.2">
      <c r="A19" s="115"/>
      <c r="B19" s="132"/>
      <c r="C19" s="117"/>
      <c r="D19" s="117"/>
      <c r="E19" s="118"/>
      <c r="F19" s="119"/>
      <c r="G19" s="120"/>
      <c r="H19" s="121"/>
      <c r="I19" s="122"/>
      <c r="J19" s="123"/>
      <c r="K19" s="124"/>
      <c r="L19" s="125"/>
      <c r="M19" s="126"/>
      <c r="N19" s="127"/>
      <c r="O19" s="128"/>
      <c r="P19" s="126"/>
      <c r="Q19" s="129"/>
      <c r="R19" s="130"/>
      <c r="S19" s="131"/>
      <c r="T19" s="126"/>
      <c r="U19" s="127"/>
      <c r="V19" s="128"/>
      <c r="W19" s="131"/>
      <c r="X19" s="131"/>
      <c r="Y19" s="126"/>
      <c r="Z19" s="129"/>
      <c r="AA19" s="9"/>
    </row>
    <row r="20" spans="1:27" x14ac:dyDescent="0.2">
      <c r="A20" s="115"/>
      <c r="B20" s="132"/>
      <c r="C20" s="117"/>
      <c r="D20" s="117"/>
      <c r="E20" s="118"/>
      <c r="F20" s="119"/>
      <c r="G20" s="120"/>
      <c r="H20" s="121"/>
      <c r="I20" s="122"/>
      <c r="J20" s="123"/>
      <c r="K20" s="124"/>
      <c r="L20" s="125"/>
      <c r="M20" s="126"/>
      <c r="N20" s="127"/>
      <c r="O20" s="128"/>
      <c r="P20" s="126"/>
      <c r="Q20" s="129"/>
      <c r="R20" s="130"/>
      <c r="S20" s="131"/>
      <c r="T20" s="126"/>
      <c r="U20" s="127"/>
      <c r="V20" s="128"/>
      <c r="W20" s="131"/>
      <c r="X20" s="131"/>
      <c r="Y20" s="126"/>
      <c r="Z20" s="129"/>
      <c r="AA20" s="9"/>
    </row>
    <row r="21" spans="1:27" x14ac:dyDescent="0.2">
      <c r="A21" s="115"/>
      <c r="B21" s="132"/>
      <c r="C21" s="117"/>
      <c r="D21" s="117"/>
      <c r="E21" s="118"/>
      <c r="F21" s="119"/>
      <c r="G21" s="120"/>
      <c r="H21" s="121"/>
      <c r="I21" s="122"/>
      <c r="J21" s="123"/>
      <c r="K21" s="124"/>
      <c r="L21" s="125"/>
      <c r="M21" s="126"/>
      <c r="N21" s="127"/>
      <c r="O21" s="128"/>
      <c r="P21" s="126"/>
      <c r="Q21" s="129"/>
      <c r="R21" s="130"/>
      <c r="S21" s="131"/>
      <c r="T21" s="126"/>
      <c r="U21" s="127"/>
      <c r="V21" s="128"/>
      <c r="W21" s="131"/>
      <c r="X21" s="131"/>
      <c r="Y21" s="126"/>
      <c r="Z21" s="129"/>
      <c r="AA21" s="9"/>
    </row>
    <row r="22" spans="1:27" x14ac:dyDescent="0.2">
      <c r="A22" s="115"/>
      <c r="B22" s="132"/>
      <c r="C22" s="117"/>
      <c r="D22" s="117"/>
      <c r="E22" s="118"/>
      <c r="F22" s="119"/>
      <c r="G22" s="120"/>
      <c r="H22" s="121"/>
      <c r="I22" s="122"/>
      <c r="J22" s="123"/>
      <c r="K22" s="124"/>
      <c r="L22" s="125"/>
      <c r="M22" s="126"/>
      <c r="N22" s="127"/>
      <c r="O22" s="128"/>
      <c r="P22" s="126"/>
      <c r="Q22" s="129"/>
      <c r="R22" s="130"/>
      <c r="S22" s="131"/>
      <c r="T22" s="126"/>
      <c r="U22" s="127"/>
      <c r="V22" s="128"/>
      <c r="W22" s="131"/>
      <c r="X22" s="131"/>
      <c r="Y22" s="126"/>
      <c r="Z22" s="129"/>
      <c r="AA22" s="9"/>
    </row>
    <row r="23" spans="1:27" x14ac:dyDescent="0.2">
      <c r="A23" s="115"/>
      <c r="B23" s="132"/>
      <c r="C23" s="117"/>
      <c r="D23" s="117"/>
      <c r="E23" s="118"/>
      <c r="F23" s="119"/>
      <c r="G23" s="120"/>
      <c r="H23" s="121"/>
      <c r="I23" s="122"/>
      <c r="J23" s="123"/>
      <c r="K23" s="124"/>
      <c r="L23" s="125"/>
      <c r="M23" s="126"/>
      <c r="N23" s="127"/>
      <c r="O23" s="128"/>
      <c r="P23" s="126"/>
      <c r="Q23" s="129"/>
      <c r="R23" s="130"/>
      <c r="S23" s="131"/>
      <c r="T23" s="126"/>
      <c r="U23" s="127"/>
      <c r="V23" s="128"/>
      <c r="W23" s="131"/>
      <c r="X23" s="131"/>
      <c r="Y23" s="126"/>
      <c r="Z23" s="129"/>
      <c r="AA23" s="9"/>
    </row>
    <row r="24" spans="1:27" x14ac:dyDescent="0.2">
      <c r="A24" s="115"/>
      <c r="B24" s="132"/>
      <c r="C24" s="117"/>
      <c r="D24" s="117"/>
      <c r="E24" s="118"/>
      <c r="F24" s="119"/>
      <c r="G24" s="120"/>
      <c r="H24" s="121"/>
      <c r="I24" s="122"/>
      <c r="J24" s="123"/>
      <c r="K24" s="124"/>
      <c r="L24" s="125"/>
      <c r="M24" s="126"/>
      <c r="N24" s="127"/>
      <c r="O24" s="128"/>
      <c r="P24" s="126"/>
      <c r="Q24" s="129"/>
      <c r="R24" s="130"/>
      <c r="S24" s="131"/>
      <c r="T24" s="126"/>
      <c r="U24" s="127"/>
      <c r="V24" s="128"/>
      <c r="W24" s="131"/>
      <c r="X24" s="131"/>
      <c r="Y24" s="126"/>
      <c r="Z24" s="129"/>
      <c r="AA24" s="9"/>
    </row>
    <row r="25" spans="1:27" x14ac:dyDescent="0.2">
      <c r="A25" s="115"/>
      <c r="B25" s="132"/>
      <c r="C25" s="117"/>
      <c r="D25" s="117"/>
      <c r="E25" s="118"/>
      <c r="F25" s="119"/>
      <c r="G25" s="120"/>
      <c r="H25" s="121"/>
      <c r="I25" s="122"/>
      <c r="J25" s="123"/>
      <c r="K25" s="124"/>
      <c r="L25" s="125"/>
      <c r="M25" s="126"/>
      <c r="N25" s="127"/>
      <c r="O25" s="128"/>
      <c r="P25" s="126"/>
      <c r="Q25" s="129"/>
      <c r="R25" s="130"/>
      <c r="S25" s="131"/>
      <c r="T25" s="126"/>
      <c r="U25" s="127"/>
      <c r="V25" s="128"/>
      <c r="W25" s="131"/>
      <c r="X25" s="131"/>
      <c r="Y25" s="126"/>
      <c r="Z25" s="129"/>
      <c r="AA25" s="9"/>
    </row>
    <row r="26" spans="1:27" x14ac:dyDescent="0.2">
      <c r="A26" s="115"/>
      <c r="B26" s="132"/>
      <c r="C26" s="117"/>
      <c r="D26" s="117"/>
      <c r="E26" s="118"/>
      <c r="F26" s="119"/>
      <c r="G26" s="120"/>
      <c r="H26" s="121"/>
      <c r="I26" s="122"/>
      <c r="J26" s="123"/>
      <c r="K26" s="124"/>
      <c r="L26" s="125"/>
      <c r="M26" s="126"/>
      <c r="N26" s="127"/>
      <c r="O26" s="128"/>
      <c r="P26" s="126"/>
      <c r="Q26" s="129"/>
      <c r="R26" s="130"/>
      <c r="S26" s="131"/>
      <c r="T26" s="126"/>
      <c r="U26" s="127"/>
      <c r="V26" s="128"/>
      <c r="W26" s="131"/>
      <c r="X26" s="131"/>
      <c r="Y26" s="126"/>
      <c r="Z26" s="129"/>
      <c r="AA26" s="9"/>
    </row>
    <row r="27" spans="1:27" x14ac:dyDescent="0.2">
      <c r="A27" s="115"/>
      <c r="B27" s="132"/>
      <c r="C27" s="117"/>
      <c r="D27" s="117"/>
      <c r="E27" s="118"/>
      <c r="F27" s="119"/>
      <c r="G27" s="120"/>
      <c r="H27" s="121"/>
      <c r="I27" s="122"/>
      <c r="J27" s="123"/>
      <c r="K27" s="124"/>
      <c r="L27" s="125"/>
      <c r="M27" s="126"/>
      <c r="N27" s="127"/>
      <c r="O27" s="128"/>
      <c r="P27" s="126"/>
      <c r="Q27" s="129"/>
      <c r="R27" s="130"/>
      <c r="S27" s="131"/>
      <c r="T27" s="126"/>
      <c r="U27" s="127"/>
      <c r="V27" s="128"/>
      <c r="W27" s="131"/>
      <c r="X27" s="131"/>
      <c r="Y27" s="126"/>
      <c r="Z27" s="129"/>
      <c r="AA27" s="9"/>
    </row>
    <row r="28" spans="1:27" x14ac:dyDescent="0.2">
      <c r="A28" s="115"/>
      <c r="B28" s="132"/>
      <c r="C28" s="117"/>
      <c r="D28" s="117"/>
      <c r="E28" s="118"/>
      <c r="F28" s="119"/>
      <c r="G28" s="120"/>
      <c r="H28" s="121"/>
      <c r="I28" s="122"/>
      <c r="J28" s="123"/>
      <c r="K28" s="124"/>
      <c r="L28" s="125"/>
      <c r="M28" s="126"/>
      <c r="N28" s="127"/>
      <c r="O28" s="128"/>
      <c r="P28" s="126"/>
      <c r="Q28" s="129"/>
      <c r="R28" s="130"/>
      <c r="S28" s="131"/>
      <c r="T28" s="126"/>
      <c r="U28" s="127"/>
      <c r="V28" s="128"/>
      <c r="W28" s="131"/>
      <c r="X28" s="131"/>
      <c r="Y28" s="126"/>
      <c r="Z28" s="129"/>
      <c r="AA28" s="9"/>
    </row>
    <row r="29" spans="1:27" x14ac:dyDescent="0.2">
      <c r="A29" s="115"/>
      <c r="B29" s="132"/>
      <c r="C29" s="117"/>
      <c r="D29" s="117"/>
      <c r="E29" s="118"/>
      <c r="F29" s="119"/>
      <c r="G29" s="120"/>
      <c r="H29" s="121"/>
      <c r="I29" s="122"/>
      <c r="J29" s="123"/>
      <c r="K29" s="124"/>
      <c r="L29" s="125"/>
      <c r="M29" s="126"/>
      <c r="N29" s="127"/>
      <c r="O29" s="128"/>
      <c r="P29" s="126"/>
      <c r="Q29" s="129"/>
      <c r="R29" s="130"/>
      <c r="S29" s="131"/>
      <c r="T29" s="126"/>
      <c r="U29" s="127"/>
      <c r="V29" s="128"/>
      <c r="W29" s="131"/>
      <c r="X29" s="131"/>
      <c r="Y29" s="126"/>
      <c r="Z29" s="129"/>
      <c r="AA29" s="9"/>
    </row>
    <row r="30" spans="1:27" x14ac:dyDescent="0.2">
      <c r="A30" s="115"/>
      <c r="B30" s="132"/>
      <c r="C30" s="117"/>
      <c r="D30" s="117"/>
      <c r="E30" s="118"/>
      <c r="F30" s="119"/>
      <c r="G30" s="120"/>
      <c r="H30" s="121"/>
      <c r="I30" s="122"/>
      <c r="J30" s="123"/>
      <c r="K30" s="124"/>
      <c r="L30" s="125"/>
      <c r="M30" s="126"/>
      <c r="N30" s="127"/>
      <c r="O30" s="128"/>
      <c r="P30" s="126"/>
      <c r="Q30" s="129"/>
      <c r="R30" s="130"/>
      <c r="S30" s="131"/>
      <c r="T30" s="126"/>
      <c r="U30" s="127"/>
      <c r="V30" s="128"/>
      <c r="W30" s="131"/>
      <c r="X30" s="131"/>
      <c r="Y30" s="126"/>
      <c r="Z30" s="129"/>
      <c r="AA30" s="9"/>
    </row>
    <row r="31" spans="1:27" x14ac:dyDescent="0.2">
      <c r="A31" s="115"/>
      <c r="B31" s="132"/>
      <c r="C31" s="117"/>
      <c r="D31" s="117"/>
      <c r="E31" s="118"/>
      <c r="F31" s="119"/>
      <c r="G31" s="120"/>
      <c r="H31" s="121"/>
      <c r="I31" s="122"/>
      <c r="J31" s="123"/>
      <c r="K31" s="124"/>
      <c r="L31" s="125"/>
      <c r="M31" s="126"/>
      <c r="N31" s="127"/>
      <c r="O31" s="128"/>
      <c r="P31" s="126"/>
      <c r="Q31" s="129"/>
      <c r="R31" s="130"/>
      <c r="S31" s="131"/>
      <c r="T31" s="126"/>
      <c r="U31" s="127"/>
      <c r="V31" s="128"/>
      <c r="W31" s="131"/>
      <c r="X31" s="131"/>
      <c r="Y31" s="126"/>
      <c r="Z31" s="129"/>
      <c r="AA31" s="9"/>
    </row>
    <row r="32" spans="1:27" x14ac:dyDescent="0.2">
      <c r="A32" s="115"/>
      <c r="B32" s="132"/>
      <c r="C32" s="117"/>
      <c r="D32" s="117"/>
      <c r="E32" s="118"/>
      <c r="F32" s="119"/>
      <c r="G32" s="120"/>
      <c r="H32" s="121"/>
      <c r="I32" s="122"/>
      <c r="J32" s="123"/>
      <c r="K32" s="124"/>
      <c r="L32" s="125"/>
      <c r="M32" s="126"/>
      <c r="N32" s="127"/>
      <c r="O32" s="128"/>
      <c r="P32" s="126"/>
      <c r="Q32" s="129"/>
      <c r="R32" s="130"/>
      <c r="S32" s="131"/>
      <c r="T32" s="126"/>
      <c r="U32" s="127"/>
      <c r="V32" s="128"/>
      <c r="W32" s="131"/>
      <c r="X32" s="131"/>
      <c r="Y32" s="126"/>
      <c r="Z32" s="129"/>
      <c r="AA32" s="9"/>
    </row>
    <row r="33" spans="1:27" x14ac:dyDescent="0.2">
      <c r="A33" s="115"/>
      <c r="B33" s="132"/>
      <c r="C33" s="117"/>
      <c r="D33" s="117"/>
      <c r="E33" s="118"/>
      <c r="F33" s="119"/>
      <c r="G33" s="120"/>
      <c r="H33" s="121"/>
      <c r="I33" s="122"/>
      <c r="J33" s="123"/>
      <c r="K33" s="124"/>
      <c r="L33" s="125"/>
      <c r="M33" s="126"/>
      <c r="N33" s="127"/>
      <c r="O33" s="128"/>
      <c r="P33" s="126"/>
      <c r="Q33" s="129"/>
      <c r="R33" s="130"/>
      <c r="S33" s="131"/>
      <c r="T33" s="126"/>
      <c r="U33" s="127"/>
      <c r="V33" s="128"/>
      <c r="W33" s="131"/>
      <c r="X33" s="131"/>
      <c r="Y33" s="126"/>
      <c r="Z33" s="129"/>
      <c r="AA33" s="9"/>
    </row>
    <row r="34" spans="1:27" x14ac:dyDescent="0.2">
      <c r="A34" s="115"/>
      <c r="B34" s="132"/>
      <c r="C34" s="117"/>
      <c r="D34" s="117"/>
      <c r="E34" s="118"/>
      <c r="F34" s="119"/>
      <c r="G34" s="120"/>
      <c r="H34" s="121"/>
      <c r="I34" s="122"/>
      <c r="J34" s="123"/>
      <c r="K34" s="124"/>
      <c r="L34" s="125"/>
      <c r="M34" s="126"/>
      <c r="N34" s="127"/>
      <c r="O34" s="128"/>
      <c r="P34" s="126"/>
      <c r="Q34" s="129"/>
      <c r="R34" s="130"/>
      <c r="S34" s="131"/>
      <c r="T34" s="126"/>
      <c r="U34" s="127"/>
      <c r="V34" s="128"/>
      <c r="W34" s="131"/>
      <c r="X34" s="131"/>
      <c r="Y34" s="126"/>
      <c r="Z34" s="129"/>
      <c r="AA34" s="9"/>
    </row>
    <row r="35" spans="1:27" x14ac:dyDescent="0.2">
      <c r="A35" s="115"/>
      <c r="B35" s="132"/>
      <c r="C35" s="117"/>
      <c r="D35" s="117"/>
      <c r="E35" s="118"/>
      <c r="F35" s="119"/>
      <c r="G35" s="120"/>
      <c r="H35" s="121"/>
      <c r="I35" s="122"/>
      <c r="J35" s="123"/>
      <c r="K35" s="124"/>
      <c r="L35" s="125"/>
      <c r="M35" s="126"/>
      <c r="N35" s="127"/>
      <c r="O35" s="128"/>
      <c r="P35" s="126"/>
      <c r="Q35" s="129"/>
      <c r="R35" s="130"/>
      <c r="S35" s="131"/>
      <c r="T35" s="126"/>
      <c r="U35" s="127"/>
      <c r="V35" s="128"/>
      <c r="W35" s="131"/>
      <c r="X35" s="131"/>
      <c r="Y35" s="126"/>
      <c r="Z35" s="129"/>
      <c r="AA35" s="9"/>
    </row>
    <row r="36" spans="1:27" x14ac:dyDescent="0.2">
      <c r="A36" s="115"/>
      <c r="B36" s="132"/>
      <c r="C36" s="117"/>
      <c r="D36" s="117"/>
      <c r="E36" s="118"/>
      <c r="F36" s="119"/>
      <c r="G36" s="120"/>
      <c r="H36" s="121"/>
      <c r="I36" s="122"/>
      <c r="J36" s="123"/>
      <c r="K36" s="124"/>
      <c r="L36" s="125"/>
      <c r="M36" s="126"/>
      <c r="N36" s="127"/>
      <c r="O36" s="128"/>
      <c r="P36" s="126"/>
      <c r="Q36" s="129"/>
      <c r="R36" s="130"/>
      <c r="S36" s="131"/>
      <c r="T36" s="126"/>
      <c r="U36" s="127"/>
      <c r="V36" s="128"/>
      <c r="W36" s="131"/>
      <c r="X36" s="131"/>
      <c r="Y36" s="126"/>
      <c r="Z36" s="129"/>
      <c r="AA36" s="9"/>
    </row>
    <row r="37" spans="1:27" x14ac:dyDescent="0.2">
      <c r="A37" s="115"/>
      <c r="B37" s="132"/>
      <c r="C37" s="117"/>
      <c r="D37" s="117"/>
      <c r="E37" s="118"/>
      <c r="F37" s="119"/>
      <c r="G37" s="120"/>
      <c r="H37" s="121"/>
      <c r="I37" s="122"/>
      <c r="J37" s="123"/>
      <c r="K37" s="124"/>
      <c r="L37" s="125"/>
      <c r="M37" s="126"/>
      <c r="N37" s="127"/>
      <c r="O37" s="128"/>
      <c r="P37" s="126"/>
      <c r="Q37" s="129"/>
      <c r="R37" s="130"/>
      <c r="S37" s="131"/>
      <c r="T37" s="126"/>
      <c r="U37" s="127"/>
      <c r="V37" s="128"/>
      <c r="W37" s="131"/>
      <c r="X37" s="131"/>
      <c r="Y37" s="126"/>
      <c r="Z37" s="129"/>
      <c r="AA37" s="9"/>
    </row>
    <row r="38" spans="1:27" x14ac:dyDescent="0.2">
      <c r="A38" s="115"/>
      <c r="B38" s="132"/>
      <c r="C38" s="117"/>
      <c r="D38" s="117"/>
      <c r="E38" s="118"/>
      <c r="F38" s="119"/>
      <c r="G38" s="120"/>
      <c r="H38" s="121"/>
      <c r="I38" s="122"/>
      <c r="J38" s="123"/>
      <c r="K38" s="124"/>
      <c r="L38" s="125"/>
      <c r="M38" s="126"/>
      <c r="N38" s="127"/>
      <c r="O38" s="128"/>
      <c r="P38" s="126"/>
      <c r="Q38" s="129"/>
      <c r="R38" s="130"/>
      <c r="S38" s="131"/>
      <c r="T38" s="126"/>
      <c r="U38" s="127"/>
      <c r="V38" s="128"/>
      <c r="W38" s="131"/>
      <c r="X38" s="131"/>
      <c r="Y38" s="126"/>
      <c r="Z38" s="129"/>
      <c r="AA38" s="9"/>
    </row>
    <row r="39" spans="1:27" x14ac:dyDescent="0.2">
      <c r="A39" s="115"/>
      <c r="B39" s="132"/>
      <c r="C39" s="117"/>
      <c r="D39" s="117"/>
      <c r="E39" s="118"/>
      <c r="F39" s="119"/>
      <c r="G39" s="120"/>
      <c r="H39" s="121"/>
      <c r="I39" s="122"/>
      <c r="J39" s="123"/>
      <c r="K39" s="124"/>
      <c r="L39" s="125"/>
      <c r="M39" s="126"/>
      <c r="N39" s="127"/>
      <c r="O39" s="128"/>
      <c r="P39" s="126"/>
      <c r="Q39" s="129"/>
      <c r="R39" s="130"/>
      <c r="S39" s="131"/>
      <c r="T39" s="126"/>
      <c r="U39" s="127"/>
      <c r="V39" s="128"/>
      <c r="W39" s="131"/>
      <c r="X39" s="131"/>
      <c r="Y39" s="126"/>
      <c r="Z39" s="129"/>
      <c r="AA39" s="9"/>
    </row>
    <row r="40" spans="1:27" x14ac:dyDescent="0.2">
      <c r="A40" s="115"/>
      <c r="B40" s="132"/>
      <c r="C40" s="117"/>
      <c r="D40" s="117"/>
      <c r="E40" s="118"/>
      <c r="F40" s="119"/>
      <c r="G40" s="120"/>
      <c r="H40" s="121"/>
      <c r="I40" s="122"/>
      <c r="J40" s="123"/>
      <c r="K40" s="124"/>
      <c r="L40" s="125"/>
      <c r="M40" s="126"/>
      <c r="N40" s="127"/>
      <c r="O40" s="128"/>
      <c r="P40" s="126"/>
      <c r="Q40" s="129"/>
      <c r="R40" s="130"/>
      <c r="S40" s="131"/>
      <c r="T40" s="126"/>
      <c r="U40" s="127"/>
      <c r="V40" s="128"/>
      <c r="W40" s="131"/>
      <c r="X40" s="131"/>
      <c r="Y40" s="126"/>
      <c r="Z40" s="129"/>
      <c r="AA40" s="9"/>
    </row>
    <row r="41" spans="1:27" x14ac:dyDescent="0.2">
      <c r="A41" s="115"/>
      <c r="B41" s="132"/>
      <c r="C41" s="117"/>
      <c r="D41" s="117"/>
      <c r="E41" s="118"/>
      <c r="F41" s="119"/>
      <c r="G41" s="120"/>
      <c r="H41" s="121"/>
      <c r="I41" s="122"/>
      <c r="J41" s="123"/>
      <c r="K41" s="124"/>
      <c r="L41" s="125"/>
      <c r="M41" s="126"/>
      <c r="N41" s="127"/>
      <c r="O41" s="128"/>
      <c r="P41" s="126"/>
      <c r="Q41" s="129"/>
      <c r="R41" s="130"/>
      <c r="S41" s="131"/>
      <c r="T41" s="126"/>
      <c r="U41" s="127"/>
      <c r="V41" s="128"/>
      <c r="W41" s="131"/>
      <c r="X41" s="131"/>
      <c r="Y41" s="126"/>
      <c r="Z41" s="129"/>
      <c r="AA41" s="9"/>
    </row>
    <row r="42" spans="1:27" x14ac:dyDescent="0.2">
      <c r="A42" s="115"/>
      <c r="B42" s="132"/>
      <c r="C42" s="117"/>
      <c r="D42" s="117"/>
      <c r="E42" s="118"/>
      <c r="F42" s="119"/>
      <c r="G42" s="120"/>
      <c r="H42" s="121"/>
      <c r="I42" s="122"/>
      <c r="J42" s="123"/>
      <c r="K42" s="124"/>
      <c r="L42" s="125"/>
      <c r="M42" s="126"/>
      <c r="N42" s="127"/>
      <c r="O42" s="128"/>
      <c r="P42" s="126"/>
      <c r="Q42" s="129"/>
      <c r="R42" s="130"/>
      <c r="S42" s="131"/>
      <c r="T42" s="126"/>
      <c r="U42" s="127"/>
      <c r="V42" s="128"/>
      <c r="W42" s="131"/>
      <c r="X42" s="131"/>
      <c r="Y42" s="126"/>
      <c r="Z42" s="129"/>
      <c r="AA42" s="9"/>
    </row>
    <row r="43" spans="1:27" x14ac:dyDescent="0.2">
      <c r="A43" s="115"/>
      <c r="B43" s="132"/>
      <c r="C43" s="117"/>
      <c r="D43" s="117"/>
      <c r="E43" s="118"/>
      <c r="F43" s="119"/>
      <c r="G43" s="120"/>
      <c r="H43" s="121"/>
      <c r="I43" s="122"/>
      <c r="J43" s="123"/>
      <c r="K43" s="124"/>
      <c r="L43" s="125"/>
      <c r="M43" s="126"/>
      <c r="N43" s="127"/>
      <c r="O43" s="128"/>
      <c r="P43" s="126"/>
      <c r="Q43" s="129"/>
      <c r="R43" s="130"/>
      <c r="S43" s="131"/>
      <c r="T43" s="126"/>
      <c r="U43" s="127"/>
      <c r="V43" s="128"/>
      <c r="W43" s="131"/>
      <c r="X43" s="131"/>
      <c r="Y43" s="126"/>
      <c r="Z43" s="129"/>
      <c r="AA43" s="9"/>
    </row>
    <row r="44" spans="1:27" x14ac:dyDescent="0.2">
      <c r="A44" s="115"/>
      <c r="B44" s="132"/>
      <c r="C44" s="117"/>
      <c r="D44" s="117"/>
      <c r="E44" s="118"/>
      <c r="F44" s="119"/>
      <c r="G44" s="120"/>
      <c r="H44" s="121"/>
      <c r="I44" s="122"/>
      <c r="J44" s="123"/>
      <c r="K44" s="124"/>
      <c r="L44" s="125"/>
      <c r="M44" s="126"/>
      <c r="N44" s="127"/>
      <c r="O44" s="128"/>
      <c r="P44" s="126"/>
      <c r="Q44" s="129"/>
      <c r="R44" s="130"/>
      <c r="S44" s="131"/>
      <c r="T44" s="126"/>
      <c r="U44" s="127"/>
      <c r="V44" s="128"/>
      <c r="W44" s="131"/>
      <c r="X44" s="131"/>
      <c r="Y44" s="126"/>
      <c r="Z44" s="129"/>
      <c r="AA44" s="9"/>
    </row>
    <row r="45" spans="1:27" x14ac:dyDescent="0.2">
      <c r="A45" s="115"/>
      <c r="B45" s="132"/>
      <c r="C45" s="117"/>
      <c r="D45" s="117"/>
      <c r="E45" s="118"/>
      <c r="F45" s="119"/>
      <c r="G45" s="120"/>
      <c r="H45" s="121"/>
      <c r="I45" s="122"/>
      <c r="J45" s="123"/>
      <c r="K45" s="124"/>
      <c r="L45" s="125"/>
      <c r="M45" s="126"/>
      <c r="N45" s="127"/>
      <c r="O45" s="128"/>
      <c r="P45" s="126"/>
      <c r="Q45" s="129"/>
      <c r="R45" s="130"/>
      <c r="S45" s="131"/>
      <c r="T45" s="126"/>
      <c r="U45" s="127"/>
      <c r="V45" s="128"/>
      <c r="W45" s="131"/>
      <c r="X45" s="131"/>
      <c r="Y45" s="126"/>
      <c r="Z45" s="129"/>
      <c r="AA45" s="9"/>
    </row>
    <row r="46" spans="1:27" x14ac:dyDescent="0.2">
      <c r="A46" s="115"/>
      <c r="B46" s="132"/>
      <c r="C46" s="117"/>
      <c r="D46" s="117"/>
      <c r="E46" s="118"/>
      <c r="F46" s="119"/>
      <c r="G46" s="120"/>
      <c r="H46" s="121"/>
      <c r="I46" s="122"/>
      <c r="J46" s="123"/>
      <c r="K46" s="124"/>
      <c r="L46" s="125"/>
      <c r="M46" s="126"/>
      <c r="N46" s="127"/>
      <c r="O46" s="128"/>
      <c r="P46" s="126"/>
      <c r="Q46" s="129"/>
      <c r="R46" s="130"/>
      <c r="S46" s="131"/>
      <c r="T46" s="126"/>
      <c r="U46" s="127"/>
      <c r="V46" s="128"/>
      <c r="W46" s="131"/>
      <c r="X46" s="131"/>
      <c r="Y46" s="126"/>
      <c r="Z46" s="129"/>
      <c r="AA46" s="9"/>
    </row>
    <row r="47" spans="1:27" x14ac:dyDescent="0.2">
      <c r="A47" s="115"/>
      <c r="B47" s="132"/>
      <c r="C47" s="117"/>
      <c r="D47" s="117"/>
      <c r="E47" s="118"/>
      <c r="F47" s="119"/>
      <c r="G47" s="120"/>
      <c r="H47" s="121"/>
      <c r="I47" s="122"/>
      <c r="J47" s="123"/>
      <c r="K47" s="124"/>
      <c r="L47" s="125"/>
      <c r="M47" s="126"/>
      <c r="N47" s="127"/>
      <c r="O47" s="128"/>
      <c r="P47" s="126"/>
      <c r="Q47" s="129"/>
      <c r="R47" s="130"/>
      <c r="S47" s="131"/>
      <c r="T47" s="126"/>
      <c r="U47" s="127"/>
      <c r="V47" s="128"/>
      <c r="W47" s="131"/>
      <c r="X47" s="131"/>
      <c r="Y47" s="126"/>
      <c r="Z47" s="129"/>
      <c r="AA47" s="9"/>
    </row>
    <row r="48" spans="1:27" x14ac:dyDescent="0.2">
      <c r="A48" s="115"/>
      <c r="B48" s="132"/>
      <c r="C48" s="117"/>
      <c r="D48" s="117"/>
      <c r="E48" s="118"/>
      <c r="F48" s="119"/>
      <c r="G48" s="120"/>
      <c r="H48" s="121"/>
      <c r="I48" s="122"/>
      <c r="J48" s="123"/>
      <c r="K48" s="124"/>
      <c r="L48" s="125"/>
      <c r="M48" s="126"/>
      <c r="N48" s="127"/>
      <c r="O48" s="128"/>
      <c r="P48" s="126"/>
      <c r="Q48" s="129"/>
      <c r="R48" s="130"/>
      <c r="S48" s="131"/>
      <c r="T48" s="126"/>
      <c r="U48" s="127"/>
      <c r="V48" s="128"/>
      <c r="W48" s="131"/>
      <c r="X48" s="131"/>
      <c r="Y48" s="126"/>
      <c r="Z48" s="129"/>
      <c r="AA48" s="9"/>
    </row>
    <row r="49" spans="1:27" x14ac:dyDescent="0.2">
      <c r="A49" s="115"/>
      <c r="B49" s="132"/>
      <c r="C49" s="117"/>
      <c r="D49" s="117"/>
      <c r="E49" s="118"/>
      <c r="F49" s="119"/>
      <c r="G49" s="120"/>
      <c r="H49" s="121"/>
      <c r="I49" s="122"/>
      <c r="J49" s="123"/>
      <c r="K49" s="124"/>
      <c r="L49" s="125"/>
      <c r="M49" s="126"/>
      <c r="N49" s="127"/>
      <c r="O49" s="128"/>
      <c r="P49" s="126"/>
      <c r="Q49" s="129"/>
      <c r="R49" s="130"/>
      <c r="S49" s="131"/>
      <c r="T49" s="126"/>
      <c r="U49" s="127"/>
      <c r="V49" s="128"/>
      <c r="W49" s="131"/>
      <c r="X49" s="131"/>
      <c r="Y49" s="126"/>
      <c r="Z49" s="129"/>
      <c r="AA49" s="9"/>
    </row>
    <row r="50" spans="1:27" x14ac:dyDescent="0.2">
      <c r="A50" s="115"/>
      <c r="B50" s="132"/>
      <c r="C50" s="117"/>
      <c r="D50" s="117"/>
      <c r="E50" s="118"/>
      <c r="F50" s="119"/>
      <c r="G50" s="120"/>
      <c r="H50" s="121"/>
      <c r="I50" s="122"/>
      <c r="J50" s="123"/>
      <c r="K50" s="124"/>
      <c r="L50" s="125"/>
      <c r="M50" s="126"/>
      <c r="N50" s="127"/>
      <c r="O50" s="128"/>
      <c r="P50" s="126"/>
      <c r="Q50" s="129"/>
      <c r="R50" s="130"/>
      <c r="S50" s="131"/>
      <c r="T50" s="126"/>
      <c r="U50" s="127"/>
      <c r="V50" s="128"/>
      <c r="W50" s="131"/>
      <c r="X50" s="131"/>
      <c r="Y50" s="126"/>
      <c r="Z50" s="129"/>
      <c r="AA50" s="9"/>
    </row>
    <row r="51" spans="1:27" x14ac:dyDescent="0.2">
      <c r="A51" s="115"/>
      <c r="B51" s="132"/>
      <c r="C51" s="117"/>
      <c r="D51" s="117"/>
      <c r="E51" s="118"/>
      <c r="F51" s="119"/>
      <c r="G51" s="120"/>
      <c r="H51" s="121"/>
      <c r="I51" s="122"/>
      <c r="J51" s="123"/>
      <c r="K51" s="124"/>
      <c r="L51" s="125"/>
      <c r="M51" s="126"/>
      <c r="N51" s="127"/>
      <c r="O51" s="128"/>
      <c r="P51" s="126"/>
      <c r="Q51" s="129"/>
      <c r="R51" s="130"/>
      <c r="S51" s="131"/>
      <c r="T51" s="126"/>
      <c r="U51" s="127"/>
      <c r="V51" s="128"/>
      <c r="W51" s="131"/>
      <c r="X51" s="131"/>
      <c r="Y51" s="126"/>
      <c r="Z51" s="129"/>
      <c r="AA51" s="9"/>
    </row>
    <row r="52" spans="1:27" x14ac:dyDescent="0.2">
      <c r="A52" s="115"/>
      <c r="B52" s="132"/>
      <c r="C52" s="117"/>
      <c r="D52" s="117"/>
      <c r="E52" s="118"/>
      <c r="F52" s="119"/>
      <c r="G52" s="120"/>
      <c r="H52" s="121"/>
      <c r="I52" s="122"/>
      <c r="J52" s="123"/>
      <c r="K52" s="124"/>
      <c r="L52" s="125"/>
      <c r="M52" s="126"/>
      <c r="N52" s="127"/>
      <c r="O52" s="128"/>
      <c r="P52" s="126"/>
      <c r="Q52" s="129"/>
      <c r="R52" s="130"/>
      <c r="S52" s="131"/>
      <c r="T52" s="126"/>
      <c r="U52" s="127"/>
      <c r="V52" s="128"/>
      <c r="W52" s="131"/>
      <c r="X52" s="131"/>
      <c r="Y52" s="126"/>
      <c r="Z52" s="129"/>
      <c r="AA52" s="9"/>
    </row>
    <row r="53" spans="1:27" x14ac:dyDescent="0.2">
      <c r="A53" s="115"/>
      <c r="B53" s="132"/>
      <c r="C53" s="117"/>
      <c r="D53" s="117"/>
      <c r="E53" s="118"/>
      <c r="F53" s="119"/>
      <c r="G53" s="120"/>
      <c r="H53" s="121"/>
      <c r="I53" s="122"/>
      <c r="J53" s="123"/>
      <c r="K53" s="124"/>
      <c r="L53" s="125"/>
      <c r="M53" s="126"/>
      <c r="N53" s="127"/>
      <c r="O53" s="128"/>
      <c r="P53" s="126"/>
      <c r="Q53" s="129"/>
      <c r="R53" s="130"/>
      <c r="S53" s="131"/>
      <c r="T53" s="126"/>
      <c r="U53" s="127"/>
      <c r="V53" s="128"/>
      <c r="W53" s="131"/>
      <c r="X53" s="131"/>
      <c r="Y53" s="126"/>
      <c r="Z53" s="129"/>
      <c r="AA53" s="9"/>
    </row>
    <row r="54" spans="1:27" x14ac:dyDescent="0.2">
      <c r="A54" s="115"/>
      <c r="B54" s="132"/>
      <c r="C54" s="117"/>
      <c r="D54" s="117"/>
      <c r="E54" s="118"/>
      <c r="F54" s="119"/>
      <c r="G54" s="120"/>
      <c r="H54" s="121"/>
      <c r="I54" s="122"/>
      <c r="J54" s="123"/>
      <c r="K54" s="124"/>
      <c r="L54" s="125"/>
      <c r="M54" s="126"/>
      <c r="N54" s="127"/>
      <c r="O54" s="128"/>
      <c r="P54" s="126"/>
      <c r="Q54" s="129"/>
      <c r="R54" s="130"/>
      <c r="S54" s="131"/>
      <c r="T54" s="126"/>
      <c r="U54" s="127"/>
      <c r="V54" s="128"/>
      <c r="W54" s="131"/>
      <c r="X54" s="131"/>
      <c r="Y54" s="126"/>
      <c r="Z54" s="129"/>
      <c r="AA54" s="9"/>
    </row>
    <row r="55" spans="1:27" x14ac:dyDescent="0.2">
      <c r="A55" s="115"/>
      <c r="B55" s="132"/>
      <c r="C55" s="117"/>
      <c r="D55" s="117"/>
      <c r="E55" s="118"/>
      <c r="F55" s="119"/>
      <c r="G55" s="120"/>
      <c r="H55" s="121"/>
      <c r="I55" s="122"/>
      <c r="J55" s="123"/>
      <c r="K55" s="124"/>
      <c r="L55" s="125"/>
      <c r="M55" s="126"/>
      <c r="N55" s="127"/>
      <c r="O55" s="128"/>
      <c r="P55" s="126"/>
      <c r="Q55" s="129"/>
      <c r="R55" s="130"/>
      <c r="S55" s="131"/>
      <c r="T55" s="126"/>
      <c r="U55" s="127"/>
      <c r="V55" s="128"/>
      <c r="W55" s="131"/>
      <c r="X55" s="131"/>
      <c r="Y55" s="126"/>
      <c r="Z55" s="129"/>
      <c r="AA55" s="9"/>
    </row>
    <row r="56" spans="1:27" x14ac:dyDescent="0.2">
      <c r="A56" s="115"/>
      <c r="B56" s="132"/>
      <c r="C56" s="117"/>
      <c r="D56" s="117"/>
      <c r="E56" s="118"/>
      <c r="F56" s="119"/>
      <c r="G56" s="120"/>
      <c r="H56" s="121"/>
      <c r="I56" s="122"/>
      <c r="J56" s="123"/>
      <c r="K56" s="124"/>
      <c r="L56" s="125"/>
      <c r="M56" s="126"/>
      <c r="N56" s="127"/>
      <c r="O56" s="128"/>
      <c r="P56" s="126"/>
      <c r="Q56" s="129"/>
      <c r="R56" s="130"/>
      <c r="S56" s="131"/>
      <c r="T56" s="126"/>
      <c r="U56" s="127"/>
      <c r="V56" s="128"/>
      <c r="W56" s="131"/>
      <c r="X56" s="131"/>
      <c r="Y56" s="126"/>
      <c r="Z56" s="129"/>
      <c r="AA56" s="9"/>
    </row>
    <row r="57" spans="1:27" x14ac:dyDescent="0.2">
      <c r="A57" s="115"/>
      <c r="B57" s="132"/>
      <c r="C57" s="117"/>
      <c r="D57" s="117"/>
      <c r="E57" s="118"/>
      <c r="F57" s="119"/>
      <c r="G57" s="120"/>
      <c r="H57" s="121"/>
      <c r="I57" s="122"/>
      <c r="J57" s="123"/>
      <c r="K57" s="124"/>
      <c r="L57" s="125"/>
      <c r="M57" s="126"/>
      <c r="N57" s="127"/>
      <c r="O57" s="128"/>
      <c r="P57" s="126"/>
      <c r="Q57" s="129"/>
      <c r="R57" s="130"/>
      <c r="S57" s="131"/>
      <c r="T57" s="126"/>
      <c r="U57" s="127"/>
      <c r="V57" s="128"/>
      <c r="W57" s="131"/>
      <c r="X57" s="131"/>
      <c r="Y57" s="126"/>
      <c r="Z57" s="129"/>
      <c r="AA57" s="9"/>
    </row>
    <row r="58" spans="1:27" x14ac:dyDescent="0.2">
      <c r="A58" s="115"/>
      <c r="B58" s="132"/>
      <c r="C58" s="117"/>
      <c r="D58" s="117"/>
      <c r="E58" s="118"/>
      <c r="F58" s="119"/>
      <c r="G58" s="120"/>
      <c r="H58" s="121"/>
      <c r="I58" s="122"/>
      <c r="J58" s="123"/>
      <c r="K58" s="124"/>
      <c r="L58" s="125"/>
      <c r="M58" s="126"/>
      <c r="N58" s="127"/>
      <c r="O58" s="128"/>
      <c r="P58" s="126"/>
      <c r="Q58" s="129"/>
      <c r="R58" s="130"/>
      <c r="S58" s="131"/>
      <c r="T58" s="126"/>
      <c r="U58" s="127"/>
      <c r="V58" s="128"/>
      <c r="W58" s="131"/>
      <c r="X58" s="131"/>
      <c r="Y58" s="126"/>
      <c r="Z58" s="129"/>
      <c r="AA58" s="9"/>
    </row>
    <row r="59" spans="1:27" x14ac:dyDescent="0.2">
      <c r="A59" s="115"/>
      <c r="B59" s="132"/>
      <c r="C59" s="117"/>
      <c r="D59" s="117"/>
      <c r="E59" s="118"/>
      <c r="F59" s="119"/>
      <c r="G59" s="120"/>
      <c r="H59" s="121"/>
      <c r="I59" s="122"/>
      <c r="J59" s="123"/>
      <c r="K59" s="124"/>
      <c r="L59" s="125"/>
      <c r="M59" s="126"/>
      <c r="N59" s="127"/>
      <c r="O59" s="128"/>
      <c r="P59" s="126"/>
      <c r="Q59" s="129"/>
      <c r="R59" s="130"/>
      <c r="S59" s="131"/>
      <c r="T59" s="126"/>
      <c r="U59" s="127"/>
      <c r="V59" s="128"/>
      <c r="W59" s="131"/>
      <c r="X59" s="131"/>
      <c r="Y59" s="126"/>
      <c r="Z59" s="129"/>
      <c r="AA59" s="9"/>
    </row>
    <row r="60" spans="1:27" x14ac:dyDescent="0.2">
      <c r="A60" s="115"/>
      <c r="B60" s="132"/>
      <c r="C60" s="117"/>
      <c r="D60" s="117"/>
      <c r="E60" s="118"/>
      <c r="F60" s="119"/>
      <c r="G60" s="120"/>
      <c r="H60" s="121"/>
      <c r="I60" s="122"/>
      <c r="J60" s="123"/>
      <c r="K60" s="124"/>
      <c r="L60" s="125"/>
      <c r="M60" s="126"/>
      <c r="N60" s="127"/>
      <c r="O60" s="128"/>
      <c r="P60" s="126"/>
      <c r="Q60" s="129"/>
      <c r="R60" s="130"/>
      <c r="S60" s="131"/>
      <c r="T60" s="126"/>
      <c r="U60" s="127"/>
      <c r="V60" s="128"/>
      <c r="W60" s="131"/>
      <c r="X60" s="131"/>
      <c r="Y60" s="126"/>
      <c r="Z60" s="129"/>
      <c r="AA60" s="9"/>
    </row>
    <row r="61" spans="1:27" x14ac:dyDescent="0.2">
      <c r="A61" s="115"/>
      <c r="B61" s="132"/>
      <c r="C61" s="117"/>
      <c r="D61" s="117"/>
      <c r="E61" s="118"/>
      <c r="F61" s="119"/>
      <c r="G61" s="120"/>
      <c r="H61" s="121"/>
      <c r="I61" s="122"/>
      <c r="J61" s="123"/>
      <c r="K61" s="124"/>
      <c r="L61" s="125"/>
      <c r="M61" s="126"/>
      <c r="N61" s="127"/>
      <c r="O61" s="128"/>
      <c r="P61" s="126"/>
      <c r="Q61" s="129"/>
      <c r="R61" s="130"/>
      <c r="S61" s="131"/>
      <c r="T61" s="126"/>
      <c r="U61" s="127"/>
      <c r="V61" s="128"/>
      <c r="W61" s="131"/>
      <c r="X61" s="131"/>
      <c r="Y61" s="126"/>
      <c r="Z61" s="129"/>
      <c r="AA61" s="9"/>
    </row>
  </sheetData>
  <sheetProtection selectLockedCells="1" selectUnlockedCells="1"/>
  <mergeCells count="15">
    <mergeCell ref="N9:X9"/>
    <mergeCell ref="AA10:AA11"/>
    <mergeCell ref="L10:N10"/>
    <mergeCell ref="O10:Q10"/>
    <mergeCell ref="R10:U10"/>
    <mergeCell ref="V10:Z10"/>
    <mergeCell ref="L3:L7"/>
    <mergeCell ref="K10:K11"/>
    <mergeCell ref="A3:B3"/>
    <mergeCell ref="J10:J11"/>
    <mergeCell ref="F9:H9"/>
    <mergeCell ref="A9:E9"/>
    <mergeCell ref="J9:K9"/>
    <mergeCell ref="C3:F5"/>
    <mergeCell ref="G3:J3"/>
  </mergeCells>
  <phoneticPr fontId="0" type="noConversion"/>
  <conditionalFormatting sqref="K13:K61">
    <cfRule type="cellIs" dxfId="4" priority="2" stopIfTrue="1" operator="greaterThanOrEqual">
      <formula>0.9</formula>
    </cfRule>
  </conditionalFormatting>
  <conditionalFormatting sqref="J12:J61">
    <cfRule type="cellIs" dxfId="3" priority="3" stopIfTrue="1" operator="greaterThan">
      <formula>0.9</formula>
    </cfRule>
  </conditionalFormatting>
  <conditionalFormatting sqref="I12:I61">
    <cfRule type="cellIs" dxfId="2" priority="6" stopIfTrue="1" operator="between">
      <formula>0</formula>
      <formula>$AG$5</formula>
    </cfRule>
    <cfRule type="cellIs" dxfId="1" priority="7" stopIfTrue="1" operator="between">
      <formula>4-$AG$6</formula>
      <formula>4</formula>
    </cfRule>
  </conditionalFormatting>
  <conditionalFormatting sqref="N12:N61 U12:U61 Z12:Z61 Q12:Q61">
    <cfRule type="cellIs" dxfId="0" priority="8"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00" activePane="bottomRight" state="frozen"/>
      <selection activeCell="A5" sqref="A5:H5"/>
      <selection pane="topRight" activeCell="A5" sqref="A5:H5"/>
      <selection pane="bottomLeft" activeCell="A5" sqref="A5:H5"/>
      <selection pane="bottomRight" activeCell="D4" sqref="D4"/>
    </sheetView>
  </sheetViews>
  <sheetFormatPr defaultColWidth="9.33203125" defaultRowHeight="12.75" x14ac:dyDescent="0.2"/>
  <cols>
    <col min="1" max="1" width="2.83203125" style="2" customWidth="1"/>
    <col min="2" max="2" width="15" style="2" customWidth="1"/>
    <col min="3" max="3" width="15.5" style="2" bestFit="1" customWidth="1"/>
    <col min="4" max="53" width="14.83203125" style="2" customWidth="1"/>
    <col min="54" max="16384" width="9.33203125" style="2"/>
  </cols>
  <sheetData>
    <row r="1" spans="2:53" ht="22.5" customHeight="1" thickBot="1" x14ac:dyDescent="0.25">
      <c r="B1" s="539" t="s">
        <v>15</v>
      </c>
      <c r="C1" s="539"/>
      <c r="D1" s="540"/>
      <c r="E1" s="10"/>
      <c r="F1" s="10"/>
      <c r="G1" s="10"/>
      <c r="H1" s="10"/>
      <c r="I1" s="10"/>
      <c r="J1" s="10"/>
      <c r="K1" s="10"/>
      <c r="L1" s="10"/>
      <c r="M1" s="10"/>
      <c r="N1" s="10"/>
      <c r="O1" s="10"/>
      <c r="P1" s="11"/>
      <c r="Q1" s="10"/>
    </row>
    <row r="2" spans="2:53" ht="16.5" customHeight="1" thickBot="1" x14ac:dyDescent="0.25">
      <c r="B2" s="26" t="s">
        <v>38</v>
      </c>
      <c r="C2" s="25">
        <v>6952526.2193636997</v>
      </c>
      <c r="D2" s="25">
        <v>14478.867220599999</v>
      </c>
      <c r="E2" s="25">
        <v>100979.29113139999</v>
      </c>
      <c r="F2" s="25">
        <v>1012235.5287913</v>
      </c>
      <c r="G2" s="25">
        <v>-1797623.5064097</v>
      </c>
      <c r="H2" s="25">
        <v>-1.1981793999999999</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25">
      <c r="B3" s="27" t="str">
        <f>"Actual " &amp; Input!A4</f>
        <v>Actual Wholesale</v>
      </c>
      <c r="C3" s="23" t="str">
        <f>"Predicted " &amp;Input!A4</f>
        <v>Predicted Wholesale</v>
      </c>
      <c r="D3" s="24" t="s">
        <v>48</v>
      </c>
      <c r="E3" s="24" t="s">
        <v>49</v>
      </c>
      <c r="F3" s="24" t="s">
        <v>189</v>
      </c>
      <c r="G3" s="24" t="s">
        <v>190</v>
      </c>
      <c r="H3" s="24" t="s">
        <v>212</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2">
      <c r="B4" s="415">
        <v>50205500</v>
      </c>
      <c r="C4" s="259">
        <f>SUMPRODUCT(D2:H2,D4:H4)+C2</f>
        <v>49119273.939089224</v>
      </c>
      <c r="D4" s="29">
        <v>794.5999755859375</v>
      </c>
      <c r="E4" s="134">
        <v>0</v>
      </c>
      <c r="F4" s="134">
        <v>31</v>
      </c>
      <c r="G4" s="134">
        <v>0</v>
      </c>
      <c r="H4" s="29">
        <v>598792.8125</v>
      </c>
      <c r="I4" s="29"/>
      <c r="J4" s="29"/>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row>
    <row r="5" spans="2:53" x14ac:dyDescent="0.2">
      <c r="B5" s="135">
        <v>45182972</v>
      </c>
      <c r="C5" s="136">
        <f>SUMPRODUCT(D2:H2,D5:H5)+C2</f>
        <v>43920706.331145763</v>
      </c>
      <c r="D5" s="29">
        <v>645.29998779296875</v>
      </c>
      <c r="E5" s="29">
        <v>0</v>
      </c>
      <c r="F5" s="29">
        <v>28</v>
      </c>
      <c r="G5" s="29">
        <v>0</v>
      </c>
      <c r="H5" s="29">
        <v>598931.625</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2">
      <c r="B6" s="135">
        <v>46925212</v>
      </c>
      <c r="C6" s="136">
        <f>SUMPRODUCT(D2:H2,D6:H6)+C2</f>
        <v>44049093.721381791</v>
      </c>
      <c r="D6" s="29">
        <v>568.5999755859375</v>
      </c>
      <c r="E6" s="29">
        <v>0</v>
      </c>
      <c r="F6" s="29">
        <v>31</v>
      </c>
      <c r="G6" s="29">
        <v>1</v>
      </c>
      <c r="H6" s="29">
        <v>599070.5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2">
      <c r="B7" s="135">
        <v>40611160</v>
      </c>
      <c r="C7" s="136">
        <f>SUMPRODUCT(D2:H2,D7:H7)+C2</f>
        <v>39548583.910822727</v>
      </c>
      <c r="D7" s="29">
        <v>324.89999389648438</v>
      </c>
      <c r="E7" s="29">
        <v>0.40000000596046448</v>
      </c>
      <c r="F7" s="29">
        <v>30</v>
      </c>
      <c r="G7" s="29">
        <v>1</v>
      </c>
      <c r="H7" s="29">
        <v>599209.3125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2">
      <c r="B8" s="135">
        <v>40093912</v>
      </c>
      <c r="C8" s="136">
        <f>SUMPRODUCT(D2:H2,D8:H8)+C2</f>
        <v>39047444.534938559</v>
      </c>
      <c r="D8" s="29">
        <v>136</v>
      </c>
      <c r="E8" s="29">
        <v>12.5</v>
      </c>
      <c r="F8" s="29">
        <v>31</v>
      </c>
      <c r="G8" s="29">
        <v>1</v>
      </c>
      <c r="H8" s="29">
        <v>599348.1875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2">
      <c r="B9" s="135">
        <v>42370712</v>
      </c>
      <c r="C9" s="136">
        <f>SUMPRODUCT(D2:H2,D9:H9)+C2</f>
        <v>40989336.98661238</v>
      </c>
      <c r="D9" s="29">
        <v>22.700000762939453</v>
      </c>
      <c r="E9" s="29">
        <v>40.200000762939453</v>
      </c>
      <c r="F9" s="29">
        <v>30</v>
      </c>
      <c r="G9" s="29">
        <v>0</v>
      </c>
      <c r="H9" s="29">
        <v>599487</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2">
      <c r="B10" s="135">
        <v>52548652</v>
      </c>
      <c r="C10" s="136">
        <f>SUMPRODUCT(D2:H2,D10:H10)+C2</f>
        <v>53631580.204018019</v>
      </c>
      <c r="D10" s="29">
        <v>0.20000000298023224</v>
      </c>
      <c r="E10" s="29">
        <v>158.60000610351563</v>
      </c>
      <c r="F10" s="29">
        <v>31</v>
      </c>
      <c r="G10" s="29">
        <v>0</v>
      </c>
      <c r="H10" s="29">
        <v>599625.875</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2">
      <c r="B11" s="135">
        <v>49452684</v>
      </c>
      <c r="C11" s="136">
        <f>SUMPRODUCT(D2:H2,D11:H11)+C2</f>
        <v>46639526.558454148</v>
      </c>
      <c r="D11" s="29">
        <v>4.0999999046325684</v>
      </c>
      <c r="E11" s="29">
        <v>88.800003051757813</v>
      </c>
      <c r="F11" s="29">
        <v>31</v>
      </c>
      <c r="G11" s="29">
        <v>0</v>
      </c>
      <c r="H11" s="29">
        <v>599764.75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2">
      <c r="B12" s="135">
        <v>41925404</v>
      </c>
      <c r="C12" s="136">
        <f>SUMPRODUCT(D2:H2,D12:H12)+C2</f>
        <v>38585642.705238484</v>
      </c>
      <c r="D12" s="29">
        <v>55.5</v>
      </c>
      <c r="E12" s="29">
        <v>29.5</v>
      </c>
      <c r="F12" s="29">
        <v>30</v>
      </c>
      <c r="G12" s="29">
        <v>1</v>
      </c>
      <c r="H12" s="29">
        <v>599903.5625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2">
      <c r="B13" s="135">
        <v>40507084</v>
      </c>
      <c r="C13" s="136">
        <f>SUMPRODUCT(D2:H2,D13:H13)+C2</f>
        <v>39272799.15421129</v>
      </c>
      <c r="D13" s="29">
        <v>238.80000305175781</v>
      </c>
      <c r="E13" s="29">
        <v>0</v>
      </c>
      <c r="F13" s="29">
        <v>31</v>
      </c>
      <c r="G13" s="29">
        <v>1</v>
      </c>
      <c r="H13" s="29">
        <v>600042.4375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2">
      <c r="B14" s="135">
        <v>40896332</v>
      </c>
      <c r="C14" s="136">
        <f>SUMPRODUCT(D2:H2,D14:H14)+C2</f>
        <v>39436081.277268745</v>
      </c>
      <c r="D14" s="29">
        <v>320</v>
      </c>
      <c r="E14" s="29">
        <v>0</v>
      </c>
      <c r="F14" s="29">
        <v>30</v>
      </c>
      <c r="G14" s="29">
        <v>1</v>
      </c>
      <c r="H14" s="29">
        <v>600181.25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2">
      <c r="B15" s="135">
        <v>44967260</v>
      </c>
      <c r="C15" s="136">
        <f>SUMPRODUCT(D2:H2,D15:H15)+C2</f>
        <v>45025716.421660773</v>
      </c>
      <c r="D15" s="29">
        <v>512</v>
      </c>
      <c r="E15" s="29">
        <v>0</v>
      </c>
      <c r="F15" s="29">
        <v>31</v>
      </c>
      <c r="G15" s="29">
        <v>0</v>
      </c>
      <c r="H15" s="29">
        <v>600320.125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2">
      <c r="B16" s="135">
        <v>46829264</v>
      </c>
      <c r="C16" s="136">
        <f>SUMPRODUCT(D2:H2,D16:H16)+C2</f>
        <v>46301640.044338316</v>
      </c>
      <c r="D16" s="29">
        <v>600.79998779296875</v>
      </c>
      <c r="E16" s="29">
        <v>0</v>
      </c>
      <c r="F16" s="29">
        <v>31</v>
      </c>
      <c r="G16" s="29">
        <v>0</v>
      </c>
      <c r="H16" s="29">
        <v>608498.875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2">
      <c r="B17" s="135">
        <v>43072944</v>
      </c>
      <c r="C17" s="136">
        <f>SUMPRODUCT(D2:H2,D17:H17)+C2</f>
        <v>42276362.777572073</v>
      </c>
      <c r="D17" s="29">
        <v>533.20001220703125</v>
      </c>
      <c r="E17" s="29">
        <v>0</v>
      </c>
      <c r="F17" s="29">
        <v>28</v>
      </c>
      <c r="G17" s="29">
        <v>0</v>
      </c>
      <c r="H17" s="29">
        <v>616677.625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2">
      <c r="B18" s="135">
        <v>41849536</v>
      </c>
      <c r="C18" s="136">
        <f>SUMPRODUCT(D2:H2,D18:H18)+C2</f>
        <v>40618559.770492919</v>
      </c>
      <c r="D18" s="29">
        <v>333.79998779296875</v>
      </c>
      <c r="E18" s="29">
        <v>0</v>
      </c>
      <c r="F18" s="29">
        <v>31</v>
      </c>
      <c r="G18" s="29">
        <v>1</v>
      </c>
      <c r="H18" s="29">
        <v>624856.375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2">
      <c r="B19" s="135">
        <v>38334680</v>
      </c>
      <c r="C19" s="136">
        <f>SUMPRODUCT(D2:H2,D19:H19)+C2</f>
        <v>39693533.219055876</v>
      </c>
      <c r="D19" s="29">
        <v>340.5</v>
      </c>
      <c r="E19" s="29">
        <v>0</v>
      </c>
      <c r="F19" s="29">
        <v>30</v>
      </c>
      <c r="G19" s="29">
        <v>1</v>
      </c>
      <c r="H19" s="29">
        <v>633035.125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2">
      <c r="B20" s="135">
        <v>39723388</v>
      </c>
      <c r="C20" s="136">
        <f>SUMPRODUCT(D2:H2,D20:H20)+C2</f>
        <v>39875827.141083419</v>
      </c>
      <c r="D20" s="29">
        <v>82.300003051757813</v>
      </c>
      <c r="E20" s="29">
        <v>28.899999618530273</v>
      </c>
      <c r="F20" s="29">
        <v>31</v>
      </c>
      <c r="G20" s="29">
        <v>1</v>
      </c>
      <c r="H20" s="29">
        <v>641213.875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2">
      <c r="B21" s="135">
        <v>42958924</v>
      </c>
      <c r="C21" s="136">
        <f>SUMPRODUCT(D2:H2,D21:H21)+C2</f>
        <v>43522297.480016246</v>
      </c>
      <c r="D21" s="29">
        <v>31.600000381469727</v>
      </c>
      <c r="E21" s="29">
        <v>64.599998474121094</v>
      </c>
      <c r="F21" s="29">
        <v>30</v>
      </c>
      <c r="G21" s="29">
        <v>0</v>
      </c>
      <c r="H21" s="29">
        <v>649392.625</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2">
      <c r="B22" s="135">
        <v>51833832</v>
      </c>
      <c r="C22" s="136">
        <f>SUMPRODUCT(D2:H2,D22:H22)+C2</f>
        <v>52983672.134001702</v>
      </c>
      <c r="D22" s="29">
        <v>0</v>
      </c>
      <c r="E22" s="29">
        <v>152.89999389648438</v>
      </c>
      <c r="F22" s="29">
        <v>31</v>
      </c>
      <c r="G22" s="29">
        <v>0</v>
      </c>
      <c r="H22" s="29">
        <v>657571.375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2">
      <c r="B23" s="135">
        <v>48709368</v>
      </c>
      <c r="C23" s="136">
        <f>SUMPRODUCT(D2:H2,D23:H23)+C2</f>
        <v>45356026.201592028</v>
      </c>
      <c r="D23" s="29">
        <v>6</v>
      </c>
      <c r="E23" s="29">
        <v>76.599998474121094</v>
      </c>
      <c r="F23" s="29">
        <v>31</v>
      </c>
      <c r="G23" s="29">
        <v>0</v>
      </c>
      <c r="H23" s="29">
        <v>665750.1875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2">
      <c r="B24" s="135">
        <v>40386344</v>
      </c>
      <c r="C24" s="136">
        <f>SUMPRODUCT(D2:H2,D24:H24)+C2</f>
        <v>38879412.727494188</v>
      </c>
      <c r="D24" s="29">
        <v>86.099998474121094</v>
      </c>
      <c r="E24" s="29">
        <v>28.899999618530273</v>
      </c>
      <c r="F24" s="29">
        <v>30</v>
      </c>
      <c r="G24" s="29">
        <v>1</v>
      </c>
      <c r="H24" s="29">
        <v>673928.9375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2">
      <c r="B25" s="135">
        <v>40191612</v>
      </c>
      <c r="C25" s="136">
        <f>SUMPRODUCT(D2:H2,D25:H25)+C2</f>
        <v>39090194.47744149</v>
      </c>
      <c r="D25" s="29">
        <v>227.39999389648438</v>
      </c>
      <c r="E25" s="29">
        <v>0.80000001192092896</v>
      </c>
      <c r="F25" s="29">
        <v>31</v>
      </c>
      <c r="G25" s="29">
        <v>1</v>
      </c>
      <c r="H25" s="29">
        <v>682107.6875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2">
      <c r="B26" s="135">
        <v>42546572</v>
      </c>
      <c r="C26" s="136">
        <f>SUMPRODUCT(D2:H2,D26:H26)+C2</f>
        <v>40955543.68499656</v>
      </c>
      <c r="D26" s="29">
        <v>432.39999389648438</v>
      </c>
      <c r="E26" s="29">
        <v>0</v>
      </c>
      <c r="F26" s="29">
        <v>30</v>
      </c>
      <c r="G26" s="29">
        <v>1</v>
      </c>
      <c r="H26" s="29">
        <v>690286.4375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25">
      <c r="B27" s="135">
        <v>44574932</v>
      </c>
      <c r="C27" s="136">
        <f>SUMPRODUCT(D2:H2,D27:H27)+C2</f>
        <v>44808216.934111416</v>
      </c>
      <c r="D27" s="29">
        <v>505.10000610351563</v>
      </c>
      <c r="E27" s="29">
        <v>0</v>
      </c>
      <c r="F27" s="29">
        <v>31</v>
      </c>
      <c r="G27" s="29">
        <v>0</v>
      </c>
      <c r="H27" s="29">
        <v>698465.1875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2">
      <c r="B28" s="415">
        <v>48092056</v>
      </c>
      <c r="C28" s="136">
        <f>SUMPRODUCT(D2:H2,D28:H28)+C2</f>
        <v>46415203.700527266</v>
      </c>
      <c r="D28" s="29">
        <v>617.29998779296875</v>
      </c>
      <c r="E28" s="29">
        <v>0</v>
      </c>
      <c r="F28" s="29">
        <v>31</v>
      </c>
      <c r="G28" s="29">
        <v>0</v>
      </c>
      <c r="H28" s="29">
        <v>713105.625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2">
      <c r="B29" s="135">
        <v>43415700</v>
      </c>
      <c r="C29" s="136">
        <f>SUMPRODUCT(D2:H2,D29:H29)+C2</f>
        <v>43691073.239419572</v>
      </c>
      <c r="D29" s="29">
        <v>640.0999755859375</v>
      </c>
      <c r="E29" s="29">
        <v>0</v>
      </c>
      <c r="F29" s="29">
        <v>28</v>
      </c>
      <c r="G29" s="29">
        <v>0</v>
      </c>
      <c r="H29" s="29">
        <v>727746.0625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2">
      <c r="B30" s="135">
        <v>43520436</v>
      </c>
      <c r="C30" s="136">
        <f>SUMPRODUCT(D2:H2,D30:H30)+C2</f>
        <v>43686255.10215541</v>
      </c>
      <c r="D30" s="29">
        <v>555.4000244140625</v>
      </c>
      <c r="E30" s="29">
        <v>0</v>
      </c>
      <c r="F30" s="29">
        <v>31</v>
      </c>
      <c r="G30" s="29">
        <v>1</v>
      </c>
      <c r="H30" s="29">
        <v>742386.5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2">
      <c r="B31" s="135">
        <v>38293524</v>
      </c>
      <c r="C31" s="136">
        <f>SUMPRODUCT(D2:H2,D31:H31)+C2</f>
        <v>39536281.374845356</v>
      </c>
      <c r="D31" s="29">
        <v>339.89999389648438</v>
      </c>
      <c r="E31" s="29">
        <v>0</v>
      </c>
      <c r="F31" s="29">
        <v>30</v>
      </c>
      <c r="G31" s="29">
        <v>1</v>
      </c>
      <c r="H31" s="29">
        <v>757026.9375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2">
      <c r="B32" s="135">
        <v>37947560</v>
      </c>
      <c r="C32" s="136">
        <f>SUMPRODUCT(D2:H2,D32:H32)+C2</f>
        <v>39740095.106728092</v>
      </c>
      <c r="D32" s="29">
        <v>116.5</v>
      </c>
      <c r="E32" s="29">
        <v>24.200000762939453</v>
      </c>
      <c r="F32" s="29">
        <v>31</v>
      </c>
      <c r="G32" s="29">
        <v>1</v>
      </c>
      <c r="H32" s="29">
        <v>771667.375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2">
      <c r="B33" s="135">
        <v>39558052</v>
      </c>
      <c r="C33" s="136">
        <f>SUMPRODUCT(D2:H2,D33:H33)+C2</f>
        <v>41894645.385974213</v>
      </c>
      <c r="D33" s="29">
        <v>42.799999237060547</v>
      </c>
      <c r="E33" s="29">
        <v>48.5</v>
      </c>
      <c r="F33" s="29">
        <v>30</v>
      </c>
      <c r="G33" s="29">
        <v>0</v>
      </c>
      <c r="H33" s="29">
        <v>786307.8125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2">
      <c r="B34" s="135">
        <v>48777836</v>
      </c>
      <c r="C34" s="136">
        <f>SUMPRODUCT(D2:H2,D34:H34)+C2</f>
        <v>49266358.750365049</v>
      </c>
      <c r="D34" s="29">
        <v>5.5</v>
      </c>
      <c r="E34" s="29">
        <v>117</v>
      </c>
      <c r="F34" s="29">
        <v>31</v>
      </c>
      <c r="G34" s="29">
        <v>0</v>
      </c>
      <c r="H34" s="29">
        <v>800948.25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2">
      <c r="B35" s="135">
        <v>44931328</v>
      </c>
      <c r="C35" s="136">
        <f>SUMPRODUCT(D2:H2,D35:H35)+C2</f>
        <v>49041812.314943366</v>
      </c>
      <c r="D35" s="29">
        <v>19.100000381469727</v>
      </c>
      <c r="E35" s="29">
        <v>113</v>
      </c>
      <c r="F35" s="29">
        <v>31</v>
      </c>
      <c r="G35" s="29">
        <v>0</v>
      </c>
      <c r="H35" s="29">
        <v>815588.6875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2">
      <c r="B36" s="135">
        <v>38566848</v>
      </c>
      <c r="C36" s="136">
        <f>SUMPRODUCT(D2:H2,D36:H36)+C2</f>
        <v>38438097.833473727</v>
      </c>
      <c r="D36" s="29">
        <v>110.40000152587891</v>
      </c>
      <c r="E36" s="29">
        <v>22.899999618530273</v>
      </c>
      <c r="F36" s="29">
        <v>30</v>
      </c>
      <c r="G36" s="29">
        <v>1</v>
      </c>
      <c r="H36" s="29">
        <v>830229.125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2">
      <c r="B37" s="135">
        <v>39059440</v>
      </c>
      <c r="C37" s="136">
        <f>SUMPRODUCT(D2:H2,D37:H37)+C2</f>
        <v>39008292.295544505</v>
      </c>
      <c r="D37" s="29">
        <v>211.5</v>
      </c>
      <c r="E37" s="29">
        <v>4.1999998092651367</v>
      </c>
      <c r="F37" s="29">
        <v>31</v>
      </c>
      <c r="G37" s="29">
        <v>1</v>
      </c>
      <c r="H37" s="29">
        <v>844869.5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2">
      <c r="B38" s="135">
        <v>41311172</v>
      </c>
      <c r="C38" s="136">
        <f>SUMPRODUCT(D2:H2,D38:H38)+C2</f>
        <v>41162535.780759618</v>
      </c>
      <c r="D38" s="29">
        <v>460.70001220703125</v>
      </c>
      <c r="E38" s="29">
        <v>0</v>
      </c>
      <c r="F38" s="29">
        <v>30</v>
      </c>
      <c r="G38" s="29">
        <v>1</v>
      </c>
      <c r="H38" s="29">
        <v>859509.9375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2">
      <c r="B39" s="135">
        <v>46300080</v>
      </c>
      <c r="C39" s="136">
        <f>SUMPRODUCT(D2:H2,D39:H39)+C2</f>
        <v>46788367.437156528</v>
      </c>
      <c r="D39" s="29">
        <v>656.4000244140625</v>
      </c>
      <c r="E39" s="29">
        <v>0</v>
      </c>
      <c r="F39" s="29">
        <v>31</v>
      </c>
      <c r="G39" s="29">
        <v>0</v>
      </c>
      <c r="H39" s="29">
        <v>874150.375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2">
      <c r="B40" s="135">
        <v>50496524</v>
      </c>
      <c r="C40" s="136">
        <f>SUMPRODUCT(D2:H2,D40:H40)+C2</f>
        <v>48601131.983331285</v>
      </c>
      <c r="D40" s="29">
        <v>783.20001220703125</v>
      </c>
      <c r="E40" s="29">
        <v>0</v>
      </c>
      <c r="F40" s="29">
        <v>31</v>
      </c>
      <c r="G40" s="29">
        <v>0</v>
      </c>
      <c r="H40" s="29">
        <v>893476.0625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2">
      <c r="B41" s="135">
        <v>44559480</v>
      </c>
      <c r="C41" s="136">
        <f>SUMPRODUCT(D2:H2,D41:H41)+C2</f>
        <v>44969354.501090348</v>
      </c>
      <c r="D41" s="29">
        <v>743.70001220703125</v>
      </c>
      <c r="E41" s="29">
        <v>0</v>
      </c>
      <c r="F41" s="29">
        <v>28</v>
      </c>
      <c r="G41" s="29">
        <v>0</v>
      </c>
      <c r="H41" s="29">
        <v>912801.75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2">
      <c r="B42" s="135">
        <v>45832980</v>
      </c>
      <c r="C42" s="136">
        <f>SUMPRODUCT(D2:H2,D42:H42)+C2</f>
        <v>45441067.81177441</v>
      </c>
      <c r="D42" s="29">
        <v>692.29998779296875</v>
      </c>
      <c r="E42" s="29">
        <v>0</v>
      </c>
      <c r="F42" s="29">
        <v>31</v>
      </c>
      <c r="G42" s="29">
        <v>1</v>
      </c>
      <c r="H42" s="29">
        <v>932127.4375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2">
      <c r="B43" s="135">
        <v>38389928</v>
      </c>
      <c r="C43" s="136">
        <f>SUMPRODUCT(D2:H2,D43:H43)+C2</f>
        <v>39281605.621331416</v>
      </c>
      <c r="D43" s="29">
        <v>338.39999389648438</v>
      </c>
      <c r="E43" s="29">
        <v>0</v>
      </c>
      <c r="F43" s="29">
        <v>30</v>
      </c>
      <c r="G43" s="29">
        <v>1</v>
      </c>
      <c r="H43" s="29">
        <v>951453.125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2">
      <c r="B44" s="135">
        <v>36955320</v>
      </c>
      <c r="C44" s="136">
        <f>SUMPRODUCT(D2:H2,D44:H44)+C2</f>
        <v>38246714.494092658</v>
      </c>
      <c r="D44" s="29">
        <v>147.69999694824219</v>
      </c>
      <c r="E44" s="29">
        <v>7.3000001907348633</v>
      </c>
      <c r="F44" s="29">
        <v>31</v>
      </c>
      <c r="G44" s="29">
        <v>1</v>
      </c>
      <c r="H44" s="29">
        <v>970778.75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2">
      <c r="B45" s="135">
        <v>40743556</v>
      </c>
      <c r="C45" s="136">
        <f>SUMPRODUCT(D2:H2,D45:H45)+C2</f>
        <v>43409240.291060485</v>
      </c>
      <c r="D45" s="29">
        <v>21.299999237060547</v>
      </c>
      <c r="E45" s="29">
        <v>69</v>
      </c>
      <c r="F45" s="29">
        <v>30</v>
      </c>
      <c r="G45" s="29">
        <v>0</v>
      </c>
      <c r="H45" s="29">
        <v>990104.4375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2">
      <c r="B46" s="135">
        <v>44141052</v>
      </c>
      <c r="C46" s="136">
        <f>SUMPRODUCT(D2:H2,D46:H46)+C2</f>
        <v>42470653.556241572</v>
      </c>
      <c r="D46" s="29">
        <v>13.699999809265137</v>
      </c>
      <c r="E46" s="29">
        <v>51</v>
      </c>
      <c r="F46" s="29">
        <v>31</v>
      </c>
      <c r="G46" s="29">
        <v>0</v>
      </c>
      <c r="H46" s="29">
        <v>1009430.125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2">
      <c r="B47" s="135">
        <v>43108352</v>
      </c>
      <c r="C47" s="136">
        <f>SUMPRODUCT(D2:H2,D47:H47)+C2</f>
        <v>43230718.173126034</v>
      </c>
      <c r="D47" s="29">
        <v>12</v>
      </c>
      <c r="E47" s="29">
        <v>59</v>
      </c>
      <c r="F47" s="29">
        <v>31</v>
      </c>
      <c r="G47" s="29">
        <v>0</v>
      </c>
      <c r="H47" s="29">
        <v>1028755.8125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2">
      <c r="B48" s="135">
        <v>38472316</v>
      </c>
      <c r="C48" s="136">
        <f>SUMPRODUCT(D2:H2,D48:H48)+C2</f>
        <v>38278156.838088572</v>
      </c>
      <c r="D48" s="29">
        <v>85.300003051757813</v>
      </c>
      <c r="E48" s="29">
        <v>27.5</v>
      </c>
      <c r="F48" s="29">
        <v>30</v>
      </c>
      <c r="G48" s="29">
        <v>1</v>
      </c>
      <c r="H48" s="29">
        <v>1048081.5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
      <c r="B49" s="135">
        <v>38196496</v>
      </c>
      <c r="C49" s="136">
        <f>SUMPRODUCT(D2:H2,D49:H49)+C2</f>
        <v>39110229.803930521</v>
      </c>
      <c r="D49" s="29">
        <v>225.10000610351563</v>
      </c>
      <c r="E49" s="29">
        <v>5.9000000953674316</v>
      </c>
      <c r="F49" s="29">
        <v>31</v>
      </c>
      <c r="G49" s="29">
        <v>1</v>
      </c>
      <c r="H49" s="29">
        <v>1067407.125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
      <c r="B50" s="135">
        <v>40658384</v>
      </c>
      <c r="C50" s="136">
        <f>SUMPRODUCT(D2:H2,D50:H50)+C2</f>
        <v>40962676.273942627</v>
      </c>
      <c r="D50" s="29">
        <v>465.70001220703125</v>
      </c>
      <c r="E50" s="29">
        <v>0</v>
      </c>
      <c r="F50" s="29">
        <v>30</v>
      </c>
      <c r="G50" s="29">
        <v>1</v>
      </c>
      <c r="H50" s="29">
        <v>1086732.875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25">
      <c r="B51" s="135">
        <v>43373536</v>
      </c>
      <c r="C51" s="136">
        <f>SUMPRODUCT(D2:H2,D51:H51)+C2</f>
        <v>44836742.318155594</v>
      </c>
      <c r="D51" s="29">
        <v>540.79998779296875</v>
      </c>
      <c r="E51" s="29">
        <v>0</v>
      </c>
      <c r="F51" s="29">
        <v>31</v>
      </c>
      <c r="G51" s="29">
        <v>0</v>
      </c>
      <c r="H51" s="29">
        <v>1106058.5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
      <c r="B52" s="415">
        <v>48336984</v>
      </c>
      <c r="C52" s="136">
        <f>SUMPRODUCT(D2:H2,D52:H52)+C2</f>
        <v>48116163.828130677</v>
      </c>
      <c r="D52" s="29">
        <v>771.70001220703125</v>
      </c>
      <c r="E52" s="29">
        <v>0</v>
      </c>
      <c r="F52" s="29">
        <v>31</v>
      </c>
      <c r="G52" s="29">
        <v>0</v>
      </c>
      <c r="H52" s="29">
        <v>1159263.625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
      <c r="B53" s="135">
        <v>45806080</v>
      </c>
      <c r="C53" s="136">
        <f>SUMPRODUCT(D2:H2,D53:H53)+C2</f>
        <v>46466490.629255459</v>
      </c>
      <c r="D53" s="29">
        <v>871.9000244140625</v>
      </c>
      <c r="E53" s="29">
        <v>0</v>
      </c>
      <c r="F53" s="29">
        <v>28</v>
      </c>
      <c r="G53" s="29">
        <v>0</v>
      </c>
      <c r="H53" s="29">
        <v>1212468.75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
      <c r="B54" s="135">
        <v>44467252</v>
      </c>
      <c r="C54" s="136">
        <f>SUMPRODUCT(D2:H2,D54:H54)+C2</f>
        <v>44240738.011090904</v>
      </c>
      <c r="D54" s="29">
        <v>637</v>
      </c>
      <c r="E54" s="29">
        <v>0</v>
      </c>
      <c r="F54" s="29">
        <v>31</v>
      </c>
      <c r="G54" s="29">
        <v>1</v>
      </c>
      <c r="H54" s="29">
        <v>1265674</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
      <c r="B55" s="135">
        <v>37066328</v>
      </c>
      <c r="C55" s="136">
        <f>SUMPRODUCT(D2:H2,D55:H55)+C2</f>
        <v>38719740.960825972</v>
      </c>
      <c r="D55" s="29">
        <v>330</v>
      </c>
      <c r="E55" s="29">
        <v>0</v>
      </c>
      <c r="F55" s="29">
        <v>30</v>
      </c>
      <c r="G55" s="29">
        <v>1</v>
      </c>
      <c r="H55" s="29">
        <v>1318879.125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
      <c r="B56" s="135">
        <v>36561144</v>
      </c>
      <c r="C56" s="136">
        <f>SUMPRODUCT(D2:H2,D56:H56)+C2</f>
        <v>39830672.475174442</v>
      </c>
      <c r="D56" s="29">
        <v>102.69999694824219</v>
      </c>
      <c r="E56" s="29">
        <v>34.200000762939453</v>
      </c>
      <c r="F56" s="29">
        <v>31</v>
      </c>
      <c r="G56" s="29">
        <v>1</v>
      </c>
      <c r="H56" s="29">
        <v>1372084.25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2">
      <c r="B57" s="135">
        <v>38156280</v>
      </c>
      <c r="C57" s="136">
        <f>SUMPRODUCT(D2:H2,D57:H57)+C2</f>
        <v>39019638.835129939</v>
      </c>
      <c r="D57" s="29">
        <v>35.900001525878906</v>
      </c>
      <c r="E57" s="29">
        <v>28.600000381469727</v>
      </c>
      <c r="F57" s="29">
        <v>30</v>
      </c>
      <c r="G57" s="29">
        <v>0</v>
      </c>
      <c r="H57" s="29">
        <v>1425289.375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2">
      <c r="B58" s="135">
        <v>44608128</v>
      </c>
      <c r="C58" s="136">
        <f>SUMPRODUCT(D2:H2,D58:H58)+C2</f>
        <v>44657827.122888014</v>
      </c>
      <c r="D58" s="29">
        <v>7.5999999046325684</v>
      </c>
      <c r="E58" s="29">
        <v>79.099998474121094</v>
      </c>
      <c r="F58" s="29">
        <v>31</v>
      </c>
      <c r="G58" s="29">
        <v>0</v>
      </c>
      <c r="H58" s="29">
        <v>1478494.5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2">
      <c r="B59" s="135">
        <v>43859864</v>
      </c>
      <c r="C59" s="136">
        <f>SUMPRODUCT(D2:H2,D59:H59)+C2</f>
        <v>42628101.10785865</v>
      </c>
      <c r="D59" s="29">
        <v>12</v>
      </c>
      <c r="E59" s="29">
        <v>59</v>
      </c>
      <c r="F59" s="29">
        <v>31</v>
      </c>
      <c r="G59" s="29">
        <v>0</v>
      </c>
      <c r="H59" s="29">
        <v>1531699.75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2">
      <c r="B60" s="135">
        <v>41747992</v>
      </c>
      <c r="C60" s="136">
        <f>SUMPRODUCT(D2:H2,D60:H60)+C2</f>
        <v>39651959.883300953</v>
      </c>
      <c r="D60" s="29">
        <v>37</v>
      </c>
      <c r="E60" s="29">
        <v>54.400001525878906</v>
      </c>
      <c r="F60" s="29">
        <v>30</v>
      </c>
      <c r="G60" s="29">
        <v>1</v>
      </c>
      <c r="H60" s="29">
        <v>1584904.875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2">
      <c r="B61" s="135">
        <v>36786432</v>
      </c>
      <c r="C61" s="136">
        <f>SUMPRODUCT(D2:H2,D61:H61)+C2</f>
        <v>38315354.052104399</v>
      </c>
      <c r="D61" s="29">
        <v>252.30000305175781</v>
      </c>
      <c r="E61" s="29">
        <v>0.89999997615814209</v>
      </c>
      <c r="F61" s="29">
        <v>31</v>
      </c>
      <c r="G61" s="29">
        <v>1</v>
      </c>
      <c r="H61" s="29">
        <v>1638110</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2">
      <c r="B62" s="135">
        <v>37158576</v>
      </c>
      <c r="C62" s="136">
        <f>SUMPRODUCT(D2:H2,D62:H62)+C2</f>
        <v>38438554.81575042</v>
      </c>
      <c r="D62" s="29">
        <v>341.39999389648438</v>
      </c>
      <c r="E62" s="29">
        <v>0</v>
      </c>
      <c r="F62" s="29">
        <v>30</v>
      </c>
      <c r="G62" s="29">
        <v>1</v>
      </c>
      <c r="H62" s="29">
        <v>1691315.125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2">
      <c r="B63" s="135">
        <v>39769880</v>
      </c>
      <c r="C63" s="136">
        <f>SUMPRODUCT(D2:H2,D63:H63)+C2</f>
        <v>42293745.883671947</v>
      </c>
      <c r="D63" s="29">
        <v>418</v>
      </c>
      <c r="E63" s="29">
        <v>0</v>
      </c>
      <c r="F63" s="29">
        <v>31</v>
      </c>
      <c r="G63" s="29">
        <v>0</v>
      </c>
      <c r="H63" s="29">
        <v>1744520.25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2">
      <c r="B64" s="135">
        <v>44548272</v>
      </c>
      <c r="C64" s="136">
        <f>SUMPRODUCT(D2:H2,D64:H64)+C2</f>
        <v>45692366.496802427</v>
      </c>
      <c r="D64" s="29">
        <v>657.20001220703125</v>
      </c>
      <c r="E64" s="29">
        <v>0</v>
      </c>
      <c r="F64" s="29">
        <v>31</v>
      </c>
      <c r="G64" s="29">
        <v>0</v>
      </c>
      <c r="H64" s="29">
        <v>1798539.375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2">
      <c r="B65" s="135">
        <v>41158164</v>
      </c>
      <c r="C65" s="136">
        <f>SUMPRODUCT(D2:H2,D65:H65)+C2</f>
        <v>41575966.335023917</v>
      </c>
      <c r="D65" s="29">
        <v>587.0999755859375</v>
      </c>
      <c r="E65" s="29">
        <v>0</v>
      </c>
      <c r="F65" s="29">
        <v>28</v>
      </c>
      <c r="G65" s="29">
        <v>0</v>
      </c>
      <c r="H65" s="29">
        <v>1852558.375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2">
      <c r="B66" s="135">
        <v>39809144</v>
      </c>
      <c r="C66" s="136">
        <f>SUMPRODUCT(D2:H2,D66:H66)+C2</f>
        <v>40747897.802114524</v>
      </c>
      <c r="D66" s="29">
        <v>448.79998779296875</v>
      </c>
      <c r="E66" s="29">
        <v>0</v>
      </c>
      <c r="F66" s="29">
        <v>31</v>
      </c>
      <c r="G66" s="29">
        <v>1</v>
      </c>
      <c r="H66" s="29">
        <v>1906577.375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2">
      <c r="B67" s="135">
        <v>36222796</v>
      </c>
      <c r="C67" s="136">
        <f>SUMPRODUCT(D2:H2,D67:H67)+C2</f>
        <v>38734155.376257777</v>
      </c>
      <c r="D67" s="29">
        <v>384.10000610351563</v>
      </c>
      <c r="E67" s="29">
        <v>0</v>
      </c>
      <c r="F67" s="29">
        <v>30</v>
      </c>
      <c r="G67" s="29">
        <v>1</v>
      </c>
      <c r="H67" s="29">
        <v>1960596.375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2">
      <c r="B68" s="135">
        <v>35890392</v>
      </c>
      <c r="C68" s="136">
        <f>SUMPRODUCT(D2:H2,D68:H68)+C2</f>
        <v>38800942.789167501</v>
      </c>
      <c r="D68" s="29">
        <v>153.10000610351563</v>
      </c>
      <c r="E68" s="29">
        <v>24.399999618530273</v>
      </c>
      <c r="F68" s="29">
        <v>31</v>
      </c>
      <c r="G68" s="29">
        <v>1</v>
      </c>
      <c r="H68" s="29">
        <v>2014615.375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2">
      <c r="B69" s="135">
        <v>39662848</v>
      </c>
      <c r="C69" s="136">
        <f>SUMPRODUCT(D2:H2,D69:H69)+C2</f>
        <v>40484409.351268306</v>
      </c>
      <c r="D69" s="29">
        <v>29.200000762939453</v>
      </c>
      <c r="E69" s="29">
        <v>51.700000762939453</v>
      </c>
      <c r="F69" s="29">
        <v>30</v>
      </c>
      <c r="G69" s="29">
        <v>0</v>
      </c>
      <c r="H69" s="29">
        <v>2068634.375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2">
      <c r="B70" s="135">
        <v>47528892</v>
      </c>
      <c r="C70" s="136">
        <f>SUMPRODUCT(D2:H2,D70:H70)+C2</f>
        <v>49996294.168424584</v>
      </c>
      <c r="D70" s="29">
        <v>0</v>
      </c>
      <c r="E70" s="29">
        <v>140.69999694824219</v>
      </c>
      <c r="F70" s="29">
        <v>31</v>
      </c>
      <c r="G70" s="29">
        <v>0</v>
      </c>
      <c r="H70" s="29">
        <v>2122653.25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2">
      <c r="B71" s="135">
        <v>51243328</v>
      </c>
      <c r="C71" s="136">
        <f>SUMPRODUCT(D2:H2,D71:H71)+C2</f>
        <v>51811233.033532344</v>
      </c>
      <c r="D71" s="29">
        <v>0.10000000149011612</v>
      </c>
      <c r="E71" s="29">
        <v>159.30000305175781</v>
      </c>
      <c r="F71" s="29">
        <v>31</v>
      </c>
      <c r="G71" s="29">
        <v>0</v>
      </c>
      <c r="H71" s="29">
        <v>2176672.25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2">
      <c r="B72" s="135">
        <v>39994232</v>
      </c>
      <c r="C72" s="136">
        <f>SUMPRODUCT(D2:H2,D72:H72)+C2</f>
        <v>38202928.857596152</v>
      </c>
      <c r="D72" s="29">
        <v>34.299999237060547</v>
      </c>
      <c r="E72" s="29">
        <v>48.099998474121094</v>
      </c>
      <c r="F72" s="29">
        <v>30</v>
      </c>
      <c r="G72" s="29">
        <v>1</v>
      </c>
      <c r="H72" s="29">
        <v>2230691.5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2">
      <c r="B73" s="135">
        <v>36210144</v>
      </c>
      <c r="C73" s="136">
        <f>SUMPRODUCT(D2:H2,D73:H73)+C2</f>
        <v>37188656.297107823</v>
      </c>
      <c r="D73" s="29">
        <v>198.69999694824219</v>
      </c>
      <c r="E73" s="29">
        <v>5.0999999046325684</v>
      </c>
      <c r="F73" s="29">
        <v>31</v>
      </c>
      <c r="G73" s="29">
        <v>1</v>
      </c>
      <c r="H73" s="29">
        <v>2284710.5</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2">
      <c r="B74" s="135">
        <v>36789736</v>
      </c>
      <c r="C74" s="136">
        <f>SUMPRODUCT(D2:H2,D74:H74)+C2</f>
        <v>37884363.181952707</v>
      </c>
      <c r="D74" s="29">
        <v>356.70001220703125</v>
      </c>
      <c r="E74" s="29">
        <v>0</v>
      </c>
      <c r="F74" s="29">
        <v>30</v>
      </c>
      <c r="G74" s="29">
        <v>1</v>
      </c>
      <c r="H74" s="29">
        <v>2338729.5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25">
      <c r="B75" s="135">
        <v>42575324</v>
      </c>
      <c r="C75" s="136">
        <f>SUMPRODUCT(D2:H2,D75:H75)+C2</f>
        <v>43880003.455169804</v>
      </c>
      <c r="D75" s="29">
        <v>581.20001220703125</v>
      </c>
      <c r="E75" s="29">
        <v>0</v>
      </c>
      <c r="F75" s="29">
        <v>31</v>
      </c>
      <c r="G75" s="29">
        <v>0</v>
      </c>
      <c r="H75" s="29">
        <v>2392748.5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2">
      <c r="B76" s="415">
        <v>43131420</v>
      </c>
      <c r="C76" s="136">
        <f>SUMPRODUCT(D2:H2,D76:H76)+C2</f>
        <v>44016180.930983804</v>
      </c>
      <c r="D76" s="29">
        <v>593.9000244140625</v>
      </c>
      <c r="E76" s="29">
        <v>0</v>
      </c>
      <c r="F76" s="29">
        <v>31</v>
      </c>
      <c r="G76" s="29">
        <v>0</v>
      </c>
      <c r="H76" s="29">
        <v>2432562.5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2">
      <c r="B77" s="135">
        <v>37533892</v>
      </c>
      <c r="C77" s="136">
        <f>SUMPRODUCT(D2:H2,D77:H77)+C2</f>
        <v>39395561.687640697</v>
      </c>
      <c r="D77" s="29">
        <v>487.79998779296875</v>
      </c>
      <c r="E77" s="29">
        <v>0</v>
      </c>
      <c r="F77" s="29">
        <v>28</v>
      </c>
      <c r="G77" s="29">
        <v>0</v>
      </c>
      <c r="H77" s="29">
        <v>2472376.5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2">
      <c r="B78" s="135">
        <v>41563416</v>
      </c>
      <c r="C78" s="136">
        <f>SUMPRODUCT(D2:H2,D78:H78)+C2</f>
        <v>41564263.690818943</v>
      </c>
      <c r="D78" s="29">
        <v>555.29998779296875</v>
      </c>
      <c r="E78" s="29">
        <v>0</v>
      </c>
      <c r="F78" s="29">
        <v>31</v>
      </c>
      <c r="G78" s="29">
        <v>1</v>
      </c>
      <c r="H78" s="29">
        <v>2512190.75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2">
      <c r="B79" s="135">
        <v>34947464</v>
      </c>
      <c r="C79" s="136">
        <f>SUMPRODUCT(D2:H2,D79:H79)+C2</f>
        <v>36305265.963715643</v>
      </c>
      <c r="D79" s="29">
        <v>261.79998779296875</v>
      </c>
      <c r="E79" s="29">
        <v>0.5</v>
      </c>
      <c r="F79" s="29">
        <v>30</v>
      </c>
      <c r="G79" s="29">
        <v>1</v>
      </c>
      <c r="H79" s="29">
        <v>2552004.75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2">
      <c r="B80" s="135">
        <v>35633124</v>
      </c>
      <c r="C80" s="136">
        <f>SUMPRODUCT(D2:H2,D80:H80)+C2</f>
        <v>36521899.060467623</v>
      </c>
      <c r="D80" s="29">
        <v>168.30000305175781</v>
      </c>
      <c r="E80" s="29">
        <v>6.5</v>
      </c>
      <c r="F80" s="29">
        <v>31</v>
      </c>
      <c r="G80" s="29">
        <v>1</v>
      </c>
      <c r="H80" s="29">
        <v>2591818.75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2">
      <c r="B81" s="135">
        <v>38155784</v>
      </c>
      <c r="C81" s="136">
        <f>SUMPRODUCT(D2:H2,D81:H81)+C2</f>
        <v>40919346.66885522</v>
      </c>
      <c r="D81" s="29">
        <v>32.599998474121094</v>
      </c>
      <c r="E81" s="29">
        <v>62.200000762939453</v>
      </c>
      <c r="F81" s="29">
        <v>30</v>
      </c>
      <c r="G81" s="29">
        <v>0</v>
      </c>
      <c r="H81" s="29">
        <v>2631633</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2">
      <c r="B82" s="135">
        <v>44273988</v>
      </c>
      <c r="C82" s="136">
        <f>SUMPRODUCT(D2:H2,D82:H82)+C2</f>
        <v>44059083.751472093</v>
      </c>
      <c r="D82" s="29">
        <v>2.2000000476837158</v>
      </c>
      <c r="E82" s="29">
        <v>88.099998474121094</v>
      </c>
      <c r="F82" s="29">
        <v>31</v>
      </c>
      <c r="G82" s="29">
        <v>0</v>
      </c>
      <c r="H82" s="29">
        <v>2671447</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2">
      <c r="B83" s="135">
        <v>43579956</v>
      </c>
      <c r="C83" s="136">
        <f>SUMPRODUCT(D2:H2,D83:H83)+C2</f>
        <v>40490992.707786649</v>
      </c>
      <c r="D83" s="29">
        <v>19.200000762939453</v>
      </c>
      <c r="E83" s="29">
        <v>50.799999237060547</v>
      </c>
      <c r="F83" s="29">
        <v>31</v>
      </c>
      <c r="G83" s="29">
        <v>0</v>
      </c>
      <c r="H83" s="29">
        <v>2711261</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2">
      <c r="B84" s="135">
        <v>38972984</v>
      </c>
      <c r="C84" s="136">
        <f>SUMPRODUCT(D2:H2,D84:H84)+C2</f>
        <v>38166810.53019999</v>
      </c>
      <c r="D84" s="29">
        <v>66.5</v>
      </c>
      <c r="E84" s="29">
        <v>49.299999237060547</v>
      </c>
      <c r="F84" s="29">
        <v>30</v>
      </c>
      <c r="G84" s="29">
        <v>1</v>
      </c>
      <c r="H84" s="29">
        <v>2751075.25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2">
      <c r="B85" s="135">
        <v>36256780</v>
      </c>
      <c r="C85" s="136">
        <f>SUMPRODUCT(D2:H2,D85:H85)+C2</f>
        <v>36037273.388855144</v>
      </c>
      <c r="D85" s="29">
        <v>152</v>
      </c>
      <c r="E85" s="29">
        <v>6.4000000953674316</v>
      </c>
      <c r="F85" s="29">
        <v>31</v>
      </c>
      <c r="G85" s="29">
        <v>1</v>
      </c>
      <c r="H85" s="29">
        <v>2790889.25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2">
      <c r="B86" s="135">
        <v>38948952</v>
      </c>
      <c r="C86" s="136">
        <f>SUMPRODUCT(D2:H2,D86:H86)+C2</f>
        <v>38304067.149521805</v>
      </c>
      <c r="D86" s="29">
        <v>426.39999389648438</v>
      </c>
      <c r="E86" s="29">
        <v>0</v>
      </c>
      <c r="F86" s="29">
        <v>30</v>
      </c>
      <c r="G86" s="29">
        <v>1</v>
      </c>
      <c r="H86" s="29">
        <v>2830703.25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2">
      <c r="B87" s="135">
        <v>43911244</v>
      </c>
      <c r="C87" s="136">
        <f>SUMPRODUCT(D2:H2,D87:H87)+C2</f>
        <v>45191250.753323294</v>
      </c>
      <c r="D87" s="29">
        <v>711.29998779296875</v>
      </c>
      <c r="E87" s="29">
        <v>0</v>
      </c>
      <c r="F87" s="29">
        <v>31</v>
      </c>
      <c r="G87" s="29">
        <v>0</v>
      </c>
      <c r="H87" s="29">
        <v>2870517.5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2">
      <c r="B88" s="135">
        <v>47094720</v>
      </c>
      <c r="C88" s="136">
        <f>SUMPRODUCT(D2:H2,D88:H88)+C2</f>
        <v>45453477.473019145</v>
      </c>
      <c r="D88" s="29">
        <v>731</v>
      </c>
      <c r="E88" s="29">
        <v>0</v>
      </c>
      <c r="F88" s="29">
        <v>31</v>
      </c>
      <c r="G88" s="29">
        <v>0</v>
      </c>
      <c r="H88" s="29">
        <v>2889719.25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2">
      <c r="B89" s="135">
        <v>39631600</v>
      </c>
      <c r="C89" s="136">
        <f>SUMPRODUCT(D2:H2,D89:H89)+C2</f>
        <v>39632643.290094048</v>
      </c>
      <c r="D89" s="29">
        <v>540.29998779296875</v>
      </c>
      <c r="E89" s="29">
        <v>0</v>
      </c>
      <c r="F89" s="29">
        <v>28</v>
      </c>
      <c r="G89" s="29">
        <v>0</v>
      </c>
      <c r="H89" s="29">
        <v>2908921.25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2">
      <c r="B90" s="135">
        <v>41656908</v>
      </c>
      <c r="C90" s="136">
        <f>SUMPRODUCT(D2:H2,D90:H90)+C2</f>
        <v>41390229.2163027</v>
      </c>
      <c r="D90" s="29">
        <v>577.70001220703125</v>
      </c>
      <c r="E90" s="29">
        <v>0</v>
      </c>
      <c r="F90" s="29">
        <v>31</v>
      </c>
      <c r="G90" s="29">
        <v>1</v>
      </c>
      <c r="H90" s="29">
        <v>2928123</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2">
      <c r="B91" s="135">
        <v>38614768</v>
      </c>
      <c r="C91" s="136">
        <f>SUMPRODUCT(D2:H2,D91:H91)+C2</f>
        <v>38336631.802632995</v>
      </c>
      <c r="D91" s="29">
        <v>438.29998779296875</v>
      </c>
      <c r="E91" s="29">
        <v>0</v>
      </c>
      <c r="F91" s="29">
        <v>30</v>
      </c>
      <c r="G91" s="29">
        <v>1</v>
      </c>
      <c r="H91" s="29">
        <v>2947325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2">
      <c r="B92" s="135">
        <v>36061876</v>
      </c>
      <c r="C92" s="136">
        <f>SUMPRODUCT(D2:H2,D92:H92)+C2</f>
        <v>37219584.875576518</v>
      </c>
      <c r="D92" s="29">
        <v>83.599998474121094</v>
      </c>
      <c r="E92" s="29">
        <v>30</v>
      </c>
      <c r="F92" s="29">
        <v>31</v>
      </c>
      <c r="G92" s="29">
        <v>1</v>
      </c>
      <c r="H92" s="29">
        <v>2966526.75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2">
      <c r="B93" s="135">
        <v>39000368</v>
      </c>
      <c r="C93" s="136">
        <f>SUMPRODUCT(D2:H2,D93:H93)+C2</f>
        <v>38875915.436028004</v>
      </c>
      <c r="D93" s="29">
        <v>21.200000762939453</v>
      </c>
      <c r="E93" s="29">
        <v>47.799999237060547</v>
      </c>
      <c r="F93" s="29">
        <v>30</v>
      </c>
      <c r="G93" s="29">
        <v>0</v>
      </c>
      <c r="H93" s="29">
        <v>2985728.75</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2">
      <c r="B94" s="135">
        <v>50076316</v>
      </c>
      <c r="C94" s="136">
        <f>SUMPRODUCT(D2:H2,D94:H94)+C2</f>
        <v>48616034.318929791</v>
      </c>
      <c r="D94" s="29">
        <v>0</v>
      </c>
      <c r="E94" s="29">
        <v>137.5</v>
      </c>
      <c r="F94" s="29">
        <v>31</v>
      </c>
      <c r="G94" s="29">
        <v>0</v>
      </c>
      <c r="H94" s="29">
        <v>3004930.5</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2">
      <c r="B95" s="135">
        <v>49158088</v>
      </c>
      <c r="C95" s="136">
        <f>SUMPRODUCT(D2:H2,D95:H95)+C2</f>
        <v>47252972.935260102</v>
      </c>
      <c r="D95" s="29">
        <v>1.6000000238418579</v>
      </c>
      <c r="E95" s="29">
        <v>124</v>
      </c>
      <c r="F95" s="29">
        <v>31</v>
      </c>
      <c r="G95" s="29">
        <v>0</v>
      </c>
      <c r="H95" s="29">
        <v>3024132.25</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2">
      <c r="B96" s="135">
        <v>41496540</v>
      </c>
      <c r="C96" s="136">
        <f>SUMPRODUCT(D2:H2,D96:H96)+C2</f>
        <v>39711699.788764648</v>
      </c>
      <c r="D96" s="29">
        <v>57.900001525878906</v>
      </c>
      <c r="E96" s="29">
        <v>69.300003051757813</v>
      </c>
      <c r="F96" s="29">
        <v>30</v>
      </c>
      <c r="G96" s="29">
        <v>1</v>
      </c>
      <c r="H96" s="29">
        <v>3043334.25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2">
      <c r="B97" s="135">
        <v>37763352</v>
      </c>
      <c r="C97" s="136">
        <f>SUMPRODUCT(D2:H2,D97:H97)+C2</f>
        <v>37724050.421707891</v>
      </c>
      <c r="D97" s="29">
        <v>258.20001220703125</v>
      </c>
      <c r="E97" s="29">
        <v>11.100000381469727</v>
      </c>
      <c r="F97" s="29">
        <v>31</v>
      </c>
      <c r="G97" s="29">
        <v>1</v>
      </c>
      <c r="H97" s="29">
        <v>3062536</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2">
      <c r="B98" s="135">
        <v>40051456</v>
      </c>
      <c r="C98" s="136">
        <f>SUMPRODUCT(D2:H2,D98:H98)+C2</f>
        <v>38776453.904595695</v>
      </c>
      <c r="D98" s="29">
        <v>479.79998779296875</v>
      </c>
      <c r="E98" s="29">
        <v>0</v>
      </c>
      <c r="F98" s="29">
        <v>30</v>
      </c>
      <c r="G98" s="29">
        <v>1</v>
      </c>
      <c r="H98" s="29">
        <v>3081738</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25">
      <c r="B99" s="135">
        <v>42019276</v>
      </c>
      <c r="C99" s="136">
        <f>SUMPRODUCT(D2:H2,D99:H99)+C2</f>
        <v>42585514.354509056</v>
      </c>
      <c r="D99" s="29">
        <v>550.4000244140625</v>
      </c>
      <c r="E99" s="29">
        <v>0</v>
      </c>
      <c r="F99" s="29">
        <v>31</v>
      </c>
      <c r="G99" s="29">
        <v>0</v>
      </c>
      <c r="H99" s="29">
        <v>3100939.75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2">
      <c r="B100" s="415">
        <v>46678584</v>
      </c>
      <c r="C100" s="136">
        <f>SUMPRODUCT(D2:H2,D100:H100)+C2</f>
        <v>45129425.706548288</v>
      </c>
      <c r="D100" s="29">
        <v>726.29998779296875</v>
      </c>
      <c r="E100" s="29">
        <v>0</v>
      </c>
      <c r="F100" s="29">
        <v>31</v>
      </c>
      <c r="G100" s="29">
        <v>0</v>
      </c>
      <c r="H100" s="29">
        <v>3103377.5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2">
      <c r="B101" s="135">
        <v>41194468</v>
      </c>
      <c r="C101" s="136">
        <f>SUMPRODUCT(D2:H2,D101:H101)+C2</f>
        <v>40084475.14828895</v>
      </c>
      <c r="D101" s="29">
        <v>587.79998779296875</v>
      </c>
      <c r="E101" s="29">
        <v>0</v>
      </c>
      <c r="F101" s="29">
        <v>28</v>
      </c>
      <c r="G101" s="29">
        <v>0</v>
      </c>
      <c r="H101" s="29">
        <v>3105815.25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2">
      <c r="B102" s="135">
        <v>42090500</v>
      </c>
      <c r="C102" s="136">
        <f>SUMPRODUCT(D2:H2,D102:H102)+C2</f>
        <v>41468321.689270049</v>
      </c>
      <c r="D102" s="29">
        <v>598</v>
      </c>
      <c r="E102" s="29">
        <v>0</v>
      </c>
      <c r="F102" s="29">
        <v>31</v>
      </c>
      <c r="G102" s="29">
        <v>1</v>
      </c>
      <c r="H102" s="29">
        <v>3108253.25</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2">
      <c r="B103" s="135">
        <v>36539752</v>
      </c>
      <c r="C103" s="136">
        <f>SUMPRODUCT(D2:H2,D103:H103)+C2</f>
        <v>36632192.32750205</v>
      </c>
      <c r="D103" s="29">
        <v>334.10000610351563</v>
      </c>
      <c r="E103" s="29">
        <v>0</v>
      </c>
      <c r="F103" s="29">
        <v>30</v>
      </c>
      <c r="G103" s="29">
        <v>1</v>
      </c>
      <c r="H103" s="29">
        <v>3110691</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2">
      <c r="B104" s="135">
        <v>35532004</v>
      </c>
      <c r="C104" s="136">
        <f>SUMPRODUCT(D2:H2,D104:H104)+C2</f>
        <v>35500859.278940223</v>
      </c>
      <c r="D104" s="29">
        <v>173.69999694824219</v>
      </c>
      <c r="E104" s="29">
        <v>1.7999999523162842</v>
      </c>
      <c r="F104" s="29">
        <v>31</v>
      </c>
      <c r="G104" s="29">
        <v>1</v>
      </c>
      <c r="H104" s="29">
        <v>3113128.75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2">
      <c r="B105" s="135">
        <v>37150892</v>
      </c>
      <c r="C105" s="136">
        <f>SUMPRODUCT(D2:H2,D105:H105)+C2</f>
        <v>37284215.7809292</v>
      </c>
      <c r="D105" s="29">
        <v>33.599998474121094</v>
      </c>
      <c r="E105" s="29">
        <v>31.799999237060547</v>
      </c>
      <c r="F105" s="29">
        <v>30</v>
      </c>
      <c r="G105" s="29">
        <v>0</v>
      </c>
      <c r="H105" s="29">
        <v>3115566.5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2">
      <c r="B106" s="135">
        <v>49164276</v>
      </c>
      <c r="C106" s="136">
        <f>SUMPRODUCT(D2:H2,D106:H106)+C2</f>
        <v>49116721.523291208</v>
      </c>
      <c r="D106" s="29">
        <v>0</v>
      </c>
      <c r="E106" s="29">
        <v>143.80000305175781</v>
      </c>
      <c r="F106" s="29">
        <v>31</v>
      </c>
      <c r="G106" s="29">
        <v>0</v>
      </c>
      <c r="H106" s="29">
        <v>3118004.25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2">
      <c r="B107" s="135">
        <v>45907060</v>
      </c>
      <c r="C107" s="136">
        <f>SUMPRODUCT(D2:H2,D107:H107)+C2</f>
        <v>42334007.202419542</v>
      </c>
      <c r="D107" s="29">
        <v>4.5999999046325684</v>
      </c>
      <c r="E107" s="29">
        <v>76</v>
      </c>
      <c r="F107" s="29">
        <v>31</v>
      </c>
      <c r="G107" s="29">
        <v>0</v>
      </c>
      <c r="H107" s="29">
        <v>3120442</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2">
      <c r="B108" s="135">
        <v>37534148</v>
      </c>
      <c r="C108" s="136">
        <f>SUMPRODUCT(D2:H2,D108:H108)+C2</f>
        <v>33414881.958269831</v>
      </c>
      <c r="D108" s="29">
        <v>32</v>
      </c>
      <c r="E108" s="29">
        <v>11.600000381469727</v>
      </c>
      <c r="F108" s="29">
        <v>30</v>
      </c>
      <c r="G108" s="29">
        <v>1</v>
      </c>
      <c r="H108" s="29">
        <v>3122879.75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2">
      <c r="B109" s="135">
        <v>36176532</v>
      </c>
      <c r="C109" s="136">
        <f>SUMPRODUCT(D2:H2,D109:H109)+C2</f>
        <v>36381713.984225936</v>
      </c>
      <c r="D109" s="29">
        <v>220.89999389648438</v>
      </c>
      <c r="E109" s="29">
        <v>3.9000000953674316</v>
      </c>
      <c r="F109" s="29">
        <v>31</v>
      </c>
      <c r="G109" s="29">
        <v>1</v>
      </c>
      <c r="H109" s="29">
        <v>3125317.5</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2">
      <c r="B110" s="135">
        <v>39737440</v>
      </c>
      <c r="C110" s="136">
        <f>SUMPRODUCT(D2:H2,D110:H110)+C2</f>
        <v>39052883.396440752</v>
      </c>
      <c r="D110" s="29">
        <v>502.70001220703125</v>
      </c>
      <c r="E110" s="29">
        <v>0</v>
      </c>
      <c r="F110" s="29">
        <v>30</v>
      </c>
      <c r="G110" s="29">
        <v>1</v>
      </c>
      <c r="H110" s="29">
        <v>3127755.25</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2">
      <c r="B111" s="135">
        <v>42323844</v>
      </c>
      <c r="C111" s="136">
        <f>SUMPRODUCT(D2:H2,D111:H111)+C2</f>
        <v>42756062.920532592</v>
      </c>
      <c r="D111" s="29">
        <v>564.5999755859375</v>
      </c>
      <c r="E111" s="29">
        <v>0</v>
      </c>
      <c r="F111" s="29">
        <v>31</v>
      </c>
      <c r="G111" s="29">
        <v>0</v>
      </c>
      <c r="H111" s="29">
        <v>3130193</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2">
      <c r="B112" s="135">
        <v>43498988</v>
      </c>
      <c r="C112" s="136">
        <f>SUMPRODUCT(D2:H2,D112:H112)+C2</f>
        <v>42784404.82526926</v>
      </c>
      <c r="D112" s="29">
        <v>566.4000244140625</v>
      </c>
      <c r="E112" s="29">
        <v>0</v>
      </c>
      <c r="F112" s="29">
        <v>31</v>
      </c>
      <c r="G112" s="29">
        <v>0</v>
      </c>
      <c r="H112" s="29">
        <v>3128290.75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2">
      <c r="B113" s="135">
        <v>40767224</v>
      </c>
      <c r="C113" s="136">
        <f>SUMPRODUCT(D2:H2,D113:H113)+C2</f>
        <v>40046793.954136454</v>
      </c>
      <c r="D113" s="29">
        <v>586.9000244140625</v>
      </c>
      <c r="E113" s="29">
        <v>0</v>
      </c>
      <c r="F113" s="29">
        <v>28</v>
      </c>
      <c r="G113" s="29">
        <v>0</v>
      </c>
      <c r="H113" s="29">
        <v>3126388.75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2">
      <c r="B114" s="135">
        <v>39452644</v>
      </c>
      <c r="C114" s="136">
        <f>SUMPRODUCT(D2:H2,D114:H114)+C2</f>
        <v>39071441.169158496</v>
      </c>
      <c r="D114" s="29">
        <v>433.79998779296875</v>
      </c>
      <c r="E114" s="29">
        <v>0</v>
      </c>
      <c r="F114" s="29">
        <v>31</v>
      </c>
      <c r="G114" s="29">
        <v>1</v>
      </c>
      <c r="H114" s="29">
        <v>3124486.5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2">
      <c r="B115" s="135">
        <v>34488964</v>
      </c>
      <c r="C115" s="136">
        <f>SUMPRODUCT(D2:H2,D115:H115)+C2</f>
        <v>37179721.652223445</v>
      </c>
      <c r="D115" s="29">
        <v>372.89999389648438</v>
      </c>
      <c r="E115" s="29">
        <v>0</v>
      </c>
      <c r="F115" s="29">
        <v>30</v>
      </c>
      <c r="G115" s="29">
        <v>1</v>
      </c>
      <c r="H115" s="29">
        <v>3122584.5</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2">
      <c r="B116" s="135">
        <v>35010608</v>
      </c>
      <c r="C116" s="136">
        <f>SUMPRODUCT(D2:H2,D116:H116)+C2</f>
        <v>38107550.787589379</v>
      </c>
      <c r="D116" s="29">
        <v>207.89999389648438</v>
      </c>
      <c r="E116" s="29">
        <v>22.799999237060547</v>
      </c>
      <c r="F116" s="29">
        <v>31</v>
      </c>
      <c r="G116" s="29">
        <v>1</v>
      </c>
      <c r="H116" s="29">
        <v>3120682.5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2">
      <c r="B117" s="135">
        <v>39038300</v>
      </c>
      <c r="C117" s="136">
        <f>SUMPRODUCT(D2:H2,D117:H117)+C2</f>
        <v>41423076.131212182</v>
      </c>
      <c r="D117" s="29">
        <v>27.5</v>
      </c>
      <c r="E117" s="29">
        <v>73.699996948242188</v>
      </c>
      <c r="F117" s="29">
        <v>30</v>
      </c>
      <c r="G117" s="29">
        <v>0</v>
      </c>
      <c r="H117" s="29">
        <v>3118780.25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2">
      <c r="B118" s="135">
        <v>51707560</v>
      </c>
      <c r="C118" s="136">
        <f>SUMPRODUCT(D2:H2,D118:H118)+C2</f>
        <v>51612258.856076844</v>
      </c>
      <c r="D118" s="29">
        <v>0</v>
      </c>
      <c r="E118" s="29">
        <v>168.5</v>
      </c>
      <c r="F118" s="29">
        <v>31</v>
      </c>
      <c r="G118" s="29">
        <v>0</v>
      </c>
      <c r="H118" s="29">
        <v>3116878.25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2">
      <c r="B119" s="135">
        <v>46254924</v>
      </c>
      <c r="C119" s="136">
        <f>SUMPRODUCT(D2:H2,D119:H119)+C2</f>
        <v>44276313.803177424</v>
      </c>
      <c r="D119" s="29">
        <v>1.6000000238418579</v>
      </c>
      <c r="E119" s="29">
        <v>95.599998474121094</v>
      </c>
      <c r="F119" s="29">
        <v>31</v>
      </c>
      <c r="G119" s="29">
        <v>0</v>
      </c>
      <c r="H119" s="29">
        <v>3114976</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2">
      <c r="B120" s="135">
        <v>36708176</v>
      </c>
      <c r="C120" s="136">
        <f>SUMPRODUCT(D2:H2,D120:H120)+C2</f>
        <v>35240777.854716614</v>
      </c>
      <c r="D120" s="29">
        <v>75</v>
      </c>
      <c r="E120" s="29">
        <v>23.399999618530273</v>
      </c>
      <c r="F120" s="29">
        <v>30</v>
      </c>
      <c r="G120" s="29">
        <v>1</v>
      </c>
      <c r="H120" s="29">
        <v>3113074</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2">
      <c r="B121" s="135">
        <v>35798052</v>
      </c>
      <c r="C121" s="136">
        <f>SUMPRODUCT(D2:H2,D121:H121)+C2</f>
        <v>36462376.177973844</v>
      </c>
      <c r="D121" s="29">
        <v>252.5</v>
      </c>
      <c r="E121" s="29">
        <v>0</v>
      </c>
      <c r="F121" s="29">
        <v>31</v>
      </c>
      <c r="G121" s="29">
        <v>1</v>
      </c>
      <c r="H121" s="29">
        <v>3111171.75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2">
      <c r="B122" s="135">
        <v>36898344</v>
      </c>
      <c r="C122" s="136">
        <f>SUMPRODUCT(D2:H2,D122:H122)+C2</f>
        <v>36562948.878965348</v>
      </c>
      <c r="D122" s="29">
        <v>329.20001220703125</v>
      </c>
      <c r="E122" s="29">
        <v>0</v>
      </c>
      <c r="F122" s="29">
        <v>30</v>
      </c>
      <c r="G122" s="29">
        <v>1</v>
      </c>
      <c r="H122" s="29">
        <v>3109269.75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2">
      <c r="B123" s="135">
        <v>42870244</v>
      </c>
      <c r="C123" s="136">
        <f>SUMPRODUCT(D2:H2,D123:H123)+C2</f>
        <v>42433024.08466471</v>
      </c>
      <c r="D123" s="29">
        <v>540.4000244140625</v>
      </c>
      <c r="E123" s="29">
        <v>0</v>
      </c>
      <c r="F123" s="29">
        <v>31</v>
      </c>
      <c r="G123" s="29">
        <v>0</v>
      </c>
      <c r="H123" s="29">
        <v>3107367.5</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x14ac:dyDescent="0.2">
      <c r="B124" s="135"/>
      <c r="C124" s="456">
        <f>SUMPRODUCT(D2:H2,D124:H124)+C2</f>
        <v>44524729.484498046</v>
      </c>
      <c r="D124" s="455">
        <f>AVERAGE(D4,D16,D28,D40,D52,D64,D76,D88,D100,D112)</f>
        <v>684.2400024414062</v>
      </c>
      <c r="E124" s="455">
        <f>AVERAGE(E4,E16,E28,E40,E52,E64,E76,E88,E100,E112)</f>
        <v>0</v>
      </c>
      <c r="F124" s="455">
        <f>AVERAGE(F4,F16,F28,F40,F52,F64,F76,F88,F100,F112)</f>
        <v>31</v>
      </c>
      <c r="G124" s="455">
        <f>AVERAGE(G4,G16,G28,G40,G52,G64,G76,G88,G100,G112)</f>
        <v>0</v>
      </c>
      <c r="H124" s="455">
        <v>3099801.4736091159</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x14ac:dyDescent="0.2">
      <c r="B125" s="135"/>
      <c r="C125" s="456">
        <f>SUMPRODUCT(D2:H2,D125:H125)+C2</f>
        <v>40601859.953425549</v>
      </c>
      <c r="D125" s="455">
        <f t="shared" ref="D125:G147" si="0">AVERAGE(D5,D17,D29,D41,D53,D65,D77,D89,D101,D113)</f>
        <v>622.40999755859377</v>
      </c>
      <c r="E125" s="455">
        <f t="shared" si="0"/>
        <v>0</v>
      </c>
      <c r="F125" s="455">
        <f t="shared" si="0"/>
        <v>28</v>
      </c>
      <c r="G125" s="455">
        <f t="shared" si="0"/>
        <v>0</v>
      </c>
      <c r="H125" s="455">
        <v>3092235.4227750828</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x14ac:dyDescent="0.2">
      <c r="B126" s="135"/>
      <c r="C126" s="456">
        <f>SUMPRODUCT(D2:H2,D126:H126)+C2</f>
        <v>40657818.55734545</v>
      </c>
      <c r="D126" s="455">
        <f t="shared" si="0"/>
        <v>540.06999511718755</v>
      </c>
      <c r="E126" s="455">
        <f t="shared" si="0"/>
        <v>0</v>
      </c>
      <c r="F126" s="455">
        <f t="shared" si="0"/>
        <v>31</v>
      </c>
      <c r="G126" s="455">
        <f t="shared" si="0"/>
        <v>1</v>
      </c>
      <c r="H126" s="455">
        <v>3084669.3719410496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x14ac:dyDescent="0.2">
      <c r="B127" s="135"/>
      <c r="C127" s="456">
        <f>SUMPRODUCT(D2:H2,D127:H127)+C2</f>
        <v>36860917.552175499</v>
      </c>
      <c r="D127" s="455">
        <f t="shared" si="0"/>
        <v>346.4899963378906</v>
      </c>
      <c r="E127" s="455">
        <f t="shared" si="0"/>
        <v>9.0000000596046445E-2</v>
      </c>
      <c r="F127" s="455">
        <f t="shared" si="0"/>
        <v>30</v>
      </c>
      <c r="G127" s="455">
        <f t="shared" si="0"/>
        <v>1</v>
      </c>
      <c r="H127" s="455">
        <v>3077103.3211070164</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x14ac:dyDescent="0.2">
      <c r="B128" s="135"/>
      <c r="C128" s="456">
        <f>SUMPRODUCT(D2:H2,D128:H128)+C2</f>
        <v>36787419.928040273</v>
      </c>
      <c r="D128" s="455">
        <f t="shared" si="0"/>
        <v>137.17999954223632</v>
      </c>
      <c r="E128" s="455">
        <f t="shared" si="0"/>
        <v>19.260000014305113</v>
      </c>
      <c r="F128" s="455">
        <f t="shared" si="0"/>
        <v>31</v>
      </c>
      <c r="G128" s="455">
        <f t="shared" si="0"/>
        <v>1</v>
      </c>
      <c r="H128" s="455">
        <v>3069537.2702729832</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x14ac:dyDescent="0.2">
      <c r="B129" s="135"/>
      <c r="C129" s="456">
        <f>SUMPRODUCT(D2:H2,D129:H129)+C2</f>
        <v>39314587.680737793</v>
      </c>
      <c r="D129" s="455">
        <f t="shared" si="0"/>
        <v>29.839999961853028</v>
      </c>
      <c r="E129" s="455">
        <f t="shared" si="0"/>
        <v>51.809999656677249</v>
      </c>
      <c r="F129" s="455">
        <f t="shared" si="0"/>
        <v>30</v>
      </c>
      <c r="G129" s="455">
        <f t="shared" si="0"/>
        <v>0</v>
      </c>
      <c r="H129" s="455">
        <v>3061971.2194389501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x14ac:dyDescent="0.2">
      <c r="B130" s="135"/>
      <c r="C130" s="456">
        <f>SUMPRODUCT(D2:H2,D130:H130)+C2</f>
        <v>47207538.419521697</v>
      </c>
      <c r="D130" s="455">
        <f t="shared" si="0"/>
        <v>2.9199999764561655</v>
      </c>
      <c r="E130" s="455">
        <f t="shared" si="0"/>
        <v>123.71999969482422</v>
      </c>
      <c r="F130" s="455">
        <f t="shared" si="0"/>
        <v>31</v>
      </c>
      <c r="G130" s="455">
        <f t="shared" si="0"/>
        <v>0</v>
      </c>
      <c r="H130" s="455">
        <v>3054405.1686049169</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x14ac:dyDescent="0.2">
      <c r="B131" s="135"/>
      <c r="C131" s="456">
        <f>SUMPRODUCT(D2:H2,D131:H131)+C2</f>
        <v>43906774.927176103</v>
      </c>
      <c r="D131" s="455">
        <f t="shared" si="0"/>
        <v>8.0300001002848145</v>
      </c>
      <c r="E131" s="455">
        <f t="shared" si="0"/>
        <v>90.210000228881839</v>
      </c>
      <c r="F131" s="455">
        <f t="shared" si="0"/>
        <v>31</v>
      </c>
      <c r="G131" s="455">
        <f t="shared" si="0"/>
        <v>0</v>
      </c>
      <c r="H131" s="455">
        <v>3046839.1177708837</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x14ac:dyDescent="0.2">
      <c r="B132" s="135"/>
      <c r="C132" s="456">
        <f>SUMPRODUCT(D2:H2,D132:H132)+C2</f>
        <v>36491756.053349093</v>
      </c>
      <c r="D132" s="455">
        <f t="shared" si="0"/>
        <v>64.000000381469732</v>
      </c>
      <c r="E132" s="455">
        <f t="shared" si="0"/>
        <v>36.490000152587889</v>
      </c>
      <c r="F132" s="455">
        <f t="shared" si="0"/>
        <v>30</v>
      </c>
      <c r="G132" s="455">
        <f t="shared" si="0"/>
        <v>1</v>
      </c>
      <c r="H132" s="455">
        <v>3039273.0669368505</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x14ac:dyDescent="0.2">
      <c r="B133" s="135"/>
      <c r="C133" s="456">
        <f>SUMPRODUCT(D2:H2,D133:H133)+C2</f>
        <v>36527927.665912218</v>
      </c>
      <c r="D133" s="455">
        <f t="shared" si="0"/>
        <v>223.74000091552733</v>
      </c>
      <c r="E133" s="455">
        <f t="shared" si="0"/>
        <v>3.8300000369548797</v>
      </c>
      <c r="F133" s="455">
        <f t="shared" si="0"/>
        <v>31</v>
      </c>
      <c r="G133" s="455">
        <f t="shared" si="0"/>
        <v>1</v>
      </c>
      <c r="H133" s="455">
        <v>3031707.0161028174</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x14ac:dyDescent="0.2">
      <c r="B134" s="135"/>
      <c r="C134" s="456">
        <f>SUMPRODUCT(D2:H2,D134:H134)+C2</f>
        <v>37856559.074874729</v>
      </c>
      <c r="D134" s="455">
        <f t="shared" si="0"/>
        <v>411.5000030517578</v>
      </c>
      <c r="E134" s="455">
        <f t="shared" si="0"/>
        <v>0</v>
      </c>
      <c r="F134" s="455">
        <f t="shared" si="0"/>
        <v>30</v>
      </c>
      <c r="G134" s="455">
        <f t="shared" si="0"/>
        <v>1</v>
      </c>
      <c r="H134" s="455">
        <v>3024140.9652687842</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x14ac:dyDescent="0.2">
      <c r="B135" s="135"/>
      <c r="C135" s="456">
        <f>SUMPRODUCT(D2:H2,D135:H135)+C2</f>
        <v>42796927.239161119</v>
      </c>
      <c r="D135" s="455">
        <f t="shared" si="0"/>
        <v>558.02000427246094</v>
      </c>
      <c r="E135" s="455">
        <f t="shared" si="0"/>
        <v>0</v>
      </c>
      <c r="F135" s="455">
        <f t="shared" si="0"/>
        <v>31</v>
      </c>
      <c r="G135" s="455">
        <f t="shared" si="0"/>
        <v>0</v>
      </c>
      <c r="H135" s="455">
        <v>3016574.914434751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x14ac:dyDescent="0.2">
      <c r="B136" s="135"/>
      <c r="C136" s="456">
        <f>SUMPRODUCT(D2:H2,D136:H136)+C2</f>
        <v>44472212.020587049</v>
      </c>
      <c r="D136" s="455">
        <f t="shared" si="0"/>
        <v>673.20400512695312</v>
      </c>
      <c r="E136" s="455">
        <f t="shared" si="0"/>
        <v>0</v>
      </c>
      <c r="F136" s="455">
        <f t="shared" si="0"/>
        <v>31</v>
      </c>
      <c r="G136" s="455">
        <f t="shared" si="0"/>
        <v>0</v>
      </c>
      <c r="H136" s="455">
        <v>3010272.9139861898</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x14ac:dyDescent="0.2">
      <c r="B137" s="135"/>
      <c r="C137" s="456">
        <f>SUMPRODUCT(D2:H2,D137:H137)+C2</f>
        <v>40674474.557216547</v>
      </c>
      <c r="D137" s="455">
        <f t="shared" si="0"/>
        <v>620.12099853515633</v>
      </c>
      <c r="E137" s="455">
        <f t="shared" si="0"/>
        <v>0</v>
      </c>
      <c r="F137" s="455">
        <f t="shared" si="0"/>
        <v>28</v>
      </c>
      <c r="G137" s="455">
        <f t="shared" si="0"/>
        <v>0</v>
      </c>
      <c r="H137" s="455">
        <v>3003970.9135376285</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x14ac:dyDescent="0.2">
      <c r="B138" s="135"/>
      <c r="C138" s="456">
        <f>SUMPRODUCT(D2:H2,D138:H138)+C2</f>
        <v>40720752.535031103</v>
      </c>
      <c r="D138" s="455">
        <f t="shared" si="0"/>
        <v>537.21699707031246</v>
      </c>
      <c r="E138" s="455">
        <f t="shared" si="0"/>
        <v>0</v>
      </c>
      <c r="F138" s="455">
        <f t="shared" si="0"/>
        <v>31</v>
      </c>
      <c r="G138" s="455">
        <f t="shared" si="0"/>
        <v>1</v>
      </c>
      <c r="H138" s="455">
        <v>2997668.9130890672</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x14ac:dyDescent="0.2">
      <c r="B139" s="135"/>
      <c r="C139" s="456">
        <f>SUMPRODUCT(D2:H2,D139:H139)+C2</f>
        <v>36991774.670414977</v>
      </c>
      <c r="D139" s="455">
        <f t="shared" si="0"/>
        <v>348.64899658203126</v>
      </c>
      <c r="E139" s="455">
        <f t="shared" si="0"/>
        <v>5.9000000059604638E-2</v>
      </c>
      <c r="F139" s="455">
        <f t="shared" si="0"/>
        <v>30</v>
      </c>
      <c r="G139" s="455">
        <f t="shared" si="0"/>
        <v>1</v>
      </c>
      <c r="H139" s="455">
        <v>2991366.9126405059</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x14ac:dyDescent="0.2">
      <c r="B140" s="135"/>
      <c r="C140" s="456">
        <f>SUMPRODUCT(D2:H2,D140:H140)+C2</f>
        <v>36958603.473980919</v>
      </c>
      <c r="D140" s="455">
        <f t="shared" si="0"/>
        <v>137.29799949645997</v>
      </c>
      <c r="E140" s="455">
        <f t="shared" si="0"/>
        <v>19.936000015735626</v>
      </c>
      <c r="F140" s="455">
        <f t="shared" si="0"/>
        <v>31</v>
      </c>
      <c r="G140" s="455">
        <f t="shared" si="0"/>
        <v>1</v>
      </c>
      <c r="H140" s="455">
        <v>2985064.9121919447</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x14ac:dyDescent="0.2">
      <c r="B141" s="135"/>
      <c r="C141" s="456">
        <f>SUMPRODUCT(D2:H2,D141:H141)+C2</f>
        <v>39541861.01679571</v>
      </c>
      <c r="D141" s="455">
        <f t="shared" si="0"/>
        <v>30.553999881744385</v>
      </c>
      <c r="E141" s="455">
        <f t="shared" si="0"/>
        <v>52.970999546051033</v>
      </c>
      <c r="F141" s="455">
        <f t="shared" si="0"/>
        <v>30</v>
      </c>
      <c r="G141" s="455">
        <f t="shared" si="0"/>
        <v>0</v>
      </c>
      <c r="H141" s="455">
        <v>2978762.9117433834</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x14ac:dyDescent="0.2">
      <c r="B142" s="135"/>
      <c r="C142" s="456">
        <f>SUMPRODUCT(D2:H2,D142:H142)+C2</f>
        <v>46957444.760243714</v>
      </c>
      <c r="D142" s="455">
        <f t="shared" si="0"/>
        <v>3.1919999738037586</v>
      </c>
      <c r="E142" s="455">
        <f t="shared" si="0"/>
        <v>120.23199905395509</v>
      </c>
      <c r="F142" s="455">
        <f t="shared" si="0"/>
        <v>31</v>
      </c>
      <c r="G142" s="455">
        <f t="shared" si="0"/>
        <v>0</v>
      </c>
      <c r="H142" s="455">
        <v>2972460.9112948221</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x14ac:dyDescent="0.2">
      <c r="B143" s="135"/>
      <c r="C143" s="456">
        <f>SUMPRODUCT(D2:H2,D143:H143)+C2</f>
        <v>44023372.535746224</v>
      </c>
      <c r="D143" s="455">
        <f t="shared" si="0"/>
        <v>8.4230001198500393</v>
      </c>
      <c r="E143" s="455">
        <f t="shared" si="0"/>
        <v>90.350999946594243</v>
      </c>
      <c r="F143" s="455">
        <f t="shared" si="0"/>
        <v>31</v>
      </c>
      <c r="G143" s="455">
        <f t="shared" si="0"/>
        <v>0</v>
      </c>
      <c r="H143" s="455">
        <v>2966158.9108462608</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x14ac:dyDescent="0.2">
      <c r="B144" s="135"/>
      <c r="C144" s="456">
        <f>SUMPRODUCT(D2:H2,D144:H144)+C2</f>
        <v>36669802.419872984</v>
      </c>
      <c r="D144" s="455">
        <f t="shared" si="0"/>
        <v>64.850000419616691</v>
      </c>
      <c r="E144" s="455">
        <f t="shared" si="0"/>
        <v>37.189000167846679</v>
      </c>
      <c r="F144" s="455">
        <f t="shared" si="0"/>
        <v>30</v>
      </c>
      <c r="G144" s="455">
        <f t="shared" si="0"/>
        <v>1</v>
      </c>
      <c r="H144" s="455">
        <v>2959856.9103976996</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x14ac:dyDescent="0.2">
      <c r="B145" s="135"/>
      <c r="C145" s="456">
        <f>SUMPRODUCT(D2:H2,D145:H145)+C2</f>
        <v>36638437.801321425</v>
      </c>
      <c r="D145" s="455">
        <f t="shared" si="0"/>
        <v>222.23400070190428</v>
      </c>
      <c r="E145" s="455">
        <f t="shared" si="0"/>
        <v>4.2130000406503676</v>
      </c>
      <c r="F145" s="455">
        <f t="shared" si="0"/>
        <v>31</v>
      </c>
      <c r="G145" s="455">
        <f t="shared" si="0"/>
        <v>1</v>
      </c>
      <c r="H145" s="455">
        <v>2953554.9099491383</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x14ac:dyDescent="0.2">
      <c r="B146" s="135"/>
      <c r="C146" s="456">
        <f>SUMPRODUCT(D2:H2,D146:H146)+C2</f>
        <v>38081166.398889333</v>
      </c>
      <c r="D146" s="455">
        <f t="shared" si="0"/>
        <v>420.65000335693355</v>
      </c>
      <c r="E146" s="455">
        <f t="shared" si="0"/>
        <v>0</v>
      </c>
      <c r="F146" s="455">
        <f t="shared" si="0"/>
        <v>30</v>
      </c>
      <c r="G146" s="455">
        <f t="shared" si="0"/>
        <v>1</v>
      </c>
      <c r="H146" s="455">
        <v>2947252.909500577</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x14ac:dyDescent="0.2">
      <c r="B147" s="135"/>
      <c r="C147" s="456">
        <f>SUMPRODUCT(D2:H2,D147:H147)+C2</f>
        <v>42954170.117691442</v>
      </c>
      <c r="D147" s="455">
        <f t="shared" si="0"/>
        <v>562.62200469970708</v>
      </c>
      <c r="E147" s="455">
        <f t="shared" si="0"/>
        <v>0</v>
      </c>
      <c r="F147" s="455">
        <f t="shared" si="0"/>
        <v>31</v>
      </c>
      <c r="G147" s="455">
        <f t="shared" si="0"/>
        <v>0</v>
      </c>
      <c r="H147" s="455">
        <v>2940950.9090520157</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
      <c r="B148" s="135"/>
      <c r="C148" s="136"/>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
      <c r="B149" s="135"/>
      <c r="C149" s="136"/>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
      <c r="B150" s="135"/>
      <c r="C150" s="136"/>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
      <c r="B151" s="135"/>
      <c r="C151" s="136"/>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
      <c r="B152" s="135"/>
      <c r="C152" s="136"/>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
      <c r="B153" s="135"/>
      <c r="C153" s="136"/>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
      <c r="B154" s="135"/>
      <c r="C154" s="136"/>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
      <c r="B155" s="135"/>
      <c r="C155" s="136"/>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
      <c r="B156" s="135"/>
      <c r="C156" s="136"/>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
      <c r="B157" s="135"/>
      <c r="C157" s="136"/>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
      <c r="B158" s="135"/>
      <c r="C158" s="136"/>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
      <c r="B159" s="135"/>
      <c r="C159" s="136"/>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
      <c r="B160" s="135"/>
      <c r="C160" s="136"/>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35"/>
      <c r="C161" s="136"/>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35"/>
      <c r="C162" s="136"/>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35"/>
      <c r="C163" s="136"/>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35"/>
      <c r="C164" s="136"/>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35"/>
      <c r="C165" s="136"/>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35"/>
      <c r="C166" s="136"/>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35"/>
      <c r="C167" s="136"/>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35"/>
      <c r="C168" s="136"/>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35"/>
      <c r="C169" s="136"/>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35"/>
      <c r="C170" s="136"/>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35"/>
      <c r="C171" s="136"/>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35"/>
      <c r="C172" s="136"/>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35"/>
      <c r="C173" s="136"/>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35"/>
      <c r="C174" s="136"/>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35"/>
      <c r="C175" s="136"/>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35"/>
      <c r="C176" s="136"/>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35"/>
      <c r="C177" s="136"/>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35"/>
      <c r="C178" s="136"/>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35"/>
      <c r="C179" s="136"/>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35"/>
      <c r="C180" s="136"/>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35"/>
      <c r="C181" s="136"/>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35"/>
      <c r="C182" s="136"/>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35"/>
      <c r="C183" s="136"/>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35"/>
      <c r="C184" s="136"/>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35"/>
      <c r="C185" s="136"/>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35"/>
      <c r="C186" s="136"/>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35"/>
      <c r="C187" s="136"/>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35"/>
      <c r="C188" s="136"/>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35"/>
      <c r="C189" s="136"/>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35"/>
      <c r="C190" s="136"/>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35"/>
      <c r="C191" s="136"/>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35"/>
      <c r="C192" s="136"/>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35"/>
      <c r="C193" s="136"/>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35"/>
      <c r="C194" s="136"/>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35"/>
      <c r="C195" s="136"/>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35"/>
      <c r="C196" s="136"/>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35"/>
      <c r="C197" s="136"/>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35"/>
      <c r="C198" s="136"/>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35"/>
      <c r="C199" s="136"/>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35"/>
      <c r="C200" s="136"/>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35"/>
      <c r="C201" s="136"/>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35"/>
      <c r="C202" s="136"/>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35"/>
      <c r="C203" s="136"/>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35"/>
      <c r="C204" s="136"/>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35"/>
      <c r="C205" s="136"/>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35"/>
      <c r="C206" s="136"/>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35"/>
      <c r="C207" s="136"/>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35"/>
      <c r="C208" s="136"/>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35"/>
      <c r="C209" s="136"/>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35"/>
      <c r="C210" s="136"/>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35"/>
      <c r="C211" s="136"/>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35"/>
      <c r="C212" s="136"/>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35"/>
      <c r="C213" s="136"/>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35"/>
      <c r="C214" s="136"/>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35"/>
      <c r="C215" s="136"/>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35"/>
      <c r="C216" s="136"/>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35"/>
      <c r="C217" s="136"/>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35"/>
      <c r="C218" s="136"/>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35"/>
      <c r="C219" s="136"/>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35"/>
      <c r="C220" s="136"/>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35"/>
      <c r="C221" s="136"/>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35"/>
      <c r="C222" s="136"/>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35"/>
      <c r="C223" s="136"/>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35"/>
      <c r="C224" s="136"/>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35"/>
      <c r="C225" s="136"/>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35"/>
      <c r="C226" s="136"/>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35"/>
      <c r="C227" s="136"/>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35"/>
      <c r="C228" s="136"/>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35"/>
      <c r="C229" s="136"/>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35"/>
      <c r="C230" s="136"/>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35"/>
      <c r="C231" s="136"/>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35"/>
      <c r="C232" s="136"/>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35"/>
      <c r="C233" s="136"/>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35"/>
      <c r="C234" s="136"/>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35"/>
      <c r="C235" s="136"/>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35"/>
      <c r="C236" s="136"/>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35"/>
      <c r="C237" s="136"/>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35"/>
      <c r="C238" s="136"/>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35"/>
      <c r="C239" s="136"/>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35"/>
      <c r="C240" s="136"/>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35"/>
      <c r="C241" s="136"/>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35"/>
      <c r="C242" s="136"/>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35"/>
      <c r="C243" s="136"/>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35"/>
      <c r="C244" s="136"/>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35"/>
      <c r="C245" s="136"/>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35"/>
      <c r="C246" s="136"/>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35"/>
      <c r="C247" s="136"/>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35"/>
      <c r="C248" s="136"/>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35"/>
      <c r="C249" s="136"/>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35"/>
      <c r="C250" s="136"/>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35"/>
      <c r="C251" s="136"/>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35"/>
      <c r="C252" s="136"/>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35"/>
      <c r="C253" s="136"/>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topLeftCell="A49" zoomScale="90" zoomScaleNormal="90" workbookViewId="0">
      <selection activeCell="C85" sqref="C85"/>
    </sheetView>
  </sheetViews>
  <sheetFormatPr defaultColWidth="11.1640625" defaultRowHeight="12.75" x14ac:dyDescent="0.2"/>
  <cols>
    <col min="1" max="6" width="19.33203125" style="145" customWidth="1"/>
    <col min="7" max="7" width="19.33203125" style="144" customWidth="1"/>
    <col min="8" max="8" width="4.33203125" style="163" customWidth="1"/>
    <col min="9" max="9" width="2.83203125" style="144" customWidth="1"/>
    <col min="10" max="10" width="4.33203125" style="144" customWidth="1"/>
    <col min="11" max="15" width="23.1640625" style="144" customWidth="1"/>
    <col min="16" max="16" width="23.1640625" style="163" customWidth="1"/>
    <col min="17" max="17" width="23.1640625" style="144" customWidth="1"/>
    <col min="18" max="18" width="21" style="144" bestFit="1" customWidth="1"/>
    <col min="19" max="19" width="30.6640625" style="144" bestFit="1" customWidth="1"/>
    <col min="20" max="20" width="27.83203125" style="144" bestFit="1" customWidth="1"/>
    <col min="21" max="21" width="8.5" style="144" bestFit="1" customWidth="1"/>
    <col min="22" max="22" width="18.83203125" style="144" bestFit="1" customWidth="1"/>
    <col min="23" max="23" width="15.33203125" style="144" bestFit="1" customWidth="1"/>
    <col min="24" max="25" width="11.6640625" style="144" customWidth="1"/>
    <col min="26" max="16384" width="11.1640625" style="144"/>
  </cols>
  <sheetData>
    <row r="1" spans="1:18" ht="17.25" customHeight="1" x14ac:dyDescent="0.2">
      <c r="A1" s="543" t="s">
        <v>113</v>
      </c>
      <c r="B1" s="544"/>
      <c r="C1" s="544"/>
      <c r="D1" s="544"/>
      <c r="E1" s="544"/>
      <c r="F1" s="544"/>
      <c r="G1" s="548"/>
      <c r="I1" s="234"/>
      <c r="K1" s="543" t="s">
        <v>114</v>
      </c>
      <c r="L1" s="544"/>
      <c r="M1" s="544"/>
      <c r="N1" s="544"/>
      <c r="O1" s="229"/>
      <c r="P1" s="229"/>
      <c r="Q1" s="229"/>
    </row>
    <row r="2" spans="1:18" ht="16.5" customHeight="1" thickBot="1" x14ac:dyDescent="0.25">
      <c r="A2" s="235"/>
      <c r="B2" s="235"/>
      <c r="C2" s="235"/>
      <c r="D2" s="235"/>
      <c r="E2" s="235"/>
      <c r="F2" s="235"/>
      <c r="G2" s="162"/>
      <c r="H2" s="149"/>
      <c r="I2" s="162"/>
      <c r="J2" s="162"/>
      <c r="K2" s="162"/>
      <c r="L2" s="162"/>
      <c r="M2" s="162"/>
      <c r="N2" s="162"/>
    </row>
    <row r="3" spans="1:18" ht="15.75" customHeight="1" x14ac:dyDescent="0.2">
      <c r="A3" s="545" t="str">
        <f>'Input - Customer Data'!A13</f>
        <v>Residential</v>
      </c>
      <c r="B3" s="546"/>
      <c r="C3" s="546"/>
      <c r="D3" s="546"/>
      <c r="E3" s="546"/>
      <c r="F3" s="546"/>
      <c r="G3" s="547"/>
      <c r="H3" s="168"/>
      <c r="I3" s="234"/>
      <c r="K3" s="545" t="str">
        <f>'Input - Customer Data'!A15</f>
        <v>General Service 50 to 4999 kW</v>
      </c>
      <c r="L3" s="546"/>
      <c r="M3" s="546"/>
      <c r="N3" s="547"/>
      <c r="P3" s="168"/>
    </row>
    <row r="4" spans="1:18" ht="25.5" x14ac:dyDescent="0.2">
      <c r="A4" s="403" t="s">
        <v>74</v>
      </c>
      <c r="B4" s="404" t="s">
        <v>122</v>
      </c>
      <c r="C4" s="404" t="s">
        <v>216</v>
      </c>
      <c r="D4" s="404" t="s">
        <v>98</v>
      </c>
      <c r="E4" s="404" t="s">
        <v>140</v>
      </c>
      <c r="F4" s="404" t="s">
        <v>258</v>
      </c>
      <c r="G4" s="405" t="s">
        <v>97</v>
      </c>
      <c r="H4" s="167"/>
      <c r="I4" s="234"/>
      <c r="K4" s="269" t="s">
        <v>74</v>
      </c>
      <c r="L4" s="399" t="s">
        <v>233</v>
      </c>
      <c r="M4" s="399" t="s">
        <v>262</v>
      </c>
      <c r="N4" s="399" t="s">
        <v>263</v>
      </c>
      <c r="O4" s="399" t="s">
        <v>234</v>
      </c>
      <c r="P4" s="268" t="s">
        <v>102</v>
      </c>
      <c r="R4" s="167"/>
    </row>
    <row r="5" spans="1:18" x14ac:dyDescent="0.2">
      <c r="A5" s="191">
        <f>'Input - Customer Data'!D6</f>
        <v>2011</v>
      </c>
      <c r="B5" s="195">
        <f>'Input - Customer Data'!D$66</f>
        <v>206782921.40000001</v>
      </c>
      <c r="C5" s="177">
        <f>SUM('Input - Adjustments &amp; Variables'!H5:H16)</f>
        <v>535686877.93999976</v>
      </c>
      <c r="D5" s="401">
        <f>B5/C5</f>
        <v>0.38601453557195586</v>
      </c>
      <c r="E5" s="177">
        <f>SUM(Forecast!C4:C15)</f>
        <v>519265785.74484187</v>
      </c>
      <c r="F5" s="177">
        <f t="shared" ref="F5:F17" si="0">E5*D5</f>
        <v>200444141.12270188</v>
      </c>
      <c r="G5" s="176">
        <f>F5/'Input - Customer Data'!E6</f>
        <v>7842.2559565993815</v>
      </c>
      <c r="H5" s="169"/>
      <c r="I5" s="234"/>
      <c r="K5" s="191">
        <f>'Input - Customer Data'!D6</f>
        <v>2011</v>
      </c>
      <c r="L5" s="177">
        <f>'Bridge&amp;Test Year Class Forecast'!B61</f>
        <v>214876814.13600001</v>
      </c>
      <c r="M5" s="195">
        <f>'Input - Customer Data'!D$75</f>
        <v>753237.76</v>
      </c>
      <c r="N5" s="177">
        <v>-120565.84</v>
      </c>
      <c r="O5" s="195">
        <f>M5+N5</f>
        <v>632671.92000000004</v>
      </c>
      <c r="P5" s="192">
        <f t="shared" ref="P5:P17" si="1">O5/L5</f>
        <v>2.944347078785191E-3</v>
      </c>
      <c r="R5" s="169"/>
    </row>
    <row r="6" spans="1:18" x14ac:dyDescent="0.2">
      <c r="A6" s="191">
        <f>'Input - Customer Data'!D7</f>
        <v>2012</v>
      </c>
      <c r="B6" s="195">
        <f>'Input - Customer Data'!E$66</f>
        <v>202637718.53299999</v>
      </c>
      <c r="C6" s="177">
        <f>SUM('Input - Adjustments &amp; Variables'!H17:H28)</f>
        <v>521011391.83000016</v>
      </c>
      <c r="D6" s="401">
        <f t="shared" ref="D6:D14" si="2">B6/C6</f>
        <v>0.38893145468711415</v>
      </c>
      <c r="E6" s="177">
        <f>SUM(Forecast!C16:C27)</f>
        <v>514361286.59219617</v>
      </c>
      <c r="F6" s="177">
        <f t="shared" si="0"/>
        <v>200051283.42903849</v>
      </c>
      <c r="G6" s="176">
        <f>F6/'Input - Customer Data'!E7</f>
        <v>7780.766342384135</v>
      </c>
      <c r="H6" s="169"/>
      <c r="I6" s="234"/>
      <c r="K6" s="191">
        <f>'Input - Customer Data'!D7</f>
        <v>2012</v>
      </c>
      <c r="L6" s="177">
        <f>'Bridge&amp;Test Year Class Forecast'!B62</f>
        <v>209735051.1925</v>
      </c>
      <c r="M6" s="195">
        <f>'Input - Customer Data'!E$75</f>
        <v>760470.64199999999</v>
      </c>
      <c r="N6" s="177">
        <v>-116608.58</v>
      </c>
      <c r="O6" s="195">
        <f t="shared" ref="O6:O14" si="3">M6+N6</f>
        <v>643862.06200000003</v>
      </c>
      <c r="P6" s="192">
        <f t="shared" si="1"/>
        <v>3.0698829706296807E-3</v>
      </c>
      <c r="R6" s="169"/>
    </row>
    <row r="7" spans="1:18" x14ac:dyDescent="0.2">
      <c r="A7" s="191">
        <f>'Input - Customer Data'!D8</f>
        <v>2013</v>
      </c>
      <c r="B7" s="195">
        <f>'Input - Customer Data'!F$66</f>
        <v>206257082.428</v>
      </c>
      <c r="C7" s="177">
        <f>SUM('Input - Adjustments &amp; Variables'!H29:H40)</f>
        <v>509774030.71999979</v>
      </c>
      <c r="D7" s="401">
        <f t="shared" si="2"/>
        <v>0.40460492296299311</v>
      </c>
      <c r="E7" s="177">
        <f>SUM(Forecast!C28:C39)</f>
        <v>518669018.32189274</v>
      </c>
      <c r="F7" s="177">
        <f t="shared" si="0"/>
        <v>209856038.20142066</v>
      </c>
      <c r="G7" s="176">
        <f>F7/'Input - Customer Data'!E8</f>
        <v>8134.6381104907005</v>
      </c>
      <c r="H7" s="169"/>
      <c r="I7" s="234"/>
      <c r="K7" s="191">
        <f>'Input - Customer Data'!D8</f>
        <v>2013</v>
      </c>
      <c r="L7" s="177">
        <f>'Bridge&amp;Test Year Class Forecast'!B63</f>
        <v>194627741.79700002</v>
      </c>
      <c r="M7" s="195">
        <f>'Input - Customer Data'!F$75</f>
        <v>689936.48</v>
      </c>
      <c r="N7" s="177">
        <v>-136769</v>
      </c>
      <c r="O7" s="195">
        <f t="shared" si="3"/>
        <v>553167.48</v>
      </c>
      <c r="P7" s="192">
        <f t="shared" si="1"/>
        <v>2.842182079967628E-3</v>
      </c>
      <c r="R7" s="169"/>
    </row>
    <row r="8" spans="1:18" x14ac:dyDescent="0.2">
      <c r="A8" s="191">
        <f>'Input - Customer Data'!D9</f>
        <v>2014</v>
      </c>
      <c r="B8" s="195">
        <f>'Input - Customer Data'!G$66</f>
        <v>202495777.38000003</v>
      </c>
      <c r="C8" s="177">
        <f>SUM('Input - Adjustments &amp; Variables'!H41:H52)</f>
        <v>504927925.73999989</v>
      </c>
      <c r="D8" s="401">
        <f t="shared" si="2"/>
        <v>0.40103897419266565</v>
      </c>
      <c r="E8" s="177">
        <f>SUM(Forecast!C40:C51)</f>
        <v>508838291.66616559</v>
      </c>
      <c r="F8" s="177">
        <f t="shared" si="0"/>
        <v>204063986.51974747</v>
      </c>
      <c r="G8" s="176">
        <f>F8/'Input - Customer Data'!E9</f>
        <v>7890.1392528530587</v>
      </c>
      <c r="H8" s="169"/>
      <c r="I8" s="234"/>
      <c r="K8" s="191">
        <f>'Input - Customer Data'!D9</f>
        <v>2014</v>
      </c>
      <c r="L8" s="177">
        <f>'Bridge&amp;Test Year Class Forecast'!B64</f>
        <v>195767695.11000001</v>
      </c>
      <c r="M8" s="195">
        <f>'Input - Customer Data'!G$75</f>
        <v>664361.51</v>
      </c>
      <c r="N8" s="177">
        <v>-91951.780000000013</v>
      </c>
      <c r="O8" s="195">
        <f t="shared" si="3"/>
        <v>572409.73</v>
      </c>
      <c r="P8" s="192">
        <f t="shared" si="1"/>
        <v>2.9239233249304403E-3</v>
      </c>
      <c r="R8" s="169"/>
    </row>
    <row r="9" spans="1:18" x14ac:dyDescent="0.2">
      <c r="A9" s="191">
        <f>'Input - Customer Data'!D10</f>
        <v>2015</v>
      </c>
      <c r="B9" s="195">
        <f>'Input - Customer Data'!H$66</f>
        <v>199739669.07999998</v>
      </c>
      <c r="C9" s="177">
        <f>SUM('Input - Adjustments &amp; Variables'!H53:H64)</f>
        <v>494324941.81999999</v>
      </c>
      <c r="D9" s="401">
        <f t="shared" si="2"/>
        <v>0.40406552893042524</v>
      </c>
      <c r="E9" s="177">
        <f>SUM(Forecast!C52:C63)</f>
        <v>502378987.60518181</v>
      </c>
      <c r="F9" s="177">
        <f t="shared" si="0"/>
        <v>202994031.35021934</v>
      </c>
      <c r="G9" s="176">
        <f>F9/'Input - Customer Data'!E10</f>
        <v>7831.4843163248561</v>
      </c>
      <c r="H9" s="169"/>
      <c r="I9" s="234"/>
      <c r="K9" s="191">
        <f>'Input - Customer Data'!D10</f>
        <v>2015</v>
      </c>
      <c r="L9" s="177">
        <f>'Bridge&amp;Test Year Class Forecast'!B65</f>
        <v>189310138.06999999</v>
      </c>
      <c r="M9" s="195">
        <f>'Input - Customer Data'!H$75</f>
        <v>615145.36</v>
      </c>
      <c r="N9" s="177">
        <v>-90932.760000000009</v>
      </c>
      <c r="O9" s="195">
        <f t="shared" si="3"/>
        <v>524212.6</v>
      </c>
      <c r="P9" s="192">
        <f t="shared" si="1"/>
        <v>2.7690677601543202E-3</v>
      </c>
      <c r="R9" s="169"/>
    </row>
    <row r="10" spans="1:18" x14ac:dyDescent="0.2">
      <c r="A10" s="191">
        <f>'Input - Customer Data'!D11</f>
        <v>2016</v>
      </c>
      <c r="B10" s="195">
        <f>'Input - Customer Data'!I$66</f>
        <v>202182964.05000001</v>
      </c>
      <c r="C10" s="177">
        <f>SUM('Input - Adjustments &amp; Variables'!H65:H76)</f>
        <v>491633276.0999999</v>
      </c>
      <c r="D10" s="401">
        <f t="shared" si="2"/>
        <v>0.41124751695789463</v>
      </c>
      <c r="E10" s="177">
        <f>SUM(Forecast!C64:C75)</f>
        <v>504999217.14441788</v>
      </c>
      <c r="F10" s="177">
        <f t="shared" si="0"/>
        <v>207679674.11632252</v>
      </c>
      <c r="G10" s="176">
        <f>F10/'Input - Customer Data'!E11</f>
        <v>7978.652644270649</v>
      </c>
      <c r="H10" s="169"/>
      <c r="I10" s="234"/>
      <c r="K10" s="191">
        <f>'Input - Customer Data'!D11</f>
        <v>2016</v>
      </c>
      <c r="L10" s="177">
        <f>'Bridge&amp;Test Year Class Forecast'!B66</f>
        <v>185209883.51999998</v>
      </c>
      <c r="M10" s="195">
        <f>'Input - Customer Data'!I$75</f>
        <v>580036.22</v>
      </c>
      <c r="N10" s="177">
        <v>-64241.589999999989</v>
      </c>
      <c r="O10" s="195">
        <f t="shared" si="3"/>
        <v>515794.63</v>
      </c>
      <c r="P10" s="192">
        <f t="shared" si="1"/>
        <v>2.7849195744691544E-3</v>
      </c>
      <c r="R10" s="169"/>
    </row>
    <row r="11" spans="1:18" x14ac:dyDescent="0.2">
      <c r="A11" s="191">
        <f>'Input - Customer Data'!D12</f>
        <v>2017</v>
      </c>
      <c r="B11" s="195">
        <f>'Input - Customer Data'!J$66</f>
        <v>192333396.59142745</v>
      </c>
      <c r="C11" s="177">
        <f>SUM('Input - Adjustments &amp; Variables'!H77:H88)</f>
        <v>476909006.87999994</v>
      </c>
      <c r="D11" s="401">
        <f t="shared" si="2"/>
        <v>0.40329160031951855</v>
      </c>
      <c r="E11" s="177">
        <f>SUM(Forecast!C76:C87)</f>
        <v>480971996.28364104</v>
      </c>
      <c r="F11" s="177">
        <f t="shared" si="0"/>
        <v>193971966.09010312</v>
      </c>
      <c r="G11" s="176">
        <f>F11/'Input - Customer Data'!E12</f>
        <v>7395.4889673771049</v>
      </c>
      <c r="H11" s="169"/>
      <c r="I11" s="234"/>
      <c r="K11" s="191">
        <f>'Input - Customer Data'!D12</f>
        <v>2017</v>
      </c>
      <c r="L11" s="177">
        <f>'Bridge&amp;Test Year Class Forecast'!B67</f>
        <v>183196052.27825353</v>
      </c>
      <c r="M11" s="195">
        <f>'Input - Customer Data'!J$75</f>
        <v>588371.79999999993</v>
      </c>
      <c r="N11" s="177">
        <v>-33215.230000000003</v>
      </c>
      <c r="O11" s="195">
        <f t="shared" si="3"/>
        <v>555156.56999999995</v>
      </c>
      <c r="P11" s="192">
        <f t="shared" si="1"/>
        <v>3.0303959233618288E-3</v>
      </c>
      <c r="R11" s="169"/>
    </row>
    <row r="12" spans="1:18" x14ac:dyDescent="0.2">
      <c r="A12" s="191">
        <f>'Input - Customer Data'!D13</f>
        <v>2018</v>
      </c>
      <c r="B12" s="195">
        <f>'Input - Customer Data'!K$66</f>
        <v>213384791.97681683</v>
      </c>
      <c r="C12" s="177">
        <f>SUM('Input - Adjustments &amp; Variables'!H89:H100)</f>
        <v>502625267.95999998</v>
      </c>
      <c r="D12" s="401">
        <f t="shared" si="2"/>
        <v>0.42454051871064802</v>
      </c>
      <c r="E12" s="177">
        <f>SUM(Forecast!C88:C99)</f>
        <v>495575207.8174206</v>
      </c>
      <c r="F12" s="177">
        <f t="shared" si="0"/>
        <v>210391755.78694493</v>
      </c>
      <c r="G12" s="176">
        <f>F12/'Input - Customer Data'!E13</f>
        <v>7949.8613551421677</v>
      </c>
      <c r="H12" s="169"/>
      <c r="I12" s="234"/>
      <c r="K12" s="191">
        <f>'Input - Customer Data'!D13</f>
        <v>2018</v>
      </c>
      <c r="L12" s="177">
        <f>'Bridge&amp;Test Year Class Forecast'!B68</f>
        <v>185835409.80878308</v>
      </c>
      <c r="M12" s="195">
        <f>'Input - Customer Data'!K$75</f>
        <v>580250.94000000006</v>
      </c>
      <c r="N12" s="177">
        <v>-38285.839999999997</v>
      </c>
      <c r="O12" s="195">
        <f t="shared" si="3"/>
        <v>541965.10000000009</v>
      </c>
      <c r="P12" s="192">
        <f t="shared" si="1"/>
        <v>2.9163715384364027E-3</v>
      </c>
      <c r="R12" s="169"/>
    </row>
    <row r="13" spans="1:18" x14ac:dyDescent="0.2">
      <c r="A13" s="191">
        <f>'Input - Customer Data'!D14</f>
        <v>2019</v>
      </c>
      <c r="B13" s="195">
        <f>'Input - Customer Data'!L$66</f>
        <v>208333695.23086321</v>
      </c>
      <c r="C13" s="177">
        <f>SUM('Input - Adjustments &amp; Variables'!H101:H112)</f>
        <v>490029500.53746313</v>
      </c>
      <c r="D13" s="401">
        <f t="shared" si="2"/>
        <v>0.42514521065030442</v>
      </c>
      <c r="E13" s="177">
        <f>SUM(Forecast!C100:C111)</f>
        <v>479155760.91665858</v>
      </c>
      <c r="F13" s="177">
        <f t="shared" si="0"/>
        <v>203710776.90921971</v>
      </c>
      <c r="G13" s="176">
        <f>F13/'Input - Customer Data'!E14</f>
        <v>7644.7921683198747</v>
      </c>
      <c r="H13" s="169"/>
      <c r="I13" s="234"/>
      <c r="K13" s="191">
        <f>'Input - Customer Data'!D14</f>
        <v>2019</v>
      </c>
      <c r="L13" s="177">
        <f>'Bridge&amp;Test Year Class Forecast'!B69</f>
        <v>179705785.74639916</v>
      </c>
      <c r="M13" s="195">
        <f>'Input - Customer Data'!L$75</f>
        <v>553966.00999999966</v>
      </c>
      <c r="N13" s="177">
        <v>-21240.050000000003</v>
      </c>
      <c r="O13" s="195">
        <f t="shared" si="3"/>
        <v>532725.95999999961</v>
      </c>
      <c r="P13" s="192">
        <f t="shared" si="1"/>
        <v>2.9644341042629678E-3</v>
      </c>
      <c r="R13" s="169"/>
    </row>
    <row r="14" spans="1:18" x14ac:dyDescent="0.2">
      <c r="A14" s="329">
        <f>'Input - Customer Data'!D15</f>
        <v>2020</v>
      </c>
      <c r="B14" s="195">
        <f>'Input - Customer Data'!M$66</f>
        <v>220200219.65924728</v>
      </c>
      <c r="C14" s="296">
        <f>SUM('Input - Adjustments &amp; Variables'!H113:H124)</f>
        <v>482494034.60487103</v>
      </c>
      <c r="D14" s="401">
        <f t="shared" si="2"/>
        <v>0.45637915469685736</v>
      </c>
      <c r="E14" s="296">
        <f>SUM(Forecast!C112:C123)</f>
        <v>485200688.17516398</v>
      </c>
      <c r="F14" s="296">
        <f>E14*D14</f>
        <v>221435479.92771482</v>
      </c>
      <c r="G14" s="297">
        <f>F14/'Input - Customer Data'!E15</f>
        <v>8227.0107840928395</v>
      </c>
      <c r="H14" s="169"/>
      <c r="I14" s="234"/>
      <c r="K14" s="191">
        <f>'Input - Customer Data'!D15</f>
        <v>2020</v>
      </c>
      <c r="L14" s="177">
        <f>'Bridge&amp;Test Year Class Forecast'!B70</f>
        <v>165593467.56708583</v>
      </c>
      <c r="M14" s="195">
        <f>'Input - Customer Data'!M$75</f>
        <v>527483.83000000007</v>
      </c>
      <c r="N14" s="177">
        <v>-11716.370000000003</v>
      </c>
      <c r="O14" s="195">
        <f t="shared" si="3"/>
        <v>515767.46000000008</v>
      </c>
      <c r="P14" s="192">
        <f t="shared" si="1"/>
        <v>3.1146606661343721E-3</v>
      </c>
      <c r="R14" s="169"/>
    </row>
    <row r="15" spans="1:18" x14ac:dyDescent="0.2">
      <c r="A15" s="294">
        <f>'Input - Customer Data'!D19</f>
        <v>2021</v>
      </c>
      <c r="B15" s="364"/>
      <c r="C15" s="286"/>
      <c r="D15" s="290">
        <f>AVERAGE(D10:D14)</f>
        <v>0.42412080026704457</v>
      </c>
      <c r="E15" s="286">
        <f>SUM(Forecast!C124:C135)</f>
        <v>483534816.53621757</v>
      </c>
      <c r="F15" s="286">
        <f>E15*D15</f>
        <v>205077173.34631917</v>
      </c>
      <c r="G15" s="289">
        <f>F15/'Input - Customer Data'!E15</f>
        <v>7619.2492605168918</v>
      </c>
      <c r="H15" s="169"/>
      <c r="I15" s="234"/>
      <c r="K15" s="471">
        <f>'Input - Customer Data'!D19</f>
        <v>2021</v>
      </c>
      <c r="L15" s="364">
        <f>G82</f>
        <v>178767211.80250752</v>
      </c>
      <c r="M15" s="364"/>
      <c r="N15" s="364"/>
      <c r="O15" s="364">
        <f>L15*$P$19</f>
        <v>529536.43363855162</v>
      </c>
      <c r="P15" s="472">
        <f t="shared" si="1"/>
        <v>2.9621563613329454E-3</v>
      </c>
      <c r="R15" s="169"/>
    </row>
    <row r="16" spans="1:18" x14ac:dyDescent="0.2">
      <c r="A16" s="294">
        <f>'Input - Customer Data'!D20</f>
        <v>2022</v>
      </c>
      <c r="B16" s="291"/>
      <c r="C16" s="292" t="s">
        <v>99</v>
      </c>
      <c r="D16" s="290">
        <f>D15</f>
        <v>0.42412080026704457</v>
      </c>
      <c r="E16" s="286">
        <f>SUM(Forecast!C136:C147)</f>
        <v>484684072.30779141</v>
      </c>
      <c r="F16" s="286">
        <f t="shared" si="0"/>
        <v>205564596.62387058</v>
      </c>
      <c r="G16" s="289">
        <f>F16/'Input - Customer Data'!E15</f>
        <v>7637.3585380461409</v>
      </c>
      <c r="H16" s="169"/>
      <c r="I16" s="234"/>
      <c r="K16" s="471">
        <f>'Input - Customer Data'!D20</f>
        <v>2022</v>
      </c>
      <c r="L16" s="364">
        <f>G83</f>
        <v>176291004.53621852</v>
      </c>
      <c r="M16" s="364"/>
      <c r="N16" s="364"/>
      <c r="O16" s="364">
        <f>L16*$P$19</f>
        <v>522201.52053273475</v>
      </c>
      <c r="P16" s="472">
        <f t="shared" si="1"/>
        <v>2.962156361332945E-3</v>
      </c>
      <c r="R16" s="169"/>
    </row>
    <row r="17" spans="1:18" ht="13.5" thickBot="1" x14ac:dyDescent="0.25">
      <c r="A17" s="402">
        <f>'Input - Customer Data'!D20</f>
        <v>2022</v>
      </c>
      <c r="B17" s="263"/>
      <c r="C17" s="263"/>
      <c r="D17" s="264">
        <f>D16</f>
        <v>0.42412080026704457</v>
      </c>
      <c r="E17" s="265">
        <f>SUM(Forecast!C136:C147)</f>
        <v>484684072.30779141</v>
      </c>
      <c r="F17" s="265">
        <f t="shared" si="0"/>
        <v>205564596.62387058</v>
      </c>
      <c r="G17" s="266" t="e">
        <f>F17/'Input - Customer Data'!#REF!</f>
        <v>#REF!</v>
      </c>
      <c r="H17" s="169"/>
      <c r="I17" s="234"/>
      <c r="K17" s="260">
        <f>'Input - Customer Data'!D20</f>
        <v>2022</v>
      </c>
      <c r="L17" s="261">
        <f>'Bridge&amp;Test Year Class Forecast'!F73</f>
        <v>178413452.05804813</v>
      </c>
      <c r="M17" s="261"/>
      <c r="N17" s="261"/>
      <c r="O17" s="261">
        <f>L17*$P$19</f>
        <v>528488.54196111765</v>
      </c>
      <c r="P17" s="262">
        <f t="shared" si="1"/>
        <v>2.962156361332945E-3</v>
      </c>
      <c r="R17" s="169"/>
    </row>
    <row r="18" spans="1:18" x14ac:dyDescent="0.2">
      <c r="A18" s="218"/>
      <c r="B18" s="175"/>
      <c r="C18" s="175"/>
      <c r="D18" s="173"/>
      <c r="E18" s="174"/>
      <c r="F18" s="171"/>
      <c r="G18" s="219"/>
      <c r="H18" s="149"/>
      <c r="I18" s="234"/>
      <c r="K18" s="190"/>
      <c r="L18" s="177"/>
      <c r="M18" s="177"/>
      <c r="N18" s="177"/>
      <c r="O18" s="255"/>
      <c r="P18" s="189"/>
      <c r="R18" s="163"/>
    </row>
    <row r="19" spans="1:18" x14ac:dyDescent="0.2">
      <c r="A19" s="218"/>
      <c r="B19" s="175"/>
      <c r="C19" s="175"/>
      <c r="D19" s="173"/>
      <c r="E19" s="174"/>
      <c r="F19" s="171"/>
      <c r="G19" s="219"/>
      <c r="H19" s="149"/>
      <c r="I19" s="234"/>
      <c r="K19" s="186" t="s">
        <v>99</v>
      </c>
      <c r="L19" s="185"/>
      <c r="M19" s="185"/>
      <c r="N19" s="185"/>
      <c r="O19" s="185"/>
      <c r="P19" s="187">
        <f>AVERAGE(P10:P14)</f>
        <v>2.962156361332945E-3</v>
      </c>
      <c r="R19" s="163"/>
    </row>
    <row r="20" spans="1:18" ht="13.5" thickBot="1" x14ac:dyDescent="0.25">
      <c r="A20" s="218"/>
      <c r="B20" s="175"/>
      <c r="C20" s="175"/>
      <c r="D20" s="173"/>
      <c r="E20" s="174"/>
      <c r="F20" s="171"/>
      <c r="G20" s="219"/>
      <c r="H20" s="149"/>
      <c r="I20" s="234"/>
      <c r="K20" s="182"/>
      <c r="L20" s="181"/>
      <c r="M20" s="181"/>
      <c r="N20" s="181"/>
      <c r="O20" s="181"/>
      <c r="P20" s="183"/>
      <c r="R20" s="163"/>
    </row>
    <row r="21" spans="1:18" x14ac:dyDescent="0.2">
      <c r="A21" s="218"/>
      <c r="B21" s="175"/>
      <c r="C21" s="175"/>
      <c r="D21" s="173"/>
      <c r="E21" s="174"/>
      <c r="F21" s="171"/>
      <c r="G21" s="219"/>
      <c r="H21" s="149"/>
      <c r="I21" s="234"/>
    </row>
    <row r="22" spans="1:18" ht="37.5" customHeight="1" x14ac:dyDescent="0.2">
      <c r="A22" s="549" t="s">
        <v>96</v>
      </c>
      <c r="B22" s="550"/>
      <c r="C22" s="550"/>
      <c r="D22" s="550"/>
      <c r="E22" s="550"/>
      <c r="F22" s="550"/>
      <c r="G22" s="551"/>
      <c r="H22" s="169"/>
      <c r="I22" s="234"/>
      <c r="K22" s="552" t="s">
        <v>240</v>
      </c>
      <c r="L22" s="553"/>
      <c r="M22" s="553"/>
      <c r="N22" s="553"/>
      <c r="O22" s="553"/>
      <c r="P22" s="553"/>
    </row>
    <row r="23" spans="1:18" ht="29.25" customHeight="1" x14ac:dyDescent="0.2">
      <c r="A23" s="220"/>
      <c r="B23" s="170"/>
      <c r="C23" s="170"/>
      <c r="D23" s="170"/>
      <c r="E23" s="170"/>
      <c r="F23" s="170"/>
      <c r="G23" s="221"/>
      <c r="H23" s="169"/>
      <c r="I23" s="234"/>
      <c r="K23" s="541" t="s">
        <v>241</v>
      </c>
      <c r="L23" s="542"/>
      <c r="M23" s="542"/>
      <c r="N23" s="542"/>
      <c r="O23" s="542"/>
      <c r="P23" s="542"/>
    </row>
    <row r="24" spans="1:18" ht="13.5" customHeight="1" thickBot="1" x14ac:dyDescent="0.25">
      <c r="A24" s="157" t="s">
        <v>59</v>
      </c>
      <c r="B24" s="157"/>
      <c r="C24" s="437"/>
      <c r="D24" s="157"/>
      <c r="E24" s="157"/>
      <c r="F24" s="157"/>
      <c r="G24" s="157"/>
      <c r="H24" s="168"/>
      <c r="I24" s="234"/>
      <c r="K24"/>
      <c r="L24"/>
      <c r="M24"/>
      <c r="N24"/>
      <c r="O24"/>
      <c r="P24"/>
      <c r="Q24"/>
    </row>
    <row r="25" spans="1:18" ht="39.6" customHeight="1" x14ac:dyDescent="0.2">
      <c r="A25" s="393" t="s">
        <v>74</v>
      </c>
      <c r="B25" s="393" t="s">
        <v>94</v>
      </c>
      <c r="C25" s="393" t="s">
        <v>93</v>
      </c>
      <c r="D25" s="438" t="s">
        <v>214</v>
      </c>
      <c r="E25" s="393"/>
      <c r="F25" s="394"/>
      <c r="G25" s="194" t="s">
        <v>77</v>
      </c>
      <c r="H25" s="167"/>
      <c r="I25" s="234"/>
      <c r="K25" s="545" t="str">
        <f>A87</f>
        <v>Embedded</v>
      </c>
      <c r="L25" s="546"/>
      <c r="M25" s="546"/>
      <c r="N25" s="547"/>
      <c r="O25"/>
      <c r="P25"/>
      <c r="Q25"/>
    </row>
    <row r="26" spans="1:18" x14ac:dyDescent="0.2">
      <c r="A26" s="294">
        <f>A15</f>
        <v>2021</v>
      </c>
      <c r="B26" s="255">
        <f>'Input - Customer Data'!E24-'Input - Customer Data'!E15</f>
        <v>155.0588499717669</v>
      </c>
      <c r="C26" s="255">
        <f>G15</f>
        <v>7619.2492605168918</v>
      </c>
      <c r="D26" s="255">
        <f>B26*C26</f>
        <v>1181432.0279839847</v>
      </c>
      <c r="E26" s="255"/>
      <c r="F26" s="255"/>
      <c r="G26" s="391">
        <f>F15+D26</f>
        <v>206258605.37430316</v>
      </c>
      <c r="H26" s="164"/>
      <c r="I26" s="234"/>
      <c r="K26" s="269" t="s">
        <v>74</v>
      </c>
      <c r="L26" s="399" t="s">
        <v>75</v>
      </c>
      <c r="M26" s="399" t="s">
        <v>76</v>
      </c>
      <c r="N26" s="268" t="s">
        <v>102</v>
      </c>
      <c r="O26"/>
      <c r="P26"/>
      <c r="Q26"/>
    </row>
    <row r="27" spans="1:18" x14ac:dyDescent="0.2">
      <c r="A27" s="294">
        <f>A16</f>
        <v>2022</v>
      </c>
      <c r="B27" s="255">
        <f>'Input - Customer Data'!E25-'Input - Customer Data'!E24</f>
        <v>155.9521307235409</v>
      </c>
      <c r="C27" s="255">
        <f>G16</f>
        <v>7637.3585380461409</v>
      </c>
      <c r="D27" s="255">
        <f>B27*C27</f>
        <v>1191062.3371079231</v>
      </c>
      <c r="E27" s="255"/>
      <c r="F27" s="255"/>
      <c r="G27" s="391">
        <f>F16+D26+D27</f>
        <v>207937090.9889625</v>
      </c>
      <c r="H27" s="164"/>
      <c r="I27" s="234"/>
      <c r="K27" s="473">
        <f>K5</f>
        <v>2011</v>
      </c>
      <c r="L27" s="177">
        <f>'Bridge&amp;Test Year Class Forecast'!B89</f>
        <v>5010546.66</v>
      </c>
      <c r="M27" s="195">
        <f>'Input - Customer Data'!D$80</f>
        <v>12008.64</v>
      </c>
      <c r="N27" s="192">
        <f>M27/L27</f>
        <v>2.3966726217454284E-3</v>
      </c>
      <c r="O27"/>
      <c r="P27"/>
      <c r="Q27"/>
    </row>
    <row r="28" spans="1:18" x14ac:dyDescent="0.2">
      <c r="A28" s="144"/>
      <c r="B28" s="144"/>
      <c r="C28" s="144"/>
      <c r="D28" s="144"/>
      <c r="E28" s="144"/>
      <c r="F28" s="144"/>
      <c r="I28" s="234"/>
      <c r="K28" s="474">
        <f t="shared" ref="K28:K38" si="4">K6</f>
        <v>2012</v>
      </c>
      <c r="L28" s="177">
        <f>'Bridge&amp;Test Year Class Forecast'!B90</f>
        <v>5264498.6195</v>
      </c>
      <c r="M28" s="195">
        <f>'Input - Customer Data'!E$80</f>
        <v>12682.68</v>
      </c>
      <c r="N28" s="192">
        <f t="shared" ref="N28:N36" si="5">M28/L28</f>
        <v>2.4090955125380103E-3</v>
      </c>
      <c r="O28"/>
      <c r="P28"/>
      <c r="Q28"/>
    </row>
    <row r="29" spans="1:18" x14ac:dyDescent="0.2">
      <c r="I29" s="234"/>
      <c r="K29" s="474">
        <f t="shared" si="4"/>
        <v>2013</v>
      </c>
      <c r="L29" s="177">
        <f>'Bridge&amp;Test Year Class Forecast'!B91</f>
        <v>4854403.5</v>
      </c>
      <c r="M29" s="195">
        <f>'Input - Customer Data'!F$80</f>
        <v>12041.64</v>
      </c>
      <c r="N29" s="192">
        <f t="shared" si="5"/>
        <v>2.4805601759309869E-3</v>
      </c>
      <c r="O29"/>
      <c r="P29"/>
      <c r="Q29"/>
    </row>
    <row r="30" spans="1:18" ht="16.5" customHeight="1" thickBot="1" x14ac:dyDescent="0.25">
      <c r="I30" s="234"/>
      <c r="K30" s="475">
        <f t="shared" si="4"/>
        <v>2014</v>
      </c>
      <c r="L30" s="177">
        <f>'Bridge&amp;Test Year Class Forecast'!B92</f>
        <v>4975331.1999999993</v>
      </c>
      <c r="M30" s="195">
        <f>'Input - Customer Data'!G$80</f>
        <v>12958.4</v>
      </c>
      <c r="N30" s="192">
        <f t="shared" si="5"/>
        <v>2.6045301265572034E-3</v>
      </c>
      <c r="O30"/>
      <c r="P30"/>
      <c r="Q30"/>
    </row>
    <row r="31" spans="1:18" ht="15.75" customHeight="1" x14ac:dyDescent="0.2">
      <c r="A31" s="545" t="str">
        <f>'Input - Customer Data'!A14</f>
        <v>General Service &lt; 50 kW</v>
      </c>
      <c r="B31" s="546"/>
      <c r="C31" s="546"/>
      <c r="D31" s="546"/>
      <c r="E31" s="546"/>
      <c r="F31" s="546"/>
      <c r="G31" s="547"/>
      <c r="I31" s="234"/>
      <c r="K31" s="475">
        <f t="shared" si="4"/>
        <v>2015</v>
      </c>
      <c r="L31" s="177">
        <f>'Bridge&amp;Test Year Class Forecast'!B93</f>
        <v>5138938.0000000009</v>
      </c>
      <c r="M31" s="195">
        <f>'Input - Customer Data'!H$80</f>
        <v>13742.4</v>
      </c>
      <c r="N31" s="192">
        <f t="shared" si="5"/>
        <v>2.6741712003530687E-3</v>
      </c>
      <c r="O31"/>
      <c r="P31"/>
      <c r="Q31"/>
    </row>
    <row r="32" spans="1:18" ht="25.5" x14ac:dyDescent="0.2">
      <c r="A32" s="403" t="s">
        <v>74</v>
      </c>
      <c r="B32" s="404" t="s">
        <v>112</v>
      </c>
      <c r="C32" s="404" t="s">
        <v>216</v>
      </c>
      <c r="D32" s="404" t="s">
        <v>98</v>
      </c>
      <c r="E32" s="404" t="s">
        <v>140</v>
      </c>
      <c r="F32" s="404" t="s">
        <v>259</v>
      </c>
      <c r="G32" s="405" t="s">
        <v>97</v>
      </c>
      <c r="I32" s="234"/>
      <c r="K32" s="475">
        <f t="shared" si="4"/>
        <v>2016</v>
      </c>
      <c r="L32" s="177">
        <f>'Bridge&amp;Test Year Class Forecast'!B94</f>
        <v>5604942.4199999999</v>
      </c>
      <c r="M32" s="195">
        <f>'Input - Customer Data'!I$80</f>
        <v>16375.72</v>
      </c>
      <c r="N32" s="192">
        <f t="shared" si="5"/>
        <v>2.9216571327417848E-3</v>
      </c>
      <c r="O32"/>
      <c r="P32"/>
      <c r="Q32"/>
    </row>
    <row r="33" spans="1:17" x14ac:dyDescent="0.2">
      <c r="A33" s="191">
        <f t="shared" ref="A33:A45" si="6">A5</f>
        <v>2011</v>
      </c>
      <c r="B33" s="195">
        <f>'Input - Customer Data'!D$70</f>
        <v>71478285.230000004</v>
      </c>
      <c r="C33" s="177">
        <f t="shared" ref="C33:C42" si="7">C5</f>
        <v>535686877.93999976</v>
      </c>
      <c r="D33" s="401">
        <f>B33/C33</f>
        <v>0.13343295901678967</v>
      </c>
      <c r="E33" s="177">
        <f t="shared" ref="E33:E45" si="8">E5</f>
        <v>519265785.74484187</v>
      </c>
      <c r="F33" s="177">
        <f t="shared" ref="F33:F45" si="9">E33*D33</f>
        <v>69287170.308112577</v>
      </c>
      <c r="G33" s="176">
        <f>F33/'Input - Customer Data'!G6</f>
        <v>27637.483170367999</v>
      </c>
      <c r="I33" s="234"/>
      <c r="K33" s="475">
        <f t="shared" si="4"/>
        <v>2017</v>
      </c>
      <c r="L33" s="177">
        <f>'Bridge&amp;Test Year Class Forecast'!B95</f>
        <v>4768119.9723423496</v>
      </c>
      <c r="M33" s="195">
        <f>'Input - Customer Data'!J$80</f>
        <v>12501.41</v>
      </c>
      <c r="N33" s="192">
        <f t="shared" si="5"/>
        <v>2.6218740452242971E-3</v>
      </c>
      <c r="O33"/>
      <c r="P33"/>
      <c r="Q33"/>
    </row>
    <row r="34" spans="1:17" x14ac:dyDescent="0.2">
      <c r="A34" s="191">
        <f t="shared" si="6"/>
        <v>2012</v>
      </c>
      <c r="B34" s="195">
        <f>'Input - Customer Data'!E$70</f>
        <v>70359939.605000004</v>
      </c>
      <c r="C34" s="177">
        <f t="shared" si="7"/>
        <v>521011391.83000016</v>
      </c>
      <c r="D34" s="401">
        <f t="shared" ref="D34:D42" si="10">B34/C34</f>
        <v>0.1350449159237532</v>
      </c>
      <c r="E34" s="177">
        <f t="shared" si="8"/>
        <v>514361286.59219617</v>
      </c>
      <c r="F34" s="177">
        <f t="shared" si="9"/>
        <v>69461876.702276662</v>
      </c>
      <c r="G34" s="176">
        <f>F34/'Input - Customer Data'!G7</f>
        <v>27445.34326914886</v>
      </c>
      <c r="I34" s="234"/>
      <c r="K34" s="475">
        <f t="shared" si="4"/>
        <v>2018</v>
      </c>
      <c r="L34" s="177">
        <f>'Bridge&amp;Test Year Class Forecast'!B96</f>
        <v>5218945.2166489204</v>
      </c>
      <c r="M34" s="195">
        <f>'Input - Customer Data'!K$80</f>
        <v>13532.36</v>
      </c>
      <c r="N34" s="192">
        <f t="shared" si="5"/>
        <v>2.592930072695631E-3</v>
      </c>
      <c r="O34"/>
      <c r="P34"/>
      <c r="Q34"/>
    </row>
    <row r="35" spans="1:17" x14ac:dyDescent="0.2">
      <c r="A35" s="191">
        <f t="shared" si="6"/>
        <v>2013</v>
      </c>
      <c r="B35" s="195">
        <f>'Input - Customer Data'!F$70</f>
        <v>68674576.604000002</v>
      </c>
      <c r="C35" s="177">
        <f t="shared" si="7"/>
        <v>509774030.71999979</v>
      </c>
      <c r="D35" s="401">
        <f t="shared" si="10"/>
        <v>0.13471572199745976</v>
      </c>
      <c r="E35" s="177">
        <f t="shared" si="8"/>
        <v>518669018.32189274</v>
      </c>
      <c r="F35" s="177">
        <f t="shared" si="9"/>
        <v>69872871.280947462</v>
      </c>
      <c r="G35" s="176">
        <f>F35/'Input - Customer Data'!G8</f>
        <v>27676.99142998414</v>
      </c>
      <c r="I35" s="234"/>
      <c r="K35" s="475">
        <f t="shared" si="4"/>
        <v>2019</v>
      </c>
      <c r="L35" s="177">
        <f>'Bridge&amp;Test Year Class Forecast'!B97</f>
        <v>5234524.4083762597</v>
      </c>
      <c r="M35" s="195">
        <f>'Input - Customer Data'!L$80</f>
        <v>13275.64</v>
      </c>
      <c r="N35" s="192">
        <f t="shared" si="5"/>
        <v>2.5361692800125999E-3</v>
      </c>
      <c r="O35"/>
      <c r="P35"/>
      <c r="Q35"/>
    </row>
    <row r="36" spans="1:17" x14ac:dyDescent="0.2">
      <c r="A36" s="191">
        <f t="shared" si="6"/>
        <v>2014</v>
      </c>
      <c r="B36" s="195">
        <f>'Input - Customer Data'!G$70</f>
        <v>69135015.260000005</v>
      </c>
      <c r="C36" s="177">
        <f t="shared" si="7"/>
        <v>504927925.73999989</v>
      </c>
      <c r="D36" s="401">
        <f t="shared" si="10"/>
        <v>0.13692056179835727</v>
      </c>
      <c r="E36" s="177">
        <f t="shared" si="8"/>
        <v>508838291.66616559</v>
      </c>
      <c r="F36" s="177">
        <f t="shared" si="9"/>
        <v>69670424.759447768</v>
      </c>
      <c r="G36" s="176">
        <f>F36/'Input - Customer Data'!G9</f>
        <v>27730.442041638969</v>
      </c>
      <c r="I36" s="234"/>
      <c r="K36" s="475">
        <f t="shared" si="4"/>
        <v>2020</v>
      </c>
      <c r="L36" s="177">
        <f>'Bridge&amp;Test Year Class Forecast'!B98</f>
        <v>5321959.9988488881</v>
      </c>
      <c r="M36" s="195">
        <f>'Input - Customer Data'!M$80</f>
        <v>14339.56</v>
      </c>
      <c r="N36" s="192">
        <f t="shared" si="5"/>
        <v>2.6944133370227453E-3</v>
      </c>
      <c r="O36"/>
      <c r="P36"/>
      <c r="Q36"/>
    </row>
    <row r="37" spans="1:17" x14ac:dyDescent="0.2">
      <c r="A37" s="191">
        <f t="shared" si="6"/>
        <v>2015</v>
      </c>
      <c r="B37" s="195">
        <f>'Input - Customer Data'!H$70</f>
        <v>68487698.590000004</v>
      </c>
      <c r="C37" s="177">
        <f t="shared" si="7"/>
        <v>494324941.81999999</v>
      </c>
      <c r="D37" s="401">
        <f t="shared" si="10"/>
        <v>0.13854793233342175</v>
      </c>
      <c r="E37" s="177">
        <f t="shared" si="8"/>
        <v>502378987.60518181</v>
      </c>
      <c r="F37" s="177">
        <f t="shared" si="9"/>
        <v>69603569.980455652</v>
      </c>
      <c r="G37" s="176">
        <f>F37/'Input - Customer Data'!G10</f>
        <v>27928.938666671165</v>
      </c>
      <c r="I37" s="234"/>
      <c r="K37" s="294">
        <f t="shared" si="4"/>
        <v>2021</v>
      </c>
      <c r="L37" s="286">
        <f>G110</f>
        <v>5173257.7887748284</v>
      </c>
      <c r="M37" s="286">
        <f>L37*$N$41</f>
        <v>13830.232760291723</v>
      </c>
      <c r="N37" s="287">
        <f>M37/L37</f>
        <v>2.6734087735394117E-3</v>
      </c>
      <c r="O37"/>
      <c r="P37"/>
      <c r="Q37"/>
    </row>
    <row r="38" spans="1:17" x14ac:dyDescent="0.2">
      <c r="A38" s="191">
        <f t="shared" si="6"/>
        <v>2016</v>
      </c>
      <c r="B38" s="195">
        <f>'Input - Customer Data'!I$70</f>
        <v>69095397.390000001</v>
      </c>
      <c r="C38" s="177">
        <f t="shared" si="7"/>
        <v>491633276.0999999</v>
      </c>
      <c r="D38" s="401">
        <f t="shared" si="10"/>
        <v>0.14054255630968673</v>
      </c>
      <c r="E38" s="177">
        <f t="shared" si="8"/>
        <v>504999217.14441788</v>
      </c>
      <c r="F38" s="177">
        <f t="shared" si="9"/>
        <v>70973880.911867067</v>
      </c>
      <c r="G38" s="176">
        <f>F38/'Input - Customer Data'!G11</f>
        <v>28359.302442141878</v>
      </c>
      <c r="I38" s="234"/>
      <c r="K38" s="294">
        <f t="shared" si="4"/>
        <v>2022</v>
      </c>
      <c r="L38" s="286">
        <f>G111</f>
        <v>5185553.4832486585</v>
      </c>
      <c r="M38" s="286">
        <f>L38*$N$41</f>
        <v>13863.10417777482</v>
      </c>
      <c r="N38" s="287">
        <f>M38/L38</f>
        <v>2.6734087735394117E-3</v>
      </c>
      <c r="O38"/>
      <c r="P38"/>
      <c r="Q38"/>
    </row>
    <row r="39" spans="1:17" x14ac:dyDescent="0.2">
      <c r="A39" s="191">
        <f t="shared" si="6"/>
        <v>2017</v>
      </c>
      <c r="B39" s="195">
        <f>'Input - Customer Data'!J$70</f>
        <v>66385178.073323995</v>
      </c>
      <c r="C39" s="177">
        <f t="shared" si="7"/>
        <v>476909006.87999994</v>
      </c>
      <c r="D39" s="401">
        <f t="shared" si="10"/>
        <v>0.13919883482097428</v>
      </c>
      <c r="E39" s="177">
        <f t="shared" si="8"/>
        <v>480971996.28364104</v>
      </c>
      <c r="F39" s="177">
        <f t="shared" si="9"/>
        <v>66950741.464200802</v>
      </c>
      <c r="G39" s="176">
        <f>F39/'Input - Customer Data'!G12</f>
        <v>26709.072392633301</v>
      </c>
      <c r="I39" s="234"/>
      <c r="K39" s="260">
        <f>'Input - Customer Data'!D42</f>
        <v>43453458.649999976</v>
      </c>
      <c r="L39" s="397" t="s">
        <v>57</v>
      </c>
      <c r="M39" s="261" t="e">
        <f>L39*$P$19</f>
        <v>#VALUE!</v>
      </c>
      <c r="N39" s="262" t="e">
        <f>M39/L39</f>
        <v>#VALUE!</v>
      </c>
      <c r="O39"/>
      <c r="P39"/>
      <c r="Q39"/>
    </row>
    <row r="40" spans="1:17" x14ac:dyDescent="0.2">
      <c r="A40" s="191">
        <f t="shared" si="6"/>
        <v>2018</v>
      </c>
      <c r="B40" s="195">
        <f>'Input - Customer Data'!K$70</f>
        <v>68552191.048737228</v>
      </c>
      <c r="C40" s="177">
        <f t="shared" si="7"/>
        <v>502625267.95999998</v>
      </c>
      <c r="D40" s="401">
        <f t="shared" si="10"/>
        <v>0.13638827058370803</v>
      </c>
      <c r="E40" s="177">
        <f t="shared" si="8"/>
        <v>495575207.8174206</v>
      </c>
      <c r="F40" s="177">
        <f t="shared" si="9"/>
        <v>67590645.538379699</v>
      </c>
      <c r="G40" s="176">
        <f>F40/'Input - Customer Data'!G13</f>
        <v>27136.663871677083</v>
      </c>
      <c r="I40" s="234"/>
      <c r="K40" s="190"/>
      <c r="L40" s="177"/>
      <c r="M40" s="255"/>
      <c r="N40" s="189"/>
      <c r="O40"/>
      <c r="P40"/>
      <c r="Q40"/>
    </row>
    <row r="41" spans="1:17" x14ac:dyDescent="0.2">
      <c r="A41" s="191">
        <f t="shared" si="6"/>
        <v>2019</v>
      </c>
      <c r="B41" s="195">
        <f>'Input - Customer Data'!L$70</f>
        <v>68296619.869135812</v>
      </c>
      <c r="C41" s="177">
        <f t="shared" si="7"/>
        <v>490029500.53746313</v>
      </c>
      <c r="D41" s="401">
        <f t="shared" si="10"/>
        <v>0.13937246593159849</v>
      </c>
      <c r="E41" s="177">
        <f t="shared" si="8"/>
        <v>479155760.91665858</v>
      </c>
      <c r="F41" s="177">
        <f>E41*D41</f>
        <v>66781119.964286149</v>
      </c>
      <c r="G41" s="176">
        <f>F41/'Input - Customer Data'!G14</f>
        <v>26758.829957641039</v>
      </c>
      <c r="I41" s="234"/>
      <c r="K41" s="186" t="s">
        <v>99</v>
      </c>
      <c r="L41" s="185"/>
      <c r="M41" s="185"/>
      <c r="N41" s="187">
        <f>AVERAGE(N32:N36)</f>
        <v>2.6734087735394117E-3</v>
      </c>
      <c r="O41"/>
      <c r="P41"/>
      <c r="Q41"/>
    </row>
    <row r="42" spans="1:17" ht="13.5" thickBot="1" x14ac:dyDescent="0.25">
      <c r="A42" s="191">
        <f t="shared" si="6"/>
        <v>2020</v>
      </c>
      <c r="B42" s="195">
        <f>'Input - Customer Data'!M$70</f>
        <v>63219121.669230707</v>
      </c>
      <c r="C42" s="177">
        <f t="shared" si="7"/>
        <v>482494034.60487103</v>
      </c>
      <c r="D42" s="401">
        <f t="shared" si="10"/>
        <v>0.13102570629915197</v>
      </c>
      <c r="E42" s="177">
        <f t="shared" si="8"/>
        <v>485200688.17516398</v>
      </c>
      <c r="F42" s="177">
        <f>E42*D42</f>
        <v>63573762.864985459</v>
      </c>
      <c r="G42" s="176">
        <f>F42/'Input - Customer Data'!G15</f>
        <v>25292.084818480438</v>
      </c>
      <c r="I42" s="234"/>
      <c r="K42" s="182"/>
      <c r="L42" s="181"/>
      <c r="M42" s="181"/>
      <c r="N42" s="183"/>
    </row>
    <row r="43" spans="1:17" x14ac:dyDescent="0.2">
      <c r="A43" s="293">
        <f t="shared" si="6"/>
        <v>2021</v>
      </c>
      <c r="B43" s="195"/>
      <c r="C43" s="177"/>
      <c r="D43" s="290">
        <f>AVERAGE(D38:D42)</f>
        <v>0.13730556678902389</v>
      </c>
      <c r="E43" s="286">
        <f t="shared" si="8"/>
        <v>483534816.53621757</v>
      </c>
      <c r="F43" s="286">
        <f>E43*D43</f>
        <v>66392022.046732038</v>
      </c>
      <c r="G43" s="289">
        <f>F43/'Input - Customer Data'!G15</f>
        <v>26413.296573974221</v>
      </c>
      <c r="I43" s="234"/>
    </row>
    <row r="44" spans="1:17" x14ac:dyDescent="0.2">
      <c r="A44" s="293">
        <f t="shared" si="6"/>
        <v>2022</v>
      </c>
      <c r="B44" s="291"/>
      <c r="C44" s="292" t="s">
        <v>99</v>
      </c>
      <c r="D44" s="290">
        <f>D43</f>
        <v>0.13730556678902389</v>
      </c>
      <c r="E44" s="286">
        <f t="shared" si="8"/>
        <v>484684072.30779141</v>
      </c>
      <c r="F44" s="286">
        <f t="shared" si="9"/>
        <v>66549821.261833541</v>
      </c>
      <c r="G44" s="289">
        <f>F44/'Input - Customer Data'!G15</f>
        <v>26476.075163014371</v>
      </c>
      <c r="I44" s="234"/>
    </row>
    <row r="45" spans="1:17" ht="13.5" thickBot="1" x14ac:dyDescent="0.25">
      <c r="A45" s="402">
        <f t="shared" si="6"/>
        <v>2022</v>
      </c>
      <c r="B45" s="263"/>
      <c r="C45" s="263"/>
      <c r="D45" s="264">
        <f>D44</f>
        <v>0.13730556678902389</v>
      </c>
      <c r="E45" s="265">
        <f t="shared" si="8"/>
        <v>484684072.30779141</v>
      </c>
      <c r="F45" s="265">
        <f t="shared" si="9"/>
        <v>66549821.261833541</v>
      </c>
      <c r="G45" s="266">
        <f>F45/'Input - Customer Data'!G15</f>
        <v>26476.075163014371</v>
      </c>
      <c r="I45" s="234"/>
    </row>
    <row r="46" spans="1:17" ht="15.75" x14ac:dyDescent="0.2">
      <c r="A46" s="222"/>
      <c r="B46" s="172"/>
      <c r="C46" s="172"/>
      <c r="D46" s="172"/>
      <c r="E46" s="172"/>
      <c r="F46" s="171"/>
      <c r="G46" s="219"/>
      <c r="I46" s="234"/>
      <c r="K46" s="545" t="str">
        <f>'Input - Customer Data'!A17</f>
        <v xml:space="preserve">Street Lighting </v>
      </c>
      <c r="L46" s="546"/>
      <c r="M46" s="546"/>
      <c r="N46" s="546"/>
      <c r="O46" s="546"/>
      <c r="P46" s="546"/>
      <c r="Q46" s="547"/>
    </row>
    <row r="47" spans="1:17" x14ac:dyDescent="0.2">
      <c r="A47" s="222"/>
      <c r="B47" s="172"/>
      <c r="C47" s="172"/>
      <c r="D47" s="172"/>
      <c r="E47" s="172"/>
      <c r="F47" s="171"/>
      <c r="G47" s="219"/>
      <c r="I47" s="234"/>
      <c r="K47" s="269" t="s">
        <v>74</v>
      </c>
      <c r="L47" s="399" t="s">
        <v>75</v>
      </c>
      <c r="M47" s="399" t="s">
        <v>76</v>
      </c>
      <c r="N47" s="399" t="s">
        <v>101</v>
      </c>
      <c r="O47" s="399" t="s">
        <v>100</v>
      </c>
      <c r="P47" s="399" t="s">
        <v>103</v>
      </c>
      <c r="Q47" s="268" t="s">
        <v>102</v>
      </c>
    </row>
    <row r="48" spans="1:17" x14ac:dyDescent="0.2">
      <c r="A48" s="222"/>
      <c r="B48" s="172"/>
      <c r="C48" s="172"/>
      <c r="D48" s="172"/>
      <c r="E48" s="172"/>
      <c r="F48" s="171"/>
      <c r="G48" s="219"/>
      <c r="I48" s="234"/>
      <c r="K48" s="476">
        <f>K5</f>
        <v>2011</v>
      </c>
      <c r="L48" s="195">
        <f>'Input - Customer Data'!D$84</f>
        <v>4475401.3080000002</v>
      </c>
      <c r="M48" s="195">
        <f>'Input - Customer Data'!D$85</f>
        <v>11787.854000000001</v>
      </c>
      <c r="N48" s="195">
        <f>'Input - Customer Data'!D$86</f>
        <v>5706.333333333333</v>
      </c>
      <c r="O48" s="177">
        <f>L48/N48</f>
        <v>784.28669454991541</v>
      </c>
      <c r="P48" s="193">
        <f t="shared" ref="P48:P57" si="11">M48/N48</f>
        <v>2.0657492844208192</v>
      </c>
      <c r="Q48" s="192">
        <f>M48/L48</f>
        <v>2.6339211142760834E-3</v>
      </c>
    </row>
    <row r="49" spans="1:17" x14ac:dyDescent="0.2">
      <c r="A49" s="222"/>
      <c r="B49" s="172"/>
      <c r="C49" s="172"/>
      <c r="D49" s="172"/>
      <c r="E49" s="172"/>
      <c r="F49" s="171"/>
      <c r="G49" s="219"/>
      <c r="I49" s="234"/>
      <c r="K49" s="191">
        <f t="shared" ref="K49:K59" si="12">K6</f>
        <v>2012</v>
      </c>
      <c r="L49" s="195">
        <f>'Input - Customer Data'!E$84</f>
        <v>4830575.8319999995</v>
      </c>
      <c r="M49" s="195">
        <f>'Input - Customer Data'!E$85</f>
        <v>12882.322</v>
      </c>
      <c r="N49" s="195">
        <f>'Input - Customer Data'!E$86</f>
        <v>5711</v>
      </c>
      <c r="O49" s="177">
        <f t="shared" ref="O49:O57" si="13">L49/N49</f>
        <v>845.83712694799499</v>
      </c>
      <c r="P49" s="193">
        <f t="shared" si="11"/>
        <v>2.25570337944318</v>
      </c>
      <c r="Q49" s="192">
        <f t="shared" ref="Q49:Q58" si="14">M49/L49</f>
        <v>2.6668294729298024E-3</v>
      </c>
    </row>
    <row r="50" spans="1:17" ht="15" x14ac:dyDescent="0.2">
      <c r="A50" s="549" t="s">
        <v>96</v>
      </c>
      <c r="B50" s="550"/>
      <c r="C50" s="550"/>
      <c r="D50" s="550"/>
      <c r="E50" s="550"/>
      <c r="F50" s="550"/>
      <c r="G50" s="551"/>
      <c r="I50" s="234"/>
      <c r="K50" s="191">
        <f t="shared" si="12"/>
        <v>2013</v>
      </c>
      <c r="L50" s="195">
        <f>'Input - Customer Data'!F$84</f>
        <v>4446652.6829999993</v>
      </c>
      <c r="M50" s="195">
        <f>'Input - Customer Data'!F$85</f>
        <v>13844.464000000002</v>
      </c>
      <c r="N50" s="195">
        <f>'Input - Customer Data'!F$86</f>
        <v>5699.25</v>
      </c>
      <c r="O50" s="177">
        <f t="shared" si="13"/>
        <v>780.21716594288705</v>
      </c>
      <c r="P50" s="193">
        <f t="shared" si="11"/>
        <v>2.4291729613545643</v>
      </c>
      <c r="Q50" s="192">
        <f t="shared" si="14"/>
        <v>3.1134574672154586E-3</v>
      </c>
    </row>
    <row r="51" spans="1:17" x14ac:dyDescent="0.2">
      <c r="A51" s="220"/>
      <c r="B51" s="170"/>
      <c r="C51" s="170"/>
      <c r="D51" s="170"/>
      <c r="E51" s="170"/>
      <c r="F51" s="170"/>
      <c r="G51" s="221"/>
      <c r="I51" s="234"/>
      <c r="K51" s="191">
        <f t="shared" si="12"/>
        <v>2014</v>
      </c>
      <c r="L51" s="195">
        <f>'Input - Customer Data'!G$84</f>
        <v>4336774.25</v>
      </c>
      <c r="M51" s="195">
        <f>'Input - Customer Data'!G$85</f>
        <v>13285.41</v>
      </c>
      <c r="N51" s="195">
        <f>'Input - Customer Data'!G$86</f>
        <v>5708.333333333333</v>
      </c>
      <c r="O51" s="177">
        <f t="shared" si="13"/>
        <v>759.72687591240879</v>
      </c>
      <c r="P51" s="193">
        <f t="shared" si="11"/>
        <v>2.3273710948905109</v>
      </c>
      <c r="Q51" s="192">
        <f t="shared" si="14"/>
        <v>3.0634313049612855E-3</v>
      </c>
    </row>
    <row r="52" spans="1:17" x14ac:dyDescent="0.2">
      <c r="A52" s="157" t="s">
        <v>95</v>
      </c>
      <c r="B52" s="157"/>
      <c r="C52" s="157"/>
      <c r="D52" s="157"/>
      <c r="E52" s="157"/>
      <c r="F52" s="157"/>
      <c r="G52" s="157"/>
      <c r="I52" s="234"/>
      <c r="K52" s="191">
        <f t="shared" si="12"/>
        <v>2015</v>
      </c>
      <c r="L52" s="195">
        <f>'Input - Customer Data'!H$84</f>
        <v>3697574.9299999997</v>
      </c>
      <c r="M52" s="195">
        <f>'Input - Customer Data'!H$85</f>
        <v>11208.64</v>
      </c>
      <c r="N52" s="195">
        <f>'Input - Customer Data'!H$86</f>
        <v>5699.583333333333</v>
      </c>
      <c r="O52" s="177">
        <f t="shared" si="13"/>
        <v>648.74477900431316</v>
      </c>
      <c r="P52" s="193">
        <f t="shared" si="11"/>
        <v>1.9665718254258353</v>
      </c>
      <c r="Q52" s="192">
        <f t="shared" si="14"/>
        <v>3.0313489820204941E-3</v>
      </c>
    </row>
    <row r="53" spans="1:17" ht="39" customHeight="1" x14ac:dyDescent="0.2">
      <c r="A53" s="393" t="s">
        <v>74</v>
      </c>
      <c r="B53" s="393" t="s">
        <v>94</v>
      </c>
      <c r="C53" s="393" t="s">
        <v>93</v>
      </c>
      <c r="D53" s="438" t="s">
        <v>214</v>
      </c>
      <c r="E53" s="395"/>
      <c r="F53" s="396"/>
      <c r="G53" s="194" t="s">
        <v>77</v>
      </c>
      <c r="I53" s="234"/>
      <c r="K53" s="191">
        <f t="shared" si="12"/>
        <v>2016</v>
      </c>
      <c r="L53" s="195">
        <f>'Input - Customer Data'!I$84</f>
        <v>2159285.8400000003</v>
      </c>
      <c r="M53" s="195">
        <f>'Input - Customer Data'!I$85</f>
        <v>6413.35</v>
      </c>
      <c r="N53" s="195">
        <f>'Input - Customer Data'!I$86</f>
        <v>5735.75</v>
      </c>
      <c r="O53" s="177">
        <f t="shared" si="13"/>
        <v>376.4609405919017</v>
      </c>
      <c r="P53" s="193">
        <f t="shared" si="11"/>
        <v>1.118136250708277</v>
      </c>
      <c r="Q53" s="192">
        <f t="shared" si="14"/>
        <v>2.9701255300224631E-3</v>
      </c>
    </row>
    <row r="54" spans="1:17" x14ac:dyDescent="0.2">
      <c r="A54" s="293">
        <f>A43</f>
        <v>2021</v>
      </c>
      <c r="B54" s="439">
        <f>'Input - Customer Data'!G24-'Input - Customer Data'!G15</f>
        <v>0.7325477945169041</v>
      </c>
      <c r="C54" s="255">
        <f>G43</f>
        <v>26413.296573974221</v>
      </c>
      <c r="D54" s="255">
        <f>B54*C54</f>
        <v>19349.002151185716</v>
      </c>
      <c r="E54" s="255"/>
      <c r="F54" s="255"/>
      <c r="G54" s="391">
        <f>F43+D54</f>
        <v>66411371.048883222</v>
      </c>
      <c r="I54" s="234"/>
      <c r="K54" s="191">
        <f t="shared" si="12"/>
        <v>2017</v>
      </c>
      <c r="L54" s="195">
        <f>'Input - Customer Data'!J$84</f>
        <v>1392668.2526115859</v>
      </c>
      <c r="M54" s="195">
        <f>'Input - Customer Data'!J$85</f>
        <v>4209.0200000000004</v>
      </c>
      <c r="N54" s="195">
        <f>'Input - Customer Data'!J$86</f>
        <v>5742.916666666667</v>
      </c>
      <c r="O54" s="177">
        <f t="shared" si="13"/>
        <v>242.50190860246724</v>
      </c>
      <c r="P54" s="193">
        <f t="shared" si="11"/>
        <v>0.73290633388957416</v>
      </c>
      <c r="Q54" s="192">
        <f t="shared" si="14"/>
        <v>3.0222703735129177E-3</v>
      </c>
    </row>
    <row r="55" spans="1:17" x14ac:dyDescent="0.2">
      <c r="A55" s="293">
        <f>A44</f>
        <v>2022</v>
      </c>
      <c r="B55" s="440">
        <f>'Input - Customer Data'!G25-'Input - Customer Data'!G24</f>
        <v>0.73276128505995075</v>
      </c>
      <c r="C55" s="286">
        <f>G44</f>
        <v>26476.075163014371</v>
      </c>
      <c r="D55" s="286">
        <f>B55*C55</f>
        <v>19400.642859794254</v>
      </c>
      <c r="E55" s="286"/>
      <c r="F55" s="286"/>
      <c r="G55" s="391">
        <f>F44+D54+D55</f>
        <v>66588570.906844519</v>
      </c>
      <c r="I55" s="234"/>
      <c r="K55" s="406">
        <f t="shared" si="12"/>
        <v>2018</v>
      </c>
      <c r="L55" s="407">
        <f>'Input - Customer Data'!K$84</f>
        <v>1390046.9705603039</v>
      </c>
      <c r="M55" s="407">
        <f>'Input - Customer Data'!K$85</f>
        <v>4251.8</v>
      </c>
      <c r="N55" s="407">
        <f>'Input - Customer Data'!K$86</f>
        <v>5774.416666666667</v>
      </c>
      <c r="O55" s="407">
        <f t="shared" si="13"/>
        <v>240.72508978863155</v>
      </c>
      <c r="P55" s="408">
        <f t="shared" si="11"/>
        <v>0.73631679967673502</v>
      </c>
      <c r="Q55" s="409">
        <f t="shared" si="14"/>
        <v>3.058745560436834E-3</v>
      </c>
    </row>
    <row r="56" spans="1:17" x14ac:dyDescent="0.2">
      <c r="I56" s="234"/>
      <c r="K56" s="406">
        <f t="shared" si="12"/>
        <v>2019</v>
      </c>
      <c r="L56" s="407">
        <f>'Input - Customer Data'!L$84</f>
        <v>1401777.7587844254</v>
      </c>
      <c r="M56" s="407">
        <f>'Input - Customer Data'!L$85</f>
        <v>4285.630000000001</v>
      </c>
      <c r="N56" s="407">
        <f>'Input - Customer Data'!L$86</f>
        <v>5878.666666666667</v>
      </c>
      <c r="O56" s="407">
        <f t="shared" si="13"/>
        <v>238.45164869320004</v>
      </c>
      <c r="P56" s="408">
        <f t="shared" si="11"/>
        <v>0.72901394874121128</v>
      </c>
      <c r="Q56" s="409">
        <f t="shared" si="14"/>
        <v>3.0572820642527209E-3</v>
      </c>
    </row>
    <row r="57" spans="1:17" x14ac:dyDescent="0.2">
      <c r="I57" s="234"/>
      <c r="K57" s="406">
        <f t="shared" si="12"/>
        <v>2020</v>
      </c>
      <c r="L57" s="407">
        <f>'Input - Customer Data'!M$84</f>
        <v>1425844.3209876544</v>
      </c>
      <c r="M57" s="407">
        <f>'Input - Customer Data'!M$85</f>
        <v>4348.49</v>
      </c>
      <c r="N57" s="407">
        <f>'Input - Customer Data'!M$86</f>
        <v>5997.166666666667</v>
      </c>
      <c r="O57" s="410">
        <f t="shared" si="13"/>
        <v>237.75299241102536</v>
      </c>
      <c r="P57" s="411">
        <f t="shared" si="11"/>
        <v>0.72509073729261031</v>
      </c>
      <c r="Q57" s="409">
        <f t="shared" si="14"/>
        <v>3.0497649259407832E-3</v>
      </c>
    </row>
    <row r="58" spans="1:17" ht="13.5" thickBot="1" x14ac:dyDescent="0.25">
      <c r="I58" s="234"/>
      <c r="K58" s="293">
        <f t="shared" si="12"/>
        <v>2021</v>
      </c>
      <c r="L58" s="286">
        <f>N58*O61</f>
        <v>1441120.2815711428</v>
      </c>
      <c r="M58" s="286">
        <f>L57*$Q$61</f>
        <v>4356.3310852224058</v>
      </c>
      <c r="N58" s="286">
        <f>'Input - Customer Data'!M24</f>
        <v>6030.3829767656025</v>
      </c>
      <c r="O58" s="286">
        <f>L58/N58</f>
        <v>238.97657696428561</v>
      </c>
      <c r="P58" s="288">
        <f>M58/N58</f>
        <v>0.72239708522773216</v>
      </c>
      <c r="Q58" s="287">
        <f t="shared" si="14"/>
        <v>3.0228782017230598E-3</v>
      </c>
    </row>
    <row r="59" spans="1:17" ht="15.75" customHeight="1" x14ac:dyDescent="0.2">
      <c r="A59" s="545" t="str">
        <f>'Input - Customer Data'!A15</f>
        <v>General Service 50 to 4999 kW</v>
      </c>
      <c r="B59" s="546"/>
      <c r="C59" s="546"/>
      <c r="D59" s="546"/>
      <c r="E59" s="546"/>
      <c r="F59" s="546"/>
      <c r="G59" s="547"/>
      <c r="I59" s="234"/>
      <c r="K59" s="293">
        <f t="shared" si="12"/>
        <v>2022</v>
      </c>
      <c r="L59" s="286">
        <f>N59*O61</f>
        <v>1449102.1671553131</v>
      </c>
      <c r="M59" s="286">
        <f>L58*$Q$61</f>
        <v>4403.0031804623595</v>
      </c>
      <c r="N59" s="286">
        <f>'Input - Customer Data'!M25</f>
        <v>6063.7832609506213</v>
      </c>
      <c r="O59" s="286">
        <f>L59/N59</f>
        <v>238.97657696428564</v>
      </c>
      <c r="P59" s="288">
        <f>M59/N59</f>
        <v>0.72611486772897937</v>
      </c>
      <c r="Q59" s="287">
        <f>M59/L59</f>
        <v>3.0384353017053013E-3</v>
      </c>
    </row>
    <row r="60" spans="1:17" ht="51" x14ac:dyDescent="0.2">
      <c r="A60" s="403" t="s">
        <v>74</v>
      </c>
      <c r="B60" s="404" t="s">
        <v>215</v>
      </c>
      <c r="C60" s="404" t="s">
        <v>216</v>
      </c>
      <c r="D60" s="404" t="s">
        <v>98</v>
      </c>
      <c r="E60" s="404" t="s">
        <v>141</v>
      </c>
      <c r="F60" s="404" t="s">
        <v>260</v>
      </c>
      <c r="G60" s="405" t="s">
        <v>97</v>
      </c>
      <c r="I60" s="234"/>
      <c r="K60" s="293"/>
      <c r="L60" s="286"/>
      <c r="M60" s="286"/>
      <c r="N60" s="286"/>
      <c r="O60" s="364"/>
      <c r="P60" s="288"/>
      <c r="Q60" s="287"/>
    </row>
    <row r="61" spans="1:17" x14ac:dyDescent="0.2">
      <c r="A61" s="191">
        <f t="shared" ref="A61:A73" si="15">A5</f>
        <v>2011</v>
      </c>
      <c r="B61" s="195">
        <f>'Input - Customer Data'!D$74-SUM('Input - Adjustments &amp; Variables'!F5:G16)</f>
        <v>214876814.13600001</v>
      </c>
      <c r="C61" s="177">
        <f t="shared" ref="C61:C70" si="16">C33</f>
        <v>535686877.93999976</v>
      </c>
      <c r="D61" s="401">
        <f>B61/C61</f>
        <v>0.40112390835914324</v>
      </c>
      <c r="E61" s="177">
        <f t="shared" ref="E61:E73" si="17">E33</f>
        <v>519265785.74484187</v>
      </c>
      <c r="F61" s="177">
        <f t="shared" ref="F61:F73" si="18">E61*D61</f>
        <v>208289921.45515245</v>
      </c>
      <c r="G61" s="176">
        <f>F61/'Input - Customer Data'!I6</f>
        <v>928139.27124464524</v>
      </c>
      <c r="I61" s="234"/>
      <c r="K61" s="190" t="s">
        <v>99</v>
      </c>
      <c r="L61" s="261"/>
      <c r="M61" s="261"/>
      <c r="N61" s="261"/>
      <c r="O61" s="185">
        <f>AVERAGE(O55:O57)</f>
        <v>238.97657696428564</v>
      </c>
      <c r="P61" s="188">
        <f>AVERAGE(P55:P57)</f>
        <v>0.73014049523685232</v>
      </c>
      <c r="Q61" s="398">
        <f>AVERAGE(Q55:Q57)</f>
        <v>3.0552641835434463E-3</v>
      </c>
    </row>
    <row r="62" spans="1:17" x14ac:dyDescent="0.2">
      <c r="A62" s="191">
        <f t="shared" si="15"/>
        <v>2012</v>
      </c>
      <c r="B62" s="195">
        <f>'Input - Customer Data'!E$74-SUM('Input - Adjustments &amp; Variables'!F17:G28)</f>
        <v>209735051.1925</v>
      </c>
      <c r="C62" s="177">
        <f t="shared" si="16"/>
        <v>521011391.83000016</v>
      </c>
      <c r="D62" s="401">
        <f t="shared" ref="D62:D70" si="19">B62/C62</f>
        <v>0.40255367633292377</v>
      </c>
      <c r="E62" s="177">
        <f t="shared" si="17"/>
        <v>514361286.59219617</v>
      </c>
      <c r="F62" s="177">
        <f t="shared" si="18"/>
        <v>207058026.88102117</v>
      </c>
      <c r="G62" s="176">
        <f>F62/'Input - Customer Data'!I7</f>
        <v>922307.46940321231</v>
      </c>
      <c r="I62" s="234"/>
      <c r="K62" s="190"/>
      <c r="L62" s="255"/>
      <c r="M62" s="255"/>
      <c r="N62" s="255"/>
      <c r="O62" s="196"/>
      <c r="P62" s="255"/>
      <c r="Q62" s="189"/>
    </row>
    <row r="63" spans="1:17" x14ac:dyDescent="0.2">
      <c r="A63" s="191">
        <f t="shared" si="15"/>
        <v>2013</v>
      </c>
      <c r="B63" s="195">
        <f>'Input - Customer Data'!F$74-SUM('Input - Adjustments &amp; Variables'!F29:G40)</f>
        <v>194627741.79700002</v>
      </c>
      <c r="C63" s="177">
        <f t="shared" si="16"/>
        <v>509774030.71999979</v>
      </c>
      <c r="D63" s="401">
        <f t="shared" si="19"/>
        <v>0.38179218647546587</v>
      </c>
      <c r="E63" s="177">
        <f t="shared" si="17"/>
        <v>518669018.32189274</v>
      </c>
      <c r="F63" s="177">
        <f t="shared" si="18"/>
        <v>198023778.56219891</v>
      </c>
      <c r="G63" s="176">
        <f>F63/'Input - Customer Data'!I8</f>
        <v>879779.83811417501</v>
      </c>
      <c r="I63" s="234"/>
      <c r="K63" s="186"/>
      <c r="L63" s="185"/>
      <c r="M63" s="185"/>
      <c r="N63" s="185"/>
      <c r="O63" s="365"/>
      <c r="P63" s="188"/>
      <c r="Q63" s="187"/>
    </row>
    <row r="64" spans="1:17" ht="13.5" thickBot="1" x14ac:dyDescent="0.25">
      <c r="A64" s="191">
        <f t="shared" si="15"/>
        <v>2014</v>
      </c>
      <c r="B64" s="195">
        <f>'Input - Customer Data'!G$74-SUM('Input - Adjustments &amp; Variables'!F41:G52)</f>
        <v>195767695.11000001</v>
      </c>
      <c r="C64" s="177">
        <f t="shared" si="16"/>
        <v>504927925.73999989</v>
      </c>
      <c r="D64" s="401">
        <f t="shared" si="19"/>
        <v>0.38771413726640608</v>
      </c>
      <c r="E64" s="177">
        <f t="shared" si="17"/>
        <v>508838291.66616559</v>
      </c>
      <c r="F64" s="177">
        <f t="shared" si="18"/>
        <v>197283799.26145929</v>
      </c>
      <c r="G64" s="176">
        <f>F64/'Input - Customer Data'!I9</f>
        <v>876492.25884395093</v>
      </c>
      <c r="I64" s="234"/>
      <c r="K64" s="180"/>
      <c r="L64" s="179"/>
      <c r="M64" s="179"/>
      <c r="N64" s="179"/>
      <c r="O64" s="366"/>
      <c r="P64" s="179"/>
      <c r="Q64" s="178"/>
    </row>
    <row r="65" spans="1:17" x14ac:dyDescent="0.2">
      <c r="A65" s="191">
        <f t="shared" si="15"/>
        <v>2015</v>
      </c>
      <c r="B65" s="195">
        <f>'Input - Customer Data'!H$74-SUM('Input - Adjustments &amp; Variables'!F53:G64)</f>
        <v>189310138.06999999</v>
      </c>
      <c r="C65" s="177">
        <f t="shared" si="16"/>
        <v>494324941.81999999</v>
      </c>
      <c r="D65" s="401">
        <f t="shared" si="19"/>
        <v>0.38296699610786389</v>
      </c>
      <c r="E65" s="177">
        <f t="shared" si="17"/>
        <v>502378987.60518181</v>
      </c>
      <c r="F65" s="177">
        <f t="shared" si="18"/>
        <v>192394571.79086626</v>
      </c>
      <c r="G65" s="176">
        <f>F65/'Input - Customer Data'!I10</f>
        <v>875847.82302367035</v>
      </c>
      <c r="I65" s="234"/>
    </row>
    <row r="66" spans="1:17" x14ac:dyDescent="0.2">
      <c r="A66" s="191">
        <f t="shared" si="15"/>
        <v>2016</v>
      </c>
      <c r="B66" s="195">
        <f>'Input - Customer Data'!I$74-SUM('Input - Adjustments &amp; Variables'!F65:G76)</f>
        <v>185209883.51999998</v>
      </c>
      <c r="C66" s="177">
        <f t="shared" si="16"/>
        <v>491633276.0999999</v>
      </c>
      <c r="D66" s="401">
        <f t="shared" si="19"/>
        <v>0.37672365261607649</v>
      </c>
      <c r="E66" s="177">
        <f t="shared" si="17"/>
        <v>504999217.14441788</v>
      </c>
      <c r="F66" s="177">
        <f t="shared" si="18"/>
        <v>190245149.65090427</v>
      </c>
      <c r="G66" s="176">
        <f>F66/'Input - Customer Data'!I11</f>
        <v>925391.89128936001</v>
      </c>
      <c r="I66" s="234"/>
    </row>
    <row r="67" spans="1:17" ht="13.5" thickBot="1" x14ac:dyDescent="0.25">
      <c r="A67" s="191">
        <f t="shared" si="15"/>
        <v>2017</v>
      </c>
      <c r="B67" s="195">
        <f>'Input - Customer Data'!J$74-SUM('Input - Adjustments &amp; Variables'!F77:G88)</f>
        <v>183196052.27825353</v>
      </c>
      <c r="C67" s="177">
        <f t="shared" si="16"/>
        <v>476909006.87999994</v>
      </c>
      <c r="D67" s="401">
        <f t="shared" si="19"/>
        <v>0.38413208732782311</v>
      </c>
      <c r="E67" s="177">
        <f t="shared" si="17"/>
        <v>480971996.28364104</v>
      </c>
      <c r="F67" s="177">
        <f t="shared" si="18"/>
        <v>184756776.878665</v>
      </c>
      <c r="G67" s="176">
        <f>F67/'Input - Customer Data'!I12</f>
        <v>933115.03474073228</v>
      </c>
      <c r="I67" s="234"/>
    </row>
    <row r="68" spans="1:17" ht="15.75" x14ac:dyDescent="0.2">
      <c r="A68" s="191">
        <f t="shared" si="15"/>
        <v>2018</v>
      </c>
      <c r="B68" s="195">
        <f>'Input - Customer Data'!K$74-SUM('Input - Adjustments &amp; Variables'!F89:G100)</f>
        <v>185835409.80878308</v>
      </c>
      <c r="C68" s="177">
        <f t="shared" si="16"/>
        <v>502625267.95999998</v>
      </c>
      <c r="D68" s="401">
        <f t="shared" si="19"/>
        <v>0.36972954137986608</v>
      </c>
      <c r="E68" s="177">
        <f t="shared" si="17"/>
        <v>495575207.8174206</v>
      </c>
      <c r="F68" s="177">
        <f t="shared" si="18"/>
        <v>183228794.30556673</v>
      </c>
      <c r="G68" s="176">
        <f>F68/'Input - Customer Data'!I13</f>
        <v>926958.48721197341</v>
      </c>
      <c r="I68" s="234"/>
      <c r="K68" s="545" t="str">
        <f>'Input - Customer Data'!A18</f>
        <v>Sentinel</v>
      </c>
      <c r="L68" s="546"/>
      <c r="M68" s="546"/>
      <c r="N68" s="546"/>
      <c r="O68" s="546"/>
      <c r="P68" s="546"/>
      <c r="Q68" s="547"/>
    </row>
    <row r="69" spans="1:17" x14ac:dyDescent="0.2">
      <c r="A69" s="191">
        <f t="shared" si="15"/>
        <v>2019</v>
      </c>
      <c r="B69" s="195">
        <f>'Input - Customer Data'!L$74-SUM('Input - Adjustments &amp; Variables'!F101:G112)</f>
        <v>179705785.74639916</v>
      </c>
      <c r="C69" s="177">
        <f t="shared" si="16"/>
        <v>490029500.53746313</v>
      </c>
      <c r="D69" s="401">
        <f t="shared" si="19"/>
        <v>0.3667244228139292</v>
      </c>
      <c r="E69" s="177">
        <f t="shared" si="17"/>
        <v>479155760.91665858</v>
      </c>
      <c r="F69" s="177">
        <f t="shared" si="18"/>
        <v>175718119.86013067</v>
      </c>
      <c r="G69" s="176">
        <f>F69/'Input - Customer Data'!I14</f>
        <v>923212.53866968828</v>
      </c>
      <c r="I69" s="234"/>
      <c r="K69" s="269" t="s">
        <v>74</v>
      </c>
      <c r="L69" s="399" t="s">
        <v>75</v>
      </c>
      <c r="M69" s="399" t="s">
        <v>76</v>
      </c>
      <c r="N69" s="399" t="s">
        <v>101</v>
      </c>
      <c r="O69" s="399" t="s">
        <v>100</v>
      </c>
      <c r="P69" s="399" t="s">
        <v>103</v>
      </c>
      <c r="Q69" s="268" t="s">
        <v>102</v>
      </c>
    </row>
    <row r="70" spans="1:17" x14ac:dyDescent="0.2">
      <c r="A70" s="191">
        <f t="shared" si="15"/>
        <v>2020</v>
      </c>
      <c r="B70" s="195">
        <f>'Input - Customer Data'!M$74-SUM('Input - Adjustments &amp; Variables'!F113:G124)</f>
        <v>165593467.56708583</v>
      </c>
      <c r="C70" s="177">
        <f t="shared" si="16"/>
        <v>482494034.60487103</v>
      </c>
      <c r="D70" s="401">
        <f t="shared" si="19"/>
        <v>0.34320313970865013</v>
      </c>
      <c r="E70" s="177">
        <f t="shared" si="17"/>
        <v>485200688.17516398</v>
      </c>
      <c r="F70" s="177">
        <f>E70*D70</f>
        <v>166522399.57051399</v>
      </c>
      <c r="G70" s="176">
        <f>F70/'Input - Customer Data'!I15</f>
        <v>862065.91667220369</v>
      </c>
      <c r="I70" s="234"/>
      <c r="K70" s="473">
        <f>K5</f>
        <v>2011</v>
      </c>
      <c r="L70" s="195">
        <f>'Input - Customer Data'!D$89</f>
        <v>761036.95</v>
      </c>
      <c r="M70" s="195">
        <f>'Input - Customer Data'!D$90</f>
        <v>2333.1769999999997</v>
      </c>
      <c r="N70" s="195">
        <f>'Input - Customer Data'!D$91</f>
        <v>828.25</v>
      </c>
      <c r="O70" s="177">
        <f>L70/N70</f>
        <v>918.84932085722903</v>
      </c>
      <c r="P70" s="193">
        <f t="shared" ref="P70:P82" si="20">M70/N70</f>
        <v>2.8169960760639898</v>
      </c>
      <c r="Q70" s="192">
        <f>M70/L70</f>
        <v>3.0657867531924698E-3</v>
      </c>
    </row>
    <row r="71" spans="1:17" x14ac:dyDescent="0.2">
      <c r="A71" s="293">
        <f t="shared" si="15"/>
        <v>2021</v>
      </c>
      <c r="B71" s="195"/>
      <c r="C71" s="177"/>
      <c r="D71" s="290">
        <f>AVERAGE(D66:D70)</f>
        <v>0.368102568769269</v>
      </c>
      <c r="E71" s="286">
        <f t="shared" si="17"/>
        <v>483534816.53621757</v>
      </c>
      <c r="F71" s="286">
        <f>E71*D71</f>
        <v>177990408.0563589</v>
      </c>
      <c r="G71" s="289">
        <f>F71/'Input - Customer Data'!I15</f>
        <v>921434.38165500737</v>
      </c>
      <c r="I71" s="234"/>
      <c r="K71" s="475">
        <f t="shared" ref="K71:K81" si="21">K6</f>
        <v>2012</v>
      </c>
      <c r="L71" s="195">
        <f>'Input - Customer Data'!E$89</f>
        <v>713312.87300000002</v>
      </c>
      <c r="M71" s="195">
        <f>'Input - Customer Data'!E$90</f>
        <v>2174.4479999999999</v>
      </c>
      <c r="N71" s="195">
        <f>'Input - Customer Data'!E$91</f>
        <v>781.91666666666663</v>
      </c>
      <c r="O71" s="177">
        <f t="shared" ref="O71:O82" si="22">L71/N71</f>
        <v>912.26201385484399</v>
      </c>
      <c r="P71" s="193">
        <f t="shared" si="20"/>
        <v>2.7809203879356281</v>
      </c>
      <c r="Q71" s="192">
        <f t="shared" ref="Q71:Q82" si="23">M71/L71</f>
        <v>3.0483790245574324E-3</v>
      </c>
    </row>
    <row r="72" spans="1:17" x14ac:dyDescent="0.2">
      <c r="A72" s="293">
        <f t="shared" si="15"/>
        <v>2022</v>
      </c>
      <c r="B72" s="291"/>
      <c r="C72" s="292" t="s">
        <v>99</v>
      </c>
      <c r="D72" s="290">
        <f>D71</f>
        <v>0.368102568769269</v>
      </c>
      <c r="E72" s="286">
        <f t="shared" si="17"/>
        <v>484684072.30779141</v>
      </c>
      <c r="F72" s="286">
        <f t="shared" si="18"/>
        <v>178413452.05804813</v>
      </c>
      <c r="G72" s="289">
        <f>F72/'Input - Customer Data'!I15</f>
        <v>923624.42825564183</v>
      </c>
      <c r="I72" s="234"/>
      <c r="K72" s="475">
        <f t="shared" si="21"/>
        <v>2013</v>
      </c>
      <c r="L72" s="195">
        <f>'Input - Customer Data'!F$89</f>
        <v>636304.67499999993</v>
      </c>
      <c r="M72" s="195">
        <f>'Input - Customer Data'!F$90</f>
        <v>2091</v>
      </c>
      <c r="N72" s="195">
        <f>'Input - Customer Data'!F$91</f>
        <v>772.91666666666663</v>
      </c>
      <c r="O72" s="177">
        <f t="shared" si="22"/>
        <v>823.25133153638808</v>
      </c>
      <c r="P72" s="193">
        <f t="shared" si="20"/>
        <v>2.70533692722372</v>
      </c>
      <c r="Q72" s="192">
        <f t="shared" si="23"/>
        <v>3.2861616174672931E-3</v>
      </c>
    </row>
    <row r="73" spans="1:17" ht="13.5" thickBot="1" x14ac:dyDescent="0.25">
      <c r="A73" s="402">
        <f t="shared" si="15"/>
        <v>2022</v>
      </c>
      <c r="B73" s="263"/>
      <c r="C73" s="263"/>
      <c r="D73" s="264">
        <f>D72</f>
        <v>0.368102568769269</v>
      </c>
      <c r="E73" s="265">
        <f t="shared" si="17"/>
        <v>484684072.30779141</v>
      </c>
      <c r="F73" s="265">
        <f t="shared" si="18"/>
        <v>178413452.05804813</v>
      </c>
      <c r="G73" s="266">
        <f>F73/'Input - Customer Data'!I15</f>
        <v>923624.42825564183</v>
      </c>
      <c r="I73" s="234"/>
      <c r="K73" s="475">
        <f t="shared" si="21"/>
        <v>2014</v>
      </c>
      <c r="L73" s="195">
        <f>'Input - Customer Data'!G$89</f>
        <v>697285.83000000007</v>
      </c>
      <c r="M73" s="195">
        <f>'Input - Customer Data'!G$90</f>
        <v>2125.66</v>
      </c>
      <c r="N73" s="195">
        <f>'Input - Customer Data'!G$91</f>
        <v>773.33333333333337</v>
      </c>
      <c r="O73" s="177">
        <f t="shared" si="22"/>
        <v>901.66271120689657</v>
      </c>
      <c r="P73" s="193">
        <f t="shared" si="20"/>
        <v>2.7486982758620688</v>
      </c>
      <c r="Q73" s="192">
        <f t="shared" si="23"/>
        <v>3.0484772650549914E-3</v>
      </c>
    </row>
    <row r="74" spans="1:17" x14ac:dyDescent="0.2">
      <c r="A74" s="222"/>
      <c r="B74" s="172"/>
      <c r="C74" s="172"/>
      <c r="D74" s="172"/>
      <c r="E74" s="172"/>
      <c r="F74" s="171"/>
      <c r="G74" s="219"/>
      <c r="I74" s="234"/>
      <c r="K74" s="475">
        <f t="shared" si="21"/>
        <v>2015</v>
      </c>
      <c r="L74" s="195">
        <f>'Input - Customer Data'!H$89</f>
        <v>690656.66999999993</v>
      </c>
      <c r="M74" s="195">
        <f>'Input - Customer Data'!H$90</f>
        <v>2268.02</v>
      </c>
      <c r="N74" s="195">
        <f>'Input - Customer Data'!H$91</f>
        <v>760.75</v>
      </c>
      <c r="O74" s="177">
        <f t="shared" si="22"/>
        <v>907.86285902070313</v>
      </c>
      <c r="P74" s="193">
        <f t="shared" si="20"/>
        <v>2.9812947748931973</v>
      </c>
      <c r="Q74" s="192">
        <f t="shared" si="23"/>
        <v>3.2838602717034505E-3</v>
      </c>
    </row>
    <row r="75" spans="1:17" x14ac:dyDescent="0.2">
      <c r="A75" s="222"/>
      <c r="B75" s="172"/>
      <c r="C75" s="172"/>
      <c r="D75" s="172"/>
      <c r="E75" s="172"/>
      <c r="F75" s="171"/>
      <c r="G75" s="219"/>
      <c r="I75" s="234"/>
      <c r="K75" s="475">
        <f t="shared" si="21"/>
        <v>2016</v>
      </c>
      <c r="L75" s="195">
        <f>'Input - Customer Data'!I$89</f>
        <v>667141.85</v>
      </c>
      <c r="M75" s="195">
        <f>'Input - Customer Data'!I$90</f>
        <v>2173.14</v>
      </c>
      <c r="N75" s="195">
        <f>'Input - Customer Data'!I$91</f>
        <v>732.5</v>
      </c>
      <c r="O75" s="177">
        <f t="shared" si="22"/>
        <v>910.77385665529005</v>
      </c>
      <c r="P75" s="193">
        <f t="shared" si="20"/>
        <v>2.9667440273037542</v>
      </c>
      <c r="Q75" s="192">
        <f t="shared" si="23"/>
        <v>3.2573882151149714E-3</v>
      </c>
    </row>
    <row r="76" spans="1:17" x14ac:dyDescent="0.2">
      <c r="A76" s="222"/>
      <c r="B76" s="172"/>
      <c r="C76" s="172"/>
      <c r="D76" s="172"/>
      <c r="E76" s="172"/>
      <c r="F76" s="171"/>
      <c r="G76" s="219"/>
      <c r="I76" s="234"/>
      <c r="K76" s="475">
        <f t="shared" si="21"/>
        <v>2017</v>
      </c>
      <c r="L76" s="195">
        <f>'Input - Customer Data'!J$89</f>
        <v>631149.96201329515</v>
      </c>
      <c r="M76" s="195">
        <f>'Input - Customer Data'!J$90</f>
        <v>2037.9700000000007</v>
      </c>
      <c r="N76" s="195">
        <f>'Input - Customer Data'!J$91</f>
        <v>705.66666666666663</v>
      </c>
      <c r="O76" s="177">
        <f t="shared" si="22"/>
        <v>894.40240247514669</v>
      </c>
      <c r="P76" s="193">
        <f t="shared" si="20"/>
        <v>2.8880066131317914</v>
      </c>
      <c r="Q76" s="192">
        <f t="shared" si="23"/>
        <v>3.2289790424752827E-3</v>
      </c>
    </row>
    <row r="77" spans="1:17" x14ac:dyDescent="0.2">
      <c r="A77" s="222"/>
      <c r="B77" s="172"/>
      <c r="C77" s="172"/>
      <c r="D77" s="172"/>
      <c r="E77" s="172"/>
      <c r="F77" s="171"/>
      <c r="G77" s="219"/>
      <c r="I77" s="234"/>
      <c r="K77" s="477">
        <f t="shared" si="21"/>
        <v>2018</v>
      </c>
      <c r="L77" s="407">
        <f>'Input - Customer Data'!K$89</f>
        <v>606042.11775878421</v>
      </c>
      <c r="M77" s="407">
        <f>'Input - Customer Data'!K$90</f>
        <v>1951.2900000000013</v>
      </c>
      <c r="N77" s="407">
        <f>'Input - Customer Data'!K$91</f>
        <v>698.25</v>
      </c>
      <c r="O77" s="407">
        <f t="shared" si="22"/>
        <v>867.9443147279402</v>
      </c>
      <c r="P77" s="408">
        <f t="shared" si="20"/>
        <v>2.7945435016111726</v>
      </c>
      <c r="Q77" s="409">
        <f t="shared" si="23"/>
        <v>3.2197267200109849E-3</v>
      </c>
    </row>
    <row r="78" spans="1:17" ht="15" x14ac:dyDescent="0.2">
      <c r="A78" s="549" t="s">
        <v>96</v>
      </c>
      <c r="B78" s="550"/>
      <c r="C78" s="550"/>
      <c r="D78" s="550"/>
      <c r="E78" s="550"/>
      <c r="F78" s="550"/>
      <c r="G78" s="551"/>
      <c r="I78" s="234"/>
      <c r="K78" s="477">
        <f t="shared" si="21"/>
        <v>2019</v>
      </c>
      <c r="L78" s="407">
        <f>'Input - Customer Data'!L$89</f>
        <v>565913.01442882093</v>
      </c>
      <c r="M78" s="407">
        <f>'Input - Customer Data'!L$90</f>
        <v>1856.1200000000003</v>
      </c>
      <c r="N78" s="407">
        <f>'Input - Customer Data'!L$91</f>
        <v>669.41666666666663</v>
      </c>
      <c r="O78" s="407">
        <f t="shared" si="22"/>
        <v>845.38231957498465</v>
      </c>
      <c r="P78" s="408">
        <f t="shared" si="20"/>
        <v>2.7727424374455376</v>
      </c>
      <c r="Q78" s="409">
        <f t="shared" si="23"/>
        <v>3.279868023309894E-3</v>
      </c>
    </row>
    <row r="79" spans="1:17" x14ac:dyDescent="0.2">
      <c r="A79" s="220"/>
      <c r="B79" s="170"/>
      <c r="C79" s="170"/>
      <c r="D79" s="170"/>
      <c r="E79" s="170"/>
      <c r="F79" s="170"/>
      <c r="G79" s="221"/>
      <c r="I79" s="234"/>
      <c r="K79" s="478">
        <f t="shared" si="21"/>
        <v>2020</v>
      </c>
      <c r="L79" s="407">
        <f>'Input - Customer Data'!M$89</f>
        <v>525914.78338748356</v>
      </c>
      <c r="M79" s="407">
        <f>'Input - Customer Data'!M$90</f>
        <v>1722.9099999999978</v>
      </c>
      <c r="N79" s="407">
        <f>'Input - Customer Data'!M$91</f>
        <v>644.66666666666663</v>
      </c>
      <c r="O79" s="410">
        <f t="shared" si="22"/>
        <v>815.79335582339752</v>
      </c>
      <c r="P79" s="411">
        <f t="shared" si="20"/>
        <v>2.6725594622543918</v>
      </c>
      <c r="Q79" s="412">
        <f t="shared" si="23"/>
        <v>3.2760250413622466E-3</v>
      </c>
    </row>
    <row r="80" spans="1:17" ht="12.75" customHeight="1" x14ac:dyDescent="0.2">
      <c r="A80" s="157" t="s">
        <v>107</v>
      </c>
      <c r="B80" s="157"/>
      <c r="C80" s="157"/>
      <c r="D80" s="157"/>
      <c r="E80" s="157"/>
      <c r="F80" s="157"/>
      <c r="G80" s="157"/>
      <c r="I80" s="234"/>
      <c r="K80" s="294">
        <f t="shared" si="21"/>
        <v>2021</v>
      </c>
      <c r="L80" s="286">
        <f>N80*O83</f>
        <v>528556.71089588641</v>
      </c>
      <c r="M80" s="286">
        <f>L79*$Q$61</f>
        <v>1606.8086012797885</v>
      </c>
      <c r="N80" s="286">
        <f>'Input - Customer Data'!O24</f>
        <v>626.96516530576287</v>
      </c>
      <c r="O80" s="286">
        <f>L80/N80</f>
        <v>843.0399967087742</v>
      </c>
      <c r="P80" s="288">
        <f>M80/N80</f>
        <v>2.5628355293011671</v>
      </c>
      <c r="Q80" s="287">
        <f t="shared" si="23"/>
        <v>3.0399928109063269E-3</v>
      </c>
    </row>
    <row r="81" spans="1:17" ht="38.25" x14ac:dyDescent="0.2">
      <c r="A81" s="393" t="s">
        <v>74</v>
      </c>
      <c r="B81" s="393" t="s">
        <v>94</v>
      </c>
      <c r="C81" s="393" t="s">
        <v>93</v>
      </c>
      <c r="D81" s="438" t="s">
        <v>214</v>
      </c>
      <c r="E81" s="438" t="s">
        <v>218</v>
      </c>
      <c r="F81" s="396"/>
      <c r="G81" s="194" t="s">
        <v>77</v>
      </c>
      <c r="I81" s="234"/>
      <c r="K81" s="294">
        <f t="shared" si="21"/>
        <v>2022</v>
      </c>
      <c r="L81" s="286">
        <f>N81*O83</f>
        <v>514043.40065197996</v>
      </c>
      <c r="M81" s="286">
        <f>L80*$Q$61</f>
        <v>1614.8803877717298</v>
      </c>
      <c r="N81" s="286">
        <f>'Input - Customer Data'!O25</f>
        <v>609.74971846982817</v>
      </c>
      <c r="O81" s="286">
        <f>L81/N81</f>
        <v>843.0399967087742</v>
      </c>
      <c r="P81" s="288">
        <f>M81/N81</f>
        <v>2.6484315430670229</v>
      </c>
      <c r="Q81" s="287">
        <f t="shared" si="23"/>
        <v>3.1415253765022921E-3</v>
      </c>
    </row>
    <row r="82" spans="1:17" x14ac:dyDescent="0.2">
      <c r="A82" s="390">
        <f>A26</f>
        <v>2021</v>
      </c>
      <c r="B82" s="439">
        <f>'Input - Customer Data'!I24-'Input - Customer Data'!I15</f>
        <v>-3.1917313195654913</v>
      </c>
      <c r="C82" s="255">
        <f>G71</f>
        <v>921434.38165500737</v>
      </c>
      <c r="D82" s="255">
        <f>B82*C82</f>
        <v>-2940970.9748527491</v>
      </c>
      <c r="E82" s="255">
        <v>3717774.7210013554</v>
      </c>
      <c r="F82" s="255"/>
      <c r="G82" s="391">
        <f>F71+D82+E82</f>
        <v>178767211.80250752</v>
      </c>
      <c r="I82" s="234"/>
      <c r="K82" s="260">
        <f>'Bridge&amp;Test Year Class Forecast'!K17</f>
        <v>2022</v>
      </c>
      <c r="L82" s="261">
        <f>N82*O84</f>
        <v>0</v>
      </c>
      <c r="M82" s="261">
        <f>N82*P84</f>
        <v>0</v>
      </c>
      <c r="N82" s="400">
        <f>'Input - Customer Data'!O25</f>
        <v>609.74971846982817</v>
      </c>
      <c r="O82" s="261">
        <f t="shared" si="22"/>
        <v>0</v>
      </c>
      <c r="P82" s="267">
        <f t="shared" si="20"/>
        <v>0</v>
      </c>
      <c r="Q82" s="262" t="e">
        <f t="shared" si="23"/>
        <v>#DIV/0!</v>
      </c>
    </row>
    <row r="83" spans="1:17" x14ac:dyDescent="0.2">
      <c r="A83" s="392">
        <f>A27</f>
        <v>2022</v>
      </c>
      <c r="B83" s="440">
        <f>'Input - Customer Data'!I25-'Input - Customer Data'!I24</f>
        <v>-3.1389937070566134</v>
      </c>
      <c r="C83" s="286">
        <f>G72</f>
        <v>923624.42825564183</v>
      </c>
      <c r="D83" s="286">
        <f>B83*C83</f>
        <v>-2899251.2679782221</v>
      </c>
      <c r="E83" s="286"/>
      <c r="F83" s="286"/>
      <c r="G83" s="391">
        <f>F72+D82+E82+D83+E83</f>
        <v>176291004.53621852</v>
      </c>
      <c r="K83" s="190"/>
      <c r="L83" s="177"/>
      <c r="M83" s="255"/>
      <c r="N83" s="255"/>
      <c r="O83" s="185">
        <f>AVERAGE(O77:O79)</f>
        <v>843.0399967087742</v>
      </c>
      <c r="P83" s="188">
        <f>AVERAGE(P77:P79)</f>
        <v>2.746615133770367</v>
      </c>
      <c r="Q83" s="188">
        <f>AVERAGE(Q77:Q79)</f>
        <v>3.2585399282277082E-3</v>
      </c>
    </row>
    <row r="84" spans="1:17" x14ac:dyDescent="0.2">
      <c r="K84" s="186"/>
      <c r="L84" s="185"/>
      <c r="M84" s="185"/>
      <c r="N84" s="185"/>
      <c r="O84" s="185"/>
      <c r="P84" s="188"/>
      <c r="Q84" s="187"/>
    </row>
    <row r="85" spans="1:17" ht="13.5" thickBot="1" x14ac:dyDescent="0.25">
      <c r="K85" s="180"/>
      <c r="L85" s="179"/>
      <c r="M85" s="179"/>
      <c r="N85" s="179"/>
      <c r="O85" s="179"/>
      <c r="P85" s="179"/>
      <c r="Q85" s="178"/>
    </row>
    <row r="86" spans="1:17" ht="13.5" thickBot="1" x14ac:dyDescent="0.25"/>
    <row r="87" spans="1:17" ht="15.75" x14ac:dyDescent="0.2">
      <c r="A87" s="545" t="s">
        <v>188</v>
      </c>
      <c r="B87" s="546"/>
      <c r="C87" s="546"/>
      <c r="D87" s="546"/>
      <c r="E87" s="546"/>
      <c r="F87" s="546"/>
      <c r="G87" s="547"/>
    </row>
    <row r="88" spans="1:17" ht="26.25" thickBot="1" x14ac:dyDescent="0.25">
      <c r="A88" s="403" t="s">
        <v>74</v>
      </c>
      <c r="B88" s="404" t="s">
        <v>112</v>
      </c>
      <c r="C88" s="404" t="s">
        <v>216</v>
      </c>
      <c r="D88" s="404" t="s">
        <v>98</v>
      </c>
      <c r="E88" s="404" t="s">
        <v>141</v>
      </c>
      <c r="F88" s="404" t="s">
        <v>261</v>
      </c>
      <c r="G88" s="405" t="s">
        <v>97</v>
      </c>
    </row>
    <row r="89" spans="1:17" ht="15.75" x14ac:dyDescent="0.2">
      <c r="A89" s="191">
        <f t="shared" ref="A89:A100" si="24">A33</f>
        <v>2011</v>
      </c>
      <c r="B89" s="195">
        <f>'Input - Customer Data'!D$79</f>
        <v>5010546.66</v>
      </c>
      <c r="C89" s="177">
        <f t="shared" ref="C89:C98" si="25">C33</f>
        <v>535686877.93999976</v>
      </c>
      <c r="D89" s="401">
        <f>B89/C89</f>
        <v>9.3534989680318665E-3</v>
      </c>
      <c r="E89" s="177">
        <f t="shared" ref="E89:E98" si="26">E33</f>
        <v>519265785.74484187</v>
      </c>
      <c r="F89" s="177">
        <f t="shared" ref="F89:F100" si="27">E89*D89</f>
        <v>4856951.9910986349</v>
      </c>
      <c r="G89" s="176">
        <f>F89/'Input - Customer Data'!K6</f>
        <v>4856951.9910986349</v>
      </c>
      <c r="K89" s="545" t="s">
        <v>129</v>
      </c>
      <c r="L89" s="546"/>
      <c r="M89" s="546"/>
      <c r="N89" s="546"/>
      <c r="O89" s="546"/>
      <c r="P89" s="546"/>
      <c r="Q89" s="547"/>
    </row>
    <row r="90" spans="1:17" x14ac:dyDescent="0.2">
      <c r="A90" s="191">
        <f t="shared" si="24"/>
        <v>2012</v>
      </c>
      <c r="B90" s="195">
        <f>'Input - Customer Data'!E$79</f>
        <v>5264498.6195</v>
      </c>
      <c r="C90" s="177">
        <f t="shared" si="25"/>
        <v>521011391.83000016</v>
      </c>
      <c r="D90" s="401">
        <f t="shared" ref="D90:D98" si="28">B90/C90</f>
        <v>1.0104382940666571E-2</v>
      </c>
      <c r="E90" s="177">
        <f t="shared" si="26"/>
        <v>514361286.59219617</v>
      </c>
      <c r="F90" s="177">
        <f t="shared" si="27"/>
        <v>5197303.4095814964</v>
      </c>
      <c r="G90" s="176">
        <f>F90/'Input - Customer Data'!K7</f>
        <v>5197303.4095814964</v>
      </c>
      <c r="K90" s="269" t="s">
        <v>74</v>
      </c>
      <c r="L90" s="399" t="s">
        <v>75</v>
      </c>
      <c r="M90" s="399" t="s">
        <v>76</v>
      </c>
      <c r="N90" s="399" t="s">
        <v>101</v>
      </c>
      <c r="O90" s="399" t="s">
        <v>256</v>
      </c>
      <c r="P90" s="399" t="s">
        <v>257</v>
      </c>
      <c r="Q90" s="268" t="s">
        <v>102</v>
      </c>
    </row>
    <row r="91" spans="1:17" x14ac:dyDescent="0.2">
      <c r="A91" s="191">
        <f t="shared" si="24"/>
        <v>2013</v>
      </c>
      <c r="B91" s="195">
        <f>'Input - Customer Data'!F$79</f>
        <v>4854403.5</v>
      </c>
      <c r="C91" s="177">
        <f t="shared" si="25"/>
        <v>509774030.71999979</v>
      </c>
      <c r="D91" s="401">
        <f t="shared" si="28"/>
        <v>9.5226575060006272E-3</v>
      </c>
      <c r="E91" s="177">
        <f t="shared" si="26"/>
        <v>518669018.32189274</v>
      </c>
      <c r="F91" s="177">
        <f t="shared" si="27"/>
        <v>4939107.4204529487</v>
      </c>
      <c r="G91" s="176">
        <f>F91/'Input - Customer Data'!K8</f>
        <v>4939107.4204529487</v>
      </c>
      <c r="K91" s="473">
        <f>K5</f>
        <v>2011</v>
      </c>
      <c r="L91" s="195">
        <f>'Input - Customer Data'!D$94</f>
        <v>1527928.1810000001</v>
      </c>
      <c r="M91" s="195"/>
      <c r="N91" s="195">
        <f>'Input - Customer Data'!D$96</f>
        <v>38.666666666666664</v>
      </c>
      <c r="O91" s="177">
        <f>L91/N91</f>
        <v>39515.383991379313</v>
      </c>
      <c r="P91" s="193">
        <f t="shared" ref="P91:P100" si="29">M91/N91</f>
        <v>0</v>
      </c>
      <c r="Q91" s="192">
        <f>M91/L91</f>
        <v>0</v>
      </c>
    </row>
    <row r="92" spans="1:17" x14ac:dyDescent="0.2">
      <c r="A92" s="191">
        <f t="shared" si="24"/>
        <v>2014</v>
      </c>
      <c r="B92" s="195">
        <f>'Input - Customer Data'!G$79</f>
        <v>4975331.1999999993</v>
      </c>
      <c r="C92" s="177">
        <f t="shared" si="25"/>
        <v>504927925.73999989</v>
      </c>
      <c r="D92" s="401">
        <f t="shared" si="28"/>
        <v>9.8535473012477479E-3</v>
      </c>
      <c r="E92" s="177">
        <f t="shared" si="26"/>
        <v>508838291.66616559</v>
      </c>
      <c r="F92" s="177">
        <f t="shared" si="27"/>
        <v>5013862.1756186606</v>
      </c>
      <c r="G92" s="176">
        <f>F92/'Input - Customer Data'!K9</f>
        <v>5013862.1756186606</v>
      </c>
      <c r="K92" s="475">
        <f t="shared" ref="K92:K102" si="30">K6</f>
        <v>2012</v>
      </c>
      <c r="L92" s="195">
        <f>'Input - Customer Data'!E$94</f>
        <v>1530261.9540000001</v>
      </c>
      <c r="M92" s="195"/>
      <c r="N92" s="195">
        <f>'Input - Customer Data'!E$96</f>
        <v>38.083333333333336</v>
      </c>
      <c r="O92" s="177">
        <f t="shared" ref="O92:O100" si="31">L92/N92</f>
        <v>40181.933146608317</v>
      </c>
      <c r="P92" s="193">
        <f t="shared" si="29"/>
        <v>0</v>
      </c>
      <c r="Q92" s="192">
        <f t="shared" ref="Q92:Q100" si="32">M92/L92</f>
        <v>0</v>
      </c>
    </row>
    <row r="93" spans="1:17" x14ac:dyDescent="0.2">
      <c r="A93" s="191">
        <f t="shared" si="24"/>
        <v>2015</v>
      </c>
      <c r="B93" s="195">
        <f>'Input - Customer Data'!H$79</f>
        <v>5138938.0000000009</v>
      </c>
      <c r="C93" s="177">
        <f t="shared" si="25"/>
        <v>494324941.81999999</v>
      </c>
      <c r="D93" s="401">
        <f t="shared" si="28"/>
        <v>1.0395870337999772E-2</v>
      </c>
      <c r="E93" s="177">
        <f t="shared" si="26"/>
        <v>502378987.60518181</v>
      </c>
      <c r="F93" s="177">
        <f t="shared" si="27"/>
        <v>5222666.815679065</v>
      </c>
      <c r="G93" s="176">
        <f>F93/'Input - Customer Data'!K10</f>
        <v>5222666.815679065</v>
      </c>
      <c r="K93" s="475">
        <f t="shared" si="30"/>
        <v>2013</v>
      </c>
      <c r="L93" s="195">
        <f>'Input - Customer Data'!F$94</f>
        <v>1532801.659</v>
      </c>
      <c r="M93" s="195"/>
      <c r="N93" s="195">
        <f>'Input - Customer Data'!F$96</f>
        <v>40.083333333333336</v>
      </c>
      <c r="O93" s="177">
        <f t="shared" si="31"/>
        <v>38240.374029106024</v>
      </c>
      <c r="P93" s="193">
        <f t="shared" si="29"/>
        <v>0</v>
      </c>
      <c r="Q93" s="192">
        <f t="shared" si="32"/>
        <v>0</v>
      </c>
    </row>
    <row r="94" spans="1:17" x14ac:dyDescent="0.2">
      <c r="A94" s="191">
        <f t="shared" si="24"/>
        <v>2016</v>
      </c>
      <c r="B94" s="195">
        <f>'Input - Customer Data'!I$79</f>
        <v>5604942.4199999999</v>
      </c>
      <c r="C94" s="177">
        <f t="shared" si="25"/>
        <v>491633276.0999999</v>
      </c>
      <c r="D94" s="401">
        <f t="shared" si="28"/>
        <v>1.1400657141157254E-2</v>
      </c>
      <c r="E94" s="177">
        <f t="shared" si="26"/>
        <v>504999217.14441788</v>
      </c>
      <c r="F94" s="177">
        <f t="shared" si="27"/>
        <v>5757322.9312163303</v>
      </c>
      <c r="G94" s="176">
        <f>F94/'Input - Customer Data'!K11</f>
        <v>5757322.9312163303</v>
      </c>
      <c r="K94" s="475">
        <f t="shared" si="30"/>
        <v>2014</v>
      </c>
      <c r="L94" s="195">
        <f>'Input - Customer Data'!G$94</f>
        <v>1503002.9500000002</v>
      </c>
      <c r="M94" s="195"/>
      <c r="N94" s="195">
        <f>'Input - Customer Data'!G$96</f>
        <v>39.75</v>
      </c>
      <c r="O94" s="177">
        <f t="shared" si="31"/>
        <v>37811.394968553461</v>
      </c>
      <c r="P94" s="193">
        <f t="shared" si="29"/>
        <v>0</v>
      </c>
      <c r="Q94" s="192">
        <f t="shared" si="32"/>
        <v>0</v>
      </c>
    </row>
    <row r="95" spans="1:17" x14ac:dyDescent="0.2">
      <c r="A95" s="191">
        <f t="shared" si="24"/>
        <v>2017</v>
      </c>
      <c r="B95" s="195">
        <f>'Input - Customer Data'!J$79</f>
        <v>4768119.9723423496</v>
      </c>
      <c r="C95" s="177">
        <f t="shared" si="25"/>
        <v>476909006.87999994</v>
      </c>
      <c r="D95" s="401">
        <f t="shared" si="28"/>
        <v>9.9979658667719521E-3</v>
      </c>
      <c r="E95" s="177">
        <f t="shared" si="26"/>
        <v>480971996.28364104</v>
      </c>
      <c r="F95" s="177">
        <f t="shared" si="27"/>
        <v>4808741.6017170092</v>
      </c>
      <c r="G95" s="176">
        <f>F95/'Input - Customer Data'!K12</f>
        <v>4808741.6017170092</v>
      </c>
      <c r="K95" s="475">
        <f t="shared" si="30"/>
        <v>2015</v>
      </c>
      <c r="L95" s="195">
        <f>'Input - Customer Data'!H$94</f>
        <v>1500542.3199999998</v>
      </c>
      <c r="M95" s="195"/>
      <c r="N95" s="195">
        <f>'Input - Customer Data'!H$96</f>
        <v>36.25</v>
      </c>
      <c r="O95" s="177">
        <f t="shared" si="31"/>
        <v>41394.270896551723</v>
      </c>
      <c r="P95" s="193">
        <f t="shared" si="29"/>
        <v>0</v>
      </c>
      <c r="Q95" s="192">
        <f t="shared" si="32"/>
        <v>0</v>
      </c>
    </row>
    <row r="96" spans="1:17" x14ac:dyDescent="0.2">
      <c r="A96" s="191">
        <f t="shared" si="24"/>
        <v>2018</v>
      </c>
      <c r="B96" s="195">
        <f>'Input - Customer Data'!K$79</f>
        <v>5218945.2166489204</v>
      </c>
      <c r="C96" s="177">
        <f t="shared" si="25"/>
        <v>502625267.95999998</v>
      </c>
      <c r="D96" s="401">
        <f t="shared" si="28"/>
        <v>1.0383372164775957E-2</v>
      </c>
      <c r="E96" s="177">
        <f t="shared" si="26"/>
        <v>495575207.8174206</v>
      </c>
      <c r="F96" s="177">
        <f t="shared" si="27"/>
        <v>5145741.818404465</v>
      </c>
      <c r="G96" s="176">
        <f>F96/'Input - Customer Data'!K13</f>
        <v>5145741.818404465</v>
      </c>
      <c r="K96" s="475">
        <f t="shared" si="30"/>
        <v>2016</v>
      </c>
      <c r="L96" s="195">
        <f>'Input - Customer Data'!I$94</f>
        <v>1416419.3800000001</v>
      </c>
      <c r="M96" s="195"/>
      <c r="N96" s="195">
        <f>'Input - Customer Data'!I$96</f>
        <v>35.916666666666664</v>
      </c>
      <c r="O96" s="177">
        <f t="shared" si="31"/>
        <v>39436.270440835273</v>
      </c>
      <c r="P96" s="193">
        <f t="shared" si="29"/>
        <v>0</v>
      </c>
      <c r="Q96" s="192">
        <f t="shared" si="32"/>
        <v>0</v>
      </c>
    </row>
    <row r="97" spans="1:17" x14ac:dyDescent="0.2">
      <c r="A97" s="191">
        <f t="shared" si="24"/>
        <v>2019</v>
      </c>
      <c r="B97" s="195">
        <f>'Input - Customer Data'!L$79</f>
        <v>5234524.4083762597</v>
      </c>
      <c r="C97" s="177">
        <f t="shared" si="25"/>
        <v>490029500.53746313</v>
      </c>
      <c r="D97" s="401">
        <f t="shared" si="28"/>
        <v>1.0682059758922773E-2</v>
      </c>
      <c r="E97" s="177">
        <f t="shared" si="26"/>
        <v>479155760.91665858</v>
      </c>
      <c r="F97" s="177">
        <f t="shared" si="27"/>
        <v>5118370.4719438599</v>
      </c>
      <c r="G97" s="176">
        <f>F97/'Input - Customer Data'!K14</f>
        <v>5118370.4719438599</v>
      </c>
      <c r="K97" s="475">
        <f t="shared" si="30"/>
        <v>2017</v>
      </c>
      <c r="L97" s="195">
        <f>'Input - Customer Data'!J$94</f>
        <v>1308270.2299999995</v>
      </c>
      <c r="M97" s="195"/>
      <c r="N97" s="195">
        <f>'Input - Customer Data'!J$96</f>
        <v>49.25</v>
      </c>
      <c r="O97" s="177">
        <f t="shared" si="31"/>
        <v>26563.862538071055</v>
      </c>
      <c r="P97" s="193">
        <f t="shared" si="29"/>
        <v>0</v>
      </c>
      <c r="Q97" s="192">
        <f t="shared" si="32"/>
        <v>0</v>
      </c>
    </row>
    <row r="98" spans="1:17" x14ac:dyDescent="0.2">
      <c r="A98" s="191">
        <f t="shared" si="24"/>
        <v>2020</v>
      </c>
      <c r="B98" s="195">
        <f>'Input - Customer Data'!M$79</f>
        <v>5321959.9988488881</v>
      </c>
      <c r="C98" s="177">
        <f t="shared" si="25"/>
        <v>482494034.60487103</v>
      </c>
      <c r="D98" s="401">
        <f t="shared" si="28"/>
        <v>1.1030105280383834E-2</v>
      </c>
      <c r="E98" s="177">
        <f t="shared" si="26"/>
        <v>485200688.17516398</v>
      </c>
      <c r="F98" s="177">
        <f>E98*D98</f>
        <v>5351814.6726867463</v>
      </c>
      <c r="G98" s="176">
        <f>F98/'Input - Customer Data'!K15</f>
        <v>5351814.6726867463</v>
      </c>
      <c r="K98" s="477">
        <f t="shared" si="30"/>
        <v>2018</v>
      </c>
      <c r="L98" s="407">
        <f>'Input - Customer Data'!K$94</f>
        <v>1307305.7299999995</v>
      </c>
      <c r="M98" s="407"/>
      <c r="N98" s="407">
        <f>'Input - Customer Data'!K$96</f>
        <v>48.083333333333336</v>
      </c>
      <c r="O98" s="407">
        <f t="shared" si="31"/>
        <v>27188.334072790283</v>
      </c>
      <c r="P98" s="408">
        <f t="shared" si="29"/>
        <v>0</v>
      </c>
      <c r="Q98" s="409">
        <f t="shared" si="32"/>
        <v>0</v>
      </c>
    </row>
    <row r="99" spans="1:17" x14ac:dyDescent="0.2">
      <c r="A99" s="293">
        <f t="shared" si="24"/>
        <v>2021</v>
      </c>
      <c r="B99" s="364"/>
      <c r="C99" s="286"/>
      <c r="D99" s="290">
        <f>AVERAGE(D94:D98)</f>
        <v>1.0698832042402354E-2</v>
      </c>
      <c r="E99" s="286">
        <f>E71</f>
        <v>483534816.53621757</v>
      </c>
      <c r="F99" s="286">
        <f>E99*D99</f>
        <v>5173257.7887748284</v>
      </c>
      <c r="G99" s="289">
        <f>F99/'Input - Customer Data'!K19</f>
        <v>5173257.7887748284</v>
      </c>
      <c r="K99" s="477">
        <f t="shared" si="30"/>
        <v>2019</v>
      </c>
      <c r="L99" s="407">
        <f>'Input - Customer Data'!L$94</f>
        <v>1299487.2900000005</v>
      </c>
      <c r="M99" s="407"/>
      <c r="N99" s="407">
        <f>'Input - Customer Data'!L$96</f>
        <v>47.166666666666664</v>
      </c>
      <c r="O99" s="407">
        <f t="shared" si="31"/>
        <v>27550.967279151955</v>
      </c>
      <c r="P99" s="408">
        <f t="shared" si="29"/>
        <v>0</v>
      </c>
      <c r="Q99" s="409">
        <f t="shared" si="32"/>
        <v>0</v>
      </c>
    </row>
    <row r="100" spans="1:17" x14ac:dyDescent="0.2">
      <c r="A100" s="293">
        <f t="shared" si="24"/>
        <v>2022</v>
      </c>
      <c r="B100" s="291"/>
      <c r="C100" s="292" t="s">
        <v>99</v>
      </c>
      <c r="D100" s="290">
        <f>D99</f>
        <v>1.0698832042402354E-2</v>
      </c>
      <c r="E100" s="286">
        <f>E72</f>
        <v>484684072.30779141</v>
      </c>
      <c r="F100" s="286">
        <f t="shared" si="27"/>
        <v>5185553.4832486585</v>
      </c>
      <c r="G100" s="289">
        <f>F100/'Input - Customer Data'!K20</f>
        <v>5185553.4832486585</v>
      </c>
      <c r="K100" s="478">
        <f t="shared" si="30"/>
        <v>2020</v>
      </c>
      <c r="L100" s="407">
        <f>'Input - Customer Data'!M$94</f>
        <v>1307649.58</v>
      </c>
      <c r="M100" s="407"/>
      <c r="N100" s="407">
        <f>'Input - Customer Data'!M$96</f>
        <v>46</v>
      </c>
      <c r="O100" s="410">
        <f t="shared" si="31"/>
        <v>28427.164782608696</v>
      </c>
      <c r="P100" s="411">
        <f t="shared" si="29"/>
        <v>0</v>
      </c>
      <c r="Q100" s="412">
        <f t="shared" si="32"/>
        <v>0</v>
      </c>
    </row>
    <row r="101" spans="1:17" ht="13.5" thickBot="1" x14ac:dyDescent="0.25">
      <c r="A101" s="402" t="s">
        <v>192</v>
      </c>
      <c r="B101" s="263"/>
      <c r="C101" s="263"/>
      <c r="D101" s="264">
        <f>D72</f>
        <v>0.368102568769269</v>
      </c>
      <c r="E101" s="265">
        <f>E45</f>
        <v>484684072.30779141</v>
      </c>
      <c r="F101" s="265">
        <f>E73*D73</f>
        <v>178413452.05804813</v>
      </c>
      <c r="G101" s="266">
        <f>F73/'Input - Customer Data'!I15</f>
        <v>923624.42825564183</v>
      </c>
      <c r="K101" s="294">
        <f t="shared" si="30"/>
        <v>2021</v>
      </c>
      <c r="L101" s="286">
        <f>N101*O105</f>
        <v>1307290.5787320843</v>
      </c>
      <c r="M101" s="286"/>
      <c r="N101" s="286">
        <f>'Input - Customer Data'!Q19</f>
        <v>47.156888088177865</v>
      </c>
      <c r="O101" s="286">
        <f>L101/N101</f>
        <v>27722.155378183645</v>
      </c>
      <c r="P101" s="288">
        <f>M101/N101</f>
        <v>0</v>
      </c>
      <c r="Q101" s="287">
        <f>M101/L101</f>
        <v>0</v>
      </c>
    </row>
    <row r="102" spans="1:17" x14ac:dyDescent="0.2">
      <c r="A102" s="222"/>
      <c r="B102" s="172"/>
      <c r="C102" s="172"/>
      <c r="D102" s="172"/>
      <c r="E102" s="172"/>
      <c r="F102" s="171"/>
      <c r="G102" s="219"/>
      <c r="K102" s="294">
        <f t="shared" si="30"/>
        <v>2022</v>
      </c>
      <c r="L102" s="286">
        <f>N102*O105</f>
        <v>1340168.5982608297</v>
      </c>
      <c r="M102" s="286"/>
      <c r="N102" s="286">
        <f>'Input - Customer Data'!Q20</f>
        <v>48.342871612194159</v>
      </c>
      <c r="O102" s="286">
        <f>L102/N102</f>
        <v>27722.155378183645</v>
      </c>
      <c r="P102" s="288">
        <f>M102/N102</f>
        <v>0</v>
      </c>
      <c r="Q102" s="287">
        <f>M102/L102</f>
        <v>0</v>
      </c>
    </row>
    <row r="103" spans="1:17" x14ac:dyDescent="0.2">
      <c r="A103" s="222"/>
      <c r="B103" s="172"/>
      <c r="C103" s="172"/>
      <c r="D103" s="172"/>
      <c r="E103" s="172"/>
      <c r="F103" s="171"/>
      <c r="G103" s="219"/>
      <c r="K103" s="260">
        <f>'Bridge&amp;Test Year Class Forecast'!K38</f>
        <v>2022</v>
      </c>
      <c r="L103" s="261">
        <f>N103*O105</f>
        <v>0</v>
      </c>
      <c r="M103" s="261">
        <f>N103*P105</f>
        <v>0</v>
      </c>
      <c r="N103" s="400">
        <f>'Input - Customer Data'!O46</f>
        <v>0</v>
      </c>
      <c r="O103" s="261" t="e">
        <f>L103/N103</f>
        <v>#DIV/0!</v>
      </c>
      <c r="P103" s="267" t="e">
        <f>M103/N103</f>
        <v>#DIV/0!</v>
      </c>
      <c r="Q103" s="262" t="e">
        <f>M103/L103</f>
        <v>#DIV/0!</v>
      </c>
    </row>
    <row r="104" spans="1:17" x14ac:dyDescent="0.2">
      <c r="A104" s="222"/>
      <c r="B104" s="172"/>
      <c r="C104" s="172"/>
      <c r="D104" s="172"/>
      <c r="E104" s="172"/>
      <c r="F104" s="171"/>
      <c r="G104" s="219"/>
      <c r="K104" s="190"/>
      <c r="L104" s="177"/>
      <c r="M104" s="255"/>
      <c r="N104" s="255"/>
      <c r="O104" s="255"/>
      <c r="P104" s="255"/>
      <c r="Q104" s="189"/>
    </row>
    <row r="105" spans="1:17" x14ac:dyDescent="0.2">
      <c r="A105" s="222"/>
      <c r="B105" s="172"/>
      <c r="C105" s="172"/>
      <c r="D105" s="172"/>
      <c r="E105" s="172"/>
      <c r="F105" s="171"/>
      <c r="G105" s="219"/>
      <c r="K105" s="186" t="s">
        <v>99</v>
      </c>
      <c r="L105" s="185"/>
      <c r="M105" s="185"/>
      <c r="N105" s="185"/>
      <c r="O105" s="185">
        <f>AVERAGE(O98:O100)</f>
        <v>27722.155378183645</v>
      </c>
      <c r="P105" s="185">
        <f>AVERAGE(P98:P100)</f>
        <v>0</v>
      </c>
      <c r="Q105" s="184">
        <f>AVERAGE(Q98:Q100)</f>
        <v>0</v>
      </c>
    </row>
    <row r="106" spans="1:17" ht="15.75" thickBot="1" x14ac:dyDescent="0.25">
      <c r="A106" s="549" t="s">
        <v>96</v>
      </c>
      <c r="B106" s="550"/>
      <c r="C106" s="550"/>
      <c r="D106" s="550"/>
      <c r="E106" s="550"/>
      <c r="F106" s="550"/>
      <c r="G106" s="551"/>
      <c r="K106" s="180"/>
      <c r="L106" s="179"/>
      <c r="M106" s="179"/>
      <c r="N106" s="179"/>
      <c r="O106" s="179"/>
      <c r="P106" s="179"/>
      <c r="Q106" s="178"/>
    </row>
    <row r="107" spans="1:17" ht="13.5" thickBot="1" x14ac:dyDescent="0.25">
      <c r="A107" s="220"/>
      <c r="B107" s="170"/>
      <c r="C107" s="170"/>
      <c r="D107" s="170"/>
      <c r="E107" s="170"/>
      <c r="F107" s="170"/>
      <c r="G107" s="221"/>
    </row>
    <row r="108" spans="1:17" ht="13.5" thickBot="1" x14ac:dyDescent="0.25">
      <c r="A108" s="251" t="s">
        <v>188</v>
      </c>
      <c r="B108" s="252"/>
      <c r="C108" s="252"/>
      <c r="D108" s="252"/>
      <c r="E108" s="252"/>
      <c r="F108" s="252"/>
      <c r="G108" s="253"/>
    </row>
    <row r="109" spans="1:17" ht="38.25" x14ac:dyDescent="0.2">
      <c r="A109" s="166" t="s">
        <v>74</v>
      </c>
      <c r="B109" s="254" t="s">
        <v>94</v>
      </c>
      <c r="C109" s="254" t="s">
        <v>93</v>
      </c>
      <c r="D109" s="256" t="s">
        <v>92</v>
      </c>
      <c r="E109" s="254"/>
      <c r="F109" s="257"/>
      <c r="G109" s="165" t="s">
        <v>77</v>
      </c>
    </row>
    <row r="110" spans="1:17" x14ac:dyDescent="0.2">
      <c r="A110" s="293">
        <f>A99</f>
        <v>2021</v>
      </c>
      <c r="B110" s="255">
        <f>'Input - Customer Data'!I24-'Input - Customer Data'!I19</f>
        <v>0</v>
      </c>
      <c r="C110" s="255">
        <f>G99</f>
        <v>5173257.7887748284</v>
      </c>
      <c r="D110" s="255">
        <f>B110*C110</f>
        <v>0</v>
      </c>
      <c r="E110" s="255"/>
      <c r="F110" s="255"/>
      <c r="G110" s="391">
        <f>F99+D110</f>
        <v>5173257.7887748284</v>
      </c>
    </row>
    <row r="111" spans="1:17" x14ac:dyDescent="0.2">
      <c r="A111" s="293">
        <f>A100</f>
        <v>2022</v>
      </c>
      <c r="B111" s="364">
        <v>0</v>
      </c>
      <c r="C111" s="286">
        <f>G100</f>
        <v>5185553.4832486585</v>
      </c>
      <c r="D111" s="286">
        <f>B111*C111</f>
        <v>0</v>
      </c>
      <c r="E111" s="286"/>
      <c r="F111" s="286"/>
      <c r="G111" s="391">
        <f>F100+D110+D111</f>
        <v>5185553.4832486585</v>
      </c>
    </row>
  </sheetData>
  <sheetProtection selectLockedCells="1" selectUnlockedCells="1"/>
  <mergeCells count="17">
    <mergeCell ref="A106:G106"/>
    <mergeCell ref="K89:Q89"/>
    <mergeCell ref="K46:Q46"/>
    <mergeCell ref="K68:Q68"/>
    <mergeCell ref="K25:N25"/>
    <mergeCell ref="A59:G59"/>
    <mergeCell ref="A31:G31"/>
    <mergeCell ref="A50:G50"/>
    <mergeCell ref="A87:G87"/>
    <mergeCell ref="A78:G78"/>
    <mergeCell ref="K23:P23"/>
    <mergeCell ref="K1:N1"/>
    <mergeCell ref="K3:N3"/>
    <mergeCell ref="A3:G3"/>
    <mergeCell ref="A1:G1"/>
    <mergeCell ref="A22:G22"/>
    <mergeCell ref="K22:P22"/>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zoomScaleNormal="100" workbookViewId="0">
      <selection activeCell="I14" sqref="I14"/>
    </sheetView>
  </sheetViews>
  <sheetFormatPr defaultColWidth="10.5" defaultRowHeight="12.75" x14ac:dyDescent="0.2"/>
  <cols>
    <col min="1" max="1" width="10.5" style="144"/>
    <col min="2" max="2" width="36.5" style="144" bestFit="1" customWidth="1"/>
    <col min="3" max="3" width="14.5" style="144" bestFit="1" customWidth="1"/>
    <col min="4" max="4" width="14.5" style="144" customWidth="1"/>
    <col min="5" max="9" width="14.33203125" style="144" customWidth="1"/>
    <col min="10" max="11" width="10.6640625" style="144" customWidth="1"/>
    <col min="12" max="16384" width="10.5" style="144"/>
  </cols>
  <sheetData>
    <row r="3" spans="2:12" ht="15" customHeight="1" x14ac:dyDescent="0.2">
      <c r="B3" s="554" t="s">
        <v>106</v>
      </c>
      <c r="C3" s="555"/>
      <c r="D3" s="555"/>
      <c r="E3" s="555"/>
      <c r="F3" s="555"/>
      <c r="G3" s="555"/>
      <c r="H3" s="555"/>
      <c r="I3" s="555"/>
    </row>
    <row r="4" spans="2:12" x14ac:dyDescent="0.2">
      <c r="B4" s="232"/>
      <c r="C4" s="232" t="s">
        <v>193</v>
      </c>
      <c r="D4" s="295">
        <f>'Input - Customer Data'!$B$7-5</f>
        <v>2017</v>
      </c>
      <c r="E4" s="295">
        <f>'Input - Customer Data'!$B$7-4</f>
        <v>2018</v>
      </c>
      <c r="F4" s="295">
        <f>'Input - Customer Data'!$B$7-3</f>
        <v>2019</v>
      </c>
      <c r="G4" s="295">
        <f>'Input - Customer Data'!$B$7-2</f>
        <v>2020</v>
      </c>
      <c r="H4" s="295">
        <f>'Input - Customer Data'!$B$7-1</f>
        <v>2021</v>
      </c>
      <c r="I4" s="295">
        <f>'Input - Customer Data'!$B$7</f>
        <v>2022</v>
      </c>
      <c r="J4" s="230"/>
      <c r="K4" s="230"/>
      <c r="L4" s="231"/>
    </row>
    <row r="5" spans="2:12" x14ac:dyDescent="0.2">
      <c r="B5" s="216" t="str">
        <f>'Input - Customer Data'!A65</f>
        <v>Residential</v>
      </c>
      <c r="C5" s="161"/>
      <c r="D5" s="161"/>
      <c r="E5" s="236"/>
      <c r="F5" s="236"/>
      <c r="G5" s="236"/>
      <c r="H5" s="236"/>
      <c r="I5" s="236"/>
    </row>
    <row r="6" spans="2:12" x14ac:dyDescent="0.2">
      <c r="B6" s="216" t="s">
        <v>277</v>
      </c>
      <c r="C6" s="414">
        <v>201294289</v>
      </c>
      <c r="D6" s="236">
        <f>'Bridge&amp;Test Year Class Forecast'!B11</f>
        <v>192333396.59142745</v>
      </c>
      <c r="E6" s="236">
        <f>'Bridge&amp;Test Year Class Forecast'!B12</f>
        <v>213384791.97681683</v>
      </c>
      <c r="F6" s="236">
        <f>'Bridge&amp;Test Year Class Forecast'!B13</f>
        <v>208333695.23086321</v>
      </c>
      <c r="G6" s="236">
        <f>'Bridge&amp;Test Year Class Forecast'!B14</f>
        <v>220200219.65924728</v>
      </c>
      <c r="H6" s="236">
        <f>'Bridge&amp;Test Year Class Forecast'!G26</f>
        <v>206258605.37430316</v>
      </c>
      <c r="I6" s="236">
        <f>'Bridge&amp;Test Year Class Forecast'!G27</f>
        <v>207937090.9889625</v>
      </c>
    </row>
    <row r="7" spans="2:12" x14ac:dyDescent="0.2">
      <c r="B7" s="216" t="str">
        <f>'Input - Customer Data'!A67</f>
        <v xml:space="preserve"> Cust Count</v>
      </c>
      <c r="C7" s="161">
        <v>26074</v>
      </c>
      <c r="D7" s="236">
        <f>'Input - Customer Data'!J67</f>
        <v>26228.416666666668</v>
      </c>
      <c r="E7" s="236">
        <f>'Input - Customer Data'!K67</f>
        <v>26464.833333333332</v>
      </c>
      <c r="F7" s="236">
        <f>'Input - Customer Data'!L67</f>
        <v>26647</v>
      </c>
      <c r="G7" s="236">
        <f>'Input - Customer Data'!M67</f>
        <v>26915.666666666668</v>
      </c>
      <c r="H7" s="236">
        <f>'Input - Customer Data'!E24</f>
        <v>27070.725516638435</v>
      </c>
      <c r="I7" s="236">
        <f>'Input - Customer Data'!E25</f>
        <v>27226.677647361976</v>
      </c>
    </row>
    <row r="8" spans="2:12" x14ac:dyDescent="0.2">
      <c r="B8" s="216" t="s">
        <v>57</v>
      </c>
      <c r="C8" s="161"/>
      <c r="D8" s="161"/>
      <c r="E8" s="236"/>
      <c r="F8" s="236"/>
      <c r="G8" s="236"/>
      <c r="H8" s="236"/>
      <c r="I8" s="236"/>
    </row>
    <row r="9" spans="2:12" x14ac:dyDescent="0.2">
      <c r="B9" s="216" t="str">
        <f>'Input - Customer Data'!A69</f>
        <v>General Service &lt; 50 kW</v>
      </c>
      <c r="C9" s="161"/>
      <c r="D9" s="161"/>
      <c r="E9" s="236"/>
      <c r="F9" s="236"/>
      <c r="G9" s="236"/>
      <c r="H9" s="236"/>
      <c r="I9" s="236"/>
    </row>
    <row r="10" spans="2:12" x14ac:dyDescent="0.2">
      <c r="B10" s="216" t="s">
        <v>277</v>
      </c>
      <c r="C10" s="414">
        <v>69390323</v>
      </c>
      <c r="D10" s="236">
        <f>'Bridge&amp;Test Year Class Forecast'!B39</f>
        <v>66385178.073323995</v>
      </c>
      <c r="E10" s="236">
        <f>'Bridge&amp;Test Year Class Forecast'!B40</f>
        <v>68552191.048737228</v>
      </c>
      <c r="F10" s="236">
        <f>'Bridge&amp;Test Year Class Forecast'!B41</f>
        <v>68296619.869135812</v>
      </c>
      <c r="G10" s="236">
        <f>'Bridge&amp;Test Year Class Forecast'!B42</f>
        <v>63219121.669230707</v>
      </c>
      <c r="H10" s="236">
        <f>'Bridge&amp;Test Year Class Forecast'!G54</f>
        <v>66411371.048883222</v>
      </c>
      <c r="I10" s="236">
        <f>'Bridge&amp;Test Year Class Forecast'!G55</f>
        <v>66588570.906844519</v>
      </c>
    </row>
    <row r="11" spans="2:12" x14ac:dyDescent="0.2">
      <c r="B11" s="216" t="str">
        <f>'Input - Customer Data'!A71</f>
        <v xml:space="preserve"> Cust Count</v>
      </c>
      <c r="C11" s="161">
        <v>2489</v>
      </c>
      <c r="D11" s="236">
        <f>'Input - Customer Data'!G12</f>
        <v>2506.6666666666665</v>
      </c>
      <c r="E11" s="236">
        <f>'Input - Customer Data'!G13</f>
        <v>2490.75</v>
      </c>
      <c r="F11" s="236">
        <f>'Input - Customer Data'!G14</f>
        <v>2495.6666666666665</v>
      </c>
      <c r="G11" s="236">
        <f>'Input - Customer Data'!G15</f>
        <v>2513.5833333333335</v>
      </c>
      <c r="H11" s="236">
        <f>'Input - Customer Data'!G24</f>
        <v>2514.3158811278504</v>
      </c>
      <c r="I11" s="236">
        <f>'Input - Customer Data'!G25</f>
        <v>2515.0486424129103</v>
      </c>
    </row>
    <row r="12" spans="2:12" x14ac:dyDescent="0.2">
      <c r="B12" s="216" t="s">
        <v>57</v>
      </c>
      <c r="C12" s="161"/>
      <c r="D12" s="161"/>
      <c r="E12" s="236"/>
      <c r="F12" s="236"/>
      <c r="G12" s="236"/>
      <c r="H12" s="236"/>
      <c r="I12" s="236"/>
    </row>
    <row r="13" spans="2:12" x14ac:dyDescent="0.2">
      <c r="B13" s="216" t="str">
        <f>'Input - Customer Data'!A73</f>
        <v>General Service 50 to 4999 kW</v>
      </c>
      <c r="C13" s="161"/>
      <c r="D13" s="161"/>
      <c r="E13" s="236"/>
      <c r="F13" s="236"/>
      <c r="G13" s="236"/>
      <c r="H13" s="236"/>
      <c r="I13" s="236"/>
    </row>
    <row r="14" spans="2:12" x14ac:dyDescent="0.2">
      <c r="B14" s="216" t="s">
        <v>277</v>
      </c>
      <c r="C14" s="414">
        <v>190144345</v>
      </c>
      <c r="D14" s="236">
        <f>'Input - Customer Data'!J74</f>
        <v>185980426.04825354</v>
      </c>
      <c r="E14" s="236">
        <f>'Input - Customer Data'!K74</f>
        <v>186317853.54878309</v>
      </c>
      <c r="F14" s="236">
        <f>'Input - Customer Data'!L74</f>
        <v>183204907.69893607</v>
      </c>
      <c r="G14" s="236">
        <f>'Input - Customer Data'!M74</f>
        <v>169630766.96221483</v>
      </c>
      <c r="H14" s="236">
        <f>'Bridge&amp;Test Year Class Forecast'!G82</f>
        <v>178767211.80250752</v>
      </c>
      <c r="I14" s="236">
        <f>'Bridge&amp;Test Year Class Forecast'!G83</f>
        <v>176291004.53621852</v>
      </c>
    </row>
    <row r="15" spans="2:12" x14ac:dyDescent="0.2">
      <c r="B15" s="216" t="str">
        <f>'Input - Customer Data'!A75</f>
        <v xml:space="preserve"> kW</v>
      </c>
      <c r="C15" s="414">
        <v>610067</v>
      </c>
      <c r="D15" s="236">
        <f>'Input - Customer Data'!J75</f>
        <v>588371.79999999993</v>
      </c>
      <c r="E15" s="236">
        <f>'Input - Customer Data'!K75</f>
        <v>580250.94000000006</v>
      </c>
      <c r="F15" s="236">
        <f>'Input - Customer Data'!L75</f>
        <v>553966.00999999966</v>
      </c>
      <c r="G15" s="236">
        <f>'Input - Customer Data'!M75</f>
        <v>527483.83000000007</v>
      </c>
      <c r="H15" s="236">
        <f>'Bridge&amp;Test Year Class Forecast'!O15</f>
        <v>529536.43363855162</v>
      </c>
      <c r="I15" s="236">
        <f>'Bridge&amp;Test Year Class Forecast'!O16</f>
        <v>522201.52053273475</v>
      </c>
    </row>
    <row r="16" spans="2:12" x14ac:dyDescent="0.2">
      <c r="B16" s="216" t="str">
        <f>'Input - Customer Data'!A76</f>
        <v xml:space="preserve"> Cust Count</v>
      </c>
      <c r="C16" s="161">
        <v>217</v>
      </c>
      <c r="D16" s="236">
        <f>'Input - Customer Data'!I12</f>
        <v>198</v>
      </c>
      <c r="E16" s="236">
        <f>'Input - Customer Data'!I13</f>
        <v>197.66666666666666</v>
      </c>
      <c r="F16" s="236">
        <f>'Input - Customer Data'!I14</f>
        <v>190.33333333333334</v>
      </c>
      <c r="G16" s="236">
        <f>'Input - Customer Data'!I15</f>
        <v>193.16666666666666</v>
      </c>
      <c r="H16" s="236">
        <f>'Input - Customer Data'!I19</f>
        <v>189.97493534710117</v>
      </c>
      <c r="I16" s="236">
        <f>'Input - Customer Data'!I25</f>
        <v>186.83594164004455</v>
      </c>
    </row>
    <row r="17" spans="2:9" x14ac:dyDescent="0.2">
      <c r="B17" s="216" t="s">
        <v>57</v>
      </c>
      <c r="C17" s="161"/>
      <c r="D17" s="161"/>
      <c r="E17" s="236"/>
      <c r="F17" s="236"/>
      <c r="G17" s="236"/>
      <c r="H17" s="236"/>
      <c r="I17" s="236"/>
    </row>
    <row r="18" spans="2:9" x14ac:dyDescent="0.2">
      <c r="B18" s="216" t="str">
        <f>'Input - Customer Data'!A78</f>
        <v>Embedded</v>
      </c>
      <c r="C18" s="161"/>
      <c r="D18" s="161"/>
      <c r="E18" s="236"/>
      <c r="F18" s="236"/>
      <c r="G18" s="236"/>
      <c r="H18" s="236"/>
      <c r="I18" s="236"/>
    </row>
    <row r="19" spans="2:9" x14ac:dyDescent="0.2">
      <c r="B19" s="216" t="s">
        <v>277</v>
      </c>
      <c r="C19" s="414">
        <v>5205754</v>
      </c>
      <c r="D19" s="236">
        <f>'Bridge&amp;Test Year Class Forecast'!B95</f>
        <v>4768119.9723423496</v>
      </c>
      <c r="E19" s="236">
        <f>'Bridge&amp;Test Year Class Forecast'!B96</f>
        <v>5218945.2166489204</v>
      </c>
      <c r="F19" s="236">
        <f>'Bridge&amp;Test Year Class Forecast'!B97</f>
        <v>5234524.4083762597</v>
      </c>
      <c r="G19" s="236">
        <f>'Bridge&amp;Test Year Class Forecast'!B98</f>
        <v>5321959.9988488881</v>
      </c>
      <c r="H19" s="236">
        <f>'Bridge&amp;Test Year Class Forecast'!G110</f>
        <v>5173257.7887748284</v>
      </c>
      <c r="I19" s="236">
        <f>'Bridge&amp;Test Year Class Forecast'!G111</f>
        <v>5185553.4832486585</v>
      </c>
    </row>
    <row r="20" spans="2:9" x14ac:dyDescent="0.2">
      <c r="B20" s="216" t="str">
        <f>'Input - Customer Data'!A80</f>
        <v xml:space="preserve"> kW</v>
      </c>
      <c r="C20" s="414">
        <v>13921</v>
      </c>
      <c r="D20" s="236">
        <f>'Bridge&amp;Test Year Class Forecast'!M33</f>
        <v>12501.41</v>
      </c>
      <c r="E20" s="236">
        <f>'Bridge&amp;Test Year Class Forecast'!M34</f>
        <v>13532.36</v>
      </c>
      <c r="F20" s="236">
        <f>'Bridge&amp;Test Year Class Forecast'!M35</f>
        <v>13275.64</v>
      </c>
      <c r="G20" s="236">
        <f>'Bridge&amp;Test Year Class Forecast'!M36</f>
        <v>14339.56</v>
      </c>
      <c r="H20" s="236">
        <f>'Bridge&amp;Test Year Class Forecast'!M37</f>
        <v>13830.232760291723</v>
      </c>
      <c r="I20" s="236">
        <f>'Bridge&amp;Test Year Class Forecast'!M38</f>
        <v>13863.10417777482</v>
      </c>
    </row>
    <row r="21" spans="2:9" x14ac:dyDescent="0.2">
      <c r="B21" s="216" t="str">
        <f>'Input - Customer Data'!A81</f>
        <v xml:space="preserve"> Cust Count</v>
      </c>
      <c r="C21" s="161">
        <v>1</v>
      </c>
      <c r="D21" s="236">
        <f>'Input - Customer Data'!K12</f>
        <v>1</v>
      </c>
      <c r="E21" s="236">
        <f>'Input - Customer Data'!K13</f>
        <v>1</v>
      </c>
      <c r="F21" s="236">
        <f>'Input - Customer Data'!K14</f>
        <v>1</v>
      </c>
      <c r="G21" s="236">
        <f>'Input - Customer Data'!K15</f>
        <v>1</v>
      </c>
      <c r="H21" s="236">
        <f>'Input - Customer Data'!K24</f>
        <v>1</v>
      </c>
      <c r="I21" s="236">
        <f>'Input - Customer Data'!K25</f>
        <v>1</v>
      </c>
    </row>
    <row r="22" spans="2:9" x14ac:dyDescent="0.2">
      <c r="B22" s="216" t="s">
        <v>57</v>
      </c>
      <c r="C22" s="161"/>
      <c r="D22" s="161"/>
      <c r="E22" s="236"/>
      <c r="F22" s="236"/>
      <c r="G22" s="236"/>
      <c r="H22" s="236"/>
      <c r="I22" s="236"/>
    </row>
    <row r="23" spans="2:9" x14ac:dyDescent="0.2">
      <c r="B23" s="216" t="str">
        <f>'Input - Customer Data'!A83</f>
        <v xml:space="preserve">Street Lighting </v>
      </c>
      <c r="C23" s="161"/>
      <c r="D23" s="161"/>
      <c r="E23" s="236"/>
      <c r="F23" s="236"/>
      <c r="G23" s="236"/>
      <c r="H23" s="236"/>
      <c r="I23" s="236"/>
    </row>
    <row r="24" spans="2:9" x14ac:dyDescent="0.2">
      <c r="B24" s="216" t="s">
        <v>277</v>
      </c>
      <c r="C24" s="414">
        <v>2991556</v>
      </c>
      <c r="D24" s="236">
        <f>'Bridge&amp;Test Year Class Forecast'!L54</f>
        <v>1392668.2526115859</v>
      </c>
      <c r="E24" s="236">
        <f>'Bridge&amp;Test Year Class Forecast'!L55</f>
        <v>1390046.9705603039</v>
      </c>
      <c r="F24" s="236">
        <f>'Bridge&amp;Test Year Class Forecast'!L56</f>
        <v>1401777.7587844254</v>
      </c>
      <c r="G24" s="236">
        <f>'Bridge&amp;Test Year Class Forecast'!L57</f>
        <v>1425844.3209876544</v>
      </c>
      <c r="H24" s="236">
        <f>'Bridge&amp;Test Year Class Forecast'!L58</f>
        <v>1441120.2815711428</v>
      </c>
      <c r="I24" s="414">
        <f>'Bridge&amp;Test Year Class Forecast'!L59</f>
        <v>1449102.1671553131</v>
      </c>
    </row>
    <row r="25" spans="2:9" x14ac:dyDescent="0.2">
      <c r="B25" s="216" t="str">
        <f>'Input - Customer Data'!A85</f>
        <v xml:space="preserve"> kW</v>
      </c>
      <c r="C25" s="436">
        <v>9240</v>
      </c>
      <c r="D25" s="236">
        <f>'Bridge&amp;Test Year Class Forecast'!M54</f>
        <v>4209.0200000000004</v>
      </c>
      <c r="E25" s="236">
        <f>'Bridge&amp;Test Year Class Forecast'!M55</f>
        <v>4251.8</v>
      </c>
      <c r="F25" s="236">
        <f>'Bridge&amp;Test Year Class Forecast'!M56</f>
        <v>4285.630000000001</v>
      </c>
      <c r="G25" s="236">
        <f>'Bridge&amp;Test Year Class Forecast'!M57</f>
        <v>4348.49</v>
      </c>
      <c r="H25" s="236">
        <f>'Bridge&amp;Test Year Class Forecast'!M58</f>
        <v>4356.3310852224058</v>
      </c>
      <c r="I25" s="236">
        <f>'Bridge&amp;Test Year Class Forecast'!M59</f>
        <v>4403.0031804623595</v>
      </c>
    </row>
    <row r="26" spans="2:9" x14ac:dyDescent="0.2">
      <c r="B26" s="216" t="str">
        <f>'Input - Customer Data'!A86</f>
        <v xml:space="preserve"> Connections</v>
      </c>
      <c r="C26" s="358">
        <v>5713</v>
      </c>
      <c r="D26" s="236">
        <f>'Input - Customer Data'!M12</f>
        <v>5742.916666666667</v>
      </c>
      <c r="E26" s="236">
        <f>'Input - Customer Data'!M13</f>
        <v>5774.416666666667</v>
      </c>
      <c r="F26" s="236">
        <f>'Input - Customer Data'!M14</f>
        <v>5878.666666666667</v>
      </c>
      <c r="G26" s="236">
        <f>'Input - Customer Data'!M15</f>
        <v>5997.166666666667</v>
      </c>
      <c r="H26" s="236">
        <f>'Input - Customer Data'!M24</f>
        <v>6030.3829767656025</v>
      </c>
      <c r="I26" s="236">
        <f>'Input - Customer Data'!M25</f>
        <v>6063.7832609506213</v>
      </c>
    </row>
    <row r="27" spans="2:9" x14ac:dyDescent="0.2">
      <c r="B27" s="216" t="s">
        <v>57</v>
      </c>
      <c r="C27" s="358"/>
      <c r="D27" s="358"/>
      <c r="E27" s="236"/>
      <c r="F27" s="236"/>
      <c r="G27" s="236"/>
      <c r="H27" s="236"/>
      <c r="I27" s="236"/>
    </row>
    <row r="28" spans="2:9" x14ac:dyDescent="0.2">
      <c r="B28" s="216" t="str">
        <f>'Input - Customer Data'!A88</f>
        <v>Sentinel</v>
      </c>
      <c r="C28" s="358"/>
      <c r="D28" s="358"/>
      <c r="E28" s="236"/>
      <c r="F28" s="236"/>
      <c r="G28" s="236"/>
      <c r="H28" s="236"/>
      <c r="I28" s="236"/>
    </row>
    <row r="29" spans="2:9" x14ac:dyDescent="0.2">
      <c r="B29" s="216" t="s">
        <v>277</v>
      </c>
      <c r="C29" s="436">
        <v>629014</v>
      </c>
      <c r="D29" s="236">
        <f>'Bridge&amp;Test Year Class Forecast'!L76</f>
        <v>631149.96201329515</v>
      </c>
      <c r="E29" s="236">
        <f>'Bridge&amp;Test Year Class Forecast'!L77</f>
        <v>606042.11775878421</v>
      </c>
      <c r="F29" s="236">
        <f>'Bridge&amp;Test Year Class Forecast'!L78</f>
        <v>565913.01442882093</v>
      </c>
      <c r="G29" s="236">
        <f>'Bridge&amp;Test Year Class Forecast'!L79</f>
        <v>525914.78338748356</v>
      </c>
      <c r="H29" s="236">
        <f>'Bridge&amp;Test Year Class Forecast'!L80</f>
        <v>528556.71089588641</v>
      </c>
      <c r="I29" s="236">
        <f>'Bridge&amp;Test Year Class Forecast'!L81</f>
        <v>514043.40065197996</v>
      </c>
    </row>
    <row r="30" spans="2:9" x14ac:dyDescent="0.2">
      <c r="B30" s="216" t="str">
        <f>'Input - Customer Data'!A90</f>
        <v xml:space="preserve"> kW</v>
      </c>
      <c r="C30" s="436">
        <v>1916</v>
      </c>
      <c r="D30" s="236">
        <f>'Bridge&amp;Test Year Class Forecast'!M76</f>
        <v>2037.9700000000007</v>
      </c>
      <c r="E30" s="236">
        <f>'Bridge&amp;Test Year Class Forecast'!M77</f>
        <v>1951.2900000000013</v>
      </c>
      <c r="F30" s="236">
        <f>'Bridge&amp;Test Year Class Forecast'!M78</f>
        <v>1856.1200000000003</v>
      </c>
      <c r="G30" s="236">
        <f>'Bridge&amp;Test Year Class Forecast'!M79</f>
        <v>1722.9099999999978</v>
      </c>
      <c r="H30" s="236">
        <f>'Bridge&amp;Test Year Class Forecast'!M80</f>
        <v>1606.8086012797885</v>
      </c>
      <c r="I30" s="236">
        <f>'Bridge&amp;Test Year Class Forecast'!M81</f>
        <v>1614.8803877717298</v>
      </c>
    </row>
    <row r="31" spans="2:9" x14ac:dyDescent="0.2">
      <c r="B31" s="216" t="str">
        <f>'Input - Customer Data'!A91</f>
        <v xml:space="preserve"> Connections</v>
      </c>
      <c r="C31" s="358">
        <v>695</v>
      </c>
      <c r="D31" s="236">
        <f>'Input - Customer Data'!O12</f>
        <v>705.66666666666663</v>
      </c>
      <c r="E31" s="236">
        <f>'Input - Customer Data'!O13</f>
        <v>698.25</v>
      </c>
      <c r="F31" s="236">
        <f>'Input - Customer Data'!O14</f>
        <v>669.41666666666663</v>
      </c>
      <c r="G31" s="236">
        <f>'Input - Customer Data'!O15</f>
        <v>644.66666666666663</v>
      </c>
      <c r="H31" s="236">
        <f>'Input - Customer Data'!O24</f>
        <v>626.96516530576287</v>
      </c>
      <c r="I31" s="236">
        <f>'Input - Customer Data'!O25</f>
        <v>609.74971846982817</v>
      </c>
    </row>
    <row r="32" spans="2:9" x14ac:dyDescent="0.2">
      <c r="B32" s="216" t="s">
        <v>57</v>
      </c>
      <c r="C32" s="358"/>
      <c r="D32" s="358"/>
      <c r="E32" s="236"/>
      <c r="F32" s="236"/>
      <c r="G32" s="236"/>
      <c r="H32" s="236"/>
      <c r="I32" s="236"/>
    </row>
    <row r="33" spans="2:9" x14ac:dyDescent="0.2">
      <c r="B33" s="216" t="str">
        <f>'Input - Customer Data'!A93</f>
        <v>USL</v>
      </c>
      <c r="C33" s="161"/>
      <c r="D33" s="161"/>
      <c r="E33" s="236"/>
      <c r="F33" s="236"/>
      <c r="G33" s="236"/>
      <c r="H33" s="236"/>
      <c r="I33" s="161"/>
    </row>
    <row r="34" spans="2:9" x14ac:dyDescent="0.2">
      <c r="B34" s="216" t="s">
        <v>277</v>
      </c>
      <c r="C34" s="414">
        <v>1462761</v>
      </c>
      <c r="D34" s="236">
        <f>'Bridge&amp;Test Year Class Forecast'!L97</f>
        <v>1308270.2299999995</v>
      </c>
      <c r="E34" s="236">
        <f>'Bridge&amp;Test Year Class Forecast'!L98</f>
        <v>1307305.7299999995</v>
      </c>
      <c r="F34" s="236">
        <f>'Bridge&amp;Test Year Class Forecast'!L99</f>
        <v>1299487.2900000005</v>
      </c>
      <c r="G34" s="236">
        <f>'Bridge&amp;Test Year Class Forecast'!L100</f>
        <v>1307649.58</v>
      </c>
      <c r="H34" s="236">
        <f>'Bridge&amp;Test Year Class Forecast'!L101</f>
        <v>1307290.5787320843</v>
      </c>
      <c r="I34" s="236">
        <f>'Bridge&amp;Test Year Class Forecast'!L102</f>
        <v>1340168.5982608297</v>
      </c>
    </row>
    <row r="35" spans="2:9" x14ac:dyDescent="0.2">
      <c r="B35" s="216" t="str">
        <f>'Input - Customer Data'!A95</f>
        <v xml:space="preserve"> kW</v>
      </c>
      <c r="C35" s="216"/>
      <c r="D35" s="216"/>
      <c r="E35" s="237"/>
      <c r="F35" s="237"/>
      <c r="G35" s="237"/>
      <c r="H35" s="237"/>
      <c r="I35" s="237"/>
    </row>
    <row r="36" spans="2:9" x14ac:dyDescent="0.2">
      <c r="B36" s="216" t="str">
        <f>'Input - Customer Data'!A96</f>
        <v xml:space="preserve"> Cust Count</v>
      </c>
      <c r="C36" s="216">
        <v>35</v>
      </c>
      <c r="D36" s="236">
        <f>'Input - Customer Data'!Q12</f>
        <v>49.25</v>
      </c>
      <c r="E36" s="236">
        <f>'Input - Customer Data'!Q13</f>
        <v>48.083333333333336</v>
      </c>
      <c r="F36" s="236">
        <f>'Input - Customer Data'!Q14</f>
        <v>47.166666666666664</v>
      </c>
      <c r="G36" s="236">
        <f>'Input - Customer Data'!Q15</f>
        <v>46</v>
      </c>
      <c r="H36" s="236">
        <f>'Input - Customer Data'!Q24</f>
        <v>47.156888088177865</v>
      </c>
      <c r="I36" s="236">
        <f>'Input - Customer Data'!Q25</f>
        <v>48.342871612194159</v>
      </c>
    </row>
    <row r="37" spans="2:9" x14ac:dyDescent="0.2">
      <c r="B37" s="216"/>
      <c r="C37" s="216"/>
      <c r="D37" s="216"/>
      <c r="E37" s="237"/>
      <c r="F37" s="237"/>
      <c r="G37" s="237"/>
      <c r="H37" s="237"/>
      <c r="I37" s="237"/>
    </row>
    <row r="38" spans="2:9" x14ac:dyDescent="0.2">
      <c r="B38" s="216"/>
      <c r="C38" s="161"/>
      <c r="D38" s="161"/>
      <c r="E38" s="161"/>
      <c r="F38" s="161"/>
      <c r="G38" s="161"/>
      <c r="H38" s="161"/>
      <c r="I38" s="161"/>
    </row>
    <row r="39" spans="2:9" x14ac:dyDescent="0.2">
      <c r="B39" s="216"/>
      <c r="C39" s="161"/>
      <c r="D39" s="161"/>
      <c r="E39" s="161"/>
      <c r="F39" s="161"/>
      <c r="G39" s="161"/>
      <c r="H39" s="161"/>
      <c r="I39" s="161"/>
    </row>
    <row r="40" spans="2:9" ht="15.75" customHeight="1" x14ac:dyDescent="0.2">
      <c r="B40" s="216" t="str">
        <f>'Input - Customer Data'!A100</f>
        <v>Total</v>
      </c>
      <c r="C40" s="161"/>
      <c r="D40" s="161"/>
      <c r="E40" s="161"/>
      <c r="F40" s="161"/>
      <c r="G40" s="161"/>
      <c r="H40" s="161"/>
      <c r="I40" s="161"/>
    </row>
    <row r="41" spans="2:9" x14ac:dyDescent="0.2">
      <c r="B41" s="216" t="s">
        <v>277</v>
      </c>
      <c r="C41" s="413">
        <f t="shared" ref="C41:I41" si="0">C6+C10+C14+C19+C24+C29+C34</f>
        <v>471118042</v>
      </c>
      <c r="D41" s="413">
        <f t="shared" ref="D41" si="1">D6+D10+D14+D19+D24+D29+D34</f>
        <v>452799209.12997222</v>
      </c>
      <c r="E41" s="413">
        <f t="shared" si="0"/>
        <v>476777176.6093052</v>
      </c>
      <c r="F41" s="413">
        <f t="shared" si="0"/>
        <v>468336925.27052456</v>
      </c>
      <c r="G41" s="413">
        <f t="shared" si="0"/>
        <v>461631476.97391683</v>
      </c>
      <c r="H41" s="413">
        <f t="shared" si="0"/>
        <v>459887413.58566785</v>
      </c>
      <c r="I41" s="413">
        <f t="shared" si="0"/>
        <v>459305534.08134234</v>
      </c>
    </row>
    <row r="42" spans="2:9" x14ac:dyDescent="0.2">
      <c r="B42" s="216" t="str">
        <f>'Input - Customer Data'!A102</f>
        <v xml:space="preserve"> kW</v>
      </c>
      <c r="C42" s="413">
        <f t="shared" ref="C42:I42" si="2">C15+C20+C25+C30+C35</f>
        <v>635144</v>
      </c>
      <c r="D42" s="413">
        <f t="shared" ref="D42" si="3">D15+D20+D25+D30+D35</f>
        <v>607120.19999999995</v>
      </c>
      <c r="E42" s="413">
        <f t="shared" si="2"/>
        <v>599986.39000000013</v>
      </c>
      <c r="F42" s="413">
        <f t="shared" si="2"/>
        <v>573383.39999999967</v>
      </c>
      <c r="G42" s="413">
        <f t="shared" si="2"/>
        <v>547894.79000000015</v>
      </c>
      <c r="H42" s="413">
        <f t="shared" si="2"/>
        <v>549329.80608534557</v>
      </c>
      <c r="I42" s="413">
        <f t="shared" si="2"/>
        <v>542082.50827874371</v>
      </c>
    </row>
    <row r="43" spans="2:9" x14ac:dyDescent="0.2">
      <c r="B43" s="216" t="str">
        <f>'Input - Customer Data'!A103</f>
        <v xml:space="preserve"> Cust Count (Excl SL, Sent, USL)</v>
      </c>
      <c r="C43" s="413">
        <f t="shared" ref="C43:I43" si="4">C7+C11+C16+C21</f>
        <v>28781</v>
      </c>
      <c r="D43" s="413">
        <f t="shared" ref="D43" si="5">D7+D11+D16+D21</f>
        <v>28934.083333333336</v>
      </c>
      <c r="E43" s="413">
        <f t="shared" si="4"/>
        <v>29154.25</v>
      </c>
      <c r="F43" s="413">
        <f t="shared" si="4"/>
        <v>29334</v>
      </c>
      <c r="G43" s="413">
        <f t="shared" si="4"/>
        <v>29623.416666666668</v>
      </c>
      <c r="H43" s="413">
        <f t="shared" si="4"/>
        <v>29776.016333113388</v>
      </c>
      <c r="I43" s="413">
        <f t="shared" si="4"/>
        <v>29929.562231414933</v>
      </c>
    </row>
    <row r="44" spans="2:9" x14ac:dyDescent="0.2">
      <c r="B44" s="216" t="str">
        <f>'Input - Customer Data'!A104</f>
        <v xml:space="preserve"> Connection Count</v>
      </c>
      <c r="C44" s="413">
        <f t="shared" ref="C44:I44" si="6">C26+C31+C36</f>
        <v>6443</v>
      </c>
      <c r="D44" s="413">
        <f t="shared" ref="D44" si="7">D26+D31+D36</f>
        <v>6497.8333333333339</v>
      </c>
      <c r="E44" s="413">
        <f t="shared" si="6"/>
        <v>6520.75</v>
      </c>
      <c r="F44" s="413">
        <f t="shared" si="6"/>
        <v>6595.2500000000009</v>
      </c>
      <c r="G44" s="413">
        <f t="shared" si="6"/>
        <v>6687.8333333333339</v>
      </c>
      <c r="H44" s="413">
        <f t="shared" si="6"/>
        <v>6704.5050301595429</v>
      </c>
      <c r="I44" s="413">
        <f t="shared" si="6"/>
        <v>6721.8758510326443</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Input - Customer Data</vt:lpstr>
      <vt:lpstr>Input - Adjustments &amp; Variables</vt:lpstr>
      <vt:lpstr>Input - CDM</vt:lpstr>
      <vt:lpstr>Input</vt:lpstr>
      <vt:lpstr>Output</vt:lpstr>
      <vt:lpstr>Forecast</vt:lpstr>
      <vt:lpstr>DW</vt:lpstr>
      <vt:lpstr>Bridge&amp;Test Year Class Forecast</vt:lpstr>
      <vt:lpstr>Final LF </vt:lpstr>
      <vt:lpstr>Wholesale Analysis</vt:lpstr>
      <vt:lpstr>Wholesale Analysis2</vt:lpstr>
      <vt:lpstr>Analysis_Distr Revenues</vt:lpstr>
      <vt:lpstr>Analysis_Weather adj LF</vt:lpstr>
      <vt:lpstr>HDD,CDD</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2021-06-23T18:46:11Z</dcterms:modified>
  <cp:category>Multiple Regression Forecasting</cp:category>
</cp:coreProperties>
</file>