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V:\Finance\Regulatory Filings\2022 COS\Correspondence after filing\8 - Response to Interrogatories\Filed Documents\"/>
    </mc:Choice>
  </mc:AlternateContent>
  <xr:revisionPtr revIDLastSave="0" documentId="13_ncr:1_{9F760892-E983-489E-94FF-E96A9A138F85}" xr6:coauthVersionLast="47" xr6:coauthVersionMax="47" xr10:uidLastSave="{00000000-0000-0000-0000-000000000000}"/>
  <bookViews>
    <workbookView xWindow="-120" yWindow="-120" windowWidth="29040" windowHeight="15840" tabRatio="833" xr2:uid="{DAC334A4-CC0C-493F-BB8C-D28EA4B284CB}"/>
  </bookViews>
  <sheets>
    <sheet name="Summary" sheetId="35" r:id="rId1"/>
    <sheet name="January 2019" sheetId="17" r:id="rId2"/>
    <sheet name="February 2019" sheetId="36" r:id="rId3"/>
    <sheet name="March 2019" sheetId="37" r:id="rId4"/>
    <sheet name="April 2019" sheetId="38" r:id="rId5"/>
    <sheet name="May 2019" sheetId="39" r:id="rId6"/>
    <sheet name="June 2019" sheetId="40" r:id="rId7"/>
    <sheet name="July 2019" sheetId="41" r:id="rId8"/>
    <sheet name="August 2019" sheetId="42" r:id="rId9"/>
    <sheet name="September 2019" sheetId="43" r:id="rId10"/>
    <sheet name="October 2019" sheetId="44" r:id="rId11"/>
    <sheet name="November 2019" sheetId="45" r:id="rId12"/>
    <sheet name="December 2019" sheetId="46" r:id="rId13"/>
  </sheets>
  <definedNames>
    <definedName name="Beg_Bal">#REF!</definedName>
    <definedName name="ColumnTitle1">#REF!</definedName>
    <definedName name="ColumnTitleRegion1..B6.1">#REF!</definedName>
    <definedName name="ColumnTitleRegion2..B13.1">#REF!</definedName>
    <definedName name="Cum_Int">#REF!</definedName>
    <definedName name="Data">#REF!</definedName>
    <definedName name="End_Bal">#REF!</definedName>
    <definedName name="Extra_Pay">#REF!</definedName>
    <definedName name="Full_Print">#REF!</definedName>
    <definedName name="Header_Row">ROW(#REF!)</definedName>
    <definedName name="Int">#REF!</definedName>
    <definedName name="Interest_Rate">#REF!</definedName>
    <definedName name="Last_Row">IF(Values_Entered,Header_Row+Number_of_Payments,Header_Row)</definedName>
    <definedName name="Loan_Amount">#REF!</definedName>
    <definedName name="Loan_Start">#REF!</definedName>
    <definedName name="Loan_Years">#REF!</definedName>
    <definedName name="Num_Pmt_Per_Year">#REF!</definedName>
    <definedName name="Number_of_Payments">MATCH(0.01,End_Bal,-1)+1</definedName>
    <definedName name="Pay_Date">#REF!</definedName>
    <definedName name="Pay_Num">#REF!</definedName>
    <definedName name="Payment_Date" localSheetId="4">DATE(YEAR([0]!Loan_Start),MONTH([0]!Loan_Start)+Payment_Number,DAY([0]!Loan_Start))</definedName>
    <definedName name="Payment_Date" localSheetId="8">DATE(YEAR([0]!Loan_Start),MONTH([0]!Loan_Start)+Payment_Number,DAY([0]!Loan_Start))</definedName>
    <definedName name="Payment_Date" localSheetId="12">DATE(YEAR([0]!Loan_Start),MONTH([0]!Loan_Start)+Payment_Number,DAY([0]!Loan_Start))</definedName>
    <definedName name="Payment_Date" localSheetId="2">DATE(YEAR([0]!Loan_Start),MONTH([0]!Loan_Start)+Payment_Number,DAY([0]!Loan_Start))</definedName>
    <definedName name="Payment_Date" localSheetId="7">DATE(YEAR([0]!Loan_Start),MONTH([0]!Loan_Start)+Payment_Number,DAY([0]!Loan_Start))</definedName>
    <definedName name="Payment_Date" localSheetId="6">DATE(YEAR([0]!Loan_Start),MONTH([0]!Loan_Start)+Payment_Number,DAY([0]!Loan_Start))</definedName>
    <definedName name="Payment_Date" localSheetId="3">DATE(YEAR([0]!Loan_Start),MONTH([0]!Loan_Start)+Payment_Number,DAY([0]!Loan_Start))</definedName>
    <definedName name="Payment_Date" localSheetId="5">DATE(YEAR([0]!Loan_Start),MONTH([0]!Loan_Start)+Payment_Number,DAY([0]!Loan_Start))</definedName>
    <definedName name="Payment_Date" localSheetId="11">DATE(YEAR([0]!Loan_Start),MONTH([0]!Loan_Start)+Payment_Number,DAY([0]!Loan_Start))</definedName>
    <definedName name="Payment_Date" localSheetId="10">DATE(YEAR([0]!Loan_Start),MONTH([0]!Loan_Start)+Payment_Number,DAY([0]!Loan_Start))</definedName>
    <definedName name="Payment_Date" localSheetId="9">DATE(YEAR([0]!Loan_Start),MONTH([0]!Loan_Start)+Payment_Number,DAY([0]!Loan_Start))</definedName>
    <definedName name="Payment_Date">DATE(YEAR(Loan_Start),MONTH(Loan_Start)+Payment_Number,DAY(Loan_Start))</definedName>
    <definedName name="Princ">#REF!</definedName>
    <definedName name="Print_Area_Reset">OFFSET(Full_Print,0,0,Last_Row)</definedName>
    <definedName name="Sched_Pay">#REF!</definedName>
    <definedName name="Scheduled_Extra_Payments">#REF!</definedName>
    <definedName name="Scheduled_Interest_Rate">#REF!</definedName>
    <definedName name="Scheduled_Monthly_Payment">#REF!</definedName>
    <definedName name="Total_Interest">#REF!</definedName>
    <definedName name="Total_Pay">#REF!</definedName>
    <definedName name="Total_Payment" localSheetId="4">Scheduled_Payment+Extra_Payment</definedName>
    <definedName name="Total_Payment" localSheetId="8">Scheduled_Payment+Extra_Payment</definedName>
    <definedName name="Total_Payment" localSheetId="12">Scheduled_Payment+Extra_Payment</definedName>
    <definedName name="Total_Payment" localSheetId="2">Scheduled_Payment+Extra_Payment</definedName>
    <definedName name="Total_Payment" localSheetId="7">Scheduled_Payment+Extra_Payment</definedName>
    <definedName name="Total_Payment" localSheetId="6">Scheduled_Payment+Extra_Payment</definedName>
    <definedName name="Total_Payment" localSheetId="3">Scheduled_Payment+Extra_Payment</definedName>
    <definedName name="Total_Payment" localSheetId="5">Scheduled_Payment+Extra_Payment</definedName>
    <definedName name="Total_Payment" localSheetId="11">Scheduled_Payment+Extra_Payment</definedName>
    <definedName name="Total_Payment" localSheetId="10">Scheduled_Payment+Extra_Payment</definedName>
    <definedName name="Total_Payment" localSheetId="9">Scheduled_Payment+Extra_Payment</definedName>
    <definedName name="Total_Payment">Scheduled_Payment+Extra_Payment</definedName>
    <definedName name="Values_Entered">IF(Loan_Amount*Interest_Rate*Loan_Years*Loan_Start&gt;0,1,0)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4" i="35" l="1"/>
  <c r="H24" i="35"/>
  <c r="I23" i="35"/>
  <c r="G23" i="35"/>
  <c r="F23" i="35"/>
  <c r="F9" i="46"/>
  <c r="F11" i="46" s="1"/>
  <c r="H11" i="46" s="1"/>
  <c r="L6" i="46"/>
  <c r="G27" i="46" s="1"/>
  <c r="H27" i="46" s="1"/>
  <c r="F31" i="46"/>
  <c r="G29" i="46"/>
  <c r="H29" i="46" s="1"/>
  <c r="F29" i="46"/>
  <c r="H28" i="46"/>
  <c r="G25" i="46"/>
  <c r="H25" i="46" s="1"/>
  <c r="G22" i="46"/>
  <c r="H22" i="46" s="1"/>
  <c r="K17" i="46" s="1"/>
  <c r="F22" i="46"/>
  <c r="F21" i="46"/>
  <c r="F19" i="46"/>
  <c r="G18" i="46"/>
  <c r="H18" i="46" s="1"/>
  <c r="F17" i="46"/>
  <c r="F15" i="46"/>
  <c r="H13" i="46"/>
  <c r="G11" i="46"/>
  <c r="L10" i="46"/>
  <c r="G30" i="46" s="1"/>
  <c r="H30" i="46" s="1"/>
  <c r="G10" i="46"/>
  <c r="L9" i="46"/>
  <c r="G21" i="46" s="1"/>
  <c r="H21" i="46" s="1"/>
  <c r="G9" i="46"/>
  <c r="G8" i="46"/>
  <c r="H8" i="46" s="1"/>
  <c r="F8" i="46"/>
  <c r="F10" i="46" s="1"/>
  <c r="H10" i="46" s="1"/>
  <c r="L7" i="46"/>
  <c r="G20" i="46" s="1"/>
  <c r="H20" i="46" s="1"/>
  <c r="G26" i="46"/>
  <c r="H26" i="46" s="1"/>
  <c r="I22" i="35"/>
  <c r="G22" i="35"/>
  <c r="F22" i="35"/>
  <c r="L6" i="45"/>
  <c r="G9" i="45" s="1"/>
  <c r="H9" i="45" s="1"/>
  <c r="F9" i="45"/>
  <c r="F11" i="45" s="1"/>
  <c r="F31" i="45"/>
  <c r="G29" i="45"/>
  <c r="H29" i="45" s="1"/>
  <c r="F29" i="45"/>
  <c r="H28" i="45"/>
  <c r="G25" i="45"/>
  <c r="H25" i="45" s="1"/>
  <c r="G22" i="45"/>
  <c r="H22" i="45" s="1"/>
  <c r="K17" i="45" s="1"/>
  <c r="F22" i="45"/>
  <c r="F21" i="45"/>
  <c r="F19" i="45"/>
  <c r="G18" i="45"/>
  <c r="H18" i="45" s="1"/>
  <c r="F17" i="45"/>
  <c r="F15" i="45"/>
  <c r="H13" i="45"/>
  <c r="L10" i="45"/>
  <c r="G11" i="45" s="1"/>
  <c r="L9" i="45"/>
  <c r="G21" i="45" s="1"/>
  <c r="H21" i="45" s="1"/>
  <c r="G8" i="45"/>
  <c r="F8" i="45"/>
  <c r="F10" i="45" s="1"/>
  <c r="L7" i="45"/>
  <c r="G20" i="45" s="1"/>
  <c r="H20" i="45" s="1"/>
  <c r="I21" i="35"/>
  <c r="G21" i="35"/>
  <c r="F21" i="35"/>
  <c r="F9" i="44"/>
  <c r="F11" i="44" s="1"/>
  <c r="L6" i="44"/>
  <c r="G27" i="44" s="1"/>
  <c r="H27" i="44" s="1"/>
  <c r="F31" i="44"/>
  <c r="G29" i="44"/>
  <c r="H29" i="44" s="1"/>
  <c r="F29" i="44"/>
  <c r="H28" i="44"/>
  <c r="G22" i="44"/>
  <c r="H22" i="44" s="1"/>
  <c r="K17" i="44" s="1"/>
  <c r="F22" i="44"/>
  <c r="F21" i="44"/>
  <c r="F19" i="44"/>
  <c r="G18" i="44"/>
  <c r="H18" i="44" s="1"/>
  <c r="F17" i="44"/>
  <c r="F15" i="44"/>
  <c r="H13" i="44"/>
  <c r="L10" i="44"/>
  <c r="G11" i="44" s="1"/>
  <c r="L9" i="44"/>
  <c r="G21" i="44" s="1"/>
  <c r="H21" i="44" s="1"/>
  <c r="G8" i="44"/>
  <c r="F8" i="44"/>
  <c r="F10" i="44" s="1"/>
  <c r="L7" i="44"/>
  <c r="G20" i="44" s="1"/>
  <c r="H20" i="44" s="1"/>
  <c r="G9" i="44"/>
  <c r="I20" i="35"/>
  <c r="G20" i="35"/>
  <c r="F20" i="35"/>
  <c r="L6" i="43"/>
  <c r="G27" i="43" s="1"/>
  <c r="H27" i="43" s="1"/>
  <c r="F9" i="43"/>
  <c r="F11" i="43" s="1"/>
  <c r="F31" i="43"/>
  <c r="H30" i="43"/>
  <c r="G30" i="43"/>
  <c r="F29" i="43"/>
  <c r="H28" i="43"/>
  <c r="H26" i="43"/>
  <c r="G26" i="43"/>
  <c r="H22" i="43"/>
  <c r="G22" i="43"/>
  <c r="F22" i="43"/>
  <c r="H21" i="43"/>
  <c r="G21" i="43"/>
  <c r="F21" i="43"/>
  <c r="F19" i="43"/>
  <c r="K17" i="43"/>
  <c r="F17" i="43"/>
  <c r="H15" i="43"/>
  <c r="G15" i="43"/>
  <c r="F15" i="43"/>
  <c r="H13" i="43"/>
  <c r="G11" i="43"/>
  <c r="L10" i="43"/>
  <c r="G31" i="43" s="1"/>
  <c r="H31" i="43" s="1"/>
  <c r="G10" i="43"/>
  <c r="L9" i="43"/>
  <c r="G19" i="43" s="1"/>
  <c r="H19" i="43" s="1"/>
  <c r="F8" i="43"/>
  <c r="F10" i="43" s="1"/>
  <c r="L7" i="43"/>
  <c r="G14" i="43" s="1"/>
  <c r="H14" i="43" s="1"/>
  <c r="F9" i="42"/>
  <c r="L6" i="42"/>
  <c r="G25" i="42" s="1"/>
  <c r="H25" i="42" s="1"/>
  <c r="F31" i="42"/>
  <c r="F29" i="42"/>
  <c r="H28" i="42"/>
  <c r="G22" i="42"/>
  <c r="H22" i="42" s="1"/>
  <c r="K17" i="42" s="1"/>
  <c r="F22" i="42"/>
  <c r="F21" i="42"/>
  <c r="F19" i="42"/>
  <c r="F17" i="42"/>
  <c r="F15" i="42"/>
  <c r="H13" i="42"/>
  <c r="L10" i="42"/>
  <c r="G11" i="42" s="1"/>
  <c r="H11" i="42" s="1"/>
  <c r="L9" i="42"/>
  <c r="G21" i="42" s="1"/>
  <c r="H21" i="42" s="1"/>
  <c r="F11" i="42"/>
  <c r="F8" i="42"/>
  <c r="F10" i="42" s="1"/>
  <c r="L7" i="42"/>
  <c r="G20" i="42" s="1"/>
  <c r="H20" i="42" s="1"/>
  <c r="F9" i="41"/>
  <c r="F11" i="41" s="1"/>
  <c r="L6" i="41"/>
  <c r="G27" i="41" s="1"/>
  <c r="H27" i="41" s="1"/>
  <c r="F31" i="41"/>
  <c r="F29" i="41"/>
  <c r="H28" i="41"/>
  <c r="G22" i="41"/>
  <c r="H22" i="41" s="1"/>
  <c r="K17" i="41" s="1"/>
  <c r="F22" i="41"/>
  <c r="F21" i="41"/>
  <c r="F19" i="41"/>
  <c r="F17" i="41"/>
  <c r="F15" i="41"/>
  <c r="H13" i="41"/>
  <c r="L10" i="41"/>
  <c r="G11" i="41" s="1"/>
  <c r="L9" i="41"/>
  <c r="G21" i="41" s="1"/>
  <c r="H21" i="41" s="1"/>
  <c r="F8" i="41"/>
  <c r="F10" i="41" s="1"/>
  <c r="L7" i="41"/>
  <c r="G20" i="41" s="1"/>
  <c r="H20" i="41" s="1"/>
  <c r="G9" i="41"/>
  <c r="H9" i="41" s="1"/>
  <c r="L21" i="35"/>
  <c r="L23" i="35"/>
  <c r="F9" i="40"/>
  <c r="F11" i="40" s="1"/>
  <c r="L6" i="40"/>
  <c r="G25" i="40" s="1"/>
  <c r="H25" i="40" s="1"/>
  <c r="F31" i="40"/>
  <c r="G30" i="40"/>
  <c r="H30" i="40" s="1"/>
  <c r="F29" i="40"/>
  <c r="H28" i="40"/>
  <c r="G27" i="40"/>
  <c r="H27" i="40" s="1"/>
  <c r="G26" i="40"/>
  <c r="H26" i="40" s="1"/>
  <c r="G22" i="40"/>
  <c r="H22" i="40" s="1"/>
  <c r="K17" i="40" s="1"/>
  <c r="F22" i="40"/>
  <c r="F21" i="40"/>
  <c r="F19" i="40"/>
  <c r="F17" i="40"/>
  <c r="F15" i="40"/>
  <c r="H13" i="40"/>
  <c r="G11" i="40"/>
  <c r="L10" i="40"/>
  <c r="G31" i="40" s="1"/>
  <c r="H31" i="40" s="1"/>
  <c r="L9" i="40"/>
  <c r="G19" i="40" s="1"/>
  <c r="H19" i="40" s="1"/>
  <c r="G9" i="40"/>
  <c r="G8" i="40"/>
  <c r="F8" i="40"/>
  <c r="F10" i="40" s="1"/>
  <c r="L7" i="40"/>
  <c r="G20" i="40" s="1"/>
  <c r="H20" i="40" s="1"/>
  <c r="L6" i="39"/>
  <c r="G27" i="39" s="1"/>
  <c r="H27" i="39" s="1"/>
  <c r="F9" i="39"/>
  <c r="F31" i="39"/>
  <c r="F29" i="39"/>
  <c r="H28" i="39"/>
  <c r="G22" i="39"/>
  <c r="H22" i="39" s="1"/>
  <c r="K17" i="39" s="1"/>
  <c r="F22" i="39"/>
  <c r="F21" i="39"/>
  <c r="F19" i="39"/>
  <c r="F17" i="39"/>
  <c r="F15" i="39"/>
  <c r="H13" i="39"/>
  <c r="L10" i="39"/>
  <c r="G11" i="39" s="1"/>
  <c r="L9" i="39"/>
  <c r="G21" i="39" s="1"/>
  <c r="H21" i="39" s="1"/>
  <c r="F11" i="39"/>
  <c r="F8" i="39"/>
  <c r="F10" i="39" s="1"/>
  <c r="L7" i="39"/>
  <c r="G20" i="39" s="1"/>
  <c r="H20" i="39" s="1"/>
  <c r="F9" i="38"/>
  <c r="F11" i="38" s="1"/>
  <c r="L6" i="38"/>
  <c r="G27" i="38" s="1"/>
  <c r="H27" i="38" s="1"/>
  <c r="F31" i="38"/>
  <c r="G30" i="38"/>
  <c r="H30" i="38" s="1"/>
  <c r="F29" i="38"/>
  <c r="H28" i="38"/>
  <c r="F22" i="38"/>
  <c r="F21" i="38"/>
  <c r="F19" i="38"/>
  <c r="F17" i="38"/>
  <c r="F15" i="38"/>
  <c r="H13" i="38"/>
  <c r="L10" i="38"/>
  <c r="G11" i="38" s="1"/>
  <c r="F10" i="38"/>
  <c r="L9" i="38"/>
  <c r="G19" i="38" s="1"/>
  <c r="H19" i="38" s="1"/>
  <c r="F8" i="38"/>
  <c r="L7" i="38"/>
  <c r="G20" i="38" s="1"/>
  <c r="H20" i="38" s="1"/>
  <c r="F9" i="37"/>
  <c r="L6" i="37"/>
  <c r="G9" i="37" s="1"/>
  <c r="H9" i="37" s="1"/>
  <c r="F31" i="37"/>
  <c r="F29" i="37"/>
  <c r="H28" i="37"/>
  <c r="F22" i="37"/>
  <c r="F21" i="37"/>
  <c r="F19" i="37"/>
  <c r="F17" i="37"/>
  <c r="F15" i="37"/>
  <c r="H13" i="37"/>
  <c r="L10" i="37"/>
  <c r="G11" i="37" s="1"/>
  <c r="L9" i="37"/>
  <c r="G21" i="37" s="1"/>
  <c r="H21" i="37" s="1"/>
  <c r="F11" i="37"/>
  <c r="F8" i="37"/>
  <c r="F10" i="37" s="1"/>
  <c r="L7" i="37"/>
  <c r="G20" i="37" s="1"/>
  <c r="H20" i="37" s="1"/>
  <c r="J20" i="35"/>
  <c r="J21" i="35"/>
  <c r="J23" i="35"/>
  <c r="H20" i="35"/>
  <c r="H21" i="35"/>
  <c r="H23" i="35"/>
  <c r="F9" i="36"/>
  <c r="F11" i="36" s="1"/>
  <c r="L6" i="36"/>
  <c r="G9" i="36" s="1"/>
  <c r="F31" i="36"/>
  <c r="F29" i="36"/>
  <c r="H28" i="36"/>
  <c r="F22" i="36"/>
  <c r="F21" i="36"/>
  <c r="F19" i="36"/>
  <c r="F17" i="36"/>
  <c r="F15" i="36"/>
  <c r="H13" i="36"/>
  <c r="L10" i="36"/>
  <c r="G11" i="36" s="1"/>
  <c r="L9" i="36"/>
  <c r="G21" i="36" s="1"/>
  <c r="H21" i="36" s="1"/>
  <c r="F8" i="36"/>
  <c r="F10" i="36" s="1"/>
  <c r="L7" i="36"/>
  <c r="G20" i="36" s="1"/>
  <c r="H20" i="36" s="1"/>
  <c r="L7" i="17"/>
  <c r="L9" i="17"/>
  <c r="G15" i="17" s="1"/>
  <c r="L10" i="17"/>
  <c r="G10" i="17" s="1"/>
  <c r="F21" i="17"/>
  <c r="F19" i="17"/>
  <c r="F17" i="17"/>
  <c r="H9" i="46" l="1"/>
  <c r="G16" i="46"/>
  <c r="H16" i="46" s="1"/>
  <c r="G17" i="46"/>
  <c r="H17" i="46" s="1"/>
  <c r="G19" i="46"/>
  <c r="H19" i="46" s="1"/>
  <c r="G31" i="46"/>
  <c r="H31" i="46" s="1"/>
  <c r="H32" i="46" s="1"/>
  <c r="G14" i="46"/>
  <c r="H14" i="46" s="1"/>
  <c r="G15" i="46"/>
  <c r="H15" i="46" s="1"/>
  <c r="J22" i="35"/>
  <c r="L22" i="35"/>
  <c r="H22" i="35"/>
  <c r="G27" i="45"/>
  <c r="H27" i="45" s="1"/>
  <c r="H8" i="45"/>
  <c r="H11" i="45"/>
  <c r="G16" i="45"/>
  <c r="H16" i="45" s="1"/>
  <c r="G17" i="45"/>
  <c r="H17" i="45" s="1"/>
  <c r="G19" i="45"/>
  <c r="H19" i="45" s="1"/>
  <c r="G31" i="45"/>
  <c r="H31" i="45" s="1"/>
  <c r="G14" i="45"/>
  <c r="H14" i="45" s="1"/>
  <c r="G15" i="45"/>
  <c r="H15" i="45" s="1"/>
  <c r="K16" i="45" s="1"/>
  <c r="G26" i="45"/>
  <c r="H26" i="45" s="1"/>
  <c r="H32" i="45" s="1"/>
  <c r="G30" i="45"/>
  <c r="H30" i="45" s="1"/>
  <c r="G10" i="45"/>
  <c r="H10" i="45" s="1"/>
  <c r="K15" i="45" s="1"/>
  <c r="H9" i="44"/>
  <c r="H11" i="44"/>
  <c r="H8" i="44"/>
  <c r="G25" i="44"/>
  <c r="H25" i="44" s="1"/>
  <c r="G16" i="44"/>
  <c r="H16" i="44" s="1"/>
  <c r="G17" i="44"/>
  <c r="H17" i="44" s="1"/>
  <c r="G19" i="44"/>
  <c r="H19" i="44" s="1"/>
  <c r="G31" i="44"/>
  <c r="H31" i="44" s="1"/>
  <c r="G14" i="44"/>
  <c r="H14" i="44" s="1"/>
  <c r="G15" i="44"/>
  <c r="H15" i="44" s="1"/>
  <c r="K16" i="44" s="1"/>
  <c r="G26" i="44"/>
  <c r="H26" i="44" s="1"/>
  <c r="H32" i="44" s="1"/>
  <c r="G30" i="44"/>
  <c r="H30" i="44" s="1"/>
  <c r="G10" i="44"/>
  <c r="H10" i="44" s="1"/>
  <c r="K15" i="44" s="1"/>
  <c r="L20" i="35"/>
  <c r="G9" i="43"/>
  <c r="H9" i="43"/>
  <c r="H10" i="43"/>
  <c r="H11" i="43"/>
  <c r="K16" i="43"/>
  <c r="G20" i="43"/>
  <c r="H20" i="43" s="1"/>
  <c r="G8" i="43"/>
  <c r="H8" i="43" s="1"/>
  <c r="G18" i="43"/>
  <c r="H18" i="43" s="1"/>
  <c r="G25" i="43"/>
  <c r="H25" i="43" s="1"/>
  <c r="H32" i="43" s="1"/>
  <c r="G29" i="43"/>
  <c r="H29" i="43" s="1"/>
  <c r="G16" i="43"/>
  <c r="H16" i="43" s="1"/>
  <c r="H23" i="43" s="1"/>
  <c r="G17" i="43"/>
  <c r="H17" i="43" s="1"/>
  <c r="G16" i="39"/>
  <c r="H16" i="39" s="1"/>
  <c r="G8" i="39"/>
  <c r="H8" i="39" s="1"/>
  <c r="G18" i="39"/>
  <c r="H18" i="39" s="1"/>
  <c r="G29" i="39"/>
  <c r="H29" i="39" s="1"/>
  <c r="G10" i="40"/>
  <c r="G8" i="41"/>
  <c r="H8" i="41" s="1"/>
  <c r="G25" i="41"/>
  <c r="H25" i="41" s="1"/>
  <c r="G18" i="42"/>
  <c r="H18" i="42" s="1"/>
  <c r="G21" i="40"/>
  <c r="H21" i="40" s="1"/>
  <c r="G18" i="41"/>
  <c r="H18" i="41" s="1"/>
  <c r="G29" i="41"/>
  <c r="H29" i="41" s="1"/>
  <c r="G9" i="39"/>
  <c r="H9" i="39" s="1"/>
  <c r="G25" i="39"/>
  <c r="H25" i="39" s="1"/>
  <c r="G15" i="40"/>
  <c r="H15" i="40" s="1"/>
  <c r="G29" i="40"/>
  <c r="H29" i="40" s="1"/>
  <c r="H32" i="40" s="1"/>
  <c r="G16" i="41"/>
  <c r="H16" i="41" s="1"/>
  <c r="G29" i="42"/>
  <c r="H29" i="42" s="1"/>
  <c r="G9" i="42"/>
  <c r="H9" i="42" s="1"/>
  <c r="G27" i="42"/>
  <c r="H27" i="42" s="1"/>
  <c r="G8" i="42"/>
  <c r="H8" i="42" s="1"/>
  <c r="G16" i="42"/>
  <c r="H16" i="42" s="1"/>
  <c r="G17" i="42"/>
  <c r="H17" i="42" s="1"/>
  <c r="G19" i="42"/>
  <c r="H19" i="42" s="1"/>
  <c r="G31" i="42"/>
  <c r="H31" i="42" s="1"/>
  <c r="G14" i="42"/>
  <c r="H14" i="42" s="1"/>
  <c r="G15" i="42"/>
  <c r="H15" i="42" s="1"/>
  <c r="G26" i="42"/>
  <c r="H26" i="42" s="1"/>
  <c r="H32" i="42" s="1"/>
  <c r="G30" i="42"/>
  <c r="H30" i="42" s="1"/>
  <c r="G10" i="42"/>
  <c r="H10" i="42" s="1"/>
  <c r="K15" i="42" s="1"/>
  <c r="H11" i="41"/>
  <c r="G17" i="41"/>
  <c r="H17" i="41" s="1"/>
  <c r="G19" i="41"/>
  <c r="H19" i="41" s="1"/>
  <c r="G31" i="41"/>
  <c r="H31" i="41" s="1"/>
  <c r="G14" i="41"/>
  <c r="H14" i="41" s="1"/>
  <c r="G15" i="41"/>
  <c r="H15" i="41" s="1"/>
  <c r="G26" i="41"/>
  <c r="H26" i="41" s="1"/>
  <c r="K14" i="41" s="1"/>
  <c r="F18" i="35" s="1"/>
  <c r="G30" i="41"/>
  <c r="H30" i="41" s="1"/>
  <c r="G10" i="41"/>
  <c r="H10" i="41" s="1"/>
  <c r="H9" i="40"/>
  <c r="H11" i="40"/>
  <c r="H8" i="40"/>
  <c r="H10" i="40"/>
  <c r="H35" i="40"/>
  <c r="G18" i="40"/>
  <c r="H18" i="40" s="1"/>
  <c r="G16" i="40"/>
  <c r="H16" i="40" s="1"/>
  <c r="G17" i="40"/>
  <c r="H17" i="40" s="1"/>
  <c r="K16" i="40" s="1"/>
  <c r="G14" i="40"/>
  <c r="H14" i="40" s="1"/>
  <c r="H11" i="39"/>
  <c r="G17" i="39"/>
  <c r="H17" i="39" s="1"/>
  <c r="G19" i="39"/>
  <c r="H19" i="39" s="1"/>
  <c r="H23" i="39" s="1"/>
  <c r="G14" i="39"/>
  <c r="H14" i="39" s="1"/>
  <c r="G15" i="39"/>
  <c r="H15" i="39" s="1"/>
  <c r="G26" i="39"/>
  <c r="H26" i="39" s="1"/>
  <c r="G30" i="39"/>
  <c r="H30" i="39" s="1"/>
  <c r="G31" i="39"/>
  <c r="H31" i="39" s="1"/>
  <c r="G10" i="39"/>
  <c r="H10" i="39" s="1"/>
  <c r="G25" i="36"/>
  <c r="H25" i="36" s="1"/>
  <c r="G27" i="36"/>
  <c r="H27" i="36" s="1"/>
  <c r="G8" i="36"/>
  <c r="G29" i="38"/>
  <c r="H29" i="38" s="1"/>
  <c r="G18" i="37"/>
  <c r="H18" i="37" s="1"/>
  <c r="G15" i="38"/>
  <c r="H15" i="38" s="1"/>
  <c r="G21" i="38"/>
  <c r="H21" i="38" s="1"/>
  <c r="H11" i="38"/>
  <c r="G8" i="38"/>
  <c r="H8" i="38" s="1"/>
  <c r="G26" i="38"/>
  <c r="H26" i="38" s="1"/>
  <c r="G25" i="38"/>
  <c r="H25" i="38" s="1"/>
  <c r="G9" i="38"/>
  <c r="H9" i="38" s="1"/>
  <c r="G18" i="38"/>
  <c r="H18" i="38" s="1"/>
  <c r="G16" i="38"/>
  <c r="H16" i="38" s="1"/>
  <c r="G17" i="38"/>
  <c r="H17" i="38" s="1"/>
  <c r="G31" i="38"/>
  <c r="H31" i="38" s="1"/>
  <c r="G14" i="38"/>
  <c r="H14" i="38" s="1"/>
  <c r="G10" i="38"/>
  <c r="H10" i="38" s="1"/>
  <c r="G8" i="37"/>
  <c r="H8" i="37" s="1"/>
  <c r="H11" i="37"/>
  <c r="G25" i="37"/>
  <c r="H25" i="37" s="1"/>
  <c r="G29" i="37"/>
  <c r="H29" i="37" s="1"/>
  <c r="G16" i="37"/>
  <c r="H16" i="37" s="1"/>
  <c r="G27" i="37"/>
  <c r="H27" i="37" s="1"/>
  <c r="G29" i="36"/>
  <c r="H29" i="36" s="1"/>
  <c r="G18" i="36"/>
  <c r="H18" i="36" s="1"/>
  <c r="G17" i="37"/>
  <c r="H17" i="37" s="1"/>
  <c r="G19" i="37"/>
  <c r="H19" i="37" s="1"/>
  <c r="G31" i="37"/>
  <c r="H31" i="37" s="1"/>
  <c r="G14" i="37"/>
  <c r="H14" i="37" s="1"/>
  <c r="G15" i="37"/>
  <c r="H15" i="37" s="1"/>
  <c r="G26" i="37"/>
  <c r="H26" i="37" s="1"/>
  <c r="G30" i="37"/>
  <c r="H30" i="37" s="1"/>
  <c r="G10" i="37"/>
  <c r="H10" i="37" s="1"/>
  <c r="H11" i="36"/>
  <c r="H9" i="36"/>
  <c r="H8" i="36"/>
  <c r="G16" i="36"/>
  <c r="H16" i="36" s="1"/>
  <c r="G17" i="36"/>
  <c r="H17" i="36" s="1"/>
  <c r="G19" i="36"/>
  <c r="H19" i="36" s="1"/>
  <c r="G31" i="36"/>
  <c r="H31" i="36" s="1"/>
  <c r="G14" i="36"/>
  <c r="H14" i="36" s="1"/>
  <c r="G15" i="36"/>
  <c r="H15" i="36" s="1"/>
  <c r="G26" i="36"/>
  <c r="H26" i="36" s="1"/>
  <c r="G30" i="36"/>
  <c r="H30" i="36" s="1"/>
  <c r="G10" i="36"/>
  <c r="H10" i="36" s="1"/>
  <c r="G17" i="17"/>
  <c r="H17" i="17" s="1"/>
  <c r="G21" i="17"/>
  <c r="H21" i="17" s="1"/>
  <c r="G19" i="17"/>
  <c r="H19" i="17" s="1"/>
  <c r="G11" i="17"/>
  <c r="F15" i="17"/>
  <c r="C8" i="35"/>
  <c r="G22" i="17" s="1"/>
  <c r="F22" i="17"/>
  <c r="K14" i="46" l="1"/>
  <c r="H23" i="46"/>
  <c r="H34" i="46"/>
  <c r="H35" i="46"/>
  <c r="K15" i="46"/>
  <c r="K18" i="46" s="1"/>
  <c r="K16" i="46"/>
  <c r="K14" i="45"/>
  <c r="H35" i="45"/>
  <c r="K18" i="45"/>
  <c r="H34" i="45"/>
  <c r="H39" i="45" s="1"/>
  <c r="L18" i="45" s="1"/>
  <c r="H23" i="45"/>
  <c r="H35" i="44"/>
  <c r="K14" i="44"/>
  <c r="K18" i="44" s="1"/>
  <c r="H23" i="44"/>
  <c r="H34" i="44"/>
  <c r="H36" i="44" s="1"/>
  <c r="H34" i="43"/>
  <c r="K14" i="43"/>
  <c r="H35" i="43"/>
  <c r="H39" i="43" s="1"/>
  <c r="K15" i="43"/>
  <c r="H32" i="39"/>
  <c r="K16" i="42"/>
  <c r="K15" i="40"/>
  <c r="G17" i="35" s="1"/>
  <c r="K15" i="41"/>
  <c r="G18" i="35" s="1"/>
  <c r="H34" i="41"/>
  <c r="G19" i="35"/>
  <c r="K14" i="42"/>
  <c r="K14" i="40"/>
  <c r="F17" i="35" s="1"/>
  <c r="H35" i="42"/>
  <c r="H23" i="42"/>
  <c r="H34" i="42"/>
  <c r="H36" i="42" s="1"/>
  <c r="H35" i="41"/>
  <c r="H32" i="41"/>
  <c r="K16" i="41"/>
  <c r="H23" i="41"/>
  <c r="K18" i="40"/>
  <c r="H23" i="40"/>
  <c r="H34" i="40"/>
  <c r="H36" i="40" s="1"/>
  <c r="K14" i="39"/>
  <c r="F16" i="35" s="1"/>
  <c r="K15" i="39"/>
  <c r="G16" i="35" s="1"/>
  <c r="K16" i="39"/>
  <c r="H35" i="39"/>
  <c r="H34" i="39"/>
  <c r="H32" i="36"/>
  <c r="G22" i="37"/>
  <c r="H22" i="37" s="1"/>
  <c r="K17" i="37" s="1"/>
  <c r="G22" i="36"/>
  <c r="H22" i="36" s="1"/>
  <c r="K17" i="36" s="1"/>
  <c r="G22" i="38"/>
  <c r="H22" i="38" s="1"/>
  <c r="K17" i="38" s="1"/>
  <c r="H32" i="37"/>
  <c r="H32" i="38"/>
  <c r="K15" i="37"/>
  <c r="H23" i="37"/>
  <c r="K16" i="38"/>
  <c r="K14" i="38"/>
  <c r="F15" i="35" s="1"/>
  <c r="H34" i="38"/>
  <c r="K15" i="38"/>
  <c r="H35" i="38"/>
  <c r="H35" i="37"/>
  <c r="H34" i="36"/>
  <c r="K16" i="36"/>
  <c r="H23" i="36"/>
  <c r="H22" i="17"/>
  <c r="K17" i="17" s="1"/>
  <c r="K14" i="37"/>
  <c r="F14" i="35" s="1"/>
  <c r="K16" i="37"/>
  <c r="H34" i="37"/>
  <c r="H35" i="36"/>
  <c r="K15" i="36"/>
  <c r="K14" i="36"/>
  <c r="H15" i="17"/>
  <c r="K16" i="17" s="1"/>
  <c r="H39" i="46" l="1"/>
  <c r="L18" i="46" s="1"/>
  <c r="H36" i="46"/>
  <c r="H36" i="45"/>
  <c r="H39" i="44"/>
  <c r="L18" i="44" s="1"/>
  <c r="K18" i="43"/>
  <c r="L18" i="43" s="1"/>
  <c r="H36" i="43"/>
  <c r="K18" i="42"/>
  <c r="F19" i="35"/>
  <c r="K18" i="41"/>
  <c r="H19" i="35"/>
  <c r="I19" i="35"/>
  <c r="L19" i="35"/>
  <c r="I16" i="35"/>
  <c r="J16" i="35" s="1"/>
  <c r="H16" i="35"/>
  <c r="I18" i="35"/>
  <c r="J18" i="35" s="1"/>
  <c r="H18" i="35"/>
  <c r="L18" i="35"/>
  <c r="H17" i="35"/>
  <c r="I17" i="35"/>
  <c r="J17" i="35" s="1"/>
  <c r="L17" i="35"/>
  <c r="H39" i="42"/>
  <c r="L18" i="42" s="1"/>
  <c r="H36" i="41"/>
  <c r="H39" i="41"/>
  <c r="H39" i="40"/>
  <c r="L18" i="40" s="1"/>
  <c r="H39" i="39"/>
  <c r="H36" i="39"/>
  <c r="K18" i="39"/>
  <c r="H39" i="36"/>
  <c r="H23" i="38"/>
  <c r="H36" i="38" s="1"/>
  <c r="G14" i="35"/>
  <c r="G13" i="35"/>
  <c r="H36" i="36"/>
  <c r="H36" i="37"/>
  <c r="G15" i="35"/>
  <c r="K18" i="38"/>
  <c r="H39" i="38"/>
  <c r="H39" i="37"/>
  <c r="K18" i="36"/>
  <c r="F13" i="35"/>
  <c r="I13" i="35"/>
  <c r="K18" i="37"/>
  <c r="L13" i="35" l="1"/>
  <c r="L18" i="39"/>
  <c r="L18" i="41"/>
  <c r="L16" i="35"/>
  <c r="L18" i="36"/>
  <c r="I14" i="35"/>
  <c r="J14" i="35" s="1"/>
  <c r="L14" i="35"/>
  <c r="J19" i="35"/>
  <c r="H13" i="35"/>
  <c r="H14" i="35"/>
  <c r="I15" i="35"/>
  <c r="J15" i="35" s="1"/>
  <c r="H15" i="35"/>
  <c r="L18" i="38"/>
  <c r="L18" i="37"/>
  <c r="J13" i="35"/>
  <c r="L15" i="35" l="1"/>
  <c r="G29" i="17"/>
  <c r="F9" i="17"/>
  <c r="F11" i="17" s="1"/>
  <c r="G20" i="17"/>
  <c r="H20" i="17" s="1"/>
  <c r="F31" i="17"/>
  <c r="F29" i="17"/>
  <c r="H28" i="17"/>
  <c r="G18" i="17"/>
  <c r="H18" i="17" s="1"/>
  <c r="G16" i="17"/>
  <c r="H16" i="17" s="1"/>
  <c r="G14" i="17"/>
  <c r="H14" i="17" s="1"/>
  <c r="H13" i="17"/>
  <c r="F8" i="17"/>
  <c r="F10" i="17" s="1"/>
  <c r="H23" i="17" l="1"/>
  <c r="G31" i="17"/>
  <c r="H31" i="17" s="1"/>
  <c r="H10" i="17"/>
  <c r="G30" i="17"/>
  <c r="H30" i="17" s="1"/>
  <c r="H29" i="17"/>
  <c r="H11" i="17"/>
  <c r="K15" i="17" l="1"/>
  <c r="H35" i="17"/>
  <c r="G12" i="35" l="1"/>
  <c r="G24" i="35" l="1"/>
  <c r="I12" i="35"/>
  <c r="L12" i="35" s="1"/>
  <c r="I24" i="35" l="1"/>
  <c r="L24" i="35" l="1"/>
  <c r="L6" i="17" l="1"/>
  <c r="G25" i="17" s="1"/>
  <c r="H25" i="17" s="1"/>
  <c r="E24" i="35"/>
  <c r="G9" i="17" l="1"/>
  <c r="H9" i="17" s="1"/>
  <c r="G27" i="17"/>
  <c r="H27" i="17" s="1"/>
  <c r="G26" i="17"/>
  <c r="H26" i="17" s="1"/>
  <c r="G8" i="17"/>
  <c r="H8" i="17" s="1"/>
  <c r="H32" i="17" l="1"/>
  <c r="H34" i="17"/>
  <c r="H36" i="17" s="1"/>
  <c r="K14" i="17"/>
  <c r="F12" i="35" l="1"/>
  <c r="K18" i="17"/>
  <c r="H39" i="17"/>
  <c r="F24" i="35" l="1"/>
  <c r="J12" i="35"/>
  <c r="L18" i="17"/>
  <c r="H12" i="35"/>
</calcChain>
</file>

<file path=xl/sharedStrings.xml><?xml version="1.0" encoding="utf-8"?>
<sst xmlns="http://schemas.openxmlformats.org/spreadsheetml/2006/main" count="652" uniqueCount="74">
  <si>
    <t>Total</t>
  </si>
  <si>
    <t>Subtotal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</si>
  <si>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</si>
  <si>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</si>
  <si>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</si>
  <si>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</si>
  <si>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</si>
  <si>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</si>
  <si>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</si>
  <si>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</si>
  <si>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</si>
  <si>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</si>
  <si>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</si>
  <si>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</si>
  <si>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RATE CLASS</t>
  </si>
  <si>
    <t>GS&lt; 50 kW</t>
  </si>
  <si>
    <t>NAME</t>
  </si>
  <si>
    <t>LOSS FACTOR</t>
  </si>
  <si>
    <t>WATER HEATER</t>
  </si>
  <si>
    <t>NO</t>
  </si>
  <si>
    <t>Rate</t>
  </si>
  <si>
    <t>Volume</t>
  </si>
  <si>
    <t>Charge</t>
  </si>
  <si>
    <t>DAYS</t>
  </si>
  <si>
    <t>($)</t>
  </si>
  <si>
    <t>CONSUMPTION - kWh</t>
  </si>
  <si>
    <t>CONSUMPTION - kW</t>
  </si>
  <si>
    <t>Cost of Power</t>
  </si>
  <si>
    <t>WAP</t>
  </si>
  <si>
    <t>Cost of Power - Generation</t>
  </si>
  <si>
    <t>Service charge</t>
  </si>
  <si>
    <t>Distribution volumetric rate</t>
  </si>
  <si>
    <t>Net</t>
  </si>
  <si>
    <t>Low voltage service rate</t>
  </si>
  <si>
    <t>Retail transmission rate - line and transformation connection service rate</t>
  </si>
  <si>
    <t>Retail transmission rate - network service rate</t>
  </si>
  <si>
    <t>Delivery</t>
  </si>
  <si>
    <t>Wholesale market service rate</t>
  </si>
  <si>
    <t>Capacity based recovery (CBR)</t>
  </si>
  <si>
    <t>Rural or remote electricity rate protection charge</t>
  </si>
  <si>
    <t>Wholesale market service rate - Generation</t>
  </si>
  <si>
    <t>Capacity based recovery (CBR) - Generation</t>
  </si>
  <si>
    <t>Rural or remote electricity rate protection charge - Generation</t>
  </si>
  <si>
    <t>Regulatory</t>
  </si>
  <si>
    <t>HST</t>
  </si>
  <si>
    <t>HST - Generation</t>
  </si>
  <si>
    <t>8% provincial rebate</t>
  </si>
  <si>
    <t>Total current charges</t>
  </si>
  <si>
    <t>Administration charge</t>
  </si>
  <si>
    <t>Interval meter charge</t>
  </si>
  <si>
    <t>Global Adjustment - Class B</t>
  </si>
  <si>
    <t>Standby charge</t>
  </si>
  <si>
    <t>Details</t>
  </si>
  <si>
    <t>CHP Project</t>
  </si>
  <si>
    <t>Estimated Monthly Electricity Savings (kWh)</t>
  </si>
  <si>
    <t>Estimated Monthly Electricity Savings (kW)</t>
  </si>
  <si>
    <t xml:space="preserve">Standby Electricity </t>
  </si>
  <si>
    <t>2019 Rate (per kW)</t>
  </si>
  <si>
    <t>GENERATION - kWh</t>
  </si>
  <si>
    <t>GENERATION - kW</t>
  </si>
  <si>
    <t>Generation Credits - kWh</t>
  </si>
  <si>
    <t>Generation Credits - kW</t>
  </si>
  <si>
    <t>kWh (excluding generation)</t>
  </si>
  <si>
    <t>Bill Savings (without standby charge)</t>
  </si>
  <si>
    <t>Bill Savings (with standby charge)</t>
  </si>
  <si>
    <t>Total Charges (excluding generation and standby)</t>
  </si>
  <si>
    <t>Standby Charge</t>
  </si>
  <si>
    <t>CUSTOMER</t>
  </si>
  <si>
    <t>Total Bill (without generation and standby charge)</t>
  </si>
  <si>
    <t>Total Savings (without standby charge)</t>
  </si>
  <si>
    <t>Total Savings (with standby charge)</t>
  </si>
  <si>
    <t>Month</t>
  </si>
  <si>
    <t>Cost of Project</t>
  </si>
  <si>
    <t>Generator Nameplate Capacity (kW)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</si>
</sst>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164" formatCode="_-* #,##0.00_-;\-* #,##0.00_-;_-* &quot;-&quot;??_-;_-@_-"/>
    <numFmt numFmtId="165" formatCode="#,##0.0000"/>
    <numFmt numFmtId="166" formatCode="#,##0.000000_);\(#,##0.000000\)"/>
    <numFmt numFmtId="167" formatCode="#,##0.0000_);\(#,##0.0000\)"/>
    <numFmt numFmtId="168" formatCode="_-&quot;$&quot;* #,##0.00_-;\-&quot;$&quot;* #,##0.00_-;_-&quot;$&quot;* &quot;-&quot;??_-;_-@_-"/>
    <numFmt numFmtId="169" formatCode="#,##0.0000_ ;\-#,##0.0000\ "/>
    <numFmt numFmtId="170" formatCode="_-* #,##0_-;\-* #,##0_-;_-* &quot;-&quot;??_-;_-@_-"/>
    <numFmt numFmtId="174" formatCode="&quot;$&quot;#,##0"/>
    <numFmt numFmtId="175" formatCode="&quot;$&quot;#,##0.0000_);[Red]\(&quot;$&quot;#,##0.0000\)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Effra-Regular"/>
    </font>
    <font>
      <sz val="11"/>
      <color theme="1"/>
      <name val="Effra-Regular"/>
    </font>
    <font>
      <b/>
      <sz val="11"/>
      <color theme="1"/>
      <name val="Effra-Regular"/>
    </font>
  </fonts>
  <fills count="9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17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4" fillId="0" borderId="0"/>
    <xf numFmtId="164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92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/>
    <xf numFmtId="0" fontId="5" fillId="0" borderId="3" xfId="1" applyFont="1" applyBorder="1" applyAlignment="1" applyProtection="1">
      <alignment horizontal="left"/>
      <protection locked="0"/>
    </xf>
    <xf numFmtId="0" fontId="0" fillId="0" borderId="4" xfId="0" applyBorder="1" applyAlignment="1">
      <alignment horizontal="center"/>
    </xf>
    <xf numFmtId="0" fontId="5" fillId="0" borderId="5" xfId="1" applyFont="1" applyBorder="1" applyAlignment="1" applyProtection="1">
      <alignment horizontal="center" vertical="center"/>
      <protection locked="0"/>
    </xf>
    <xf numFmtId="0" fontId="5" fillId="0" borderId="6" xfId="1" applyFont="1" applyBorder="1" applyAlignment="1" applyProtection="1">
      <alignment horizontal="left"/>
      <protection locked="0"/>
    </xf>
    <xf numFmtId="0" fontId="5" fillId="2" borderId="7" xfId="1" applyFont="1" applyFill="1" applyBorder="1" applyAlignment="1" applyProtection="1">
      <alignment horizontal="center" vertical="center"/>
      <protection locked="0"/>
    </xf>
    <xf numFmtId="165" fontId="5" fillId="0" borderId="7" xfId="2" applyNumberFormat="1" applyFont="1" applyFill="1" applyBorder="1" applyAlignment="1" applyProtection="1">
      <alignment horizontal="center"/>
      <protection locked="0"/>
    </xf>
    <xf numFmtId="0" fontId="6" fillId="0" borderId="0" xfId="1" applyFont="1"/>
    <xf numFmtId="0" fontId="5" fillId="0" borderId="0" xfId="1" applyFont="1"/>
    <xf numFmtId="0" fontId="5" fillId="3" borderId="8" xfId="1" applyFont="1" applyFill="1" applyBorder="1" applyAlignment="1">
      <alignment horizontal="center"/>
    </xf>
    <xf numFmtId="0" fontId="5" fillId="3" borderId="9" xfId="1" applyFont="1" applyFill="1" applyBorder="1" applyAlignment="1">
      <alignment horizontal="center"/>
    </xf>
    <xf numFmtId="0" fontId="5" fillId="3" borderId="10" xfId="1" applyFont="1" applyFill="1" applyBorder="1" applyAlignment="1">
      <alignment horizontal="center"/>
    </xf>
    <xf numFmtId="165" fontId="5" fillId="2" borderId="7" xfId="2" applyNumberFormat="1" applyFont="1" applyFill="1" applyBorder="1" applyAlignment="1" applyProtection="1">
      <alignment horizontal="center"/>
      <protection locked="0"/>
    </xf>
    <xf numFmtId="0" fontId="5" fillId="0" borderId="0" xfId="1" applyFont="1" applyAlignment="1">
      <alignment horizontal="center" wrapText="1"/>
    </xf>
    <xf numFmtId="0" fontId="5" fillId="0" borderId="0" xfId="1" applyFont="1" applyAlignment="1">
      <alignment horizontal="center"/>
    </xf>
    <xf numFmtId="0" fontId="5" fillId="3" borderId="2" xfId="1" applyFont="1" applyFill="1" applyBorder="1" applyAlignment="1">
      <alignment horizontal="center"/>
    </xf>
    <xf numFmtId="0" fontId="5" fillId="3" borderId="5" xfId="1" applyFont="1" applyFill="1" applyBorder="1" applyAlignment="1">
      <alignment horizontal="center"/>
    </xf>
    <xf numFmtId="0" fontId="5" fillId="3" borderId="7" xfId="1" applyFont="1" applyFill="1" applyBorder="1" applyAlignment="1">
      <alignment horizontal="center"/>
    </xf>
    <xf numFmtId="3" fontId="5" fillId="2" borderId="7" xfId="2" applyNumberFormat="1" applyFont="1" applyFill="1" applyBorder="1" applyAlignment="1" applyProtection="1">
      <alignment horizontal="center"/>
      <protection locked="0"/>
    </xf>
    <xf numFmtId="0" fontId="5" fillId="3" borderId="11" xfId="1" quotePrefix="1" applyFont="1" applyFill="1" applyBorder="1" applyAlignment="1">
      <alignment horizontal="center"/>
    </xf>
    <xf numFmtId="0" fontId="5" fillId="3" borderId="12" xfId="1" quotePrefix="1" applyFont="1" applyFill="1" applyBorder="1" applyAlignment="1">
      <alignment horizontal="center"/>
    </xf>
    <xf numFmtId="37" fontId="5" fillId="2" borderId="7" xfId="2" applyNumberFormat="1" applyFont="1" applyFill="1" applyBorder="1" applyAlignment="1" applyProtection="1">
      <alignment horizontal="center"/>
      <protection locked="0"/>
    </xf>
    <xf numFmtId="0" fontId="5" fillId="0" borderId="13" xfId="1" quotePrefix="1" applyFont="1" applyBorder="1" applyAlignment="1">
      <alignment horizontal="center"/>
    </xf>
    <xf numFmtId="0" fontId="5" fillId="0" borderId="7" xfId="1" quotePrefix="1" applyFont="1" applyBorder="1" applyAlignment="1">
      <alignment horizontal="center"/>
    </xf>
    <xf numFmtId="39" fontId="5" fillId="2" borderId="7" xfId="2" applyNumberFormat="1" applyFont="1" applyFill="1" applyBorder="1" applyAlignment="1" applyProtection="1">
      <alignment horizontal="center"/>
      <protection locked="0"/>
    </xf>
    <xf numFmtId="166" fontId="6" fillId="0" borderId="13" xfId="1" quotePrefix="1" applyNumberFormat="1" applyFont="1" applyBorder="1" applyAlignment="1">
      <alignment horizontal="center"/>
    </xf>
    <xf numFmtId="37" fontId="6" fillId="2" borderId="7" xfId="1" quotePrefix="1" applyNumberFormat="1" applyFont="1" applyFill="1" applyBorder="1" applyAlignment="1">
      <alignment horizontal="center"/>
    </xf>
    <xf numFmtId="39" fontId="6" fillId="0" borderId="7" xfId="1" quotePrefix="1" applyNumberFormat="1" applyFont="1" applyBorder="1" applyAlignment="1">
      <alignment horizontal="center"/>
    </xf>
    <xf numFmtId="39" fontId="0" fillId="0" borderId="0" xfId="0" applyNumberFormat="1"/>
    <xf numFmtId="37" fontId="6" fillId="0" borderId="7" xfId="1" quotePrefix="1" applyNumberFormat="1" applyFont="1" applyBorder="1" applyAlignment="1">
      <alignment horizontal="center"/>
    </xf>
    <xf numFmtId="166" fontId="5" fillId="2" borderId="7" xfId="2" applyNumberFormat="1" applyFont="1" applyFill="1" applyBorder="1" applyAlignment="1" applyProtection="1">
      <alignment horizontal="center"/>
      <protection locked="0"/>
    </xf>
    <xf numFmtId="39" fontId="6" fillId="4" borderId="7" xfId="1" quotePrefix="1" applyNumberFormat="1" applyFont="1" applyFill="1" applyBorder="1" applyAlignment="1">
      <alignment horizontal="center"/>
    </xf>
    <xf numFmtId="0" fontId="5" fillId="0" borderId="14" xfId="1" applyFont="1" applyBorder="1" applyAlignment="1" applyProtection="1">
      <alignment horizontal="left"/>
      <protection locked="0"/>
    </xf>
    <xf numFmtId="0" fontId="0" fillId="0" borderId="15" xfId="0" applyBorder="1" applyAlignment="1">
      <alignment horizontal="center"/>
    </xf>
    <xf numFmtId="0" fontId="5" fillId="0" borderId="0" xfId="1" applyFont="1" applyAlignment="1" applyProtection="1">
      <alignment horizontal="left"/>
      <protection locked="0"/>
    </xf>
    <xf numFmtId="166" fontId="5" fillId="0" borderId="0" xfId="2" applyNumberFormat="1" applyFont="1" applyFill="1" applyBorder="1" applyAlignment="1" applyProtection="1">
      <alignment horizontal="center"/>
      <protection locked="0"/>
    </xf>
    <xf numFmtId="0" fontId="0" fillId="0" borderId="0" xfId="0" applyAlignment="1">
      <alignment horizontal="left"/>
    </xf>
    <xf numFmtId="39" fontId="0" fillId="0" borderId="0" xfId="0" applyNumberFormat="1" applyAlignment="1">
      <alignment horizontal="center"/>
    </xf>
    <xf numFmtId="9" fontId="0" fillId="0" borderId="0" xfId="0" applyNumberFormat="1" applyAlignment="1">
      <alignment horizontal="center"/>
    </xf>
    <xf numFmtId="0" fontId="6" fillId="0" borderId="0" xfId="1" applyFont="1" applyAlignment="1">
      <alignment vertical="top"/>
    </xf>
    <xf numFmtId="0" fontId="6" fillId="0" borderId="0" xfId="1" applyFont="1" applyAlignment="1" applyProtection="1">
      <alignment vertical="top"/>
      <protection locked="0"/>
    </xf>
    <xf numFmtId="0" fontId="6" fillId="0" borderId="0" xfId="1" applyFont="1" applyAlignment="1" applyProtection="1">
      <alignment horizontal="right" vertical="center"/>
      <protection locked="0"/>
    </xf>
    <xf numFmtId="167" fontId="0" fillId="0" borderId="13" xfId="3" applyNumberFormat="1" applyFont="1" applyFill="1" applyBorder="1" applyAlignment="1" applyProtection="1">
      <alignment horizontal="center" vertical="center"/>
      <protection locked="0"/>
    </xf>
    <xf numFmtId="37" fontId="6" fillId="0" borderId="7" xfId="1" applyNumberFormat="1" applyFont="1" applyBorder="1" applyAlignment="1" applyProtection="1">
      <alignment horizontal="center" vertical="center"/>
      <protection locked="0"/>
    </xf>
    <xf numFmtId="39" fontId="0" fillId="0" borderId="7" xfId="4" applyNumberFormat="1" applyFont="1" applyFill="1" applyBorder="1" applyAlignment="1" applyProtection="1">
      <alignment horizontal="center" vertical="center"/>
    </xf>
    <xf numFmtId="167" fontId="0" fillId="0" borderId="13" xfId="4" applyNumberFormat="1" applyFont="1" applyFill="1" applyBorder="1" applyAlignment="1" applyProtection="1">
      <alignment horizontal="center" vertical="center"/>
      <protection locked="0"/>
    </xf>
    <xf numFmtId="39" fontId="0" fillId="0" borderId="16" xfId="0" applyNumberFormat="1" applyBorder="1" applyAlignment="1">
      <alignment horizontal="center"/>
    </xf>
    <xf numFmtId="2" fontId="2" fillId="0" borderId="0" xfId="0" applyNumberFormat="1" applyFont="1" applyAlignment="1">
      <alignment horizontal="center"/>
    </xf>
    <xf numFmtId="0" fontId="3" fillId="0" borderId="16" xfId="0" applyFont="1" applyBorder="1"/>
    <xf numFmtId="39" fontId="3" fillId="0" borderId="16" xfId="0" applyNumberFormat="1" applyFont="1" applyBorder="1" applyAlignment="1">
      <alignment horizontal="center"/>
    </xf>
    <xf numFmtId="39" fontId="0" fillId="0" borderId="0" xfId="0" applyNumberFormat="1" applyAlignment="1">
      <alignment horizontal="left"/>
    </xf>
    <xf numFmtId="39" fontId="0" fillId="4" borderId="7" xfId="4" applyNumberFormat="1" applyFont="1" applyFill="1" applyBorder="1" applyAlignment="1" applyProtection="1">
      <alignment horizontal="center" vertical="center"/>
    </xf>
    <xf numFmtId="39" fontId="0" fillId="4" borderId="0" xfId="0" applyNumberFormat="1" applyFill="1" applyAlignment="1">
      <alignment horizontal="center"/>
    </xf>
    <xf numFmtId="39" fontId="0" fillId="0" borderId="0" xfId="4" applyNumberFormat="1" applyFont="1" applyFill="1" applyBorder="1" applyAlignment="1" applyProtection="1">
      <alignment horizontal="center" vertical="center"/>
      <protection locked="0"/>
    </xf>
    <xf numFmtId="37" fontId="6" fillId="0" borderId="0" xfId="1" applyNumberFormat="1" applyFont="1" applyAlignment="1" applyProtection="1">
      <alignment horizontal="center" vertical="center"/>
      <protection locked="0"/>
    </xf>
    <xf numFmtId="0" fontId="3" fillId="0" borderId="16" xfId="0" applyFont="1" applyBorder="1" applyAlignment="1">
      <alignment horizontal="center"/>
    </xf>
    <xf numFmtId="169" fontId="0" fillId="0" borderId="0" xfId="4" applyNumberFormat="1" applyFont="1" applyFill="1" applyBorder="1" applyAlignment="1" applyProtection="1">
      <alignment horizontal="right" vertical="center"/>
      <protection locked="0"/>
    </xf>
    <xf numFmtId="170" fontId="6" fillId="0" borderId="0" xfId="1" applyNumberFormat="1" applyFont="1" applyAlignment="1" applyProtection="1">
      <alignment horizontal="right" vertical="center"/>
      <protection locked="0"/>
    </xf>
    <xf numFmtId="168" fontId="0" fillId="0" borderId="0" xfId="4" applyFont="1" applyBorder="1" applyAlignment="1" applyProtection="1">
      <alignment horizontal="right" vertical="center"/>
    </xf>
    <xf numFmtId="168" fontId="6" fillId="0" borderId="0" xfId="1" applyNumberFormat="1" applyFont="1" applyProtection="1">
      <protection locked="0"/>
    </xf>
    <xf numFmtId="39" fontId="6" fillId="0" borderId="7" xfId="1" quotePrefix="1" applyNumberFormat="1" applyFont="1" applyFill="1" applyBorder="1" applyAlignment="1">
      <alignment horizontal="center"/>
    </xf>
    <xf numFmtId="166" fontId="1" fillId="0" borderId="13" xfId="1" quotePrefix="1" applyNumberFormat="1" applyFont="1" applyBorder="1" applyAlignment="1">
      <alignment horizontal="center"/>
    </xf>
    <xf numFmtId="0" fontId="7" fillId="5" borderId="1" xfId="0" applyFont="1" applyFill="1" applyBorder="1"/>
    <xf numFmtId="0" fontId="7" fillId="5" borderId="1" xfId="0" applyFont="1" applyFill="1" applyBorder="1" applyAlignment="1">
      <alignment horizontal="center"/>
    </xf>
    <xf numFmtId="0" fontId="8" fillId="0" borderId="1" xfId="0" applyFont="1" applyBorder="1" applyAlignment="1">
      <alignment wrapText="1"/>
    </xf>
    <xf numFmtId="3" fontId="8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left" wrapText="1"/>
    </xf>
    <xf numFmtId="0" fontId="8" fillId="0" borderId="1" xfId="0" applyFont="1" applyBorder="1"/>
    <xf numFmtId="0" fontId="0" fillId="0" borderId="0" xfId="0" applyBorder="1" applyAlignment="1">
      <alignment horizontal="center"/>
    </xf>
    <xf numFmtId="37" fontId="5" fillId="4" borderId="7" xfId="2" applyNumberFormat="1" applyFont="1" applyFill="1" applyBorder="1" applyAlignment="1" applyProtection="1">
      <alignment horizontal="center"/>
      <protection locked="0"/>
    </xf>
    <xf numFmtId="37" fontId="5" fillId="4" borderId="12" xfId="2" applyNumberFormat="1" applyFont="1" applyFill="1" applyBorder="1" applyAlignment="1" applyProtection="1">
      <alignment horizontal="center"/>
      <protection locked="0"/>
    </xf>
    <xf numFmtId="2" fontId="0" fillId="0" borderId="0" xfId="0" applyNumberFormat="1" applyAlignment="1">
      <alignment horizontal="center"/>
    </xf>
    <xf numFmtId="39" fontId="0" fillId="6" borderId="7" xfId="4" applyNumberFormat="1" applyFont="1" applyFill="1" applyBorder="1" applyAlignment="1" applyProtection="1">
      <alignment horizontal="center" vertical="center"/>
    </xf>
    <xf numFmtId="39" fontId="0" fillId="0" borderId="0" xfId="0" applyNumberFormat="1" applyBorder="1" applyAlignment="1">
      <alignment horizontal="center"/>
    </xf>
    <xf numFmtId="0" fontId="8" fillId="0" borderId="0" xfId="0" applyFont="1"/>
    <xf numFmtId="0" fontId="9" fillId="7" borderId="1" xfId="0" applyFont="1" applyFill="1" applyBorder="1" applyAlignment="1">
      <alignment horizontal="left"/>
    </xf>
    <xf numFmtId="0" fontId="9" fillId="7" borderId="1" xfId="0" applyFont="1" applyFill="1" applyBorder="1" applyAlignment="1">
      <alignment horizontal="center" wrapText="1"/>
    </xf>
    <xf numFmtId="37" fontId="8" fillId="0" borderId="1" xfId="0" applyNumberFormat="1" applyFont="1" applyBorder="1" applyAlignment="1">
      <alignment horizontal="center"/>
    </xf>
    <xf numFmtId="5" fontId="8" fillId="0" borderId="1" xfId="0" applyNumberFormat="1" applyFont="1" applyBorder="1" applyAlignment="1">
      <alignment horizontal="center"/>
    </xf>
    <xf numFmtId="0" fontId="9" fillId="8" borderId="1" xfId="0" applyFont="1" applyFill="1" applyBorder="1"/>
    <xf numFmtId="37" fontId="9" fillId="8" borderId="1" xfId="0" applyNumberFormat="1" applyFont="1" applyFill="1" applyBorder="1" applyAlignment="1">
      <alignment horizontal="center"/>
    </xf>
    <xf numFmtId="5" fontId="8" fillId="0" borderId="1" xfId="0" applyNumberFormat="1" applyFont="1" applyFill="1" applyBorder="1" applyAlignment="1">
      <alignment horizontal="center"/>
    </xf>
    <xf numFmtId="9" fontId="8" fillId="0" borderId="1" xfId="0" applyNumberFormat="1" applyFont="1" applyFill="1" applyBorder="1" applyAlignment="1">
      <alignment horizontal="center"/>
    </xf>
    <xf numFmtId="5" fontId="9" fillId="8" borderId="1" xfId="0" applyNumberFormat="1" applyFont="1" applyFill="1" applyBorder="1" applyAlignment="1">
      <alignment horizontal="center"/>
    </xf>
    <xf numFmtId="5" fontId="8" fillId="0" borderId="0" xfId="0" applyNumberFormat="1" applyFont="1"/>
    <xf numFmtId="7" fontId="8" fillId="0" borderId="0" xfId="0" applyNumberFormat="1" applyFont="1"/>
    <xf numFmtId="2" fontId="8" fillId="0" borderId="0" xfId="0" applyNumberFormat="1" applyFont="1" applyAlignment="1">
      <alignment horizontal="center"/>
    </xf>
    <xf numFmtId="174" fontId="8" fillId="0" borderId="1" xfId="0" applyNumberFormat="1" applyFont="1" applyBorder="1" applyAlignment="1">
      <alignment horizontal="center"/>
    </xf>
    <xf numFmtId="9" fontId="9" fillId="8" borderId="1" xfId="0" applyNumberFormat="1" applyFont="1" applyFill="1" applyBorder="1" applyAlignment="1">
      <alignment horizontal="center"/>
    </xf>
    <xf numFmtId="175" fontId="8" fillId="0" borderId="1" xfId="0" applyNumberFormat="1" applyFont="1" applyBorder="1" applyAlignment="1">
      <alignment horizontal="center"/>
    </xf>
  </cellXfs>
  <cellStyles count="6">
    <cellStyle name="Comma 2" xfId="2" xr:uid="{79746AA3-0877-4DFB-B203-78D7A4006EFE}"/>
    <cellStyle name="Currency 2" xfId="4" xr:uid="{562B72D8-0D47-46A6-8612-6AEBE511E7EF}"/>
    <cellStyle name="Currency 2 2" xfId="5" xr:uid="{1C9FD9D6-74B0-42D0-BE9B-C7B262CF26E0}"/>
    <cellStyle name="Currency 3" xfId="3" xr:uid="{B0436B27-A203-43F0-8DED-E27322B35B6F}"/>
    <cellStyle name="Normal" xfId="0" builtinId="0"/>
    <cellStyle name="Normal 2" xfId="1" xr:uid="{B5D46EBC-E2DF-40BF-9F32-50F83A7E826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Effra-Regular"/>
                <a:ea typeface="+mn-ea"/>
                <a:cs typeface="+mn-cs"/>
              </a:defRPr>
            </a:pPr>
            <a:r>
              <a:rPr lang="en-CA"/>
              <a:t>Electricity Savings with CHP Project and Standby Rate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Effra-Regular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Total Bill Savings (without standby charge)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Summary!$D$12:$D$23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Summary!$G$12:$G$23</c:f>
              <c:numCache>
                <c:formatCode>"$"#,##0_);\("$"#,##0\)</c:formatCode>
                <c:ptCount val="12"/>
                <c:pt idx="0">
                  <c:v>18046.845777399998</c:v>
                </c:pt>
                <c:pt idx="1">
                  <c:v>23192.923373499998</c:v>
                </c:pt>
                <c:pt idx="2">
                  <c:v>20368.93409635</c:v>
                </c:pt>
                <c:pt idx="3">
                  <c:v>18312.131227450001</c:v>
                </c:pt>
                <c:pt idx="4">
                  <c:v>25269.193486899996</c:v>
                </c:pt>
                <c:pt idx="5">
                  <c:v>24020.281264749996</c:v>
                </c:pt>
                <c:pt idx="6">
                  <c:v>29053.271867800002</c:v>
                </c:pt>
                <c:pt idx="7">
                  <c:v>16774.21891195</c:v>
                </c:pt>
                <c:pt idx="8">
                  <c:v>26637.563800299999</c:v>
                </c:pt>
                <c:pt idx="9">
                  <c:v>34109.977114149995</c:v>
                </c:pt>
                <c:pt idx="10">
                  <c:v>23803.663925949997</c:v>
                </c:pt>
                <c:pt idx="11">
                  <c:v>20099.401247499998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94B-4512-8677-3D55FC960E0C}"/>
            </c:ext>
          </c:extLst>
        </c:ser>
        <c:ser>
          <c:idx val="1"/>
          <c:order val="1"/>
          <c:tx>
            <c:v>Standby Charge</c:v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f>Summary!$D$12:$D$23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Summary!$L$12:$L$23</c:f>
              <c:numCache>
                <c:formatCode>"$"#,##0_);\("$"#,##0\)</c:formatCode>
                <c:ptCount val="12"/>
                <c:pt idx="0">
                  <c:v>863.72499999999854</c:v>
                </c:pt>
                <c:pt idx="1">
                  <c:v>863.72499999999854</c:v>
                </c:pt>
                <c:pt idx="2">
                  <c:v>863.72499999999854</c:v>
                </c:pt>
                <c:pt idx="3">
                  <c:v>863.72499999999854</c:v>
                </c:pt>
                <c:pt idx="4">
                  <c:v>863.72499999999854</c:v>
                </c:pt>
                <c:pt idx="5">
                  <c:v>863.72499999999854</c:v>
                </c:pt>
                <c:pt idx="6">
                  <c:v>863.72499999999854</c:v>
                </c:pt>
                <c:pt idx="7">
                  <c:v>863.72500000000036</c:v>
                </c:pt>
                <c:pt idx="8">
                  <c:v>863.72499999999854</c:v>
                </c:pt>
                <c:pt idx="9">
                  <c:v>863.72499999999854</c:v>
                </c:pt>
                <c:pt idx="10">
                  <c:v>863.72499999999854</c:v>
                </c:pt>
                <c:pt idx="11">
                  <c:v>863.72499999999854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94B-4512-8677-3D55FC960E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47401632"/>
        <c:axId val="847406880"/>
      </c:barChart>
      <c:catAx>
        <c:axId val="847401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Effra-Regular"/>
                <a:ea typeface="+mn-ea"/>
                <a:cs typeface="+mn-cs"/>
              </a:defRPr>
            </a:pPr>
            <a:endParaRPr lang="en-US"/>
          </a:p>
        </c:txPr>
        <c:crossAx val="847406880"/>
        <c:crosses val="autoZero"/>
        <c:auto val="1"/>
        <c:lblAlgn val="ctr"/>
        <c:lblOffset val="100"/>
        <c:noMultiLvlLbl val="0"/>
      </c:catAx>
      <c:valAx>
        <c:axId val="847406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_);\(&quot;$&quot;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Effra-Regular"/>
                <a:ea typeface="+mn-ea"/>
                <a:cs typeface="+mn-cs"/>
              </a:defRPr>
            </a:pPr>
            <a:endParaRPr lang="en-US"/>
          </a:p>
        </c:txPr>
        <c:crossAx val="8474016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Effra-Regular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Effra-Regular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190499</xdr:colOff>
      <xdr:row>3</xdr:row>
      <xdr:rowOff>110065</xdr:rowOff>
    </xdr:from>
    <xdr:to>
      <xdr:col>22</xdr:col>
      <xdr:colOff>95250</xdr:colOff>
      <xdr:row>24</xdr:row>
      <xdr:rowOff>137583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39A745C-2148-478B-99AB-79050E0EF4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DC77B2-AE6B-4D0D-ABDC-DCBDFF354938}">
  <sheetPr codeName="Sheet3"/>
  <dimension ref="B3:L24"/>
  <sheetViews>
    <sheetView tabSelected="1" zoomScale="90" zoomScaleNormal="90" workbookViewId="0">
      <selection activeCell="B14" sqref="B14:B23"/>
    </sheetView>
  </sheetViews>
  <sheetFormatPr defaultRowHeight="14.25"/>
  <cols>
    <col min="1" max="1" width="9.140625" style="76"/>
    <col min="2" max="2" width="43.42578125" style="76" customWidth="1"/>
    <col min="3" max="3" width="13.5703125" style="76" bestFit="1" customWidth="1"/>
    <col min="4" max="4" width="11.28515625" style="76" bestFit="1" customWidth="1"/>
    <col min="5" max="5" width="14" style="76" customWidth="1"/>
    <col min="6" max="6" width="21.7109375" style="76" customWidth="1"/>
    <col min="7" max="7" width="17.140625" style="76" customWidth="1"/>
    <col min="8" max="8" width="18.7109375" style="76" customWidth="1"/>
    <col min="9" max="9" width="16.85546875" style="76" customWidth="1"/>
    <col min="10" max="10" width="15.140625" style="76" customWidth="1"/>
    <col min="11" max="16384" width="9.140625" style="76"/>
  </cols>
  <sheetData>
    <row r="3" spans="2:12" ht="15">
      <c r="B3" s="64" t="s">
        <v>52</v>
      </c>
      <c r="C3" s="65" t="s">
        <v>53</v>
      </c>
    </row>
    <row r="4" spans="2:12">
      <c r="B4" s="66" t="s">
        <v>72</v>
      </c>
      <c r="C4" s="89">
        <v>1500000</v>
      </c>
      <c r="G4" s="88"/>
      <c r="H4" s="88"/>
      <c r="I4" s="88"/>
    </row>
    <row r="5" spans="2:12">
      <c r="B5" s="66" t="s">
        <v>73</v>
      </c>
      <c r="C5" s="67">
        <v>300</v>
      </c>
    </row>
    <row r="6" spans="2:12">
      <c r="B6" s="68" t="s">
        <v>54</v>
      </c>
      <c r="C6" s="67">
        <v>150000</v>
      </c>
    </row>
    <row r="7" spans="2:12">
      <c r="B7" s="68" t="s">
        <v>55</v>
      </c>
      <c r="C7" s="67">
        <v>50</v>
      </c>
    </row>
    <row r="8" spans="2:12">
      <c r="B8" s="69" t="s">
        <v>56</v>
      </c>
      <c r="C8" s="67">
        <f>C5-C7</f>
        <v>250</v>
      </c>
    </row>
    <row r="9" spans="2:12">
      <c r="B9" s="69" t="s">
        <v>57</v>
      </c>
      <c r="C9" s="91">
        <v>3.4548999999999999</v>
      </c>
    </row>
    <row r="11" spans="2:12" ht="60">
      <c r="D11" s="77" t="s">
        <v>71</v>
      </c>
      <c r="E11" s="78" t="s">
        <v>62</v>
      </c>
      <c r="F11" s="78" t="s">
        <v>68</v>
      </c>
      <c r="G11" s="78" t="s">
        <v>63</v>
      </c>
      <c r="H11" s="78" t="s">
        <v>69</v>
      </c>
      <c r="I11" s="78" t="s">
        <v>64</v>
      </c>
      <c r="J11" s="78" t="s">
        <v>70</v>
      </c>
    </row>
    <row r="12" spans="2:12">
      <c r="D12" s="69" t="s">
        <v>2</v>
      </c>
      <c r="E12" s="79">
        <v>286974</v>
      </c>
      <c r="F12" s="83">
        <f>'January 2019'!K14</f>
        <v>36572.606329552589</v>
      </c>
      <c r="G12" s="83">
        <f>-'January 2019'!K15-'January 2019'!K16</f>
        <v>18046.845777399998</v>
      </c>
      <c r="H12" s="84">
        <f>G12/F12</f>
        <v>0.49345254792019561</v>
      </c>
      <c r="I12" s="83">
        <f>G12-'January 2019'!H22</f>
        <v>17183.120777399999</v>
      </c>
      <c r="J12" s="84">
        <f>I12/F12</f>
        <v>0.46983582801193841</v>
      </c>
      <c r="L12" s="86">
        <f>G12-I12</f>
        <v>863.72499999999854</v>
      </c>
    </row>
    <row r="13" spans="2:12">
      <c r="D13" s="69" t="s">
        <v>3</v>
      </c>
      <c r="E13" s="79">
        <v>283364.21999999997</v>
      </c>
      <c r="F13" s="80">
        <f>'February 2019'!K14</f>
        <v>45870.474897854161</v>
      </c>
      <c r="G13" s="80">
        <f>-'February 2019'!K15-'February 2019'!K16</f>
        <v>23192.923373499998</v>
      </c>
      <c r="H13" s="84">
        <f t="shared" ref="H13:H24" si="0">G13/F13</f>
        <v>0.50561768599838441</v>
      </c>
      <c r="I13" s="80">
        <f>G13-'February 2019'!H22</f>
        <v>22329.198373499999</v>
      </c>
      <c r="J13" s="84">
        <f t="shared" ref="J13:J24" si="1">I13/F13</f>
        <v>0.48678803572937435</v>
      </c>
      <c r="L13" s="86">
        <f t="shared" ref="L13:L24" si="2">G13-I13</f>
        <v>863.72499999999854</v>
      </c>
    </row>
    <row r="14" spans="2:12">
      <c r="D14" s="69" t="s">
        <v>4</v>
      </c>
      <c r="E14" s="79">
        <v>302481.36</v>
      </c>
      <c r="F14" s="80">
        <f>'March 2019'!K14</f>
        <v>43074.779128249145</v>
      </c>
      <c r="G14" s="80">
        <f>-'March 2019'!K15-'March 2019'!K16</f>
        <v>20368.93409635</v>
      </c>
      <c r="H14" s="84">
        <f t="shared" si="0"/>
        <v>0.47287379084880132</v>
      </c>
      <c r="I14" s="80">
        <f>G14-'March 2019'!H22</f>
        <v>19505.209096350001</v>
      </c>
      <c r="J14" s="84">
        <f t="shared" si="1"/>
        <v>0.45282203393953485</v>
      </c>
      <c r="L14" s="86">
        <f t="shared" si="2"/>
        <v>863.72499999999854</v>
      </c>
    </row>
    <row r="15" spans="2:12">
      <c r="D15" s="69" t="s">
        <v>5</v>
      </c>
      <c r="E15" s="79">
        <v>269149.86</v>
      </c>
      <c r="F15" s="80">
        <f>'April 2019'!K14</f>
        <v>34957.18992165949</v>
      </c>
      <c r="G15" s="80">
        <f>-'April 2019'!K15-'April 2019'!K16</f>
        <v>18312.131227450001</v>
      </c>
      <c r="H15" s="84">
        <f t="shared" si="0"/>
        <v>0.52384448717097243</v>
      </c>
      <c r="I15" s="80">
        <f>G15-'April 2019'!H22</f>
        <v>17448.406227450003</v>
      </c>
      <c r="J15" s="84">
        <f t="shared" si="1"/>
        <v>0.49913640846282564</v>
      </c>
      <c r="L15" s="86">
        <f t="shared" si="2"/>
        <v>863.72499999999854</v>
      </c>
    </row>
    <row r="16" spans="2:12">
      <c r="D16" s="69" t="s">
        <v>6</v>
      </c>
      <c r="E16" s="79">
        <v>240834.54</v>
      </c>
      <c r="F16" s="80">
        <f>'May 2019'!K14</f>
        <v>42754.690565366735</v>
      </c>
      <c r="G16" s="80">
        <f>-'May 2019'!K15-'May 2019'!K16</f>
        <v>25269.193486899996</v>
      </c>
      <c r="H16" s="84">
        <f t="shared" si="0"/>
        <v>0.59102739729261899</v>
      </c>
      <c r="I16" s="80">
        <f>G16-'May 2019'!H22</f>
        <v>24405.468486899998</v>
      </c>
      <c r="J16" s="84">
        <f t="shared" si="1"/>
        <v>0.57082552029202493</v>
      </c>
      <c r="L16" s="86">
        <f t="shared" si="2"/>
        <v>863.72499999999854</v>
      </c>
    </row>
    <row r="17" spans="2:12">
      <c r="B17" s="87"/>
      <c r="D17" s="69" t="s">
        <v>7</v>
      </c>
      <c r="E17" s="79">
        <v>240793.8</v>
      </c>
      <c r="F17" s="80">
        <f>'June 2019'!K14</f>
        <v>40743.079877552453</v>
      </c>
      <c r="G17" s="80">
        <f>-'June 2019'!K15-'June 2019'!K16</f>
        <v>24020.281264749996</v>
      </c>
      <c r="H17" s="84">
        <f t="shared" si="0"/>
        <v>0.58955487255601546</v>
      </c>
      <c r="I17" s="80">
        <f>G17-'June 2019'!K17</f>
        <v>23156.556264749997</v>
      </c>
      <c r="J17" s="84">
        <f t="shared" si="1"/>
        <v>0.56835556699060907</v>
      </c>
      <c r="L17" s="86">
        <f t="shared" si="2"/>
        <v>863.72499999999854</v>
      </c>
    </row>
    <row r="18" spans="2:12">
      <c r="B18" s="87"/>
      <c r="D18" s="69" t="s">
        <v>8</v>
      </c>
      <c r="E18" s="79">
        <v>267486.59999999998</v>
      </c>
      <c r="F18" s="80">
        <f>'July 2019'!K14</f>
        <v>53913.16140520895</v>
      </c>
      <c r="G18" s="80">
        <f>-'July 2019'!K15-'July 2019'!K16</f>
        <v>29053.271867800002</v>
      </c>
      <c r="H18" s="84">
        <f t="shared" si="0"/>
        <v>0.53889015428787213</v>
      </c>
      <c r="I18" s="80">
        <f>G18-'July 2019'!H22</f>
        <v>28189.546867800003</v>
      </c>
      <c r="J18" s="84">
        <f t="shared" si="1"/>
        <v>0.52286948368559971</v>
      </c>
      <c r="L18" s="86">
        <f t="shared" si="2"/>
        <v>863.72499999999854</v>
      </c>
    </row>
    <row r="19" spans="2:12">
      <c r="D19" s="69" t="s">
        <v>9</v>
      </c>
      <c r="E19" s="79">
        <v>377980.8</v>
      </c>
      <c r="F19" s="80">
        <f>'August 2019'!K14</f>
        <v>44044.191802723668</v>
      </c>
      <c r="G19" s="80">
        <f>-'August 2019'!K15-'August 2019'!K16</f>
        <v>16774.21891195</v>
      </c>
      <c r="H19" s="84">
        <f t="shared" si="0"/>
        <v>0.38084973807857886</v>
      </c>
      <c r="I19" s="80">
        <f>G19-'August 2019'!H22</f>
        <v>15910.49391195</v>
      </c>
      <c r="J19" s="84">
        <f t="shared" si="1"/>
        <v>0.36123932034475664</v>
      </c>
      <c r="L19" s="86">
        <f t="shared" si="2"/>
        <v>863.72500000000036</v>
      </c>
    </row>
    <row r="20" spans="2:12">
      <c r="D20" s="69" t="s">
        <v>10</v>
      </c>
      <c r="E20" s="79">
        <v>357931.5</v>
      </c>
      <c r="F20" s="80">
        <f>'September 2019'!K14</f>
        <v>65397.786128673368</v>
      </c>
      <c r="G20" s="80">
        <f>-'September 2019'!K15-'September 2019'!K16</f>
        <v>26637.563800299999</v>
      </c>
      <c r="H20" s="84">
        <f t="shared" si="0"/>
        <v>0.4073159869340115</v>
      </c>
      <c r="I20" s="80">
        <f>G20-'September 2019'!H22</f>
        <v>25773.8388003</v>
      </c>
      <c r="J20" s="84">
        <f t="shared" si="1"/>
        <v>0.39410873557078374</v>
      </c>
      <c r="L20" s="86">
        <f t="shared" si="2"/>
        <v>863.72499999999854</v>
      </c>
    </row>
    <row r="21" spans="2:12">
      <c r="D21" s="69" t="s">
        <v>11</v>
      </c>
      <c r="E21" s="79">
        <v>348111.78</v>
      </c>
      <c r="F21" s="80">
        <f>'October 2019'!K14</f>
        <v>81024.749776384604</v>
      </c>
      <c r="G21" s="80">
        <f>-'October 2019'!K15-'October 2019'!K16</f>
        <v>34109.977114149995</v>
      </c>
      <c r="H21" s="84">
        <f t="shared" si="0"/>
        <v>0.42098219628308753</v>
      </c>
      <c r="I21" s="80">
        <f>G21-'October 2019'!H22</f>
        <v>33246.252114149996</v>
      </c>
      <c r="J21" s="84">
        <f t="shared" si="1"/>
        <v>0.41032218187534492</v>
      </c>
      <c r="L21" s="86">
        <f t="shared" si="2"/>
        <v>863.72499999999854</v>
      </c>
    </row>
    <row r="22" spans="2:12">
      <c r="D22" s="69" t="s">
        <v>12</v>
      </c>
      <c r="E22" s="79">
        <v>281071.86</v>
      </c>
      <c r="F22" s="80">
        <f>'November 2019'!K14</f>
        <v>46667.265626257962</v>
      </c>
      <c r="G22" s="80">
        <f>-'November 2019'!K15-'November 2019'!K16</f>
        <v>23803.663925949997</v>
      </c>
      <c r="H22" s="84">
        <f t="shared" si="0"/>
        <v>0.51007196600257942</v>
      </c>
      <c r="I22" s="80">
        <f>G22-'November 2019'!H22</f>
        <v>22939.938925949999</v>
      </c>
      <c r="J22" s="84">
        <f t="shared" si="1"/>
        <v>0.49156381069480393</v>
      </c>
      <c r="L22" s="86">
        <f t="shared" si="2"/>
        <v>863.72499999999854</v>
      </c>
    </row>
    <row r="23" spans="2:12">
      <c r="D23" s="69" t="s">
        <v>13</v>
      </c>
      <c r="E23" s="79">
        <v>288727.98</v>
      </c>
      <c r="F23" s="80">
        <f>'December 2019'!K14</f>
        <v>40729.280609776106</v>
      </c>
      <c r="G23" s="80">
        <f>-'December 2019'!K15-'December 2019'!K16</f>
        <v>20099.401247499998</v>
      </c>
      <c r="H23" s="84">
        <f t="shared" si="0"/>
        <v>0.49348775491692848</v>
      </c>
      <c r="I23" s="80">
        <f>G23-'December 2019'!H22</f>
        <v>19235.6762475</v>
      </c>
      <c r="J23" s="84">
        <f t="shared" si="1"/>
        <v>0.47228126692920103</v>
      </c>
      <c r="L23" s="86">
        <f t="shared" si="2"/>
        <v>863.72499999999854</v>
      </c>
    </row>
    <row r="24" spans="2:12" ht="15">
      <c r="D24" s="81" t="s">
        <v>0</v>
      </c>
      <c r="E24" s="82">
        <f>SUM(E12:E23)</f>
        <v>3544908.3</v>
      </c>
      <c r="F24" s="85">
        <f>SUM(F12:F23)</f>
        <v>575749.25606925925</v>
      </c>
      <c r="G24" s="85">
        <f t="shared" ref="G24:I24" si="3">SUM(G12:G23)</f>
        <v>279688.40609399998</v>
      </c>
      <c r="H24" s="90">
        <f t="shared" si="0"/>
        <v>0.48578161959510219</v>
      </c>
      <c r="I24" s="85">
        <f t="shared" si="3"/>
        <v>269323.70609400002</v>
      </c>
      <c r="J24" s="90">
        <f t="shared" si="1"/>
        <v>0.46777951209649843</v>
      </c>
      <c r="L24" s="86">
        <f t="shared" si="2"/>
        <v>10364.699999999953</v>
      </c>
    </row>
  </sheetData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9CFB17-3B40-4AEE-AFCB-2A03A29D3FCE}">
  <sheetPr codeName="Sheet14">
    <tabColor rgb="FF92D050"/>
    <pageSetUpPr fitToPage="1"/>
  </sheetPr>
  <dimension ref="A1:M45"/>
  <sheetViews>
    <sheetView showGridLines="0" zoomScale="70" zoomScaleNormal="70" workbookViewId="0">
      <selection activeCell="L7" sqref="L7"/>
    </sheetView>
  </sheetViews>
  <sheetFormatPr defaultColWidth="9.140625" defaultRowHeight="15"/>
  <cols>
    <col min="1" max="1" width="35.28515625" bestFit="1" customWidth="1"/>
    <col min="5" max="5" width="6.140625" customWidth="1"/>
    <col min="6" max="6" width="11.140625" bestFit="1" customWidth="1"/>
    <col min="7" max="7" width="9.85546875" bestFit="1" customWidth="1"/>
    <col min="8" max="8" width="14.28515625" bestFit="1" customWidth="1"/>
    <col min="9" max="9" width="11.7109375" bestFit="1" customWidth="1"/>
    <col min="10" max="10" width="49.28515625" style="38" bestFit="1" customWidth="1"/>
    <col min="11" max="11" width="12.42578125" bestFit="1" customWidth="1"/>
    <col min="12" max="12" width="29.42578125" bestFit="1" customWidth="1"/>
  </cols>
  <sheetData>
    <row r="1" spans="1:13">
      <c r="A1" s="2"/>
      <c r="B1" s="2"/>
      <c r="C1" s="2"/>
      <c r="D1" s="2"/>
      <c r="E1" s="2"/>
      <c r="F1" s="2"/>
      <c r="G1" s="2"/>
      <c r="H1" s="2"/>
      <c r="J1" s="3" t="s">
        <v>14</v>
      </c>
      <c r="K1" s="4"/>
      <c r="L1" s="5" t="s">
        <v>15</v>
      </c>
    </row>
    <row r="2" spans="1:13">
      <c r="J2" s="6" t="s">
        <v>16</v>
      </c>
      <c r="K2" s="70"/>
      <c r="L2" s="7" t="s">
        <v>67</v>
      </c>
    </row>
    <row r="3" spans="1:13">
      <c r="J3" s="6" t="s">
        <v>17</v>
      </c>
      <c r="K3" s="70"/>
      <c r="L3" s="8">
        <v>1.0441</v>
      </c>
    </row>
    <row r="4" spans="1:13">
      <c r="A4" s="9"/>
      <c r="B4" s="9"/>
      <c r="C4" s="10"/>
      <c r="D4" s="10"/>
      <c r="E4" s="9"/>
      <c r="F4" s="11"/>
      <c r="G4" s="12"/>
      <c r="H4" s="13"/>
      <c r="J4" s="6" t="s">
        <v>18</v>
      </c>
      <c r="K4" s="70"/>
      <c r="L4" s="14" t="s">
        <v>19</v>
      </c>
    </row>
    <row r="5" spans="1:13">
      <c r="A5" s="9"/>
      <c r="B5" s="9"/>
      <c r="C5" s="15"/>
      <c r="D5" s="16"/>
      <c r="E5" s="9"/>
      <c r="F5" s="17" t="s">
        <v>20</v>
      </c>
      <c r="G5" s="18" t="s">
        <v>21</v>
      </c>
      <c r="H5" s="19" t="s">
        <v>22</v>
      </c>
      <c r="J5" s="6" t="s">
        <v>23</v>
      </c>
      <c r="K5" s="70"/>
      <c r="L5" s="20">
        <v>30</v>
      </c>
    </row>
    <row r="6" spans="1:13">
      <c r="A6" s="9"/>
      <c r="B6" s="9"/>
      <c r="C6" s="15"/>
      <c r="D6" s="16"/>
      <c r="E6" s="9"/>
      <c r="F6" s="21" t="s">
        <v>24</v>
      </c>
      <c r="G6" s="22"/>
      <c r="H6" s="22" t="s">
        <v>24</v>
      </c>
      <c r="J6" s="6" t="s">
        <v>25</v>
      </c>
      <c r="K6" s="70"/>
      <c r="L6" s="23">
        <f>Summary!E20</f>
        <v>357931.5</v>
      </c>
    </row>
    <row r="7" spans="1:13">
      <c r="A7" s="9"/>
      <c r="B7" s="9"/>
      <c r="C7" s="15"/>
      <c r="D7" s="16"/>
      <c r="E7" s="9"/>
      <c r="F7" s="24"/>
      <c r="G7" s="25"/>
      <c r="H7" s="25"/>
      <c r="J7" s="6" t="s">
        <v>26</v>
      </c>
      <c r="K7" s="70"/>
      <c r="L7" s="26">
        <f>Summary!C5</f>
        <v>300</v>
      </c>
    </row>
    <row r="8" spans="1:13">
      <c r="A8" s="9" t="s">
        <v>27</v>
      </c>
      <c r="B8" s="9"/>
      <c r="C8" s="15"/>
      <c r="D8" s="16"/>
      <c r="E8" s="9"/>
      <c r="F8" s="27">
        <f>L8</f>
        <v>1.4754E-2</v>
      </c>
      <c r="G8" s="28">
        <f>L6*L3</f>
        <v>373716.27915000002</v>
      </c>
      <c r="H8" s="29">
        <f>G8*F8</f>
        <v>5513.8099825791005</v>
      </c>
      <c r="I8" s="30"/>
      <c r="J8" s="6" t="s">
        <v>28</v>
      </c>
      <c r="K8" s="70"/>
      <c r="L8" s="32">
        <v>1.4754E-2</v>
      </c>
    </row>
    <row r="9" spans="1:13">
      <c r="A9" s="9" t="s">
        <v>50</v>
      </c>
      <c r="B9" s="9"/>
      <c r="C9" s="15"/>
      <c r="D9" s="16"/>
      <c r="E9" s="9"/>
      <c r="F9" s="63">
        <f>129.34/1000</f>
        <v>0.12934000000000001</v>
      </c>
      <c r="G9" s="28">
        <f>L6*L3</f>
        <v>373716.27915000002</v>
      </c>
      <c r="H9" s="29">
        <f>G9*F9</f>
        <v>48336.463545261009</v>
      </c>
      <c r="I9" s="30"/>
      <c r="J9" s="6" t="s">
        <v>59</v>
      </c>
      <c r="K9" s="70"/>
      <c r="L9" s="71">
        <f>-Summary!C7</f>
        <v>-50</v>
      </c>
    </row>
    <row r="10" spans="1:13">
      <c r="A10" s="9" t="s">
        <v>29</v>
      </c>
      <c r="B10" s="9"/>
      <c r="C10" s="15"/>
      <c r="D10" s="16"/>
      <c r="E10" s="9"/>
      <c r="F10" s="27">
        <f>F8</f>
        <v>1.4754E-2</v>
      </c>
      <c r="G10" s="31">
        <f>L10*L3</f>
        <v>-156615</v>
      </c>
      <c r="H10" s="33">
        <f>G10*F10</f>
        <v>-2310.6977099999999</v>
      </c>
      <c r="J10" s="34" t="s">
        <v>58</v>
      </c>
      <c r="K10" s="35"/>
      <c r="L10" s="72">
        <f>-Summary!C6</f>
        <v>-150000</v>
      </c>
    </row>
    <row r="11" spans="1:13">
      <c r="A11" s="9" t="s">
        <v>50</v>
      </c>
      <c r="B11" s="9"/>
      <c r="C11" s="15"/>
      <c r="D11" s="16"/>
      <c r="E11" s="9"/>
      <c r="F11" s="27">
        <f>F9</f>
        <v>0.12934000000000001</v>
      </c>
      <c r="G11" s="31">
        <f>L10*L3</f>
        <v>-156615</v>
      </c>
      <c r="H11" s="33">
        <f>G11*F11</f>
        <v>-20256.5841</v>
      </c>
    </row>
    <row r="12" spans="1:13">
      <c r="A12" s="9"/>
      <c r="B12" s="9"/>
      <c r="C12" s="15"/>
      <c r="D12" s="16"/>
      <c r="E12" s="9"/>
      <c r="F12" s="27"/>
      <c r="G12" s="31"/>
      <c r="H12" s="62"/>
      <c r="J12" s="36"/>
      <c r="K12" s="1"/>
      <c r="L12" s="37"/>
    </row>
    <row r="13" spans="1:13">
      <c r="A13" s="41" t="s">
        <v>30</v>
      </c>
      <c r="B13" s="41"/>
      <c r="C13" s="41"/>
      <c r="D13" s="42"/>
      <c r="E13" s="43"/>
      <c r="F13" s="44">
        <v>86.22</v>
      </c>
      <c r="G13" s="45">
        <v>1</v>
      </c>
      <c r="H13" s="46">
        <f>G13*F13</f>
        <v>86.22</v>
      </c>
      <c r="K13" s="39"/>
      <c r="L13" s="40"/>
    </row>
    <row r="14" spans="1:13">
      <c r="A14" s="41" t="s">
        <v>31</v>
      </c>
      <c r="B14" s="41"/>
      <c r="C14" s="41"/>
      <c r="D14" s="42"/>
      <c r="E14" s="43"/>
      <c r="F14" s="47">
        <v>3.4548999999999999</v>
      </c>
      <c r="G14" s="45">
        <f>L7</f>
        <v>300</v>
      </c>
      <c r="H14" s="46">
        <f t="shared" ref="H14:H18" si="0">G14*F14</f>
        <v>1036.47</v>
      </c>
      <c r="J14" s="38" t="s">
        <v>65</v>
      </c>
      <c r="K14" s="39">
        <f>(H8+H9+H13+H14+H16+H18+H20+H25+H26+H27+H28+H37)*1.13</f>
        <v>65397.786128673368</v>
      </c>
      <c r="L14" s="40"/>
      <c r="M14" s="30"/>
    </row>
    <row r="15" spans="1:13">
      <c r="A15" s="41" t="s">
        <v>31</v>
      </c>
      <c r="B15" s="41"/>
      <c r="C15" s="41"/>
      <c r="D15" s="42"/>
      <c r="E15" s="43"/>
      <c r="F15" s="47">
        <f>F14</f>
        <v>3.4548999999999999</v>
      </c>
      <c r="G15" s="45">
        <f>L9</f>
        <v>-50</v>
      </c>
      <c r="H15" s="53">
        <f>G15*F15</f>
        <v>-172.745</v>
      </c>
      <c r="J15" s="38" t="s">
        <v>60</v>
      </c>
      <c r="K15" s="39">
        <f>(H10+H29+H31+H11+H30)*1.13</f>
        <v>-26191.230750299997</v>
      </c>
      <c r="L15" s="40"/>
    </row>
    <row r="16" spans="1:13">
      <c r="A16" s="41" t="s">
        <v>33</v>
      </c>
      <c r="B16" s="41"/>
      <c r="C16" s="41"/>
      <c r="D16" s="42"/>
      <c r="E16" s="43"/>
      <c r="F16" s="47">
        <v>0.49330000000000002</v>
      </c>
      <c r="G16" s="45">
        <f>L7</f>
        <v>300</v>
      </c>
      <c r="H16" s="46">
        <f t="shared" si="0"/>
        <v>147.99</v>
      </c>
      <c r="J16" s="38" t="s">
        <v>61</v>
      </c>
      <c r="K16" s="39">
        <f>(H15+H17+H19+H21)*1.13</f>
        <v>-446.33304999999996</v>
      </c>
    </row>
    <row r="17" spans="1:12">
      <c r="A17" s="41" t="s">
        <v>33</v>
      </c>
      <c r="B17" s="41"/>
      <c r="C17" s="41"/>
      <c r="D17" s="42"/>
      <c r="E17" s="43"/>
      <c r="F17" s="47">
        <f>F16</f>
        <v>0.49330000000000002</v>
      </c>
      <c r="G17" s="45">
        <f>L9</f>
        <v>-50</v>
      </c>
      <c r="H17" s="53">
        <f>G17*F17</f>
        <v>-24.664999999999999</v>
      </c>
      <c r="J17" s="38" t="s">
        <v>66</v>
      </c>
      <c r="K17" s="73">
        <f>H22</f>
        <v>863.72499999999991</v>
      </c>
    </row>
    <row r="18" spans="1:12" ht="15.75" thickBot="1">
      <c r="A18" s="41" t="s">
        <v>34</v>
      </c>
      <c r="B18" s="41"/>
      <c r="C18" s="41"/>
      <c r="D18" s="42"/>
      <c r="E18" s="43"/>
      <c r="F18" s="47">
        <v>1.738</v>
      </c>
      <c r="G18" s="45">
        <f>L7</f>
        <v>300</v>
      </c>
      <c r="H18" s="46">
        <f t="shared" si="0"/>
        <v>521.4</v>
      </c>
      <c r="J18" s="38" t="s">
        <v>32</v>
      </c>
      <c r="K18" s="48">
        <f>K14+K15+K16+K17</f>
        <v>39623.947328373368</v>
      </c>
      <c r="L18" s="49">
        <f>K18-H39</f>
        <v>3.2499999993888196E-2</v>
      </c>
    </row>
    <row r="19" spans="1:12">
      <c r="A19" s="41" t="s">
        <v>34</v>
      </c>
      <c r="B19" s="41"/>
      <c r="C19" s="41"/>
      <c r="D19" s="42"/>
      <c r="E19" s="43"/>
      <c r="F19" s="47">
        <f>F18</f>
        <v>1.738</v>
      </c>
      <c r="G19" s="45">
        <f>L9</f>
        <v>-50</v>
      </c>
      <c r="H19" s="53">
        <f>G19*F19</f>
        <v>-86.9</v>
      </c>
    </row>
    <row r="20" spans="1:12">
      <c r="A20" s="41" t="s">
        <v>35</v>
      </c>
      <c r="B20" s="41"/>
      <c r="C20" s="41"/>
      <c r="D20" s="42"/>
      <c r="E20" s="43"/>
      <c r="F20" s="47">
        <v>2.2134999999999998</v>
      </c>
      <c r="G20" s="45">
        <f>L7</f>
        <v>300</v>
      </c>
      <c r="H20" s="46">
        <f>G20*F20</f>
        <v>664.05</v>
      </c>
    </row>
    <row r="21" spans="1:12">
      <c r="A21" s="41" t="s">
        <v>35</v>
      </c>
      <c r="B21" s="41"/>
      <c r="C21" s="41"/>
      <c r="D21" s="42"/>
      <c r="E21" s="43"/>
      <c r="F21" s="47">
        <f>F20</f>
        <v>2.2134999999999998</v>
      </c>
      <c r="G21" s="45">
        <f>L9</f>
        <v>-50</v>
      </c>
      <c r="H21" s="53">
        <f>G21*F21</f>
        <v>-110.67499999999998</v>
      </c>
      <c r="K21" s="75"/>
      <c r="L21" s="49"/>
    </row>
    <row r="22" spans="1:12">
      <c r="A22" s="41" t="s">
        <v>51</v>
      </c>
      <c r="B22" s="41"/>
      <c r="C22" s="41"/>
      <c r="D22" s="42"/>
      <c r="E22" s="43"/>
      <c r="F22" s="47">
        <f>F14</f>
        <v>3.4548999999999999</v>
      </c>
      <c r="G22" s="45">
        <f>Summary!C8</f>
        <v>250</v>
      </c>
      <c r="H22" s="74">
        <f>G22*F22</f>
        <v>863.72499999999991</v>
      </c>
      <c r="K22" s="39"/>
      <c r="L22" s="40"/>
    </row>
    <row r="23" spans="1:12" ht="15.75" thickBot="1">
      <c r="A23" s="50" t="s">
        <v>36</v>
      </c>
      <c r="B23" s="50"/>
      <c r="C23" s="50"/>
      <c r="D23" s="50"/>
      <c r="E23" s="50"/>
      <c r="F23" s="50"/>
      <c r="G23" s="50"/>
      <c r="H23" s="51">
        <f>SUM(H13:H22)</f>
        <v>2924.8699999999994</v>
      </c>
      <c r="K23" s="39"/>
      <c r="L23" s="40"/>
    </row>
    <row r="24" spans="1:12">
      <c r="K24" s="39"/>
      <c r="L24" s="40"/>
    </row>
    <row r="25" spans="1:12">
      <c r="A25" s="41" t="s">
        <v>37</v>
      </c>
      <c r="B25" s="41"/>
      <c r="C25" s="41"/>
      <c r="D25" s="42"/>
      <c r="E25" s="43"/>
      <c r="F25" s="47">
        <v>3.0000000000000001E-3</v>
      </c>
      <c r="G25" s="45">
        <f>(L6*L3)</f>
        <v>373716.27915000002</v>
      </c>
      <c r="H25" s="46">
        <f t="shared" ref="H25:H31" si="1">G25*F25</f>
        <v>1121.14883745</v>
      </c>
    </row>
    <row r="26" spans="1:12">
      <c r="A26" s="41" t="s">
        <v>38</v>
      </c>
      <c r="F26" s="47">
        <v>4.0000000000000002E-4</v>
      </c>
      <c r="G26" s="45">
        <f>L6*L3</f>
        <v>373716.27915000002</v>
      </c>
      <c r="H26" s="46">
        <f t="shared" si="1"/>
        <v>149.48651166000002</v>
      </c>
      <c r="I26" s="30"/>
    </row>
    <row r="27" spans="1:12">
      <c r="A27" s="41" t="s">
        <v>39</v>
      </c>
      <c r="B27" s="41"/>
      <c r="C27" s="41"/>
      <c r="D27" s="42"/>
      <c r="E27" s="43"/>
      <c r="F27" s="47">
        <v>5.0000000000000001E-4</v>
      </c>
      <c r="G27" s="45">
        <f>(L6*L3)</f>
        <v>373716.27915000002</v>
      </c>
      <c r="H27" s="46">
        <f t="shared" si="1"/>
        <v>186.85813957500002</v>
      </c>
    </row>
    <row r="28" spans="1:12">
      <c r="A28" s="41" t="s">
        <v>48</v>
      </c>
      <c r="B28" s="41"/>
      <c r="C28" s="41"/>
      <c r="D28" s="42"/>
      <c r="E28" s="43"/>
      <c r="F28" s="47">
        <v>0.25</v>
      </c>
      <c r="G28" s="45">
        <v>1</v>
      </c>
      <c r="H28" s="46">
        <f t="shared" si="1"/>
        <v>0.25</v>
      </c>
    </row>
    <row r="29" spans="1:12">
      <c r="A29" s="41" t="s">
        <v>40</v>
      </c>
      <c r="B29" s="41"/>
      <c r="C29" s="41"/>
      <c r="D29" s="42"/>
      <c r="E29" s="43"/>
      <c r="F29" s="47">
        <f>F25</f>
        <v>3.0000000000000001E-3</v>
      </c>
      <c r="G29" s="45">
        <f>L10*L3</f>
        <v>-156615</v>
      </c>
      <c r="H29" s="53">
        <f t="shared" si="1"/>
        <v>-469.84500000000003</v>
      </c>
    </row>
    <row r="30" spans="1:12">
      <c r="A30" s="41" t="s">
        <v>41</v>
      </c>
      <c r="B30" s="41"/>
      <c r="C30" s="41"/>
      <c r="D30" s="42"/>
      <c r="E30" s="43"/>
      <c r="F30" s="47">
        <v>4.0000000000000002E-4</v>
      </c>
      <c r="G30" s="45">
        <f>L10*L3</f>
        <v>-156615</v>
      </c>
      <c r="H30" s="53">
        <f t="shared" si="1"/>
        <v>-62.646000000000001</v>
      </c>
    </row>
    <row r="31" spans="1:12">
      <c r="A31" s="41" t="s">
        <v>42</v>
      </c>
      <c r="B31" s="41"/>
      <c r="C31" s="41"/>
      <c r="D31" s="42"/>
      <c r="E31" s="43"/>
      <c r="F31" s="47">
        <f>F27</f>
        <v>5.0000000000000001E-4</v>
      </c>
      <c r="G31" s="45">
        <f>L10*L3</f>
        <v>-156615</v>
      </c>
      <c r="H31" s="53">
        <f t="shared" si="1"/>
        <v>-78.307500000000005</v>
      </c>
    </row>
    <row r="32" spans="1:12" ht="15.75" thickBot="1">
      <c r="A32" s="50" t="s">
        <v>43</v>
      </c>
      <c r="B32" s="50"/>
      <c r="C32" s="50"/>
      <c r="D32" s="50"/>
      <c r="E32" s="50"/>
      <c r="F32" s="50"/>
      <c r="G32" s="50"/>
      <c r="H32" s="51">
        <f>SUM(H25:H31)</f>
        <v>846.94498868499988</v>
      </c>
    </row>
    <row r="34" spans="1:12">
      <c r="A34" t="s">
        <v>44</v>
      </c>
      <c r="B34" s="41"/>
      <c r="C34" s="41"/>
      <c r="D34" s="42"/>
      <c r="E34" s="43"/>
      <c r="H34" s="39">
        <f>(H8+H9+H13+H14+H16+H18+H20+H25+H26+H27+H37)*0.13</f>
        <v>7523.6066121482645</v>
      </c>
      <c r="I34" s="30"/>
    </row>
    <row r="35" spans="1:12">
      <c r="A35" t="s">
        <v>45</v>
      </c>
      <c r="B35" s="41"/>
      <c r="C35" s="41"/>
      <c r="D35" s="42"/>
      <c r="E35" s="43"/>
      <c r="H35" s="54">
        <f>(H29+H31+H11+H10+H30+H15+H17+H19+H21)*0.13</f>
        <v>-3064.4984903000004</v>
      </c>
      <c r="I35" s="30"/>
      <c r="L35" s="30"/>
    </row>
    <row r="36" spans="1:12">
      <c r="A36" t="s">
        <v>1</v>
      </c>
      <c r="B36" s="41"/>
      <c r="C36" s="41"/>
      <c r="D36" s="42"/>
      <c r="E36" s="43"/>
      <c r="F36" s="55"/>
      <c r="G36" s="56"/>
      <c r="H36" s="39">
        <f>H34+H32+H8+H9+H10+H23+H35+H11</f>
        <v>39513.914828373374</v>
      </c>
      <c r="I36" s="30"/>
      <c r="L36" s="30"/>
    </row>
    <row r="37" spans="1:12">
      <c r="A37" t="s">
        <v>49</v>
      </c>
      <c r="B37" s="41"/>
      <c r="C37" s="41"/>
      <c r="D37" s="42"/>
      <c r="E37" s="43"/>
      <c r="F37" s="55"/>
      <c r="G37" s="56"/>
      <c r="H37" s="39">
        <v>110</v>
      </c>
    </row>
    <row r="38" spans="1:12">
      <c r="A38" t="s">
        <v>46</v>
      </c>
      <c r="F38" s="39"/>
      <c r="G38" s="1"/>
      <c r="H38" s="39">
        <v>0</v>
      </c>
      <c r="I38" s="30"/>
      <c r="J38" s="52"/>
      <c r="K38" s="30"/>
    </row>
    <row r="39" spans="1:12" ht="15.75" thickBot="1">
      <c r="A39" s="50" t="s">
        <v>47</v>
      </c>
      <c r="B39" s="50"/>
      <c r="C39" s="50"/>
      <c r="D39" s="50"/>
      <c r="E39" s="50"/>
      <c r="F39" s="51"/>
      <c r="G39" s="57"/>
      <c r="H39" s="51">
        <f>H8+H9+H10+H23+H32+H34+H37+H38+H12+H35+H11</f>
        <v>39623.914828373374</v>
      </c>
      <c r="I39" s="30"/>
      <c r="J39" s="52"/>
      <c r="K39" s="30"/>
      <c r="L39" s="30"/>
    </row>
    <row r="40" spans="1:12">
      <c r="A40" s="41"/>
      <c r="B40" s="41"/>
      <c r="C40" s="41"/>
      <c r="D40" s="42"/>
      <c r="E40" s="43"/>
      <c r="F40" s="58"/>
      <c r="G40" s="59"/>
      <c r="H40" s="60"/>
    </row>
    <row r="41" spans="1:12">
      <c r="A41" s="41"/>
      <c r="J41" s="52"/>
    </row>
    <row r="42" spans="1:12">
      <c r="A42" s="9"/>
      <c r="B42" s="41"/>
      <c r="C42" s="41"/>
      <c r="D42" s="42"/>
      <c r="E42" s="43"/>
      <c r="F42" s="58"/>
      <c r="G42" s="59"/>
      <c r="H42" s="60"/>
    </row>
    <row r="43" spans="1:12">
      <c r="B43" s="41"/>
      <c r="C43" s="41"/>
      <c r="D43" s="42"/>
      <c r="E43" s="43"/>
      <c r="F43" s="58"/>
      <c r="G43" s="59"/>
      <c r="H43" s="60"/>
    </row>
    <row r="44" spans="1:12">
      <c r="B44" s="41"/>
      <c r="C44" s="41"/>
      <c r="D44" s="42"/>
      <c r="E44" s="43"/>
      <c r="F44" s="58"/>
      <c r="G44" s="59"/>
      <c r="H44" s="60"/>
    </row>
    <row r="45" spans="1:12">
      <c r="B45" s="9"/>
      <c r="C45" s="9"/>
      <c r="H45" s="61"/>
    </row>
  </sheetData>
  <pageMargins left="0.70866141732283472" right="0.70866141732283472" top="0.74803149606299213" bottom="0.74803149606299213" header="0.31496062992125984" footer="0.31496062992125984"/>
  <pageSetup scale="47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3ED726-5266-4EFF-8F50-A9CAE9FB80F3}">
  <sheetPr codeName="Sheet15">
    <tabColor rgb="FF92D050"/>
    <pageSetUpPr fitToPage="1"/>
  </sheetPr>
  <dimension ref="A1:M45"/>
  <sheetViews>
    <sheetView showGridLines="0" zoomScale="70" zoomScaleNormal="70" workbookViewId="0">
      <selection activeCell="F9" sqref="F9"/>
    </sheetView>
  </sheetViews>
  <sheetFormatPr defaultColWidth="9.140625" defaultRowHeight="15"/>
  <cols>
    <col min="1" max="1" width="35.28515625" bestFit="1" customWidth="1"/>
    <col min="5" max="5" width="6.140625" customWidth="1"/>
    <col min="6" max="6" width="11.140625" bestFit="1" customWidth="1"/>
    <col min="7" max="7" width="9.85546875" bestFit="1" customWidth="1"/>
    <col min="8" max="8" width="14.28515625" bestFit="1" customWidth="1"/>
    <col min="9" max="9" width="11.7109375" bestFit="1" customWidth="1"/>
    <col min="10" max="10" width="49.28515625" style="38" bestFit="1" customWidth="1"/>
    <col min="11" max="11" width="12.42578125" bestFit="1" customWidth="1"/>
    <col min="12" max="12" width="29.42578125" bestFit="1" customWidth="1"/>
  </cols>
  <sheetData>
    <row r="1" spans="1:13">
      <c r="A1" s="2"/>
      <c r="B1" s="2"/>
      <c r="C1" s="2"/>
      <c r="D1" s="2"/>
      <c r="E1" s="2"/>
      <c r="F1" s="2"/>
      <c r="G1" s="2"/>
      <c r="H1" s="2"/>
      <c r="J1" s="3" t="s">
        <v>14</v>
      </c>
      <c r="K1" s="4"/>
      <c r="L1" s="5" t="s">
        <v>15</v>
      </c>
    </row>
    <row r="2" spans="1:13">
      <c r="J2" s="6" t="s">
        <v>16</v>
      </c>
      <c r="K2" s="70"/>
      <c r="L2" s="7" t="s">
        <v>67</v>
      </c>
    </row>
    <row r="3" spans="1:13">
      <c r="J3" s="6" t="s">
        <v>17</v>
      </c>
      <c r="K3" s="70"/>
      <c r="L3" s="8">
        <v>1.0441</v>
      </c>
    </row>
    <row r="4" spans="1:13">
      <c r="A4" s="9"/>
      <c r="B4" s="9"/>
      <c r="C4" s="10"/>
      <c r="D4" s="10"/>
      <c r="E4" s="9"/>
      <c r="F4" s="11"/>
      <c r="G4" s="12"/>
      <c r="H4" s="13"/>
      <c r="J4" s="6" t="s">
        <v>18</v>
      </c>
      <c r="K4" s="70"/>
      <c r="L4" s="14" t="s">
        <v>19</v>
      </c>
    </row>
    <row r="5" spans="1:13">
      <c r="A5" s="9"/>
      <c r="B5" s="9"/>
      <c r="C5" s="15"/>
      <c r="D5" s="16"/>
      <c r="E5" s="9"/>
      <c r="F5" s="17" t="s">
        <v>20</v>
      </c>
      <c r="G5" s="18" t="s">
        <v>21</v>
      </c>
      <c r="H5" s="19" t="s">
        <v>22</v>
      </c>
      <c r="J5" s="6" t="s">
        <v>23</v>
      </c>
      <c r="K5" s="70"/>
      <c r="L5" s="20">
        <v>30</v>
      </c>
    </row>
    <row r="6" spans="1:13">
      <c r="A6" s="9"/>
      <c r="B6" s="9"/>
      <c r="C6" s="15"/>
      <c r="D6" s="16"/>
      <c r="E6" s="9"/>
      <c r="F6" s="21" t="s">
        <v>24</v>
      </c>
      <c r="G6" s="22"/>
      <c r="H6" s="22" t="s">
        <v>24</v>
      </c>
      <c r="J6" s="6" t="s">
        <v>25</v>
      </c>
      <c r="K6" s="70"/>
      <c r="L6" s="23">
        <f>Summary!E21</f>
        <v>348111.78</v>
      </c>
    </row>
    <row r="7" spans="1:13">
      <c r="A7" s="9"/>
      <c r="B7" s="9"/>
      <c r="C7" s="15"/>
      <c r="D7" s="16"/>
      <c r="E7" s="9"/>
      <c r="F7" s="24"/>
      <c r="G7" s="25"/>
      <c r="H7" s="25"/>
      <c r="J7" s="6" t="s">
        <v>26</v>
      </c>
      <c r="K7" s="70"/>
      <c r="L7" s="26">
        <f>Summary!C5</f>
        <v>300</v>
      </c>
    </row>
    <row r="8" spans="1:13">
      <c r="A8" s="9" t="s">
        <v>27</v>
      </c>
      <c r="B8" s="9"/>
      <c r="C8" s="15"/>
      <c r="D8" s="16"/>
      <c r="E8" s="9"/>
      <c r="F8" s="27">
        <f>L8</f>
        <v>7.5370000000000003E-3</v>
      </c>
      <c r="G8" s="28">
        <f>L6*L3</f>
        <v>363463.50949800003</v>
      </c>
      <c r="H8" s="29">
        <f>G8*F8</f>
        <v>2739.4244710864264</v>
      </c>
      <c r="I8" s="30"/>
      <c r="J8" s="6" t="s">
        <v>28</v>
      </c>
      <c r="K8" s="70"/>
      <c r="L8" s="32">
        <v>7.5370000000000003E-3</v>
      </c>
    </row>
    <row r="9" spans="1:13">
      <c r="A9" s="9" t="s">
        <v>50</v>
      </c>
      <c r="B9" s="9"/>
      <c r="C9" s="15"/>
      <c r="D9" s="16"/>
      <c r="E9" s="9"/>
      <c r="F9" s="63">
        <f>178.78/1000</f>
        <v>0.17877999999999999</v>
      </c>
      <c r="G9" s="28">
        <f>L6*L3</f>
        <v>363463.50949800003</v>
      </c>
      <c r="H9" s="29">
        <f>G9*F9</f>
        <v>64980.006228052443</v>
      </c>
      <c r="I9" s="30"/>
      <c r="J9" s="6" t="s">
        <v>59</v>
      </c>
      <c r="K9" s="70"/>
      <c r="L9" s="71">
        <f>-Summary!C7</f>
        <v>-50</v>
      </c>
    </row>
    <row r="10" spans="1:13">
      <c r="A10" s="9" t="s">
        <v>29</v>
      </c>
      <c r="B10" s="9"/>
      <c r="C10" s="15"/>
      <c r="D10" s="16"/>
      <c r="E10" s="9"/>
      <c r="F10" s="27">
        <f>F8</f>
        <v>7.5370000000000003E-3</v>
      </c>
      <c r="G10" s="31">
        <f>L10*L3</f>
        <v>-156615</v>
      </c>
      <c r="H10" s="33">
        <f>G10*F10</f>
        <v>-1180.4072550000001</v>
      </c>
      <c r="J10" s="34" t="s">
        <v>58</v>
      </c>
      <c r="K10" s="35"/>
      <c r="L10" s="72">
        <f>-Summary!C6</f>
        <v>-150000</v>
      </c>
    </row>
    <row r="11" spans="1:13">
      <c r="A11" s="9" t="s">
        <v>50</v>
      </c>
      <c r="B11" s="9"/>
      <c r="C11" s="15"/>
      <c r="D11" s="16"/>
      <c r="E11" s="9"/>
      <c r="F11" s="27">
        <f>F9</f>
        <v>0.17877999999999999</v>
      </c>
      <c r="G11" s="31">
        <f>L10*L3</f>
        <v>-156615</v>
      </c>
      <c r="H11" s="33">
        <f>G11*F11</f>
        <v>-27999.629699999998</v>
      </c>
    </row>
    <row r="12" spans="1:13">
      <c r="A12" s="9"/>
      <c r="B12" s="9"/>
      <c r="C12" s="15"/>
      <c r="D12" s="16"/>
      <c r="E12" s="9"/>
      <c r="F12" s="27"/>
      <c r="G12" s="31"/>
      <c r="H12" s="62"/>
      <c r="J12" s="36"/>
      <c r="K12" s="1"/>
      <c r="L12" s="37"/>
    </row>
    <row r="13" spans="1:13">
      <c r="A13" s="41" t="s">
        <v>30</v>
      </c>
      <c r="B13" s="41"/>
      <c r="C13" s="41"/>
      <c r="D13" s="42"/>
      <c r="E13" s="43"/>
      <c r="F13" s="44">
        <v>86.22</v>
      </c>
      <c r="G13" s="45">
        <v>1</v>
      </c>
      <c r="H13" s="46">
        <f>G13*F13</f>
        <v>86.22</v>
      </c>
      <c r="K13" s="39"/>
      <c r="L13" s="40"/>
    </row>
    <row r="14" spans="1:13">
      <c r="A14" s="41" t="s">
        <v>31</v>
      </c>
      <c r="B14" s="41"/>
      <c r="C14" s="41"/>
      <c r="D14" s="42"/>
      <c r="E14" s="43"/>
      <c r="F14" s="47">
        <v>3.4548999999999999</v>
      </c>
      <c r="G14" s="45">
        <f>L7</f>
        <v>300</v>
      </c>
      <c r="H14" s="46">
        <f t="shared" ref="H14:H18" si="0">G14*F14</f>
        <v>1036.47</v>
      </c>
      <c r="J14" s="38" t="s">
        <v>65</v>
      </c>
      <c r="K14" s="39">
        <f>(H8+H9+H13+H14+H16+H18+H20+H25+H26+H27+H28+H37)*1.13</f>
        <v>81024.749776384604</v>
      </c>
      <c r="L14" s="40"/>
      <c r="M14" s="30"/>
    </row>
    <row r="15" spans="1:13">
      <c r="A15" s="41" t="s">
        <v>31</v>
      </c>
      <c r="B15" s="41"/>
      <c r="C15" s="41"/>
      <c r="D15" s="42"/>
      <c r="E15" s="43"/>
      <c r="F15" s="47">
        <f>F14</f>
        <v>3.4548999999999999</v>
      </c>
      <c r="G15" s="45">
        <f>L9</f>
        <v>-50</v>
      </c>
      <c r="H15" s="53">
        <f>G15*F15</f>
        <v>-172.745</v>
      </c>
      <c r="J15" s="38" t="s">
        <v>60</v>
      </c>
      <c r="K15" s="39">
        <f>(H10+H29+H31+H11+H30)*1.13</f>
        <v>-33663.644064149994</v>
      </c>
      <c r="L15" s="40"/>
    </row>
    <row r="16" spans="1:13">
      <c r="A16" s="41" t="s">
        <v>33</v>
      </c>
      <c r="B16" s="41"/>
      <c r="C16" s="41"/>
      <c r="D16" s="42"/>
      <c r="E16" s="43"/>
      <c r="F16" s="47">
        <v>0.49330000000000002</v>
      </c>
      <c r="G16" s="45">
        <f>L7</f>
        <v>300</v>
      </c>
      <c r="H16" s="46">
        <f t="shared" si="0"/>
        <v>147.99</v>
      </c>
      <c r="J16" s="38" t="s">
        <v>61</v>
      </c>
      <c r="K16" s="39">
        <f>(H15+H17+H19+H21)*1.13</f>
        <v>-446.33304999999996</v>
      </c>
    </row>
    <row r="17" spans="1:12">
      <c r="A17" s="41" t="s">
        <v>33</v>
      </c>
      <c r="B17" s="41"/>
      <c r="C17" s="41"/>
      <c r="D17" s="42"/>
      <c r="E17" s="43"/>
      <c r="F17" s="47">
        <f>F16</f>
        <v>0.49330000000000002</v>
      </c>
      <c r="G17" s="45">
        <f>L9</f>
        <v>-50</v>
      </c>
      <c r="H17" s="53">
        <f>G17*F17</f>
        <v>-24.664999999999999</v>
      </c>
      <c r="J17" s="38" t="s">
        <v>66</v>
      </c>
      <c r="K17" s="73">
        <f>H22</f>
        <v>863.72499999999991</v>
      </c>
    </row>
    <row r="18" spans="1:12" ht="15.75" thickBot="1">
      <c r="A18" s="41" t="s">
        <v>34</v>
      </c>
      <c r="B18" s="41"/>
      <c r="C18" s="41"/>
      <c r="D18" s="42"/>
      <c r="E18" s="43"/>
      <c r="F18" s="47">
        <v>1.738</v>
      </c>
      <c r="G18" s="45">
        <f>L7</f>
        <v>300</v>
      </c>
      <c r="H18" s="46">
        <f t="shared" si="0"/>
        <v>521.4</v>
      </c>
      <c r="J18" s="38" t="s">
        <v>32</v>
      </c>
      <c r="K18" s="48">
        <f>K14+K15+K16+K17</f>
        <v>47778.497662234608</v>
      </c>
      <c r="L18" s="49">
        <f>K18-H39</f>
        <v>3.2500000001164153E-2</v>
      </c>
    </row>
    <row r="19" spans="1:12">
      <c r="A19" s="41" t="s">
        <v>34</v>
      </c>
      <c r="B19" s="41"/>
      <c r="C19" s="41"/>
      <c r="D19" s="42"/>
      <c r="E19" s="43"/>
      <c r="F19" s="47">
        <f>F18</f>
        <v>1.738</v>
      </c>
      <c r="G19" s="45">
        <f>L9</f>
        <v>-50</v>
      </c>
      <c r="H19" s="53">
        <f>G19*F19</f>
        <v>-86.9</v>
      </c>
    </row>
    <row r="20" spans="1:12">
      <c r="A20" s="41" t="s">
        <v>35</v>
      </c>
      <c r="B20" s="41"/>
      <c r="C20" s="41"/>
      <c r="D20" s="42"/>
      <c r="E20" s="43"/>
      <c r="F20" s="47">
        <v>2.2134999999999998</v>
      </c>
      <c r="G20" s="45">
        <f>L7</f>
        <v>300</v>
      </c>
      <c r="H20" s="46">
        <f>G20*F20</f>
        <v>664.05</v>
      </c>
    </row>
    <row r="21" spans="1:12">
      <c r="A21" s="41" t="s">
        <v>35</v>
      </c>
      <c r="B21" s="41"/>
      <c r="C21" s="41"/>
      <c r="D21" s="42"/>
      <c r="E21" s="43"/>
      <c r="F21" s="47">
        <f>F20</f>
        <v>2.2134999999999998</v>
      </c>
      <c r="G21" s="45">
        <f>L9</f>
        <v>-50</v>
      </c>
      <c r="H21" s="53">
        <f>G21*F21</f>
        <v>-110.67499999999998</v>
      </c>
      <c r="K21" s="75"/>
      <c r="L21" s="49"/>
    </row>
    <row r="22" spans="1:12">
      <c r="A22" s="41" t="s">
        <v>51</v>
      </c>
      <c r="B22" s="41"/>
      <c r="C22" s="41"/>
      <c r="D22" s="42"/>
      <c r="E22" s="43"/>
      <c r="F22" s="47">
        <f>F14</f>
        <v>3.4548999999999999</v>
      </c>
      <c r="G22" s="45">
        <f>Summary!C8</f>
        <v>250</v>
      </c>
      <c r="H22" s="74">
        <f>G22*F22</f>
        <v>863.72499999999991</v>
      </c>
      <c r="K22" s="39"/>
      <c r="L22" s="40"/>
    </row>
    <row r="23" spans="1:12" ht="15.75" thickBot="1">
      <c r="A23" s="50" t="s">
        <v>36</v>
      </c>
      <c r="B23" s="50"/>
      <c r="C23" s="50"/>
      <c r="D23" s="50"/>
      <c r="E23" s="50"/>
      <c r="F23" s="50"/>
      <c r="G23" s="50"/>
      <c r="H23" s="51">
        <f>SUM(H13:H22)</f>
        <v>2924.8699999999994</v>
      </c>
      <c r="K23" s="39"/>
      <c r="L23" s="40"/>
    </row>
    <row r="24" spans="1:12">
      <c r="K24" s="39"/>
      <c r="L24" s="40"/>
    </row>
    <row r="25" spans="1:12">
      <c r="A25" s="41" t="s">
        <v>37</v>
      </c>
      <c r="B25" s="41"/>
      <c r="C25" s="41"/>
      <c r="D25" s="42"/>
      <c r="E25" s="43"/>
      <c r="F25" s="47">
        <v>3.0000000000000001E-3</v>
      </c>
      <c r="G25" s="45">
        <f>(L6*L3)</f>
        <v>363463.50949800003</v>
      </c>
      <c r="H25" s="46">
        <f t="shared" ref="H25:H31" si="1">G25*F25</f>
        <v>1090.3905284940001</v>
      </c>
    </row>
    <row r="26" spans="1:12">
      <c r="A26" s="41" t="s">
        <v>38</v>
      </c>
      <c r="F26" s="47">
        <v>4.0000000000000002E-4</v>
      </c>
      <c r="G26" s="45">
        <f>L6*L3</f>
        <v>363463.50949800003</v>
      </c>
      <c r="H26" s="46">
        <f t="shared" si="1"/>
        <v>145.38540379920002</v>
      </c>
      <c r="I26" s="30"/>
    </row>
    <row r="27" spans="1:12">
      <c r="A27" s="41" t="s">
        <v>39</v>
      </c>
      <c r="B27" s="41"/>
      <c r="C27" s="41"/>
      <c r="D27" s="42"/>
      <c r="E27" s="43"/>
      <c r="F27" s="47">
        <v>5.0000000000000001E-4</v>
      </c>
      <c r="G27" s="45">
        <f>(L6*L3)</f>
        <v>363463.50949800003</v>
      </c>
      <c r="H27" s="46">
        <f t="shared" si="1"/>
        <v>181.73175474900003</v>
      </c>
    </row>
    <row r="28" spans="1:12">
      <c r="A28" s="41" t="s">
        <v>48</v>
      </c>
      <c r="B28" s="41"/>
      <c r="C28" s="41"/>
      <c r="D28" s="42"/>
      <c r="E28" s="43"/>
      <c r="F28" s="47">
        <v>0.25</v>
      </c>
      <c r="G28" s="45">
        <v>1</v>
      </c>
      <c r="H28" s="46">
        <f t="shared" si="1"/>
        <v>0.25</v>
      </c>
    </row>
    <row r="29" spans="1:12">
      <c r="A29" s="41" t="s">
        <v>40</v>
      </c>
      <c r="B29" s="41"/>
      <c r="C29" s="41"/>
      <c r="D29" s="42"/>
      <c r="E29" s="43"/>
      <c r="F29" s="47">
        <f>F25</f>
        <v>3.0000000000000001E-3</v>
      </c>
      <c r="G29" s="45">
        <f>L10*L3</f>
        <v>-156615</v>
      </c>
      <c r="H29" s="53">
        <f t="shared" si="1"/>
        <v>-469.84500000000003</v>
      </c>
    </row>
    <row r="30" spans="1:12">
      <c r="A30" s="41" t="s">
        <v>41</v>
      </c>
      <c r="B30" s="41"/>
      <c r="C30" s="41"/>
      <c r="D30" s="42"/>
      <c r="E30" s="43"/>
      <c r="F30" s="47">
        <v>4.0000000000000002E-4</v>
      </c>
      <c r="G30" s="45">
        <f>L10*L3</f>
        <v>-156615</v>
      </c>
      <c r="H30" s="53">
        <f t="shared" si="1"/>
        <v>-62.646000000000001</v>
      </c>
    </row>
    <row r="31" spans="1:12">
      <c r="A31" s="41" t="s">
        <v>42</v>
      </c>
      <c r="B31" s="41"/>
      <c r="C31" s="41"/>
      <c r="D31" s="42"/>
      <c r="E31" s="43"/>
      <c r="F31" s="47">
        <f>F27</f>
        <v>5.0000000000000001E-4</v>
      </c>
      <c r="G31" s="45">
        <f>L10*L3</f>
        <v>-156615</v>
      </c>
      <c r="H31" s="53">
        <f t="shared" si="1"/>
        <v>-78.307500000000005</v>
      </c>
    </row>
    <row r="32" spans="1:12" ht="15.75" thickBot="1">
      <c r="A32" s="50" t="s">
        <v>43</v>
      </c>
      <c r="B32" s="50"/>
      <c r="C32" s="50"/>
      <c r="D32" s="50"/>
      <c r="E32" s="50"/>
      <c r="F32" s="50"/>
      <c r="G32" s="50"/>
      <c r="H32" s="51">
        <f>SUM(H25:H31)</f>
        <v>806.95918704220014</v>
      </c>
    </row>
    <row r="34" spans="1:12">
      <c r="A34" t="s">
        <v>44</v>
      </c>
      <c r="B34" s="41"/>
      <c r="C34" s="41"/>
      <c r="D34" s="42"/>
      <c r="E34" s="43"/>
      <c r="H34" s="39">
        <f>(H8+H9+H13+H14+H16+H18+H20+H25+H26+H27+H37)*0.13</f>
        <v>9321.3988902035398</v>
      </c>
      <c r="I34" s="30"/>
    </row>
    <row r="35" spans="1:12">
      <c r="A35" t="s">
        <v>45</v>
      </c>
      <c r="B35" s="41"/>
      <c r="C35" s="41"/>
      <c r="D35" s="42"/>
      <c r="E35" s="43"/>
      <c r="H35" s="54">
        <f>(H29+H31+H11+H10+H30+H15+H17+H19+H21)*0.13</f>
        <v>-3924.1566591500005</v>
      </c>
      <c r="I35" s="30"/>
      <c r="L35" s="30"/>
    </row>
    <row r="36" spans="1:12">
      <c r="A36" t="s">
        <v>1</v>
      </c>
      <c r="B36" s="41"/>
      <c r="C36" s="41"/>
      <c r="D36" s="42"/>
      <c r="E36" s="43"/>
      <c r="F36" s="55"/>
      <c r="G36" s="56"/>
      <c r="H36" s="39">
        <f>H34+H32+H8+H9+H10+H23+H35+H11</f>
        <v>47668.465162234606</v>
      </c>
      <c r="I36" s="30"/>
      <c r="L36" s="30"/>
    </row>
    <row r="37" spans="1:12">
      <c r="A37" t="s">
        <v>49</v>
      </c>
      <c r="B37" s="41"/>
      <c r="C37" s="41"/>
      <c r="D37" s="42"/>
      <c r="E37" s="43"/>
      <c r="F37" s="55"/>
      <c r="G37" s="56"/>
      <c r="H37" s="39">
        <v>110</v>
      </c>
    </row>
    <row r="38" spans="1:12">
      <c r="A38" t="s">
        <v>46</v>
      </c>
      <c r="F38" s="39"/>
      <c r="G38" s="1"/>
      <c r="H38" s="39">
        <v>0</v>
      </c>
      <c r="I38" s="30"/>
      <c r="J38" s="52"/>
      <c r="K38" s="30"/>
    </row>
    <row r="39" spans="1:12" ht="15.75" thickBot="1">
      <c r="A39" s="50" t="s">
        <v>47</v>
      </c>
      <c r="B39" s="50"/>
      <c r="C39" s="50"/>
      <c r="D39" s="50"/>
      <c r="E39" s="50"/>
      <c r="F39" s="51"/>
      <c r="G39" s="57"/>
      <c r="H39" s="51">
        <f>H8+H9+H10+H23+H32+H34+H37+H38+H12+H35+H11</f>
        <v>47778.465162234606</v>
      </c>
      <c r="I39" s="30"/>
      <c r="J39" s="52"/>
      <c r="K39" s="30"/>
      <c r="L39" s="30"/>
    </row>
    <row r="40" spans="1:12">
      <c r="A40" s="41"/>
      <c r="B40" s="41"/>
      <c r="C40" s="41"/>
      <c r="D40" s="42"/>
      <c r="E40" s="43"/>
      <c r="F40" s="58"/>
      <c r="G40" s="59"/>
      <c r="H40" s="60"/>
    </row>
    <row r="41" spans="1:12">
      <c r="A41" s="41"/>
      <c r="J41" s="52"/>
    </row>
    <row r="42" spans="1:12">
      <c r="A42" s="9"/>
      <c r="B42" s="41"/>
      <c r="C42" s="41"/>
      <c r="D42" s="42"/>
      <c r="E42" s="43"/>
      <c r="F42" s="58"/>
      <c r="G42" s="59"/>
      <c r="H42" s="60"/>
    </row>
    <row r="43" spans="1:12">
      <c r="B43" s="41"/>
      <c r="C43" s="41"/>
      <c r="D43" s="42"/>
      <c r="E43" s="43"/>
      <c r="F43" s="58"/>
      <c r="G43" s="59"/>
      <c r="H43" s="60"/>
    </row>
    <row r="44" spans="1:12">
      <c r="B44" s="41"/>
      <c r="C44" s="41"/>
      <c r="D44" s="42"/>
      <c r="E44" s="43"/>
      <c r="F44" s="58"/>
      <c r="G44" s="59"/>
      <c r="H44" s="60"/>
    </row>
    <row r="45" spans="1:12">
      <c r="B45" s="9"/>
      <c r="C45" s="9"/>
      <c r="H45" s="61"/>
    </row>
  </sheetData>
  <pageMargins left="0.70866141732283472" right="0.70866141732283472" top="0.74803149606299213" bottom="0.74803149606299213" header="0.31496062992125984" footer="0.31496062992125984"/>
  <pageSetup scale="47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ED9CE6-3204-41EA-8AD5-083B0F7ABFC7}">
  <sheetPr codeName="Sheet16">
    <tabColor rgb="FF92D050"/>
    <pageSetUpPr fitToPage="1"/>
  </sheetPr>
  <dimension ref="A1:M45"/>
  <sheetViews>
    <sheetView showGridLines="0" zoomScale="70" zoomScaleNormal="70" workbookViewId="0">
      <selection activeCell="F9" sqref="F9"/>
    </sheetView>
  </sheetViews>
  <sheetFormatPr defaultColWidth="9.140625" defaultRowHeight="15"/>
  <cols>
    <col min="1" max="1" width="35.28515625" bestFit="1" customWidth="1"/>
    <col min="5" max="5" width="6.140625" customWidth="1"/>
    <col min="6" max="6" width="11.140625" bestFit="1" customWidth="1"/>
    <col min="7" max="7" width="9.85546875" bestFit="1" customWidth="1"/>
    <col min="8" max="8" width="14.28515625" bestFit="1" customWidth="1"/>
    <col min="9" max="9" width="11.7109375" bestFit="1" customWidth="1"/>
    <col min="10" max="10" width="49.28515625" style="38" bestFit="1" customWidth="1"/>
    <col min="11" max="11" width="12.42578125" bestFit="1" customWidth="1"/>
    <col min="12" max="12" width="29.42578125" bestFit="1" customWidth="1"/>
  </cols>
  <sheetData>
    <row r="1" spans="1:13">
      <c r="A1" s="2"/>
      <c r="B1" s="2"/>
      <c r="C1" s="2"/>
      <c r="D1" s="2"/>
      <c r="E1" s="2"/>
      <c r="F1" s="2"/>
      <c r="G1" s="2"/>
      <c r="H1" s="2"/>
      <c r="J1" s="3" t="s">
        <v>14</v>
      </c>
      <c r="K1" s="4"/>
      <c r="L1" s="5" t="s">
        <v>15</v>
      </c>
    </row>
    <row r="2" spans="1:13">
      <c r="J2" s="6" t="s">
        <v>16</v>
      </c>
      <c r="K2" s="70"/>
      <c r="L2" s="7" t="s">
        <v>67</v>
      </c>
    </row>
    <row r="3" spans="1:13">
      <c r="J3" s="6" t="s">
        <v>17</v>
      </c>
      <c r="K3" s="70"/>
      <c r="L3" s="8">
        <v>1.0441</v>
      </c>
    </row>
    <row r="4" spans="1:13">
      <c r="A4" s="9"/>
      <c r="B4" s="9"/>
      <c r="C4" s="10"/>
      <c r="D4" s="10"/>
      <c r="E4" s="9"/>
      <c r="F4" s="11"/>
      <c r="G4" s="12"/>
      <c r="H4" s="13"/>
      <c r="J4" s="6" t="s">
        <v>18</v>
      </c>
      <c r="K4" s="70"/>
      <c r="L4" s="14" t="s">
        <v>19</v>
      </c>
    </row>
    <row r="5" spans="1:13">
      <c r="A5" s="9"/>
      <c r="B5" s="9"/>
      <c r="C5" s="15"/>
      <c r="D5" s="16"/>
      <c r="E5" s="9"/>
      <c r="F5" s="17" t="s">
        <v>20</v>
      </c>
      <c r="G5" s="18" t="s">
        <v>21</v>
      </c>
      <c r="H5" s="19" t="s">
        <v>22</v>
      </c>
      <c r="J5" s="6" t="s">
        <v>23</v>
      </c>
      <c r="K5" s="70"/>
      <c r="L5" s="20">
        <v>30</v>
      </c>
    </row>
    <row r="6" spans="1:13">
      <c r="A6" s="9"/>
      <c r="B6" s="9"/>
      <c r="C6" s="15"/>
      <c r="D6" s="16"/>
      <c r="E6" s="9"/>
      <c r="F6" s="21" t="s">
        <v>24</v>
      </c>
      <c r="G6" s="22"/>
      <c r="H6" s="22" t="s">
        <v>24</v>
      </c>
      <c r="J6" s="6" t="s">
        <v>25</v>
      </c>
      <c r="K6" s="70"/>
      <c r="L6" s="23">
        <f>Summary!E22</f>
        <v>281071.86</v>
      </c>
    </row>
    <row r="7" spans="1:13">
      <c r="A7" s="9"/>
      <c r="B7" s="9"/>
      <c r="C7" s="15"/>
      <c r="D7" s="16"/>
      <c r="E7" s="9"/>
      <c r="F7" s="24"/>
      <c r="G7" s="25"/>
      <c r="H7" s="25"/>
      <c r="J7" s="6" t="s">
        <v>26</v>
      </c>
      <c r="K7" s="70"/>
      <c r="L7" s="26">
        <f>Summary!C5</f>
        <v>300</v>
      </c>
    </row>
    <row r="8" spans="1:13">
      <c r="A8" s="9" t="s">
        <v>27</v>
      </c>
      <c r="B8" s="9"/>
      <c r="C8" s="15"/>
      <c r="D8" s="16"/>
      <c r="E8" s="9"/>
      <c r="F8" s="27">
        <f>L8</f>
        <v>2.0811E-2</v>
      </c>
      <c r="G8" s="28">
        <f>L6*L3</f>
        <v>293467.12902599998</v>
      </c>
      <c r="H8" s="29">
        <f>G8*F8</f>
        <v>6107.3444221600857</v>
      </c>
      <c r="I8" s="30"/>
      <c r="J8" s="6" t="s">
        <v>28</v>
      </c>
      <c r="K8" s="70"/>
      <c r="L8" s="32">
        <v>2.0811E-2</v>
      </c>
    </row>
    <row r="9" spans="1:13">
      <c r="A9" s="9" t="s">
        <v>50</v>
      </c>
      <c r="B9" s="9"/>
      <c r="C9" s="15"/>
      <c r="D9" s="16"/>
      <c r="E9" s="9"/>
      <c r="F9" s="63">
        <f>107.27/1000</f>
        <v>0.10726999999999999</v>
      </c>
      <c r="G9" s="28">
        <f>L6*L3</f>
        <v>293467.12902599998</v>
      </c>
      <c r="H9" s="29">
        <f>G9*F9</f>
        <v>31480.218930619016</v>
      </c>
      <c r="I9" s="30"/>
      <c r="J9" s="6" t="s">
        <v>59</v>
      </c>
      <c r="K9" s="70"/>
      <c r="L9" s="71">
        <f>-Summary!C7</f>
        <v>-50</v>
      </c>
    </row>
    <row r="10" spans="1:13">
      <c r="A10" s="9" t="s">
        <v>29</v>
      </c>
      <c r="B10" s="9"/>
      <c r="C10" s="15"/>
      <c r="D10" s="16"/>
      <c r="E10" s="9"/>
      <c r="F10" s="27">
        <f>F8</f>
        <v>2.0811E-2</v>
      </c>
      <c r="G10" s="31">
        <f>L10*L3</f>
        <v>-156615</v>
      </c>
      <c r="H10" s="33">
        <f>G10*F10</f>
        <v>-3259.3147650000001</v>
      </c>
      <c r="J10" s="34" t="s">
        <v>58</v>
      </c>
      <c r="K10" s="35"/>
      <c r="L10" s="72">
        <f>-Summary!C6</f>
        <v>-150000</v>
      </c>
    </row>
    <row r="11" spans="1:13">
      <c r="A11" s="9" t="s">
        <v>50</v>
      </c>
      <c r="B11" s="9"/>
      <c r="C11" s="15"/>
      <c r="D11" s="16"/>
      <c r="E11" s="9"/>
      <c r="F11" s="27">
        <f>F9</f>
        <v>0.10726999999999999</v>
      </c>
      <c r="G11" s="31">
        <f>L10*L3</f>
        <v>-156615</v>
      </c>
      <c r="H11" s="33">
        <f>G11*F11</f>
        <v>-16800.091049999999</v>
      </c>
    </row>
    <row r="12" spans="1:13">
      <c r="A12" s="9"/>
      <c r="B12" s="9"/>
      <c r="C12" s="15"/>
      <c r="D12" s="16"/>
      <c r="E12" s="9"/>
      <c r="F12" s="27"/>
      <c r="G12" s="31"/>
      <c r="H12" s="62"/>
      <c r="J12" s="36"/>
      <c r="K12" s="1"/>
      <c r="L12" s="37"/>
    </row>
    <row r="13" spans="1:13">
      <c r="A13" s="41" t="s">
        <v>30</v>
      </c>
      <c r="B13" s="41"/>
      <c r="C13" s="41"/>
      <c r="D13" s="42"/>
      <c r="E13" s="43"/>
      <c r="F13" s="44">
        <v>86.22</v>
      </c>
      <c r="G13" s="45">
        <v>1</v>
      </c>
      <c r="H13" s="46">
        <f>G13*F13</f>
        <v>86.22</v>
      </c>
      <c r="K13" s="39"/>
      <c r="L13" s="40"/>
    </row>
    <row r="14" spans="1:13">
      <c r="A14" s="41" t="s">
        <v>31</v>
      </c>
      <c r="B14" s="41"/>
      <c r="C14" s="41"/>
      <c r="D14" s="42"/>
      <c r="E14" s="43"/>
      <c r="F14" s="47">
        <v>3.4548999999999999</v>
      </c>
      <c r="G14" s="45">
        <f>L7</f>
        <v>300</v>
      </c>
      <c r="H14" s="46">
        <f t="shared" ref="H14:H18" si="0">G14*F14</f>
        <v>1036.47</v>
      </c>
      <c r="J14" s="38" t="s">
        <v>65</v>
      </c>
      <c r="K14" s="39">
        <f>(H8+H9+H13+H14+H16+H18+H20+H25+H26+H27+H28+H37)*1.13</f>
        <v>46667.265626257962</v>
      </c>
      <c r="L14" s="40"/>
      <c r="M14" s="30"/>
    </row>
    <row r="15" spans="1:13">
      <c r="A15" s="41" t="s">
        <v>31</v>
      </c>
      <c r="B15" s="41"/>
      <c r="C15" s="41"/>
      <c r="D15" s="42"/>
      <c r="E15" s="43"/>
      <c r="F15" s="47">
        <f>F14</f>
        <v>3.4548999999999999</v>
      </c>
      <c r="G15" s="45">
        <f>L9</f>
        <v>-50</v>
      </c>
      <c r="H15" s="53">
        <f>G15*F15</f>
        <v>-172.745</v>
      </c>
      <c r="J15" s="38" t="s">
        <v>60</v>
      </c>
      <c r="K15" s="39">
        <f>(H10+H29+H31+H11+H30)*1.13</f>
        <v>-23357.330875949996</v>
      </c>
      <c r="L15" s="40"/>
    </row>
    <row r="16" spans="1:13">
      <c r="A16" s="41" t="s">
        <v>33</v>
      </c>
      <c r="B16" s="41"/>
      <c r="C16" s="41"/>
      <c r="D16" s="42"/>
      <c r="E16" s="43"/>
      <c r="F16" s="47">
        <v>0.49330000000000002</v>
      </c>
      <c r="G16" s="45">
        <f>L7</f>
        <v>300</v>
      </c>
      <c r="H16" s="46">
        <f t="shared" si="0"/>
        <v>147.99</v>
      </c>
      <c r="J16" s="38" t="s">
        <v>61</v>
      </c>
      <c r="K16" s="39">
        <f>(H15+H17+H19+H21)*1.13</f>
        <v>-446.33304999999996</v>
      </c>
    </row>
    <row r="17" spans="1:12">
      <c r="A17" s="41" t="s">
        <v>33</v>
      </c>
      <c r="B17" s="41"/>
      <c r="C17" s="41"/>
      <c r="D17" s="42"/>
      <c r="E17" s="43"/>
      <c r="F17" s="47">
        <f>F16</f>
        <v>0.49330000000000002</v>
      </c>
      <c r="G17" s="45">
        <f>L9</f>
        <v>-50</v>
      </c>
      <c r="H17" s="53">
        <f>G17*F17</f>
        <v>-24.664999999999999</v>
      </c>
      <c r="J17" s="38" t="s">
        <v>66</v>
      </c>
      <c r="K17" s="73">
        <f>H22</f>
        <v>863.72499999999991</v>
      </c>
    </row>
    <row r="18" spans="1:12" ht="15.75" thickBot="1">
      <c r="A18" s="41" t="s">
        <v>34</v>
      </c>
      <c r="B18" s="41"/>
      <c r="C18" s="41"/>
      <c r="D18" s="42"/>
      <c r="E18" s="43"/>
      <c r="F18" s="47">
        <v>1.738</v>
      </c>
      <c r="G18" s="45">
        <f>L7</f>
        <v>300</v>
      </c>
      <c r="H18" s="46">
        <f t="shared" si="0"/>
        <v>521.4</v>
      </c>
      <c r="J18" s="38" t="s">
        <v>32</v>
      </c>
      <c r="K18" s="48">
        <f>K14+K15+K16+K17</f>
        <v>23727.326700307964</v>
      </c>
      <c r="L18" s="49">
        <f>K18-H39</f>
        <v>3.2500000001164153E-2</v>
      </c>
    </row>
    <row r="19" spans="1:12">
      <c r="A19" s="41" t="s">
        <v>34</v>
      </c>
      <c r="B19" s="41"/>
      <c r="C19" s="41"/>
      <c r="D19" s="42"/>
      <c r="E19" s="43"/>
      <c r="F19" s="47">
        <f>F18</f>
        <v>1.738</v>
      </c>
      <c r="G19" s="45">
        <f>L9</f>
        <v>-50</v>
      </c>
      <c r="H19" s="53">
        <f>G19*F19</f>
        <v>-86.9</v>
      </c>
    </row>
    <row r="20" spans="1:12">
      <c r="A20" s="41" t="s">
        <v>35</v>
      </c>
      <c r="B20" s="41"/>
      <c r="C20" s="41"/>
      <c r="D20" s="42"/>
      <c r="E20" s="43"/>
      <c r="F20" s="47">
        <v>2.2134999999999998</v>
      </c>
      <c r="G20" s="45">
        <f>L7</f>
        <v>300</v>
      </c>
      <c r="H20" s="46">
        <f>G20*F20</f>
        <v>664.05</v>
      </c>
    </row>
    <row r="21" spans="1:12">
      <c r="A21" s="41" t="s">
        <v>35</v>
      </c>
      <c r="B21" s="41"/>
      <c r="C21" s="41"/>
      <c r="D21" s="42"/>
      <c r="E21" s="43"/>
      <c r="F21" s="47">
        <f>F20</f>
        <v>2.2134999999999998</v>
      </c>
      <c r="G21" s="45">
        <f>L9</f>
        <v>-50</v>
      </c>
      <c r="H21" s="53">
        <f>G21*F21</f>
        <v>-110.67499999999998</v>
      </c>
      <c r="K21" s="75"/>
      <c r="L21" s="49"/>
    </row>
    <row r="22" spans="1:12">
      <c r="A22" s="41" t="s">
        <v>51</v>
      </c>
      <c r="B22" s="41"/>
      <c r="C22" s="41"/>
      <c r="D22" s="42"/>
      <c r="E22" s="43"/>
      <c r="F22" s="47">
        <f>F14</f>
        <v>3.4548999999999999</v>
      </c>
      <c r="G22" s="45">
        <f>Summary!C8</f>
        <v>250</v>
      </c>
      <c r="H22" s="74">
        <f>G22*F22</f>
        <v>863.72499999999991</v>
      </c>
      <c r="K22" s="39"/>
      <c r="L22" s="40"/>
    </row>
    <row r="23" spans="1:12" ht="15.75" thickBot="1">
      <c r="A23" s="50" t="s">
        <v>36</v>
      </c>
      <c r="B23" s="50"/>
      <c r="C23" s="50"/>
      <c r="D23" s="50"/>
      <c r="E23" s="50"/>
      <c r="F23" s="50"/>
      <c r="G23" s="50"/>
      <c r="H23" s="51">
        <f>SUM(H13:H22)</f>
        <v>2924.8699999999994</v>
      </c>
      <c r="K23" s="39"/>
      <c r="L23" s="40"/>
    </row>
    <row r="24" spans="1:12">
      <c r="K24" s="39"/>
      <c r="L24" s="40"/>
    </row>
    <row r="25" spans="1:12">
      <c r="A25" s="41" t="s">
        <v>37</v>
      </c>
      <c r="B25" s="41"/>
      <c r="C25" s="41"/>
      <c r="D25" s="42"/>
      <c r="E25" s="43"/>
      <c r="F25" s="47">
        <v>3.0000000000000001E-3</v>
      </c>
      <c r="G25" s="45">
        <f>(L6*L3)</f>
        <v>293467.12902599998</v>
      </c>
      <c r="H25" s="46">
        <f t="shared" ref="H25:H31" si="1">G25*F25</f>
        <v>880.40138707799997</v>
      </c>
    </row>
    <row r="26" spans="1:12">
      <c r="A26" s="41" t="s">
        <v>38</v>
      </c>
      <c r="F26" s="47">
        <v>4.0000000000000002E-4</v>
      </c>
      <c r="G26" s="45">
        <f>L6*L3</f>
        <v>293467.12902599998</v>
      </c>
      <c r="H26" s="46">
        <f t="shared" si="1"/>
        <v>117.3868516104</v>
      </c>
      <c r="I26" s="30"/>
    </row>
    <row r="27" spans="1:12">
      <c r="A27" s="41" t="s">
        <v>39</v>
      </c>
      <c r="B27" s="41"/>
      <c r="C27" s="41"/>
      <c r="D27" s="42"/>
      <c r="E27" s="43"/>
      <c r="F27" s="47">
        <v>5.0000000000000001E-4</v>
      </c>
      <c r="G27" s="45">
        <f>(L6*L3)</f>
        <v>293467.12902599998</v>
      </c>
      <c r="H27" s="46">
        <f t="shared" si="1"/>
        <v>146.733564513</v>
      </c>
    </row>
    <row r="28" spans="1:12">
      <c r="A28" s="41" t="s">
        <v>48</v>
      </c>
      <c r="B28" s="41"/>
      <c r="C28" s="41"/>
      <c r="D28" s="42"/>
      <c r="E28" s="43"/>
      <c r="F28" s="47">
        <v>0.25</v>
      </c>
      <c r="G28" s="45">
        <v>1</v>
      </c>
      <c r="H28" s="46">
        <f t="shared" si="1"/>
        <v>0.25</v>
      </c>
    </row>
    <row r="29" spans="1:12">
      <c r="A29" s="41" t="s">
        <v>40</v>
      </c>
      <c r="B29" s="41"/>
      <c r="C29" s="41"/>
      <c r="D29" s="42"/>
      <c r="E29" s="43"/>
      <c r="F29" s="47">
        <f>F25</f>
        <v>3.0000000000000001E-3</v>
      </c>
      <c r="G29" s="45">
        <f>L10*L3</f>
        <v>-156615</v>
      </c>
      <c r="H29" s="53">
        <f t="shared" si="1"/>
        <v>-469.84500000000003</v>
      </c>
    </row>
    <row r="30" spans="1:12">
      <c r="A30" s="41" t="s">
        <v>41</v>
      </c>
      <c r="B30" s="41"/>
      <c r="C30" s="41"/>
      <c r="D30" s="42"/>
      <c r="E30" s="43"/>
      <c r="F30" s="47">
        <v>4.0000000000000002E-4</v>
      </c>
      <c r="G30" s="45">
        <f>L10*L3</f>
        <v>-156615</v>
      </c>
      <c r="H30" s="53">
        <f t="shared" si="1"/>
        <v>-62.646000000000001</v>
      </c>
    </row>
    <row r="31" spans="1:12">
      <c r="A31" s="41" t="s">
        <v>42</v>
      </c>
      <c r="B31" s="41"/>
      <c r="C31" s="41"/>
      <c r="D31" s="42"/>
      <c r="E31" s="43"/>
      <c r="F31" s="47">
        <f>F27</f>
        <v>5.0000000000000001E-4</v>
      </c>
      <c r="G31" s="45">
        <f>L10*L3</f>
        <v>-156615</v>
      </c>
      <c r="H31" s="53">
        <f t="shared" si="1"/>
        <v>-78.307500000000005</v>
      </c>
    </row>
    <row r="32" spans="1:12" ht="15.75" thickBot="1">
      <c r="A32" s="50" t="s">
        <v>43</v>
      </c>
      <c r="B32" s="50"/>
      <c r="C32" s="50"/>
      <c r="D32" s="50"/>
      <c r="E32" s="50"/>
      <c r="F32" s="50"/>
      <c r="G32" s="50"/>
      <c r="H32" s="51">
        <f>SUM(H25:H31)</f>
        <v>533.97330320139997</v>
      </c>
    </row>
    <row r="34" spans="1:12">
      <c r="A34" t="s">
        <v>44</v>
      </c>
      <c r="B34" s="41"/>
      <c r="C34" s="41"/>
      <c r="D34" s="42"/>
      <c r="E34" s="43"/>
      <c r="H34" s="39">
        <f>(H8+H9+H13+H14+H16+H18+H20+H25+H26+H27+H37)*0.13</f>
        <v>5368.7679702774649</v>
      </c>
      <c r="I34" s="30"/>
    </row>
    <row r="35" spans="1:12">
      <c r="A35" t="s">
        <v>45</v>
      </c>
      <c r="B35" s="41"/>
      <c r="C35" s="41"/>
      <c r="D35" s="42"/>
      <c r="E35" s="43"/>
      <c r="H35" s="54">
        <f>(H29+H31+H11+H10+H30+H15+H17+H19+H21)*0.13</f>
        <v>-2738.4746109500002</v>
      </c>
      <c r="I35" s="30"/>
      <c r="L35" s="30"/>
    </row>
    <row r="36" spans="1:12">
      <c r="A36" t="s">
        <v>1</v>
      </c>
      <c r="B36" s="41"/>
      <c r="C36" s="41"/>
      <c r="D36" s="42"/>
      <c r="E36" s="43"/>
      <c r="F36" s="55"/>
      <c r="G36" s="56"/>
      <c r="H36" s="39">
        <f>H34+H32+H8+H9+H10+H23+H35+H11</f>
        <v>23617.29420030797</v>
      </c>
      <c r="I36" s="30"/>
      <c r="L36" s="30"/>
    </row>
    <row r="37" spans="1:12">
      <c r="A37" t="s">
        <v>49</v>
      </c>
      <c r="B37" s="41"/>
      <c r="C37" s="41"/>
      <c r="D37" s="42"/>
      <c r="E37" s="43"/>
      <c r="F37" s="55"/>
      <c r="G37" s="56"/>
      <c r="H37" s="39">
        <v>110</v>
      </c>
    </row>
    <row r="38" spans="1:12">
      <c r="A38" t="s">
        <v>46</v>
      </c>
      <c r="F38" s="39"/>
      <c r="G38" s="1"/>
      <c r="H38" s="39">
        <v>0</v>
      </c>
      <c r="I38" s="30"/>
      <c r="J38" s="52"/>
      <c r="K38" s="30"/>
    </row>
    <row r="39" spans="1:12" ht="15.75" thickBot="1">
      <c r="A39" s="50" t="s">
        <v>47</v>
      </c>
      <c r="B39" s="50"/>
      <c r="C39" s="50"/>
      <c r="D39" s="50"/>
      <c r="E39" s="50"/>
      <c r="F39" s="51"/>
      <c r="G39" s="57"/>
      <c r="H39" s="51">
        <f>H8+H9+H10+H23+H32+H34+H37+H38+H12+H35+H11</f>
        <v>23727.294200307962</v>
      </c>
      <c r="I39" s="30"/>
      <c r="J39" s="52"/>
      <c r="K39" s="30"/>
      <c r="L39" s="30"/>
    </row>
    <row r="40" spans="1:12">
      <c r="A40" s="41"/>
      <c r="B40" s="41"/>
      <c r="C40" s="41"/>
      <c r="D40" s="42"/>
      <c r="E40" s="43"/>
      <c r="F40" s="58"/>
      <c r="G40" s="59"/>
      <c r="H40" s="60"/>
    </row>
    <row r="41" spans="1:12">
      <c r="A41" s="41"/>
      <c r="J41" s="52"/>
    </row>
    <row r="42" spans="1:12">
      <c r="A42" s="9"/>
      <c r="B42" s="41"/>
      <c r="C42" s="41"/>
      <c r="D42" s="42"/>
      <c r="E42" s="43"/>
      <c r="F42" s="58"/>
      <c r="G42" s="59"/>
      <c r="H42" s="60"/>
    </row>
    <row r="43" spans="1:12">
      <c r="B43" s="41"/>
      <c r="C43" s="41"/>
      <c r="D43" s="42"/>
      <c r="E43" s="43"/>
      <c r="F43" s="58"/>
      <c r="G43" s="59"/>
      <c r="H43" s="60"/>
    </row>
    <row r="44" spans="1:12">
      <c r="B44" s="41"/>
      <c r="C44" s="41"/>
      <c r="D44" s="42"/>
      <c r="E44" s="43"/>
      <c r="F44" s="58"/>
      <c r="G44" s="59"/>
      <c r="H44" s="60"/>
    </row>
    <row r="45" spans="1:12">
      <c r="B45" s="9"/>
      <c r="C45" s="9"/>
      <c r="H45" s="61"/>
    </row>
  </sheetData>
  <pageMargins left="0.70866141732283472" right="0.70866141732283472" top="0.74803149606299213" bottom="0.74803149606299213" header="0.31496062992125984" footer="0.31496062992125984"/>
  <pageSetup scale="47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2B59CB-75FD-4CEF-8FA7-A190556E1A1F}">
  <sheetPr codeName="Sheet17">
    <tabColor rgb="FF92D050"/>
    <pageSetUpPr fitToPage="1"/>
  </sheetPr>
  <dimension ref="A1:M45"/>
  <sheetViews>
    <sheetView showGridLines="0" zoomScale="70" zoomScaleNormal="70" workbookViewId="0">
      <selection activeCell="F8" sqref="F8"/>
    </sheetView>
  </sheetViews>
  <sheetFormatPr defaultColWidth="9.140625" defaultRowHeight="15"/>
  <cols>
    <col min="1" max="1" width="35.28515625" bestFit="1" customWidth="1"/>
    <col min="5" max="5" width="6.140625" customWidth="1"/>
    <col min="6" max="6" width="11.140625" bestFit="1" customWidth="1"/>
    <col min="7" max="7" width="9.85546875" bestFit="1" customWidth="1"/>
    <col min="8" max="8" width="14.28515625" bestFit="1" customWidth="1"/>
    <col min="9" max="9" width="11.7109375" bestFit="1" customWidth="1"/>
    <col min="10" max="10" width="49.28515625" style="38" bestFit="1" customWidth="1"/>
    <col min="11" max="11" width="12.42578125" bestFit="1" customWidth="1"/>
    <col min="12" max="12" width="29.42578125" bestFit="1" customWidth="1"/>
  </cols>
  <sheetData>
    <row r="1" spans="1:13">
      <c r="A1" s="2"/>
      <c r="B1" s="2"/>
      <c r="C1" s="2"/>
      <c r="D1" s="2"/>
      <c r="E1" s="2"/>
      <c r="F1" s="2"/>
      <c r="G1" s="2"/>
      <c r="H1" s="2"/>
      <c r="J1" s="3" t="s">
        <v>14</v>
      </c>
      <c r="K1" s="4"/>
      <c r="L1" s="5" t="s">
        <v>15</v>
      </c>
    </row>
    <row r="2" spans="1:13">
      <c r="J2" s="6" t="s">
        <v>16</v>
      </c>
      <c r="K2" s="70"/>
      <c r="L2" s="7" t="s">
        <v>67</v>
      </c>
    </row>
    <row r="3" spans="1:13">
      <c r="J3" s="6" t="s">
        <v>17</v>
      </c>
      <c r="K3" s="70"/>
      <c r="L3" s="8">
        <v>1.0441</v>
      </c>
    </row>
    <row r="4" spans="1:13">
      <c r="A4" s="9"/>
      <c r="B4" s="9"/>
      <c r="C4" s="10"/>
      <c r="D4" s="10"/>
      <c r="E4" s="9"/>
      <c r="F4" s="11"/>
      <c r="G4" s="12"/>
      <c r="H4" s="13"/>
      <c r="J4" s="6" t="s">
        <v>18</v>
      </c>
      <c r="K4" s="70"/>
      <c r="L4" s="14" t="s">
        <v>19</v>
      </c>
    </row>
    <row r="5" spans="1:13">
      <c r="A5" s="9"/>
      <c r="B5" s="9"/>
      <c r="C5" s="15"/>
      <c r="D5" s="16"/>
      <c r="E5" s="9"/>
      <c r="F5" s="17" t="s">
        <v>20</v>
      </c>
      <c r="G5" s="18" t="s">
        <v>21</v>
      </c>
      <c r="H5" s="19" t="s">
        <v>22</v>
      </c>
      <c r="J5" s="6" t="s">
        <v>23</v>
      </c>
      <c r="K5" s="70"/>
      <c r="L5" s="20">
        <v>30</v>
      </c>
    </row>
    <row r="6" spans="1:13">
      <c r="A6" s="9"/>
      <c r="B6" s="9"/>
      <c r="C6" s="15"/>
      <c r="D6" s="16"/>
      <c r="E6" s="9"/>
      <c r="F6" s="21" t="s">
        <v>24</v>
      </c>
      <c r="G6" s="22"/>
      <c r="H6" s="22" t="s">
        <v>24</v>
      </c>
      <c r="J6" s="6" t="s">
        <v>25</v>
      </c>
      <c r="K6" s="70"/>
      <c r="L6" s="23">
        <f>Summary!E23</f>
        <v>288727.98</v>
      </c>
    </row>
    <row r="7" spans="1:13">
      <c r="A7" s="9"/>
      <c r="B7" s="9"/>
      <c r="C7" s="15"/>
      <c r="D7" s="16"/>
      <c r="E7" s="9"/>
      <c r="F7" s="24"/>
      <c r="G7" s="25"/>
      <c r="H7" s="25"/>
      <c r="J7" s="6" t="s">
        <v>26</v>
      </c>
      <c r="K7" s="70"/>
      <c r="L7" s="26">
        <f>Summary!C5</f>
        <v>300</v>
      </c>
    </row>
    <row r="8" spans="1:13">
      <c r="A8" s="9" t="s">
        <v>27</v>
      </c>
      <c r="B8" s="9"/>
      <c r="C8" s="15"/>
      <c r="D8" s="16"/>
      <c r="E8" s="9"/>
      <c r="F8" s="27">
        <f>L8</f>
        <v>2.146E-2</v>
      </c>
      <c r="G8" s="28">
        <f>L6*L3</f>
        <v>301460.88391799998</v>
      </c>
      <c r="H8" s="29">
        <f>G8*F8</f>
        <v>6469.3505688802798</v>
      </c>
      <c r="I8" s="30"/>
      <c r="J8" s="6" t="s">
        <v>28</v>
      </c>
      <c r="K8" s="70"/>
      <c r="L8" s="32">
        <v>2.146E-2</v>
      </c>
    </row>
    <row r="9" spans="1:13">
      <c r="A9" s="9" t="s">
        <v>50</v>
      </c>
      <c r="B9" s="9"/>
      <c r="C9" s="15"/>
      <c r="D9" s="16"/>
      <c r="E9" s="9"/>
      <c r="F9" s="63">
        <f>85.69/1000</f>
        <v>8.5690000000000002E-2</v>
      </c>
      <c r="G9" s="28">
        <f>L6*L3</f>
        <v>301460.88391799998</v>
      </c>
      <c r="H9" s="29">
        <f>G9*F9</f>
        <v>25832.18314293342</v>
      </c>
      <c r="I9" s="30"/>
      <c r="J9" s="6" t="s">
        <v>59</v>
      </c>
      <c r="K9" s="70"/>
      <c r="L9" s="71">
        <f>-Summary!C7</f>
        <v>-50</v>
      </c>
    </row>
    <row r="10" spans="1:13">
      <c r="A10" s="9" t="s">
        <v>29</v>
      </c>
      <c r="B10" s="9"/>
      <c r="C10" s="15"/>
      <c r="D10" s="16"/>
      <c r="E10" s="9"/>
      <c r="F10" s="27">
        <f>F8</f>
        <v>2.146E-2</v>
      </c>
      <c r="G10" s="31">
        <f>L10*L3</f>
        <v>-156615</v>
      </c>
      <c r="H10" s="33">
        <f>G10*F10</f>
        <v>-3360.9578999999999</v>
      </c>
      <c r="J10" s="34" t="s">
        <v>58</v>
      </c>
      <c r="K10" s="35"/>
      <c r="L10" s="72">
        <f>-Summary!C6</f>
        <v>-150000</v>
      </c>
    </row>
    <row r="11" spans="1:13">
      <c r="A11" s="9" t="s">
        <v>50</v>
      </c>
      <c r="B11" s="9"/>
      <c r="C11" s="15"/>
      <c r="D11" s="16"/>
      <c r="E11" s="9"/>
      <c r="F11" s="27">
        <f>F9</f>
        <v>8.5690000000000002E-2</v>
      </c>
      <c r="G11" s="31">
        <f>L10*L3</f>
        <v>-156615</v>
      </c>
      <c r="H11" s="33">
        <f>G11*F11</f>
        <v>-13420.33935</v>
      </c>
    </row>
    <row r="12" spans="1:13">
      <c r="A12" s="9"/>
      <c r="B12" s="9"/>
      <c r="C12" s="15"/>
      <c r="D12" s="16"/>
      <c r="E12" s="9"/>
      <c r="F12" s="27"/>
      <c r="G12" s="31"/>
      <c r="H12" s="62"/>
      <c r="J12" s="36"/>
      <c r="K12" s="1"/>
      <c r="L12" s="37"/>
    </row>
    <row r="13" spans="1:13">
      <c r="A13" s="41" t="s">
        <v>30</v>
      </c>
      <c r="B13" s="41"/>
      <c r="C13" s="41"/>
      <c r="D13" s="42"/>
      <c r="E13" s="43"/>
      <c r="F13" s="44">
        <v>86.22</v>
      </c>
      <c r="G13" s="45">
        <v>1</v>
      </c>
      <c r="H13" s="46">
        <f>G13*F13</f>
        <v>86.22</v>
      </c>
      <c r="K13" s="39"/>
      <c r="L13" s="40"/>
    </row>
    <row r="14" spans="1:13">
      <c r="A14" s="41" t="s">
        <v>31</v>
      </c>
      <c r="B14" s="41"/>
      <c r="C14" s="41"/>
      <c r="D14" s="42"/>
      <c r="E14" s="43"/>
      <c r="F14" s="47">
        <v>3.4548999999999999</v>
      </c>
      <c r="G14" s="45">
        <f>L7</f>
        <v>300</v>
      </c>
      <c r="H14" s="46">
        <f t="shared" ref="H14:H18" si="0">G14*F14</f>
        <v>1036.47</v>
      </c>
      <c r="J14" s="38" t="s">
        <v>65</v>
      </c>
      <c r="K14" s="39">
        <f>(H8+H9+H13+H14+H16+H18+H20+H25+H26+H27+H28+H37)*1.13</f>
        <v>40729.280609776106</v>
      </c>
      <c r="L14" s="40"/>
      <c r="M14" s="30"/>
    </row>
    <row r="15" spans="1:13">
      <c r="A15" s="41" t="s">
        <v>31</v>
      </c>
      <c r="B15" s="41"/>
      <c r="C15" s="41"/>
      <c r="D15" s="42"/>
      <c r="E15" s="43"/>
      <c r="F15" s="47">
        <f>F14</f>
        <v>3.4548999999999999</v>
      </c>
      <c r="G15" s="45">
        <f>L9</f>
        <v>-50</v>
      </c>
      <c r="H15" s="53">
        <f>G15*F15</f>
        <v>-172.745</v>
      </c>
      <c r="J15" s="38" t="s">
        <v>60</v>
      </c>
      <c r="K15" s="39">
        <f>(H10+H29+H31+H11+H30)*1.13</f>
        <v>-19653.068197499997</v>
      </c>
      <c r="L15" s="40"/>
    </row>
    <row r="16" spans="1:13">
      <c r="A16" s="41" t="s">
        <v>33</v>
      </c>
      <c r="B16" s="41"/>
      <c r="C16" s="41"/>
      <c r="D16" s="42"/>
      <c r="E16" s="43"/>
      <c r="F16" s="47">
        <v>0.49330000000000002</v>
      </c>
      <c r="G16" s="45">
        <f>L7</f>
        <v>300</v>
      </c>
      <c r="H16" s="46">
        <f t="shared" si="0"/>
        <v>147.99</v>
      </c>
      <c r="J16" s="38" t="s">
        <v>61</v>
      </c>
      <c r="K16" s="39">
        <f>(H15+H17+H19+H21)*1.13</f>
        <v>-446.33304999999996</v>
      </c>
    </row>
    <row r="17" spans="1:12">
      <c r="A17" s="41" t="s">
        <v>33</v>
      </c>
      <c r="B17" s="41"/>
      <c r="C17" s="41"/>
      <c r="D17" s="42"/>
      <c r="E17" s="43"/>
      <c r="F17" s="47">
        <f>F16</f>
        <v>0.49330000000000002</v>
      </c>
      <c r="G17" s="45">
        <f>L9</f>
        <v>-50</v>
      </c>
      <c r="H17" s="53">
        <f>G17*F17</f>
        <v>-24.664999999999999</v>
      </c>
      <c r="J17" s="38" t="s">
        <v>66</v>
      </c>
      <c r="K17" s="73">
        <f>H22</f>
        <v>863.72499999999991</v>
      </c>
    </row>
    <row r="18" spans="1:12" ht="15.75" thickBot="1">
      <c r="A18" s="41" t="s">
        <v>34</v>
      </c>
      <c r="B18" s="41"/>
      <c r="C18" s="41"/>
      <c r="D18" s="42"/>
      <c r="E18" s="43"/>
      <c r="F18" s="47">
        <v>1.738</v>
      </c>
      <c r="G18" s="45">
        <f>L7</f>
        <v>300</v>
      </c>
      <c r="H18" s="46">
        <f t="shared" si="0"/>
        <v>521.4</v>
      </c>
      <c r="J18" s="38" t="s">
        <v>32</v>
      </c>
      <c r="K18" s="48">
        <f>K14+K15+K16+K17</f>
        <v>21493.604362276106</v>
      </c>
      <c r="L18" s="49">
        <f>K18-H39</f>
        <v>3.2500000001164153E-2</v>
      </c>
    </row>
    <row r="19" spans="1:12">
      <c r="A19" s="41" t="s">
        <v>34</v>
      </c>
      <c r="B19" s="41"/>
      <c r="C19" s="41"/>
      <c r="D19" s="42"/>
      <c r="E19" s="43"/>
      <c r="F19" s="47">
        <f>F18</f>
        <v>1.738</v>
      </c>
      <c r="G19" s="45">
        <f>L9</f>
        <v>-50</v>
      </c>
      <c r="H19" s="53">
        <f>G19*F19</f>
        <v>-86.9</v>
      </c>
    </row>
    <row r="20" spans="1:12">
      <c r="A20" s="41" t="s">
        <v>35</v>
      </c>
      <c r="B20" s="41"/>
      <c r="C20" s="41"/>
      <c r="D20" s="42"/>
      <c r="E20" s="43"/>
      <c r="F20" s="47">
        <v>2.2134999999999998</v>
      </c>
      <c r="G20" s="45">
        <f>L7</f>
        <v>300</v>
      </c>
      <c r="H20" s="46">
        <f>G20*F20</f>
        <v>664.05</v>
      </c>
    </row>
    <row r="21" spans="1:12">
      <c r="A21" s="41" t="s">
        <v>35</v>
      </c>
      <c r="B21" s="41"/>
      <c r="C21" s="41"/>
      <c r="D21" s="42"/>
      <c r="E21" s="43"/>
      <c r="F21" s="47">
        <f>F20</f>
        <v>2.2134999999999998</v>
      </c>
      <c r="G21" s="45">
        <f>L9</f>
        <v>-50</v>
      </c>
      <c r="H21" s="53">
        <f>G21*F21</f>
        <v>-110.67499999999998</v>
      </c>
      <c r="K21" s="75"/>
      <c r="L21" s="49"/>
    </row>
    <row r="22" spans="1:12">
      <c r="A22" s="41" t="s">
        <v>51</v>
      </c>
      <c r="B22" s="41"/>
      <c r="C22" s="41"/>
      <c r="D22" s="42"/>
      <c r="E22" s="43"/>
      <c r="F22" s="47">
        <f>F14</f>
        <v>3.4548999999999999</v>
      </c>
      <c r="G22" s="45">
        <f>Summary!C8</f>
        <v>250</v>
      </c>
      <c r="H22" s="74">
        <f>G22*F22</f>
        <v>863.72499999999991</v>
      </c>
      <c r="K22" s="39"/>
      <c r="L22" s="40"/>
    </row>
    <row r="23" spans="1:12" ht="15.75" thickBot="1">
      <c r="A23" s="50" t="s">
        <v>36</v>
      </c>
      <c r="B23" s="50"/>
      <c r="C23" s="50"/>
      <c r="D23" s="50"/>
      <c r="E23" s="50"/>
      <c r="F23" s="50"/>
      <c r="G23" s="50"/>
      <c r="H23" s="51">
        <f>SUM(H13:H22)</f>
        <v>2924.8699999999994</v>
      </c>
      <c r="K23" s="39"/>
      <c r="L23" s="40"/>
    </row>
    <row r="24" spans="1:12">
      <c r="K24" s="39"/>
      <c r="L24" s="40"/>
    </row>
    <row r="25" spans="1:12">
      <c r="A25" s="41" t="s">
        <v>37</v>
      </c>
      <c r="B25" s="41"/>
      <c r="C25" s="41"/>
      <c r="D25" s="42"/>
      <c r="E25" s="43"/>
      <c r="F25" s="47">
        <v>3.0000000000000001E-3</v>
      </c>
      <c r="G25" s="45">
        <f>(L6*L3)</f>
        <v>301460.88391799998</v>
      </c>
      <c r="H25" s="46">
        <f t="shared" ref="H25:H31" si="1">G25*F25</f>
        <v>904.38265175399999</v>
      </c>
    </row>
    <row r="26" spans="1:12">
      <c r="A26" s="41" t="s">
        <v>38</v>
      </c>
      <c r="F26" s="47">
        <v>4.0000000000000002E-4</v>
      </c>
      <c r="G26" s="45">
        <f>L6*L3</f>
        <v>301460.88391799998</v>
      </c>
      <c r="H26" s="46">
        <f t="shared" si="1"/>
        <v>120.5843535672</v>
      </c>
      <c r="I26" s="30"/>
    </row>
    <row r="27" spans="1:12">
      <c r="A27" s="41" t="s">
        <v>39</v>
      </c>
      <c r="B27" s="41"/>
      <c r="C27" s="41"/>
      <c r="D27" s="42"/>
      <c r="E27" s="43"/>
      <c r="F27" s="47">
        <v>5.0000000000000001E-4</v>
      </c>
      <c r="G27" s="45">
        <f>(L6*L3)</f>
        <v>301460.88391799998</v>
      </c>
      <c r="H27" s="46">
        <f t="shared" si="1"/>
        <v>150.73044195899999</v>
      </c>
    </row>
    <row r="28" spans="1:12">
      <c r="A28" s="41" t="s">
        <v>48</v>
      </c>
      <c r="B28" s="41"/>
      <c r="C28" s="41"/>
      <c r="D28" s="42"/>
      <c r="E28" s="43"/>
      <c r="F28" s="47">
        <v>0.25</v>
      </c>
      <c r="G28" s="45">
        <v>1</v>
      </c>
      <c r="H28" s="46">
        <f t="shared" si="1"/>
        <v>0.25</v>
      </c>
    </row>
    <row r="29" spans="1:12">
      <c r="A29" s="41" t="s">
        <v>40</v>
      </c>
      <c r="B29" s="41"/>
      <c r="C29" s="41"/>
      <c r="D29" s="42"/>
      <c r="E29" s="43"/>
      <c r="F29" s="47">
        <f>F25</f>
        <v>3.0000000000000001E-3</v>
      </c>
      <c r="G29" s="45">
        <f>L10*L3</f>
        <v>-156615</v>
      </c>
      <c r="H29" s="53">
        <f t="shared" si="1"/>
        <v>-469.84500000000003</v>
      </c>
    </row>
    <row r="30" spans="1:12">
      <c r="A30" s="41" t="s">
        <v>41</v>
      </c>
      <c r="B30" s="41"/>
      <c r="C30" s="41"/>
      <c r="D30" s="42"/>
      <c r="E30" s="43"/>
      <c r="F30" s="47">
        <v>4.0000000000000002E-4</v>
      </c>
      <c r="G30" s="45">
        <f>L10*L3</f>
        <v>-156615</v>
      </c>
      <c r="H30" s="53">
        <f t="shared" si="1"/>
        <v>-62.646000000000001</v>
      </c>
    </row>
    <row r="31" spans="1:12">
      <c r="A31" s="41" t="s">
        <v>42</v>
      </c>
      <c r="B31" s="41"/>
      <c r="C31" s="41"/>
      <c r="D31" s="42"/>
      <c r="E31" s="43"/>
      <c r="F31" s="47">
        <f>F27</f>
        <v>5.0000000000000001E-4</v>
      </c>
      <c r="G31" s="45">
        <f>L10*L3</f>
        <v>-156615</v>
      </c>
      <c r="H31" s="53">
        <f t="shared" si="1"/>
        <v>-78.307500000000005</v>
      </c>
    </row>
    <row r="32" spans="1:12" ht="15.75" thickBot="1">
      <c r="A32" s="50" t="s">
        <v>43</v>
      </c>
      <c r="B32" s="50"/>
      <c r="C32" s="50"/>
      <c r="D32" s="50"/>
      <c r="E32" s="50"/>
      <c r="F32" s="50"/>
      <c r="G32" s="50"/>
      <c r="H32" s="51">
        <f>SUM(H25:H31)</f>
        <v>565.1489472802001</v>
      </c>
    </row>
    <row r="34" spans="1:12">
      <c r="A34" t="s">
        <v>44</v>
      </c>
      <c r="B34" s="41"/>
      <c r="C34" s="41"/>
      <c r="D34" s="42"/>
      <c r="E34" s="43"/>
      <c r="H34" s="39">
        <f>(H8+H9+H13+H14+H16+H18+H20+H25+H26+H27+H37)*0.13</f>
        <v>4685.6369506822075</v>
      </c>
      <c r="I34" s="30"/>
    </row>
    <row r="35" spans="1:12">
      <c r="A35" t="s">
        <v>45</v>
      </c>
      <c r="B35" s="41"/>
      <c r="C35" s="41"/>
      <c r="D35" s="42"/>
      <c r="E35" s="43"/>
      <c r="H35" s="54">
        <f>(H29+H31+H11+H10+H30+H15+H17+H19+H21)*0.13</f>
        <v>-2312.3204975000003</v>
      </c>
      <c r="I35" s="30"/>
      <c r="L35" s="30"/>
    </row>
    <row r="36" spans="1:12">
      <c r="A36" t="s">
        <v>1</v>
      </c>
      <c r="B36" s="41"/>
      <c r="C36" s="41"/>
      <c r="D36" s="42"/>
      <c r="E36" s="43"/>
      <c r="F36" s="55"/>
      <c r="G36" s="56"/>
      <c r="H36" s="39">
        <f>H34+H32+H8+H9+H10+H23+H35+H11</f>
        <v>21383.571862276112</v>
      </c>
      <c r="I36" s="30"/>
      <c r="L36" s="30"/>
    </row>
    <row r="37" spans="1:12">
      <c r="A37" t="s">
        <v>49</v>
      </c>
      <c r="B37" s="41"/>
      <c r="C37" s="41"/>
      <c r="D37" s="42"/>
      <c r="E37" s="43"/>
      <c r="F37" s="55"/>
      <c r="G37" s="56"/>
      <c r="H37" s="39">
        <v>110</v>
      </c>
    </row>
    <row r="38" spans="1:12">
      <c r="A38" t="s">
        <v>46</v>
      </c>
      <c r="F38" s="39"/>
      <c r="G38" s="1"/>
      <c r="H38" s="39">
        <v>0</v>
      </c>
      <c r="I38" s="30"/>
      <c r="J38" s="52"/>
      <c r="K38" s="30"/>
    </row>
    <row r="39" spans="1:12" ht="15.75" thickBot="1">
      <c r="A39" s="50" t="s">
        <v>47</v>
      </c>
      <c r="B39" s="50"/>
      <c r="C39" s="50"/>
      <c r="D39" s="50"/>
      <c r="E39" s="50"/>
      <c r="F39" s="51"/>
      <c r="G39" s="57"/>
      <c r="H39" s="51">
        <f>H8+H9+H10+H23+H32+H34+H37+H38+H12+H35+H11</f>
        <v>21493.571862276105</v>
      </c>
      <c r="I39" s="30"/>
      <c r="J39" s="52"/>
      <c r="K39" s="30"/>
      <c r="L39" s="30"/>
    </row>
    <row r="40" spans="1:12">
      <c r="A40" s="41"/>
      <c r="B40" s="41"/>
      <c r="C40" s="41"/>
      <c r="D40" s="42"/>
      <c r="E40" s="43"/>
      <c r="F40" s="58"/>
      <c r="G40" s="59"/>
      <c r="H40" s="60"/>
    </row>
    <row r="41" spans="1:12">
      <c r="A41" s="41"/>
      <c r="J41" s="52"/>
    </row>
    <row r="42" spans="1:12">
      <c r="A42" s="9"/>
      <c r="B42" s="41"/>
      <c r="C42" s="41"/>
      <c r="D42" s="42"/>
      <c r="E42" s="43"/>
      <c r="F42" s="58"/>
      <c r="G42" s="59"/>
      <c r="H42" s="60"/>
    </row>
    <row r="43" spans="1:12">
      <c r="B43" s="41"/>
      <c r="C43" s="41"/>
      <c r="D43" s="42"/>
      <c r="E43" s="43"/>
      <c r="F43" s="58"/>
      <c r="G43" s="59"/>
      <c r="H43" s="60"/>
    </row>
    <row r="44" spans="1:12">
      <c r="B44" s="41"/>
      <c r="C44" s="41"/>
      <c r="D44" s="42"/>
      <c r="E44" s="43"/>
      <c r="F44" s="58"/>
      <c r="G44" s="59"/>
      <c r="H44" s="60"/>
    </row>
    <row r="45" spans="1:12">
      <c r="B45" s="9"/>
      <c r="C45" s="9"/>
      <c r="H45" s="61"/>
    </row>
  </sheetData>
  <pageMargins left="0.70866141732283472" right="0.70866141732283472" top="0.74803149606299213" bottom="0.74803149606299213" header="0.31496062992125984" footer="0.31496062992125984"/>
  <pageSetup scale="4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D43939-3711-4D17-B9FE-6B48C4794E13}">
  <sheetPr codeName="Sheet6">
    <tabColor rgb="FF92D050"/>
    <pageSetUpPr fitToPage="1"/>
  </sheetPr>
  <dimension ref="A1:M45"/>
  <sheetViews>
    <sheetView showGridLines="0" zoomScale="70" zoomScaleNormal="70" workbookViewId="0">
      <selection activeCell="N1" sqref="N1:O1048576"/>
    </sheetView>
  </sheetViews>
  <sheetFormatPr defaultColWidth="9.140625" defaultRowHeight="15"/>
  <cols>
    <col min="1" max="1" width="35.28515625" bestFit="1" customWidth="1"/>
    <col min="5" max="5" width="6.140625" customWidth="1"/>
    <col min="6" max="6" width="10.42578125" bestFit="1" customWidth="1"/>
    <col min="7" max="7" width="9.85546875" bestFit="1" customWidth="1"/>
    <col min="8" max="8" width="14.28515625" bestFit="1" customWidth="1"/>
    <col min="9" max="9" width="11.7109375" bestFit="1" customWidth="1"/>
    <col min="10" max="10" width="49.28515625" style="38" bestFit="1" customWidth="1"/>
    <col min="11" max="11" width="11.5703125" bestFit="1" customWidth="1"/>
    <col min="12" max="12" width="29.42578125" bestFit="1" customWidth="1"/>
  </cols>
  <sheetData>
    <row r="1" spans="1:13">
      <c r="A1" s="2"/>
      <c r="B1" s="2"/>
      <c r="C1" s="2"/>
      <c r="D1" s="2"/>
      <c r="E1" s="2"/>
      <c r="F1" s="2"/>
      <c r="G1" s="2"/>
      <c r="H1" s="2"/>
      <c r="J1" s="3" t="s">
        <v>14</v>
      </c>
      <c r="K1" s="4"/>
      <c r="L1" s="5" t="s">
        <v>15</v>
      </c>
    </row>
    <row r="2" spans="1:13">
      <c r="J2" s="6" t="s">
        <v>16</v>
      </c>
      <c r="K2" s="70"/>
      <c r="L2" s="7" t="s">
        <v>67</v>
      </c>
    </row>
    <row r="3" spans="1:13">
      <c r="J3" s="6" t="s">
        <v>17</v>
      </c>
      <c r="K3" s="70"/>
      <c r="L3" s="8">
        <v>1.0441</v>
      </c>
    </row>
    <row r="4" spans="1:13">
      <c r="A4" s="9"/>
      <c r="B4" s="9"/>
      <c r="C4" s="10"/>
      <c r="D4" s="10"/>
      <c r="E4" s="9"/>
      <c r="F4" s="11"/>
      <c r="G4" s="12"/>
      <c r="H4" s="13"/>
      <c r="J4" s="6" t="s">
        <v>18</v>
      </c>
      <c r="K4" s="70"/>
      <c r="L4" s="14" t="s">
        <v>19</v>
      </c>
    </row>
    <row r="5" spans="1:13">
      <c r="A5" s="9"/>
      <c r="B5" s="9"/>
      <c r="C5" s="15"/>
      <c r="D5" s="16"/>
      <c r="E5" s="9"/>
      <c r="F5" s="17" t="s">
        <v>20</v>
      </c>
      <c r="G5" s="18" t="s">
        <v>21</v>
      </c>
      <c r="H5" s="19" t="s">
        <v>22</v>
      </c>
      <c r="J5" s="6" t="s">
        <v>23</v>
      </c>
      <c r="K5" s="70"/>
      <c r="L5" s="20">
        <v>30</v>
      </c>
    </row>
    <row r="6" spans="1:13">
      <c r="A6" s="9"/>
      <c r="B6" s="9"/>
      <c r="C6" s="15"/>
      <c r="D6" s="16"/>
      <c r="E6" s="9"/>
      <c r="F6" s="21" t="s">
        <v>24</v>
      </c>
      <c r="G6" s="22"/>
      <c r="H6" s="22" t="s">
        <v>24</v>
      </c>
      <c r="J6" s="6" t="s">
        <v>25</v>
      </c>
      <c r="K6" s="70"/>
      <c r="L6" s="23">
        <f>Summary!E12</f>
        <v>286974</v>
      </c>
    </row>
    <row r="7" spans="1:13">
      <c r="A7" s="9"/>
      <c r="B7" s="9"/>
      <c r="C7" s="15"/>
      <c r="D7" s="16"/>
      <c r="E7" s="9"/>
      <c r="F7" s="24"/>
      <c r="G7" s="25"/>
      <c r="H7" s="25"/>
      <c r="J7" s="6" t="s">
        <v>26</v>
      </c>
      <c r="K7" s="70"/>
      <c r="L7" s="26">
        <f>Summary!C5</f>
        <v>300</v>
      </c>
    </row>
    <row r="8" spans="1:13">
      <c r="A8" s="9" t="s">
        <v>27</v>
      </c>
      <c r="B8" s="9"/>
      <c r="C8" s="15"/>
      <c r="D8" s="16"/>
      <c r="E8" s="9"/>
      <c r="F8" s="27">
        <f>L8</f>
        <v>2.8142E-2</v>
      </c>
      <c r="G8" s="28">
        <f>L6*L3</f>
        <v>299629.55340000003</v>
      </c>
      <c r="H8" s="29">
        <f>G8*F8</f>
        <v>8432.1748917828008</v>
      </c>
      <c r="I8" s="30"/>
      <c r="J8" s="6" t="s">
        <v>28</v>
      </c>
      <c r="K8" s="70"/>
      <c r="L8" s="32">
        <v>2.8142E-2</v>
      </c>
    </row>
    <row r="9" spans="1:13">
      <c r="A9" s="9" t="s">
        <v>50</v>
      </c>
      <c r="B9" s="9"/>
      <c r="C9" s="15"/>
      <c r="D9" s="16"/>
      <c r="E9" s="9"/>
      <c r="F9" s="63">
        <f>67.41/1000</f>
        <v>6.7409999999999998E-2</v>
      </c>
      <c r="G9" s="28">
        <f>L6*L3</f>
        <v>299629.55340000003</v>
      </c>
      <c r="H9" s="29">
        <f>G9*F9</f>
        <v>20198.028194694001</v>
      </c>
      <c r="I9" s="30"/>
      <c r="J9" s="6" t="s">
        <v>59</v>
      </c>
      <c r="K9" s="70"/>
      <c r="L9" s="71">
        <f>-Summary!C7</f>
        <v>-50</v>
      </c>
    </row>
    <row r="10" spans="1:13">
      <c r="A10" s="9" t="s">
        <v>29</v>
      </c>
      <c r="B10" s="9"/>
      <c r="C10" s="15"/>
      <c r="D10" s="16"/>
      <c r="E10" s="9"/>
      <c r="F10" s="27">
        <f>F8</f>
        <v>2.8142E-2</v>
      </c>
      <c r="G10" s="31">
        <f>L10*L3</f>
        <v>-156615</v>
      </c>
      <c r="H10" s="33">
        <f>G10*F10</f>
        <v>-4407.4593299999997</v>
      </c>
      <c r="J10" s="34" t="s">
        <v>58</v>
      </c>
      <c r="K10" s="35"/>
      <c r="L10" s="72">
        <f>-Summary!C6</f>
        <v>-150000</v>
      </c>
    </row>
    <row r="11" spans="1:13">
      <c r="A11" s="9" t="s">
        <v>50</v>
      </c>
      <c r="B11" s="9"/>
      <c r="C11" s="15"/>
      <c r="D11" s="16"/>
      <c r="E11" s="9"/>
      <c r="F11" s="27">
        <f>F9</f>
        <v>6.7409999999999998E-2</v>
      </c>
      <c r="G11" s="31">
        <f>L10*L3</f>
        <v>-156615</v>
      </c>
      <c r="H11" s="33">
        <f>G11*F11</f>
        <v>-10557.417149999999</v>
      </c>
    </row>
    <row r="12" spans="1:13">
      <c r="A12" s="9"/>
      <c r="B12" s="9"/>
      <c r="C12" s="15"/>
      <c r="D12" s="16"/>
      <c r="E12" s="9"/>
      <c r="F12" s="27"/>
      <c r="G12" s="31"/>
      <c r="H12" s="62"/>
      <c r="J12" s="36"/>
      <c r="K12" s="1"/>
      <c r="L12" s="37"/>
    </row>
    <row r="13" spans="1:13">
      <c r="A13" s="41" t="s">
        <v>30</v>
      </c>
      <c r="B13" s="41"/>
      <c r="C13" s="41"/>
      <c r="D13" s="42"/>
      <c r="E13" s="43"/>
      <c r="F13" s="44">
        <v>86.22</v>
      </c>
      <c r="G13" s="45">
        <v>1</v>
      </c>
      <c r="H13" s="46">
        <f>G13*F13</f>
        <v>86.22</v>
      </c>
      <c r="K13" s="39"/>
      <c r="L13" s="40"/>
    </row>
    <row r="14" spans="1:13">
      <c r="A14" s="41" t="s">
        <v>31</v>
      </c>
      <c r="B14" s="41"/>
      <c r="C14" s="41"/>
      <c r="D14" s="42"/>
      <c r="E14" s="43"/>
      <c r="F14" s="47">
        <v>3.4548999999999999</v>
      </c>
      <c r="G14" s="45">
        <f>L7</f>
        <v>300</v>
      </c>
      <c r="H14" s="46">
        <f t="shared" ref="H14:H18" si="0">G14*F14</f>
        <v>1036.47</v>
      </c>
      <c r="J14" s="38" t="s">
        <v>65</v>
      </c>
      <c r="K14" s="39">
        <f>(H8+H9+H13+H14+H16+H18+H20+H25+H26+H27+H28+H37)*1.13</f>
        <v>36572.606329552589</v>
      </c>
      <c r="L14" s="40"/>
      <c r="M14" s="30"/>
    </row>
    <row r="15" spans="1:13">
      <c r="A15" s="41" t="s">
        <v>31</v>
      </c>
      <c r="B15" s="41"/>
      <c r="C15" s="41"/>
      <c r="D15" s="42"/>
      <c r="E15" s="43"/>
      <c r="F15" s="47">
        <f>F14</f>
        <v>3.4548999999999999</v>
      </c>
      <c r="G15" s="45">
        <f>L9</f>
        <v>-50</v>
      </c>
      <c r="H15" s="53">
        <f>G15*F15</f>
        <v>-172.745</v>
      </c>
      <c r="J15" s="38" t="s">
        <v>60</v>
      </c>
      <c r="K15" s="39">
        <f>(H10+H29+H31+H11+H30)*1.13</f>
        <v>-17600.512727399997</v>
      </c>
      <c r="L15" s="40"/>
    </row>
    <row r="16" spans="1:13">
      <c r="A16" s="41" t="s">
        <v>33</v>
      </c>
      <c r="B16" s="41"/>
      <c r="C16" s="41"/>
      <c r="D16" s="42"/>
      <c r="E16" s="43"/>
      <c r="F16" s="47">
        <v>0.49330000000000002</v>
      </c>
      <c r="G16" s="45">
        <f>L7</f>
        <v>300</v>
      </c>
      <c r="H16" s="46">
        <f t="shared" si="0"/>
        <v>147.99</v>
      </c>
      <c r="J16" s="38" t="s">
        <v>61</v>
      </c>
      <c r="K16" s="39">
        <f>(H15+H17+H19+H21)*1.13</f>
        <v>-446.33304999999996</v>
      </c>
    </row>
    <row r="17" spans="1:12">
      <c r="A17" s="41" t="s">
        <v>33</v>
      </c>
      <c r="B17" s="41"/>
      <c r="C17" s="41"/>
      <c r="D17" s="42"/>
      <c r="E17" s="43"/>
      <c r="F17" s="47">
        <f>F16</f>
        <v>0.49330000000000002</v>
      </c>
      <c r="G17" s="45">
        <f>L9</f>
        <v>-50</v>
      </c>
      <c r="H17" s="53">
        <f>G17*F17</f>
        <v>-24.664999999999999</v>
      </c>
      <c r="J17" s="38" t="s">
        <v>66</v>
      </c>
      <c r="K17" s="73">
        <f>H22</f>
        <v>863.72499999999991</v>
      </c>
    </row>
    <row r="18" spans="1:12" ht="15.75" thickBot="1">
      <c r="A18" s="41" t="s">
        <v>34</v>
      </c>
      <c r="B18" s="41"/>
      <c r="C18" s="41"/>
      <c r="D18" s="42"/>
      <c r="E18" s="43"/>
      <c r="F18" s="47">
        <v>1.738</v>
      </c>
      <c r="G18" s="45">
        <f>L7</f>
        <v>300</v>
      </c>
      <c r="H18" s="46">
        <f t="shared" si="0"/>
        <v>521.4</v>
      </c>
      <c r="J18" s="38" t="s">
        <v>32</v>
      </c>
      <c r="K18" s="48">
        <f>K14+K15+K16+K17</f>
        <v>19389.48555215259</v>
      </c>
      <c r="L18" s="49">
        <f>K18-H39</f>
        <v>3.2500000001164153E-2</v>
      </c>
    </row>
    <row r="19" spans="1:12">
      <c r="A19" s="41" t="s">
        <v>34</v>
      </c>
      <c r="B19" s="41"/>
      <c r="C19" s="41"/>
      <c r="D19" s="42"/>
      <c r="E19" s="43"/>
      <c r="F19" s="47">
        <f>F18</f>
        <v>1.738</v>
      </c>
      <c r="G19" s="45">
        <f>L9</f>
        <v>-50</v>
      </c>
      <c r="H19" s="53">
        <f>G19*F19</f>
        <v>-86.9</v>
      </c>
    </row>
    <row r="20" spans="1:12">
      <c r="A20" s="41" t="s">
        <v>35</v>
      </c>
      <c r="B20" s="41"/>
      <c r="C20" s="41"/>
      <c r="D20" s="42"/>
      <c r="E20" s="43"/>
      <c r="F20" s="47">
        <v>2.2134999999999998</v>
      </c>
      <c r="G20" s="45">
        <f>L7</f>
        <v>300</v>
      </c>
      <c r="H20" s="46">
        <f>G20*F20</f>
        <v>664.05</v>
      </c>
    </row>
    <row r="21" spans="1:12">
      <c r="A21" s="41" t="s">
        <v>35</v>
      </c>
      <c r="B21" s="41"/>
      <c r="C21" s="41"/>
      <c r="D21" s="42"/>
      <c r="E21" s="43"/>
      <c r="F21" s="47">
        <f>F20</f>
        <v>2.2134999999999998</v>
      </c>
      <c r="G21" s="45">
        <f>L9</f>
        <v>-50</v>
      </c>
      <c r="H21" s="53">
        <f>G21*F21</f>
        <v>-110.67499999999998</v>
      </c>
      <c r="K21" s="75"/>
      <c r="L21" s="49"/>
    </row>
    <row r="22" spans="1:12">
      <c r="A22" s="41" t="s">
        <v>51</v>
      </c>
      <c r="B22" s="41"/>
      <c r="C22" s="41"/>
      <c r="D22" s="42"/>
      <c r="E22" s="43"/>
      <c r="F22" s="47">
        <f>F14</f>
        <v>3.4548999999999999</v>
      </c>
      <c r="G22" s="45">
        <f>Summary!C8</f>
        <v>250</v>
      </c>
      <c r="H22" s="74">
        <f>G22*F22</f>
        <v>863.72499999999991</v>
      </c>
      <c r="K22" s="39"/>
      <c r="L22" s="40"/>
    </row>
    <row r="23" spans="1:12" ht="15.75" thickBot="1">
      <c r="A23" s="50" t="s">
        <v>36</v>
      </c>
      <c r="B23" s="50"/>
      <c r="C23" s="50"/>
      <c r="D23" s="50"/>
      <c r="E23" s="50"/>
      <c r="F23" s="50"/>
      <c r="G23" s="50"/>
      <c r="H23" s="51">
        <f>SUM(H13:H22)</f>
        <v>2924.8699999999994</v>
      </c>
      <c r="K23" s="39"/>
      <c r="L23" s="40"/>
    </row>
    <row r="24" spans="1:12">
      <c r="K24" s="39"/>
      <c r="L24" s="40"/>
    </row>
    <row r="25" spans="1:12">
      <c r="A25" s="41" t="s">
        <v>37</v>
      </c>
      <c r="B25" s="41"/>
      <c r="C25" s="41"/>
      <c r="D25" s="42"/>
      <c r="E25" s="43"/>
      <c r="F25" s="47">
        <v>3.0000000000000001E-3</v>
      </c>
      <c r="G25" s="45">
        <f>(L6*L3)</f>
        <v>299629.55340000003</v>
      </c>
      <c r="H25" s="46">
        <f t="shared" ref="H25:H31" si="1">G25*F25</f>
        <v>898.88866020000012</v>
      </c>
    </row>
    <row r="26" spans="1:12">
      <c r="A26" s="41" t="s">
        <v>38</v>
      </c>
      <c r="F26" s="47">
        <v>4.0000000000000002E-4</v>
      </c>
      <c r="G26" s="45">
        <f>L6*L3</f>
        <v>299629.55340000003</v>
      </c>
      <c r="H26" s="46">
        <f t="shared" si="1"/>
        <v>119.85182136000002</v>
      </c>
      <c r="I26" s="30"/>
    </row>
    <row r="27" spans="1:12">
      <c r="A27" s="41" t="s">
        <v>39</v>
      </c>
      <c r="B27" s="41"/>
      <c r="C27" s="41"/>
      <c r="D27" s="42"/>
      <c r="E27" s="43"/>
      <c r="F27" s="47">
        <v>5.0000000000000001E-4</v>
      </c>
      <c r="G27" s="45">
        <f>(L6*L3)</f>
        <v>299629.55340000003</v>
      </c>
      <c r="H27" s="46">
        <f t="shared" si="1"/>
        <v>149.81477670000001</v>
      </c>
    </row>
    <row r="28" spans="1:12">
      <c r="A28" s="41" t="s">
        <v>48</v>
      </c>
      <c r="B28" s="41"/>
      <c r="C28" s="41"/>
      <c r="D28" s="42"/>
      <c r="E28" s="43"/>
      <c r="F28" s="47">
        <v>0.25</v>
      </c>
      <c r="G28" s="45">
        <v>1</v>
      </c>
      <c r="H28" s="46">
        <f t="shared" si="1"/>
        <v>0.25</v>
      </c>
    </row>
    <row r="29" spans="1:12">
      <c r="A29" s="41" t="s">
        <v>40</v>
      </c>
      <c r="B29" s="41"/>
      <c r="C29" s="41"/>
      <c r="D29" s="42"/>
      <c r="E29" s="43"/>
      <c r="F29" s="47">
        <f>F25</f>
        <v>3.0000000000000001E-3</v>
      </c>
      <c r="G29" s="45">
        <f>L10*L3</f>
        <v>-156615</v>
      </c>
      <c r="H29" s="53">
        <f t="shared" si="1"/>
        <v>-469.84500000000003</v>
      </c>
    </row>
    <row r="30" spans="1:12">
      <c r="A30" s="41" t="s">
        <v>41</v>
      </c>
      <c r="B30" s="41"/>
      <c r="C30" s="41"/>
      <c r="D30" s="42"/>
      <c r="E30" s="43"/>
      <c r="F30" s="47">
        <v>4.0000000000000002E-4</v>
      </c>
      <c r="G30" s="45">
        <f>L10*L3</f>
        <v>-156615</v>
      </c>
      <c r="H30" s="53">
        <f t="shared" si="1"/>
        <v>-62.646000000000001</v>
      </c>
    </row>
    <row r="31" spans="1:12">
      <c r="A31" s="41" t="s">
        <v>42</v>
      </c>
      <c r="B31" s="41"/>
      <c r="C31" s="41"/>
      <c r="D31" s="42"/>
      <c r="E31" s="43"/>
      <c r="F31" s="47">
        <f>F27</f>
        <v>5.0000000000000001E-4</v>
      </c>
      <c r="G31" s="45">
        <f>L10*L3</f>
        <v>-156615</v>
      </c>
      <c r="H31" s="53">
        <f t="shared" si="1"/>
        <v>-78.307500000000005</v>
      </c>
    </row>
    <row r="32" spans="1:12" ht="15.75" thickBot="1">
      <c r="A32" s="50" t="s">
        <v>43</v>
      </c>
      <c r="B32" s="50"/>
      <c r="C32" s="50"/>
      <c r="D32" s="50"/>
      <c r="E32" s="50"/>
      <c r="F32" s="50"/>
      <c r="G32" s="50"/>
      <c r="H32" s="51">
        <f>SUM(H25:H31)</f>
        <v>558.00675826000008</v>
      </c>
    </row>
    <row r="34" spans="1:12">
      <c r="A34" t="s">
        <v>44</v>
      </c>
      <c r="B34" s="41"/>
      <c r="C34" s="41"/>
      <c r="D34" s="42"/>
      <c r="E34" s="43"/>
      <c r="H34" s="39">
        <f>(H8+H9+H13+H14+H16+H18+H20+H25+H26+H27+H37)*0.13</f>
        <v>4207.4354848157845</v>
      </c>
      <c r="I34" s="30"/>
    </row>
    <row r="35" spans="1:12">
      <c r="A35" t="s">
        <v>45</v>
      </c>
      <c r="B35" s="41"/>
      <c r="C35" s="41"/>
      <c r="D35" s="42"/>
      <c r="E35" s="43"/>
      <c r="H35" s="54">
        <f>(H29+H31+H11+H10+H30+H15+H17+H19+H21)*0.13</f>
        <v>-2076.1857974</v>
      </c>
      <c r="I35" s="30"/>
      <c r="L35" s="30"/>
    </row>
    <row r="36" spans="1:12">
      <c r="A36" t="s">
        <v>1</v>
      </c>
      <c r="B36" s="41"/>
      <c r="C36" s="41"/>
      <c r="D36" s="42"/>
      <c r="E36" s="43"/>
      <c r="F36" s="55"/>
      <c r="G36" s="56"/>
      <c r="H36" s="39">
        <f>H34+H32+H8+H9+H10+H23+H35+H11</f>
        <v>19279.453052152588</v>
      </c>
      <c r="I36" s="30"/>
      <c r="L36" s="30"/>
    </row>
    <row r="37" spans="1:12">
      <c r="A37" t="s">
        <v>49</v>
      </c>
      <c r="B37" s="41"/>
      <c r="C37" s="41"/>
      <c r="D37" s="42"/>
      <c r="E37" s="43"/>
      <c r="F37" s="55"/>
      <c r="G37" s="56"/>
      <c r="H37" s="39">
        <v>110</v>
      </c>
    </row>
    <row r="38" spans="1:12">
      <c r="A38" t="s">
        <v>46</v>
      </c>
      <c r="F38" s="39"/>
      <c r="G38" s="1"/>
      <c r="H38" s="39">
        <v>0</v>
      </c>
      <c r="I38" s="30"/>
      <c r="J38" s="52"/>
      <c r="K38" s="30"/>
    </row>
    <row r="39" spans="1:12" ht="15.75" thickBot="1">
      <c r="A39" s="50" t="s">
        <v>47</v>
      </c>
      <c r="B39" s="50"/>
      <c r="C39" s="50"/>
      <c r="D39" s="50"/>
      <c r="E39" s="50"/>
      <c r="F39" s="51"/>
      <c r="G39" s="57"/>
      <c r="H39" s="51">
        <f>H8+H9+H10+H23+H32+H34+H37+H38+H12+H35+H11</f>
        <v>19389.453052152588</v>
      </c>
      <c r="I39" s="30"/>
      <c r="J39" s="52"/>
      <c r="K39" s="30"/>
      <c r="L39" s="30"/>
    </row>
    <row r="40" spans="1:12">
      <c r="A40" s="41"/>
      <c r="B40" s="41"/>
      <c r="C40" s="41"/>
      <c r="D40" s="42"/>
      <c r="E40" s="43"/>
      <c r="F40" s="58"/>
      <c r="G40" s="59"/>
      <c r="H40" s="60"/>
    </row>
    <row r="41" spans="1:12">
      <c r="A41" s="41"/>
      <c r="J41" s="52"/>
    </row>
    <row r="42" spans="1:12">
      <c r="A42" s="9"/>
      <c r="B42" s="41"/>
      <c r="C42" s="41"/>
      <c r="D42" s="42"/>
      <c r="E42" s="43"/>
      <c r="F42" s="58"/>
      <c r="G42" s="59"/>
      <c r="H42" s="60"/>
    </row>
    <row r="43" spans="1:12">
      <c r="B43" s="41"/>
      <c r="C43" s="41"/>
      <c r="D43" s="42"/>
      <c r="E43" s="43"/>
      <c r="F43" s="58"/>
      <c r="G43" s="59"/>
      <c r="H43" s="60"/>
    </row>
    <row r="44" spans="1:12">
      <c r="B44" s="41"/>
      <c r="C44" s="41"/>
      <c r="D44" s="42"/>
      <c r="E44" s="43"/>
      <c r="F44" s="58"/>
      <c r="G44" s="59"/>
      <c r="H44" s="60"/>
    </row>
    <row r="45" spans="1:12">
      <c r="B45" s="9"/>
      <c r="C45" s="9"/>
      <c r="H45" s="61"/>
    </row>
  </sheetData>
  <pageMargins left="0.70866141732283472" right="0.70866141732283472" top="0.74803149606299213" bottom="0.74803149606299213" header="0.31496062992125984" footer="0.31496062992125984"/>
  <pageSetup scale="4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AA797F-66C1-4574-9BF9-7EDF495338C3}">
  <sheetPr codeName="Sheet7">
    <tabColor rgb="FF92D050"/>
    <pageSetUpPr fitToPage="1"/>
  </sheetPr>
  <dimension ref="A1:M45"/>
  <sheetViews>
    <sheetView showGridLines="0" zoomScale="70" zoomScaleNormal="70" workbookViewId="0">
      <selection activeCell="N1" sqref="N1:O1048576"/>
    </sheetView>
  </sheetViews>
  <sheetFormatPr defaultColWidth="9.140625" defaultRowHeight="15"/>
  <cols>
    <col min="1" max="1" width="35.28515625" bestFit="1" customWidth="1"/>
    <col min="5" max="5" width="6.140625" customWidth="1"/>
    <col min="6" max="6" width="11.140625" bestFit="1" customWidth="1"/>
    <col min="7" max="7" width="9.85546875" bestFit="1" customWidth="1"/>
    <col min="8" max="8" width="14.28515625" bestFit="1" customWidth="1"/>
    <col min="9" max="9" width="11.7109375" bestFit="1" customWidth="1"/>
    <col min="10" max="10" width="49.28515625" style="38" bestFit="1" customWidth="1"/>
    <col min="11" max="11" width="12.42578125" bestFit="1" customWidth="1"/>
    <col min="12" max="12" width="29.42578125" bestFit="1" customWidth="1"/>
  </cols>
  <sheetData>
    <row r="1" spans="1:13">
      <c r="A1" s="2"/>
      <c r="B1" s="2"/>
      <c r="C1" s="2"/>
      <c r="D1" s="2"/>
      <c r="E1" s="2"/>
      <c r="F1" s="2"/>
      <c r="G1" s="2"/>
      <c r="H1" s="2"/>
      <c r="J1" s="3" t="s">
        <v>14</v>
      </c>
      <c r="K1" s="4"/>
      <c r="L1" s="5" t="s">
        <v>15</v>
      </c>
    </row>
    <row r="2" spans="1:13">
      <c r="J2" s="6" t="s">
        <v>16</v>
      </c>
      <c r="K2" s="70"/>
      <c r="L2" s="7" t="s">
        <v>67</v>
      </c>
    </row>
    <row r="3" spans="1:13">
      <c r="J3" s="6" t="s">
        <v>17</v>
      </c>
      <c r="K3" s="70"/>
      <c r="L3" s="8">
        <v>1.0441</v>
      </c>
    </row>
    <row r="4" spans="1:13">
      <c r="A4" s="9"/>
      <c r="B4" s="9"/>
      <c r="C4" s="10"/>
      <c r="D4" s="10"/>
      <c r="E4" s="9"/>
      <c r="F4" s="11"/>
      <c r="G4" s="12"/>
      <c r="H4" s="13"/>
      <c r="J4" s="6" t="s">
        <v>18</v>
      </c>
      <c r="K4" s="70"/>
      <c r="L4" s="14" t="s">
        <v>19</v>
      </c>
    </row>
    <row r="5" spans="1:13">
      <c r="A5" s="9"/>
      <c r="B5" s="9"/>
      <c r="C5" s="15"/>
      <c r="D5" s="16"/>
      <c r="E5" s="9"/>
      <c r="F5" s="17" t="s">
        <v>20</v>
      </c>
      <c r="G5" s="18" t="s">
        <v>21</v>
      </c>
      <c r="H5" s="19" t="s">
        <v>22</v>
      </c>
      <c r="J5" s="6" t="s">
        <v>23</v>
      </c>
      <c r="K5" s="70"/>
      <c r="L5" s="20">
        <v>30</v>
      </c>
    </row>
    <row r="6" spans="1:13">
      <c r="A6" s="9"/>
      <c r="B6" s="9"/>
      <c r="C6" s="15"/>
      <c r="D6" s="16"/>
      <c r="E6" s="9"/>
      <c r="F6" s="21" t="s">
        <v>24</v>
      </c>
      <c r="G6" s="22"/>
      <c r="H6" s="22" t="s">
        <v>24</v>
      </c>
      <c r="J6" s="6" t="s">
        <v>25</v>
      </c>
      <c r="K6" s="70"/>
      <c r="L6" s="23">
        <f>Summary!E13</f>
        <v>283364.21999999997</v>
      </c>
    </row>
    <row r="7" spans="1:13">
      <c r="A7" s="9"/>
      <c r="B7" s="9"/>
      <c r="C7" s="15"/>
      <c r="D7" s="16"/>
      <c r="E7" s="9"/>
      <c r="F7" s="24"/>
      <c r="G7" s="25"/>
      <c r="H7" s="25"/>
      <c r="J7" s="6" t="s">
        <v>26</v>
      </c>
      <c r="K7" s="70"/>
      <c r="L7" s="26">
        <f>Summary!C5</f>
        <v>300</v>
      </c>
    </row>
    <row r="8" spans="1:13">
      <c r="A8" s="9" t="s">
        <v>27</v>
      </c>
      <c r="B8" s="9"/>
      <c r="C8" s="15"/>
      <c r="D8" s="16"/>
      <c r="E8" s="9"/>
      <c r="F8" s="27">
        <f>L8</f>
        <v>2.8060000000000002E-2</v>
      </c>
      <c r="G8" s="28">
        <f>L6*L3</f>
        <v>295860.58210199996</v>
      </c>
      <c r="H8" s="29">
        <f>G8*F8</f>
        <v>8301.8479337821191</v>
      </c>
      <c r="I8" s="30"/>
      <c r="J8" s="6" t="s">
        <v>28</v>
      </c>
      <c r="K8" s="70"/>
      <c r="L8" s="32">
        <v>2.8060000000000002E-2</v>
      </c>
    </row>
    <row r="9" spans="1:13">
      <c r="A9" s="9" t="s">
        <v>50</v>
      </c>
      <c r="B9" s="9"/>
      <c r="C9" s="15"/>
      <c r="D9" s="16"/>
      <c r="E9" s="9"/>
      <c r="F9" s="63">
        <f>96.57/1000</f>
        <v>9.6569999999999989E-2</v>
      </c>
      <c r="G9" s="28">
        <f>L6*L3</f>
        <v>295860.58210199996</v>
      </c>
      <c r="H9" s="29">
        <f>G9*F9</f>
        <v>28571.256413590134</v>
      </c>
      <c r="I9" s="30"/>
      <c r="J9" s="6" t="s">
        <v>59</v>
      </c>
      <c r="K9" s="70"/>
      <c r="L9" s="71">
        <f>-Summary!C7</f>
        <v>-50</v>
      </c>
    </row>
    <row r="10" spans="1:13">
      <c r="A10" s="9" t="s">
        <v>29</v>
      </c>
      <c r="B10" s="9"/>
      <c r="C10" s="15"/>
      <c r="D10" s="16"/>
      <c r="E10" s="9"/>
      <c r="F10" s="27">
        <f>F8</f>
        <v>2.8060000000000002E-2</v>
      </c>
      <c r="G10" s="31">
        <f>L10*L3</f>
        <v>-156615</v>
      </c>
      <c r="H10" s="33">
        <f>G10*F10</f>
        <v>-4394.6169</v>
      </c>
      <c r="J10" s="34" t="s">
        <v>58</v>
      </c>
      <c r="K10" s="35"/>
      <c r="L10" s="72">
        <f>-Summary!C6</f>
        <v>-150000</v>
      </c>
    </row>
    <row r="11" spans="1:13">
      <c r="A11" s="9" t="s">
        <v>50</v>
      </c>
      <c r="B11" s="9"/>
      <c r="C11" s="15"/>
      <c r="D11" s="16"/>
      <c r="E11" s="9"/>
      <c r="F11" s="27">
        <f>F9</f>
        <v>9.6569999999999989E-2</v>
      </c>
      <c r="G11" s="31">
        <f>L10*L3</f>
        <v>-156615</v>
      </c>
      <c r="H11" s="33">
        <f>G11*F11</f>
        <v>-15124.310549999998</v>
      </c>
    </row>
    <row r="12" spans="1:13">
      <c r="A12" s="9"/>
      <c r="B12" s="9"/>
      <c r="C12" s="15"/>
      <c r="D12" s="16"/>
      <c r="E12" s="9"/>
      <c r="F12" s="27"/>
      <c r="G12" s="31"/>
      <c r="H12" s="62"/>
      <c r="J12" s="36"/>
      <c r="K12" s="1"/>
      <c r="L12" s="37"/>
    </row>
    <row r="13" spans="1:13">
      <c r="A13" s="41" t="s">
        <v>30</v>
      </c>
      <c r="B13" s="41"/>
      <c r="C13" s="41"/>
      <c r="D13" s="42"/>
      <c r="E13" s="43"/>
      <c r="F13" s="44">
        <v>86.22</v>
      </c>
      <c r="G13" s="45">
        <v>1</v>
      </c>
      <c r="H13" s="46">
        <f>G13*F13</f>
        <v>86.22</v>
      </c>
      <c r="K13" s="39"/>
      <c r="L13" s="40"/>
    </row>
    <row r="14" spans="1:13">
      <c r="A14" s="41" t="s">
        <v>31</v>
      </c>
      <c r="B14" s="41"/>
      <c r="C14" s="41"/>
      <c r="D14" s="42"/>
      <c r="E14" s="43"/>
      <c r="F14" s="47">
        <v>3.4548999999999999</v>
      </c>
      <c r="G14" s="45">
        <f>L7</f>
        <v>300</v>
      </c>
      <c r="H14" s="46">
        <f t="shared" ref="H14:H18" si="0">G14*F14</f>
        <v>1036.47</v>
      </c>
      <c r="J14" s="38" t="s">
        <v>65</v>
      </c>
      <c r="K14" s="39">
        <f>(H8+H9+H13+H14+H16+H18+H20+H25+H26+H27+H28+H37)*1.13</f>
        <v>45870.474897854161</v>
      </c>
      <c r="L14" s="40"/>
      <c r="M14" s="30"/>
    </row>
    <row r="15" spans="1:13">
      <c r="A15" s="41" t="s">
        <v>31</v>
      </c>
      <c r="B15" s="41"/>
      <c r="C15" s="41"/>
      <c r="D15" s="42"/>
      <c r="E15" s="43"/>
      <c r="F15" s="47">
        <f>F14</f>
        <v>3.4548999999999999</v>
      </c>
      <c r="G15" s="45">
        <f>L9</f>
        <v>-50</v>
      </c>
      <c r="H15" s="53">
        <f>G15*F15</f>
        <v>-172.745</v>
      </c>
      <c r="J15" s="38" t="s">
        <v>60</v>
      </c>
      <c r="K15" s="39">
        <f>(H10+H29+H31+H11+H30)*1.13</f>
        <v>-22746.590323499997</v>
      </c>
      <c r="L15" s="40"/>
    </row>
    <row r="16" spans="1:13">
      <c r="A16" s="41" t="s">
        <v>33</v>
      </c>
      <c r="B16" s="41"/>
      <c r="C16" s="41"/>
      <c r="D16" s="42"/>
      <c r="E16" s="43"/>
      <c r="F16" s="47">
        <v>0.49330000000000002</v>
      </c>
      <c r="G16" s="45">
        <f>L7</f>
        <v>300</v>
      </c>
      <c r="H16" s="46">
        <f t="shared" si="0"/>
        <v>147.99</v>
      </c>
      <c r="J16" s="38" t="s">
        <v>61</v>
      </c>
      <c r="K16" s="39">
        <f>(H15+H17+H19+H21)*1.13</f>
        <v>-446.33304999999996</v>
      </c>
    </row>
    <row r="17" spans="1:12">
      <c r="A17" s="41" t="s">
        <v>33</v>
      </c>
      <c r="B17" s="41"/>
      <c r="C17" s="41"/>
      <c r="D17" s="42"/>
      <c r="E17" s="43"/>
      <c r="F17" s="47">
        <f>F16</f>
        <v>0.49330000000000002</v>
      </c>
      <c r="G17" s="45">
        <f>L9</f>
        <v>-50</v>
      </c>
      <c r="H17" s="53">
        <f>G17*F17</f>
        <v>-24.664999999999999</v>
      </c>
      <c r="J17" s="38" t="s">
        <v>66</v>
      </c>
      <c r="K17" s="73">
        <f>H22</f>
        <v>863.72499999999991</v>
      </c>
    </row>
    <row r="18" spans="1:12" ht="15.75" thickBot="1">
      <c r="A18" s="41" t="s">
        <v>34</v>
      </c>
      <c r="B18" s="41"/>
      <c r="C18" s="41"/>
      <c r="D18" s="42"/>
      <c r="E18" s="43"/>
      <c r="F18" s="47">
        <v>1.738</v>
      </c>
      <c r="G18" s="45">
        <f>L7</f>
        <v>300</v>
      </c>
      <c r="H18" s="46">
        <f t="shared" si="0"/>
        <v>521.4</v>
      </c>
      <c r="J18" s="38" t="s">
        <v>32</v>
      </c>
      <c r="K18" s="48">
        <f>K14+K15+K16+K17</f>
        <v>23541.276524354162</v>
      </c>
      <c r="L18" s="49">
        <f>K18-H39</f>
        <v>3.2500000001164153E-2</v>
      </c>
    </row>
    <row r="19" spans="1:12">
      <c r="A19" s="41" t="s">
        <v>34</v>
      </c>
      <c r="B19" s="41"/>
      <c r="C19" s="41"/>
      <c r="D19" s="42"/>
      <c r="E19" s="43"/>
      <c r="F19" s="47">
        <f>F18</f>
        <v>1.738</v>
      </c>
      <c r="G19" s="45">
        <f>L9</f>
        <v>-50</v>
      </c>
      <c r="H19" s="53">
        <f>G19*F19</f>
        <v>-86.9</v>
      </c>
    </row>
    <row r="20" spans="1:12">
      <c r="A20" s="41" t="s">
        <v>35</v>
      </c>
      <c r="B20" s="41"/>
      <c r="C20" s="41"/>
      <c r="D20" s="42"/>
      <c r="E20" s="43"/>
      <c r="F20" s="47">
        <v>2.2134999999999998</v>
      </c>
      <c r="G20" s="45">
        <f>L7</f>
        <v>300</v>
      </c>
      <c r="H20" s="46">
        <f>G20*F20</f>
        <v>664.05</v>
      </c>
    </row>
    <row r="21" spans="1:12">
      <c r="A21" s="41" t="s">
        <v>35</v>
      </c>
      <c r="B21" s="41"/>
      <c r="C21" s="41"/>
      <c r="D21" s="42"/>
      <c r="E21" s="43"/>
      <c r="F21" s="47">
        <f>F20</f>
        <v>2.2134999999999998</v>
      </c>
      <c r="G21" s="45">
        <f>L9</f>
        <v>-50</v>
      </c>
      <c r="H21" s="53">
        <f>G21*F21</f>
        <v>-110.67499999999998</v>
      </c>
      <c r="K21" s="75"/>
      <c r="L21" s="49"/>
    </row>
    <row r="22" spans="1:12">
      <c r="A22" s="41" t="s">
        <v>51</v>
      </c>
      <c r="B22" s="41"/>
      <c r="C22" s="41"/>
      <c r="D22" s="42"/>
      <c r="E22" s="43"/>
      <c r="F22" s="47">
        <f>F14</f>
        <v>3.4548999999999999</v>
      </c>
      <c r="G22" s="45">
        <f>Summary!C8</f>
        <v>250</v>
      </c>
      <c r="H22" s="74">
        <f>G22*F22</f>
        <v>863.72499999999991</v>
      </c>
      <c r="K22" s="39"/>
      <c r="L22" s="40"/>
    </row>
    <row r="23" spans="1:12" ht="15.75" thickBot="1">
      <c r="A23" s="50" t="s">
        <v>36</v>
      </c>
      <c r="B23" s="50"/>
      <c r="C23" s="50"/>
      <c r="D23" s="50"/>
      <c r="E23" s="50"/>
      <c r="F23" s="50"/>
      <c r="G23" s="50"/>
      <c r="H23" s="51">
        <f>SUM(H13:H22)</f>
        <v>2924.8699999999994</v>
      </c>
      <c r="K23" s="39"/>
      <c r="L23" s="40"/>
    </row>
    <row r="24" spans="1:12">
      <c r="K24" s="39"/>
      <c r="L24" s="40"/>
    </row>
    <row r="25" spans="1:12">
      <c r="A25" s="41" t="s">
        <v>37</v>
      </c>
      <c r="B25" s="41"/>
      <c r="C25" s="41"/>
      <c r="D25" s="42"/>
      <c r="E25" s="43"/>
      <c r="F25" s="47">
        <v>3.0000000000000001E-3</v>
      </c>
      <c r="G25" s="45">
        <f>(L6*L3)</f>
        <v>295860.58210199996</v>
      </c>
      <c r="H25" s="46">
        <f t="shared" ref="H25:H31" si="1">G25*F25</f>
        <v>887.5817463059999</v>
      </c>
    </row>
    <row r="26" spans="1:12">
      <c r="A26" s="41" t="s">
        <v>38</v>
      </c>
      <c r="F26" s="47">
        <v>4.0000000000000002E-4</v>
      </c>
      <c r="G26" s="45">
        <f>L6*L3</f>
        <v>295860.58210199996</v>
      </c>
      <c r="H26" s="46">
        <f t="shared" si="1"/>
        <v>118.34423284079999</v>
      </c>
      <c r="I26" s="30"/>
    </row>
    <row r="27" spans="1:12">
      <c r="A27" s="41" t="s">
        <v>39</v>
      </c>
      <c r="B27" s="41"/>
      <c r="C27" s="41"/>
      <c r="D27" s="42"/>
      <c r="E27" s="43"/>
      <c r="F27" s="47">
        <v>5.0000000000000001E-4</v>
      </c>
      <c r="G27" s="45">
        <f>(L6*L3)</f>
        <v>295860.58210199996</v>
      </c>
      <c r="H27" s="46">
        <f t="shared" si="1"/>
        <v>147.93029105099998</v>
      </c>
    </row>
    <row r="28" spans="1:12">
      <c r="A28" s="41" t="s">
        <v>48</v>
      </c>
      <c r="B28" s="41"/>
      <c r="C28" s="41"/>
      <c r="D28" s="42"/>
      <c r="E28" s="43"/>
      <c r="F28" s="47">
        <v>0.25</v>
      </c>
      <c r="G28" s="45">
        <v>1</v>
      </c>
      <c r="H28" s="46">
        <f t="shared" si="1"/>
        <v>0.25</v>
      </c>
    </row>
    <row r="29" spans="1:12">
      <c r="A29" s="41" t="s">
        <v>40</v>
      </c>
      <c r="B29" s="41"/>
      <c r="C29" s="41"/>
      <c r="D29" s="42"/>
      <c r="E29" s="43"/>
      <c r="F29" s="47">
        <f>F25</f>
        <v>3.0000000000000001E-3</v>
      </c>
      <c r="G29" s="45">
        <f>L10*L3</f>
        <v>-156615</v>
      </c>
      <c r="H29" s="53">
        <f t="shared" si="1"/>
        <v>-469.84500000000003</v>
      </c>
    </row>
    <row r="30" spans="1:12">
      <c r="A30" s="41" t="s">
        <v>41</v>
      </c>
      <c r="B30" s="41"/>
      <c r="C30" s="41"/>
      <c r="D30" s="42"/>
      <c r="E30" s="43"/>
      <c r="F30" s="47">
        <v>4.0000000000000002E-4</v>
      </c>
      <c r="G30" s="45">
        <f>L10*L3</f>
        <v>-156615</v>
      </c>
      <c r="H30" s="53">
        <f t="shared" si="1"/>
        <v>-62.646000000000001</v>
      </c>
    </row>
    <row r="31" spans="1:12">
      <c r="A31" s="41" t="s">
        <v>42</v>
      </c>
      <c r="B31" s="41"/>
      <c r="C31" s="41"/>
      <c r="D31" s="42"/>
      <c r="E31" s="43"/>
      <c r="F31" s="47">
        <f>F27</f>
        <v>5.0000000000000001E-4</v>
      </c>
      <c r="G31" s="45">
        <f>L10*L3</f>
        <v>-156615</v>
      </c>
      <c r="H31" s="53">
        <f t="shared" si="1"/>
        <v>-78.307500000000005</v>
      </c>
    </row>
    <row r="32" spans="1:12" ht="15.75" thickBot="1">
      <c r="A32" s="50" t="s">
        <v>43</v>
      </c>
      <c r="B32" s="50"/>
      <c r="C32" s="50"/>
      <c r="D32" s="50"/>
      <c r="E32" s="50"/>
      <c r="F32" s="50"/>
      <c r="G32" s="50"/>
      <c r="H32" s="51">
        <f>SUM(H25:H31)</f>
        <v>543.30777019779987</v>
      </c>
    </row>
    <row r="34" spans="1:12">
      <c r="A34" t="s">
        <v>44</v>
      </c>
      <c r="B34" s="41"/>
      <c r="C34" s="41"/>
      <c r="D34" s="42"/>
      <c r="E34" s="43"/>
      <c r="H34" s="39">
        <f>(H8+H9+H13+H14+H16+H18+H20+H25+H26+H27+H37)*0.13</f>
        <v>5277.1017802841079</v>
      </c>
      <c r="I34" s="30"/>
    </row>
    <row r="35" spans="1:12">
      <c r="A35" t="s">
        <v>45</v>
      </c>
      <c r="B35" s="41"/>
      <c r="C35" s="41"/>
      <c r="D35" s="42"/>
      <c r="E35" s="43"/>
      <c r="H35" s="54">
        <f>(H29+H31+H11+H10+H30+H15+H17+H19+H21)*0.13</f>
        <v>-2668.2124235000001</v>
      </c>
      <c r="I35" s="30"/>
      <c r="L35" s="30"/>
    </row>
    <row r="36" spans="1:12">
      <c r="A36" t="s">
        <v>1</v>
      </c>
      <c r="B36" s="41"/>
      <c r="C36" s="41"/>
      <c r="D36" s="42"/>
      <c r="E36" s="43"/>
      <c r="F36" s="55"/>
      <c r="G36" s="56"/>
      <c r="H36" s="39">
        <f>H34+H32+H8+H9+H10+H23+H35+H11</f>
        <v>23431.244024354168</v>
      </c>
      <c r="I36" s="30"/>
      <c r="L36" s="30"/>
    </row>
    <row r="37" spans="1:12">
      <c r="A37" t="s">
        <v>49</v>
      </c>
      <c r="B37" s="41"/>
      <c r="C37" s="41"/>
      <c r="D37" s="42"/>
      <c r="E37" s="43"/>
      <c r="F37" s="55"/>
      <c r="G37" s="56"/>
      <c r="H37" s="39">
        <v>110</v>
      </c>
    </row>
    <row r="38" spans="1:12">
      <c r="A38" t="s">
        <v>46</v>
      </c>
      <c r="F38" s="39"/>
      <c r="G38" s="1"/>
      <c r="H38" s="39">
        <v>0</v>
      </c>
      <c r="I38" s="30"/>
      <c r="J38" s="52"/>
      <c r="K38" s="30"/>
    </row>
    <row r="39" spans="1:12" ht="15.75" thickBot="1">
      <c r="A39" s="50" t="s">
        <v>47</v>
      </c>
      <c r="B39" s="50"/>
      <c r="C39" s="50"/>
      <c r="D39" s="50"/>
      <c r="E39" s="50"/>
      <c r="F39" s="51"/>
      <c r="G39" s="57"/>
      <c r="H39" s="51">
        <f>H8+H9+H10+H23+H32+H34+H37+H38+H12+H35+H11</f>
        <v>23541.244024354161</v>
      </c>
      <c r="I39" s="30"/>
      <c r="J39" s="52"/>
      <c r="K39" s="30"/>
      <c r="L39" s="30"/>
    </row>
    <row r="40" spans="1:12">
      <c r="A40" s="41"/>
      <c r="B40" s="41"/>
      <c r="C40" s="41"/>
      <c r="D40" s="42"/>
      <c r="E40" s="43"/>
      <c r="F40" s="58"/>
      <c r="G40" s="59"/>
      <c r="H40" s="60"/>
    </row>
    <row r="41" spans="1:12">
      <c r="A41" s="41"/>
      <c r="J41" s="52"/>
    </row>
    <row r="42" spans="1:12">
      <c r="A42" s="9"/>
      <c r="B42" s="41"/>
      <c r="C42" s="41"/>
      <c r="D42" s="42"/>
      <c r="E42" s="43"/>
      <c r="F42" s="58"/>
      <c r="G42" s="59"/>
      <c r="H42" s="60"/>
    </row>
    <row r="43" spans="1:12">
      <c r="B43" s="41"/>
      <c r="C43" s="41"/>
      <c r="D43" s="42"/>
      <c r="E43" s="43"/>
      <c r="F43" s="58"/>
      <c r="G43" s="59"/>
      <c r="H43" s="60"/>
    </row>
    <row r="44" spans="1:12">
      <c r="B44" s="41"/>
      <c r="C44" s="41"/>
      <c r="D44" s="42"/>
      <c r="E44" s="43"/>
      <c r="F44" s="58"/>
      <c r="G44" s="59"/>
      <c r="H44" s="60"/>
    </row>
    <row r="45" spans="1:12">
      <c r="B45" s="9"/>
      <c r="C45" s="9"/>
      <c r="H45" s="61"/>
    </row>
  </sheetData>
  <pageMargins left="0.70866141732283472" right="0.70866141732283472" top="0.74803149606299213" bottom="0.74803149606299213" header="0.31496062992125984" footer="0.31496062992125984"/>
  <pageSetup scale="4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6F3961-806B-4B92-B158-B7E23958AA5F}">
  <sheetPr codeName="Sheet8">
    <tabColor rgb="FF92D050"/>
    <pageSetUpPr fitToPage="1"/>
  </sheetPr>
  <dimension ref="A1:M45"/>
  <sheetViews>
    <sheetView showGridLines="0" zoomScale="70" zoomScaleNormal="70" workbookViewId="0">
      <selection activeCell="L8" sqref="L8"/>
    </sheetView>
  </sheetViews>
  <sheetFormatPr defaultColWidth="9.140625" defaultRowHeight="15"/>
  <cols>
    <col min="1" max="1" width="35.28515625" bestFit="1" customWidth="1"/>
    <col min="5" max="5" width="6.140625" customWidth="1"/>
    <col min="6" max="6" width="11.140625" bestFit="1" customWidth="1"/>
    <col min="7" max="7" width="9.85546875" bestFit="1" customWidth="1"/>
    <col min="8" max="8" width="14.28515625" bestFit="1" customWidth="1"/>
    <col min="9" max="9" width="11.7109375" bestFit="1" customWidth="1"/>
    <col min="10" max="10" width="49.28515625" style="38" bestFit="1" customWidth="1"/>
    <col min="11" max="11" width="12.42578125" bestFit="1" customWidth="1"/>
    <col min="12" max="12" width="29.42578125" bestFit="1" customWidth="1"/>
  </cols>
  <sheetData>
    <row r="1" spans="1:13">
      <c r="A1" s="2"/>
      <c r="B1" s="2"/>
      <c r="C1" s="2"/>
      <c r="D1" s="2"/>
      <c r="E1" s="2"/>
      <c r="F1" s="2"/>
      <c r="G1" s="2"/>
      <c r="H1" s="2"/>
      <c r="J1" s="3" t="s">
        <v>14</v>
      </c>
      <c r="K1" s="4"/>
      <c r="L1" s="5" t="s">
        <v>15</v>
      </c>
    </row>
    <row r="2" spans="1:13">
      <c r="J2" s="6" t="s">
        <v>16</v>
      </c>
      <c r="K2" s="70"/>
      <c r="L2" s="7" t="s">
        <v>67</v>
      </c>
    </row>
    <row r="3" spans="1:13">
      <c r="J3" s="6" t="s">
        <v>17</v>
      </c>
      <c r="K3" s="70"/>
      <c r="L3" s="8">
        <v>1.0441</v>
      </c>
    </row>
    <row r="4" spans="1:13">
      <c r="A4" s="9"/>
      <c r="B4" s="9"/>
      <c r="C4" s="10"/>
      <c r="D4" s="10"/>
      <c r="E4" s="9"/>
      <c r="F4" s="11"/>
      <c r="G4" s="12"/>
      <c r="H4" s="13"/>
      <c r="J4" s="6" t="s">
        <v>18</v>
      </c>
      <c r="K4" s="70"/>
      <c r="L4" s="14" t="s">
        <v>19</v>
      </c>
    </row>
    <row r="5" spans="1:13">
      <c r="A5" s="9"/>
      <c r="B5" s="9"/>
      <c r="C5" s="15"/>
      <c r="D5" s="16"/>
      <c r="E5" s="9"/>
      <c r="F5" s="17" t="s">
        <v>20</v>
      </c>
      <c r="G5" s="18" t="s">
        <v>21</v>
      </c>
      <c r="H5" s="19" t="s">
        <v>22</v>
      </c>
      <c r="J5" s="6" t="s">
        <v>23</v>
      </c>
      <c r="K5" s="70"/>
      <c r="L5" s="20">
        <v>30</v>
      </c>
    </row>
    <row r="6" spans="1:13">
      <c r="A6" s="9"/>
      <c r="B6" s="9"/>
      <c r="C6" s="15"/>
      <c r="D6" s="16"/>
      <c r="E6" s="9"/>
      <c r="F6" s="21" t="s">
        <v>24</v>
      </c>
      <c r="G6" s="22"/>
      <c r="H6" s="22" t="s">
        <v>24</v>
      </c>
      <c r="J6" s="6" t="s">
        <v>25</v>
      </c>
      <c r="K6" s="70"/>
      <c r="L6" s="23">
        <f>Summary!E14</f>
        <v>302481.36</v>
      </c>
    </row>
    <row r="7" spans="1:13">
      <c r="A7" s="9"/>
      <c r="B7" s="9"/>
      <c r="C7" s="15"/>
      <c r="D7" s="16"/>
      <c r="E7" s="9"/>
      <c r="F7" s="24"/>
      <c r="G7" s="25"/>
      <c r="H7" s="25"/>
      <c r="J7" s="6" t="s">
        <v>26</v>
      </c>
      <c r="K7" s="70"/>
      <c r="L7" s="26">
        <f>Summary!C5</f>
        <v>300</v>
      </c>
    </row>
    <row r="8" spans="1:13">
      <c r="A8" s="9" t="s">
        <v>27</v>
      </c>
      <c r="B8" s="9"/>
      <c r="C8" s="15"/>
      <c r="D8" s="16"/>
      <c r="E8" s="9"/>
      <c r="F8" s="27">
        <f>L8</f>
        <v>2.7623000000000002E-2</v>
      </c>
      <c r="G8" s="28">
        <f>L6*L3</f>
        <v>315820.78797599999</v>
      </c>
      <c r="H8" s="29">
        <f>G8*F8</f>
        <v>8723.917626261049</v>
      </c>
      <c r="I8" s="30"/>
      <c r="J8" s="6" t="s">
        <v>28</v>
      </c>
      <c r="K8" s="70"/>
      <c r="L8" s="32">
        <v>2.7623000000000002E-2</v>
      </c>
    </row>
    <row r="9" spans="1:13">
      <c r="A9" s="9" t="s">
        <v>50</v>
      </c>
      <c r="B9" s="9"/>
      <c r="C9" s="15"/>
      <c r="D9" s="16"/>
      <c r="E9" s="9"/>
      <c r="F9" s="63">
        <f>81.05/1000</f>
        <v>8.1049999999999997E-2</v>
      </c>
      <c r="G9" s="28">
        <f>L6*L3</f>
        <v>315820.78797599999</v>
      </c>
      <c r="H9" s="29">
        <f>G9*F9</f>
        <v>25597.274865454798</v>
      </c>
      <c r="I9" s="30"/>
      <c r="J9" s="6" t="s">
        <v>59</v>
      </c>
      <c r="K9" s="70"/>
      <c r="L9" s="71">
        <f>-Summary!C7</f>
        <v>-50</v>
      </c>
    </row>
    <row r="10" spans="1:13">
      <c r="A10" s="9" t="s">
        <v>29</v>
      </c>
      <c r="B10" s="9"/>
      <c r="C10" s="15"/>
      <c r="D10" s="16"/>
      <c r="E10" s="9"/>
      <c r="F10" s="27">
        <f>F8</f>
        <v>2.7623000000000002E-2</v>
      </c>
      <c r="G10" s="31">
        <f>L10*L3</f>
        <v>-156615</v>
      </c>
      <c r="H10" s="33">
        <f>G10*F10</f>
        <v>-4326.1761450000004</v>
      </c>
      <c r="J10" s="34" t="s">
        <v>58</v>
      </c>
      <c r="K10" s="35"/>
      <c r="L10" s="72">
        <f>-Summary!C6</f>
        <v>-150000</v>
      </c>
    </row>
    <row r="11" spans="1:13">
      <c r="A11" s="9" t="s">
        <v>50</v>
      </c>
      <c r="B11" s="9"/>
      <c r="C11" s="15"/>
      <c r="D11" s="16"/>
      <c r="E11" s="9"/>
      <c r="F11" s="27">
        <f>F9</f>
        <v>8.1049999999999997E-2</v>
      </c>
      <c r="G11" s="31">
        <f>L10*L3</f>
        <v>-156615</v>
      </c>
      <c r="H11" s="33">
        <f>G11*F11</f>
        <v>-12693.64575</v>
      </c>
    </row>
    <row r="12" spans="1:13">
      <c r="A12" s="9"/>
      <c r="B12" s="9"/>
      <c r="C12" s="15"/>
      <c r="D12" s="16"/>
      <c r="E12" s="9"/>
      <c r="F12" s="27"/>
      <c r="G12" s="31"/>
      <c r="H12" s="62"/>
      <c r="J12" s="36"/>
      <c r="K12" s="1"/>
      <c r="L12" s="37"/>
    </row>
    <row r="13" spans="1:13">
      <c r="A13" s="41" t="s">
        <v>30</v>
      </c>
      <c r="B13" s="41"/>
      <c r="C13" s="41"/>
      <c r="D13" s="42"/>
      <c r="E13" s="43"/>
      <c r="F13" s="44">
        <v>86.22</v>
      </c>
      <c r="G13" s="45">
        <v>1</v>
      </c>
      <c r="H13" s="46">
        <f>G13*F13</f>
        <v>86.22</v>
      </c>
      <c r="K13" s="39"/>
      <c r="L13" s="40"/>
    </row>
    <row r="14" spans="1:13">
      <c r="A14" s="41" t="s">
        <v>31</v>
      </c>
      <c r="B14" s="41"/>
      <c r="C14" s="41"/>
      <c r="D14" s="42"/>
      <c r="E14" s="43"/>
      <c r="F14" s="47">
        <v>3.4548999999999999</v>
      </c>
      <c r="G14" s="45">
        <f>L7</f>
        <v>300</v>
      </c>
      <c r="H14" s="46">
        <f t="shared" ref="H14:H18" si="0">G14*F14</f>
        <v>1036.47</v>
      </c>
      <c r="J14" s="38" t="s">
        <v>65</v>
      </c>
      <c r="K14" s="39">
        <f>(H8+H9+H13+H14+H16+H18+H20+H25+H26+H27+H28+H37)*1.13</f>
        <v>43074.779128249145</v>
      </c>
      <c r="L14" s="40"/>
      <c r="M14" s="30"/>
    </row>
    <row r="15" spans="1:13">
      <c r="A15" s="41" t="s">
        <v>31</v>
      </c>
      <c r="B15" s="41"/>
      <c r="C15" s="41"/>
      <c r="D15" s="42"/>
      <c r="E15" s="43"/>
      <c r="F15" s="47">
        <f>F14</f>
        <v>3.4548999999999999</v>
      </c>
      <c r="G15" s="45">
        <f>L9</f>
        <v>-50</v>
      </c>
      <c r="H15" s="53">
        <f>G15*F15</f>
        <v>-172.745</v>
      </c>
      <c r="J15" s="38" t="s">
        <v>60</v>
      </c>
      <c r="K15" s="39">
        <f>(H10+H29+H31+H11+H30)*1.13</f>
        <v>-19922.601046349999</v>
      </c>
      <c r="L15" s="40"/>
    </row>
    <row r="16" spans="1:13">
      <c r="A16" s="41" t="s">
        <v>33</v>
      </c>
      <c r="B16" s="41"/>
      <c r="C16" s="41"/>
      <c r="D16" s="42"/>
      <c r="E16" s="43"/>
      <c r="F16" s="47">
        <v>0.49330000000000002</v>
      </c>
      <c r="G16" s="45">
        <f>L7</f>
        <v>300</v>
      </c>
      <c r="H16" s="46">
        <f t="shared" si="0"/>
        <v>147.99</v>
      </c>
      <c r="J16" s="38" t="s">
        <v>61</v>
      </c>
      <c r="K16" s="39">
        <f>(H15+H17+H19+H21)*1.13</f>
        <v>-446.33304999999996</v>
      </c>
    </row>
    <row r="17" spans="1:12">
      <c r="A17" s="41" t="s">
        <v>33</v>
      </c>
      <c r="B17" s="41"/>
      <c r="C17" s="41"/>
      <c r="D17" s="42"/>
      <c r="E17" s="43"/>
      <c r="F17" s="47">
        <f>F16</f>
        <v>0.49330000000000002</v>
      </c>
      <c r="G17" s="45">
        <f>L9</f>
        <v>-50</v>
      </c>
      <c r="H17" s="53">
        <f>G17*F17</f>
        <v>-24.664999999999999</v>
      </c>
      <c r="J17" s="38" t="s">
        <v>66</v>
      </c>
      <c r="K17" s="73">
        <f>H22</f>
        <v>863.72499999999991</v>
      </c>
    </row>
    <row r="18" spans="1:12" ht="15.75" thickBot="1">
      <c r="A18" s="41" t="s">
        <v>34</v>
      </c>
      <c r="B18" s="41"/>
      <c r="C18" s="41"/>
      <c r="D18" s="42"/>
      <c r="E18" s="43"/>
      <c r="F18" s="47">
        <v>1.738</v>
      </c>
      <c r="G18" s="45">
        <f>L7</f>
        <v>300</v>
      </c>
      <c r="H18" s="46">
        <f t="shared" si="0"/>
        <v>521.4</v>
      </c>
      <c r="J18" s="38" t="s">
        <v>32</v>
      </c>
      <c r="K18" s="48">
        <f>K14+K15+K16+K17</f>
        <v>23569.570031899144</v>
      </c>
      <c r="L18" s="49">
        <f>K18-H39</f>
        <v>3.2500000004802132E-2</v>
      </c>
    </row>
    <row r="19" spans="1:12">
      <c r="A19" s="41" t="s">
        <v>34</v>
      </c>
      <c r="B19" s="41"/>
      <c r="C19" s="41"/>
      <c r="D19" s="42"/>
      <c r="E19" s="43"/>
      <c r="F19" s="47">
        <f>F18</f>
        <v>1.738</v>
      </c>
      <c r="G19" s="45">
        <f>L9</f>
        <v>-50</v>
      </c>
      <c r="H19" s="53">
        <f>G19*F19</f>
        <v>-86.9</v>
      </c>
    </row>
    <row r="20" spans="1:12">
      <c r="A20" s="41" t="s">
        <v>35</v>
      </c>
      <c r="B20" s="41"/>
      <c r="C20" s="41"/>
      <c r="D20" s="42"/>
      <c r="E20" s="43"/>
      <c r="F20" s="47">
        <v>2.2134999999999998</v>
      </c>
      <c r="G20" s="45">
        <f>L7</f>
        <v>300</v>
      </c>
      <c r="H20" s="46">
        <f>G20*F20</f>
        <v>664.05</v>
      </c>
    </row>
    <row r="21" spans="1:12">
      <c r="A21" s="41" t="s">
        <v>35</v>
      </c>
      <c r="B21" s="41"/>
      <c r="C21" s="41"/>
      <c r="D21" s="42"/>
      <c r="E21" s="43"/>
      <c r="F21" s="47">
        <f>F20</f>
        <v>2.2134999999999998</v>
      </c>
      <c r="G21" s="45">
        <f>L9</f>
        <v>-50</v>
      </c>
      <c r="H21" s="53">
        <f>G21*F21</f>
        <v>-110.67499999999998</v>
      </c>
      <c r="K21" s="75"/>
      <c r="L21" s="49"/>
    </row>
    <row r="22" spans="1:12">
      <c r="A22" s="41" t="s">
        <v>51</v>
      </c>
      <c r="B22" s="41"/>
      <c r="C22" s="41"/>
      <c r="D22" s="42"/>
      <c r="E22" s="43"/>
      <c r="F22" s="47">
        <f>F14</f>
        <v>3.4548999999999999</v>
      </c>
      <c r="G22" s="45">
        <f>Summary!C8</f>
        <v>250</v>
      </c>
      <c r="H22" s="74">
        <f>G22*F22</f>
        <v>863.72499999999991</v>
      </c>
      <c r="K22" s="39"/>
      <c r="L22" s="40"/>
    </row>
    <row r="23" spans="1:12" ht="15.75" thickBot="1">
      <c r="A23" s="50" t="s">
        <v>36</v>
      </c>
      <c r="B23" s="50"/>
      <c r="C23" s="50"/>
      <c r="D23" s="50"/>
      <c r="E23" s="50"/>
      <c r="F23" s="50"/>
      <c r="G23" s="50"/>
      <c r="H23" s="51">
        <f>SUM(H13:H22)</f>
        <v>2924.8699999999994</v>
      </c>
      <c r="K23" s="39"/>
      <c r="L23" s="40"/>
    </row>
    <row r="24" spans="1:12">
      <c r="K24" s="39"/>
      <c r="L24" s="40"/>
    </row>
    <row r="25" spans="1:12">
      <c r="A25" s="41" t="s">
        <v>37</v>
      </c>
      <c r="B25" s="41"/>
      <c r="C25" s="41"/>
      <c r="D25" s="42"/>
      <c r="E25" s="43"/>
      <c r="F25" s="47">
        <v>3.0000000000000001E-3</v>
      </c>
      <c r="G25" s="45">
        <f>(L6*L3)</f>
        <v>315820.78797599999</v>
      </c>
      <c r="H25" s="46">
        <f t="shared" ref="H25:H31" si="1">G25*F25</f>
        <v>947.46236392799995</v>
      </c>
    </row>
    <row r="26" spans="1:12">
      <c r="A26" s="41" t="s">
        <v>38</v>
      </c>
      <c r="F26" s="47">
        <v>4.0000000000000002E-4</v>
      </c>
      <c r="G26" s="45">
        <f>L6*L3</f>
        <v>315820.78797599999</v>
      </c>
      <c r="H26" s="46">
        <f t="shared" si="1"/>
        <v>126.32831519040001</v>
      </c>
      <c r="I26" s="30"/>
    </row>
    <row r="27" spans="1:12">
      <c r="A27" s="41" t="s">
        <v>39</v>
      </c>
      <c r="B27" s="41"/>
      <c r="C27" s="41"/>
      <c r="D27" s="42"/>
      <c r="E27" s="43"/>
      <c r="F27" s="47">
        <v>5.0000000000000001E-4</v>
      </c>
      <c r="G27" s="45">
        <f>(L6*L3)</f>
        <v>315820.78797599999</v>
      </c>
      <c r="H27" s="46">
        <f t="shared" si="1"/>
        <v>157.91039398800001</v>
      </c>
    </row>
    <row r="28" spans="1:12">
      <c r="A28" s="41" t="s">
        <v>48</v>
      </c>
      <c r="B28" s="41"/>
      <c r="C28" s="41"/>
      <c r="D28" s="42"/>
      <c r="E28" s="43"/>
      <c r="F28" s="47">
        <v>0.25</v>
      </c>
      <c r="G28" s="45">
        <v>1</v>
      </c>
      <c r="H28" s="46">
        <f t="shared" si="1"/>
        <v>0.25</v>
      </c>
    </row>
    <row r="29" spans="1:12">
      <c r="A29" s="41" t="s">
        <v>40</v>
      </c>
      <c r="B29" s="41"/>
      <c r="C29" s="41"/>
      <c r="D29" s="42"/>
      <c r="E29" s="43"/>
      <c r="F29" s="47">
        <f>F25</f>
        <v>3.0000000000000001E-3</v>
      </c>
      <c r="G29" s="45">
        <f>L10*L3</f>
        <v>-156615</v>
      </c>
      <c r="H29" s="53">
        <f t="shared" si="1"/>
        <v>-469.84500000000003</v>
      </c>
    </row>
    <row r="30" spans="1:12">
      <c r="A30" s="41" t="s">
        <v>41</v>
      </c>
      <c r="B30" s="41"/>
      <c r="C30" s="41"/>
      <c r="D30" s="42"/>
      <c r="E30" s="43"/>
      <c r="F30" s="47">
        <v>4.0000000000000002E-4</v>
      </c>
      <c r="G30" s="45">
        <f>L10*L3</f>
        <v>-156615</v>
      </c>
      <c r="H30" s="53">
        <f t="shared" si="1"/>
        <v>-62.646000000000001</v>
      </c>
    </row>
    <row r="31" spans="1:12">
      <c r="A31" s="41" t="s">
        <v>42</v>
      </c>
      <c r="B31" s="41"/>
      <c r="C31" s="41"/>
      <c r="D31" s="42"/>
      <c r="E31" s="43"/>
      <c r="F31" s="47">
        <f>F27</f>
        <v>5.0000000000000001E-4</v>
      </c>
      <c r="G31" s="45">
        <f>L10*L3</f>
        <v>-156615</v>
      </c>
      <c r="H31" s="53">
        <f t="shared" si="1"/>
        <v>-78.307500000000005</v>
      </c>
    </row>
    <row r="32" spans="1:12" ht="15.75" thickBot="1">
      <c r="A32" s="50" t="s">
        <v>43</v>
      </c>
      <c r="B32" s="50"/>
      <c r="C32" s="50"/>
      <c r="D32" s="50"/>
      <c r="E32" s="50"/>
      <c r="F32" s="50"/>
      <c r="G32" s="50"/>
      <c r="H32" s="51">
        <f>SUM(H25:H31)</f>
        <v>621.15257310640015</v>
      </c>
    </row>
    <row r="34" spans="1:12">
      <c r="A34" t="s">
        <v>44</v>
      </c>
      <c r="B34" s="41"/>
      <c r="C34" s="41"/>
      <c r="D34" s="42"/>
      <c r="E34" s="43"/>
      <c r="H34" s="39">
        <f>(H8+H9+H13+H14+H16+H18+H20+H25+H26+H27+H37)*0.13</f>
        <v>4955.4730634268935</v>
      </c>
      <c r="I34" s="30"/>
    </row>
    <row r="35" spans="1:12">
      <c r="A35" t="s">
        <v>45</v>
      </c>
      <c r="B35" s="41"/>
      <c r="C35" s="41"/>
      <c r="D35" s="42"/>
      <c r="E35" s="43"/>
      <c r="H35" s="54">
        <f>(H29+H31+H11+H10+H30+H15+H17+H19+H21)*0.13</f>
        <v>-2343.3287013500003</v>
      </c>
      <c r="I35" s="30"/>
      <c r="L35" s="30"/>
    </row>
    <row r="36" spans="1:12">
      <c r="A36" t="s">
        <v>1</v>
      </c>
      <c r="B36" s="41"/>
      <c r="C36" s="41"/>
      <c r="D36" s="42"/>
      <c r="E36" s="43"/>
      <c r="F36" s="55"/>
      <c r="G36" s="56"/>
      <c r="H36" s="39">
        <f>H34+H32+H8+H9+H10+H23+H35+H11</f>
        <v>23459.537531899146</v>
      </c>
      <c r="I36" s="30"/>
      <c r="L36" s="30"/>
    </row>
    <row r="37" spans="1:12">
      <c r="A37" t="s">
        <v>49</v>
      </c>
      <c r="B37" s="41"/>
      <c r="C37" s="41"/>
      <c r="D37" s="42"/>
      <c r="E37" s="43"/>
      <c r="F37" s="55"/>
      <c r="G37" s="56"/>
      <c r="H37" s="39">
        <v>110</v>
      </c>
    </row>
    <row r="38" spans="1:12">
      <c r="A38" t="s">
        <v>46</v>
      </c>
      <c r="F38" s="39"/>
      <c r="G38" s="1"/>
      <c r="H38" s="39">
        <v>0</v>
      </c>
      <c r="I38" s="30"/>
      <c r="J38" s="52"/>
      <c r="K38" s="30"/>
    </row>
    <row r="39" spans="1:12" ht="15.75" thickBot="1">
      <c r="A39" s="50" t="s">
        <v>47</v>
      </c>
      <c r="B39" s="50"/>
      <c r="C39" s="50"/>
      <c r="D39" s="50"/>
      <c r="E39" s="50"/>
      <c r="F39" s="51"/>
      <c r="G39" s="57"/>
      <c r="H39" s="51">
        <f>H8+H9+H10+H23+H32+H34+H37+H38+H12+H35+H11</f>
        <v>23569.537531899139</v>
      </c>
      <c r="I39" s="30"/>
      <c r="J39" s="52"/>
      <c r="K39" s="30"/>
      <c r="L39" s="30"/>
    </row>
    <row r="40" spans="1:12">
      <c r="A40" s="41"/>
      <c r="B40" s="41"/>
      <c r="C40" s="41"/>
      <c r="D40" s="42"/>
      <c r="E40" s="43"/>
      <c r="F40" s="58"/>
      <c r="G40" s="59"/>
      <c r="H40" s="60"/>
    </row>
    <row r="41" spans="1:12">
      <c r="A41" s="41"/>
      <c r="J41" s="52"/>
    </row>
    <row r="42" spans="1:12">
      <c r="A42" s="9"/>
      <c r="B42" s="41"/>
      <c r="C42" s="41"/>
      <c r="D42" s="42"/>
      <c r="E42" s="43"/>
      <c r="F42" s="58"/>
      <c r="G42" s="59"/>
      <c r="H42" s="60"/>
    </row>
    <row r="43" spans="1:12">
      <c r="B43" s="41"/>
      <c r="C43" s="41"/>
      <c r="D43" s="42"/>
      <c r="E43" s="43"/>
      <c r="F43" s="58"/>
      <c r="G43" s="59"/>
      <c r="H43" s="60"/>
    </row>
    <row r="44" spans="1:12">
      <c r="B44" s="41"/>
      <c r="C44" s="41"/>
      <c r="D44" s="42"/>
      <c r="E44" s="43"/>
      <c r="F44" s="58"/>
      <c r="G44" s="59"/>
      <c r="H44" s="60"/>
    </row>
    <row r="45" spans="1:12">
      <c r="B45" s="9"/>
      <c r="C45" s="9"/>
      <c r="H45" s="61"/>
    </row>
  </sheetData>
  <pageMargins left="0.70866141732283472" right="0.70866141732283472" top="0.74803149606299213" bottom="0.74803149606299213" header="0.31496062992125984" footer="0.31496062992125984"/>
  <pageSetup scale="4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3EAB89-951B-4CD8-BB71-3777E2B2B582}">
  <sheetPr codeName="Sheet9">
    <tabColor rgb="FF92D050"/>
    <pageSetUpPr fitToPage="1"/>
  </sheetPr>
  <dimension ref="A1:M45"/>
  <sheetViews>
    <sheetView showGridLines="0" zoomScale="70" zoomScaleNormal="70" workbookViewId="0">
      <selection activeCell="F9" sqref="F9"/>
    </sheetView>
  </sheetViews>
  <sheetFormatPr defaultColWidth="9.140625" defaultRowHeight="15"/>
  <cols>
    <col min="1" max="1" width="35.28515625" bestFit="1" customWidth="1"/>
    <col min="5" max="5" width="6.140625" customWidth="1"/>
    <col min="6" max="6" width="11.140625" bestFit="1" customWidth="1"/>
    <col min="7" max="7" width="9.85546875" bestFit="1" customWidth="1"/>
    <col min="8" max="8" width="14.28515625" bestFit="1" customWidth="1"/>
    <col min="9" max="9" width="11.7109375" bestFit="1" customWidth="1"/>
    <col min="10" max="10" width="49.28515625" style="38" bestFit="1" customWidth="1"/>
    <col min="11" max="11" width="12.42578125" bestFit="1" customWidth="1"/>
    <col min="12" max="12" width="29.42578125" bestFit="1" customWidth="1"/>
  </cols>
  <sheetData>
    <row r="1" spans="1:13">
      <c r="A1" s="2"/>
      <c r="B1" s="2"/>
      <c r="C1" s="2"/>
      <c r="D1" s="2"/>
      <c r="E1" s="2"/>
      <c r="F1" s="2"/>
      <c r="G1" s="2"/>
      <c r="H1" s="2"/>
      <c r="J1" s="3" t="s">
        <v>14</v>
      </c>
      <c r="K1" s="4"/>
      <c r="L1" s="5" t="s">
        <v>15</v>
      </c>
    </row>
    <row r="2" spans="1:13">
      <c r="J2" s="6" t="s">
        <v>16</v>
      </c>
      <c r="K2" s="70"/>
      <c r="L2" s="7" t="s">
        <v>67</v>
      </c>
    </row>
    <row r="3" spans="1:13">
      <c r="J3" s="6" t="s">
        <v>17</v>
      </c>
      <c r="K3" s="70"/>
      <c r="L3" s="8">
        <v>1.0441</v>
      </c>
    </row>
    <row r="4" spans="1:13">
      <c r="A4" s="9"/>
      <c r="B4" s="9"/>
      <c r="C4" s="10"/>
      <c r="D4" s="10"/>
      <c r="E4" s="9"/>
      <c r="F4" s="11"/>
      <c r="G4" s="12"/>
      <c r="H4" s="13"/>
      <c r="J4" s="6" t="s">
        <v>18</v>
      </c>
      <c r="K4" s="70"/>
      <c r="L4" s="14" t="s">
        <v>19</v>
      </c>
    </row>
    <row r="5" spans="1:13">
      <c r="A5" s="9"/>
      <c r="B5" s="9"/>
      <c r="C5" s="15"/>
      <c r="D5" s="16"/>
      <c r="E5" s="9"/>
      <c r="F5" s="17" t="s">
        <v>20</v>
      </c>
      <c r="G5" s="18" t="s">
        <v>21</v>
      </c>
      <c r="H5" s="19" t="s">
        <v>22</v>
      </c>
      <c r="J5" s="6" t="s">
        <v>23</v>
      </c>
      <c r="K5" s="70"/>
      <c r="L5" s="20">
        <v>30</v>
      </c>
    </row>
    <row r="6" spans="1:13">
      <c r="A6" s="9"/>
      <c r="B6" s="9"/>
      <c r="C6" s="15"/>
      <c r="D6" s="16"/>
      <c r="E6" s="9"/>
      <c r="F6" s="21" t="s">
        <v>24</v>
      </c>
      <c r="G6" s="22"/>
      <c r="H6" s="22" t="s">
        <v>24</v>
      </c>
      <c r="J6" s="6" t="s">
        <v>25</v>
      </c>
      <c r="K6" s="70"/>
      <c r="L6" s="23">
        <f>Summary!E15</f>
        <v>269149.86</v>
      </c>
    </row>
    <row r="7" spans="1:13">
      <c r="A7" s="9"/>
      <c r="B7" s="9"/>
      <c r="C7" s="15"/>
      <c r="D7" s="16"/>
      <c r="E7" s="9"/>
      <c r="F7" s="24"/>
      <c r="G7" s="25"/>
      <c r="H7" s="25"/>
      <c r="J7" s="6" t="s">
        <v>26</v>
      </c>
      <c r="K7" s="70"/>
      <c r="L7" s="26">
        <f>Summary!C5</f>
        <v>300</v>
      </c>
    </row>
    <row r="8" spans="1:13">
      <c r="A8" s="9" t="s">
        <v>27</v>
      </c>
      <c r="B8" s="9"/>
      <c r="C8" s="15"/>
      <c r="D8" s="16"/>
      <c r="E8" s="9"/>
      <c r="F8" s="27">
        <f>L8</f>
        <v>1.5761000000000001E-2</v>
      </c>
      <c r="G8" s="28">
        <f>L6*L3</f>
        <v>281019.36882600002</v>
      </c>
      <c r="H8" s="29">
        <f>G8*F8</f>
        <v>4429.1462720665868</v>
      </c>
      <c r="I8" s="30"/>
      <c r="J8" s="6" t="s">
        <v>28</v>
      </c>
      <c r="K8" s="70"/>
      <c r="L8" s="32">
        <v>1.5761000000000001E-2</v>
      </c>
    </row>
    <row r="9" spans="1:13">
      <c r="A9" s="9" t="s">
        <v>50</v>
      </c>
      <c r="B9" s="9"/>
      <c r="C9" s="15"/>
      <c r="D9" s="16"/>
      <c r="E9" s="9"/>
      <c r="F9" s="63">
        <f>81.29/1000</f>
        <v>8.1290000000000001E-2</v>
      </c>
      <c r="G9" s="28">
        <f>L6*L3</f>
        <v>281019.36882600002</v>
      </c>
      <c r="H9" s="29">
        <f>G9*F9</f>
        <v>22844.064491865542</v>
      </c>
      <c r="I9" s="30"/>
      <c r="J9" s="6" t="s">
        <v>59</v>
      </c>
      <c r="K9" s="70"/>
      <c r="L9" s="71">
        <f>-Summary!C7</f>
        <v>-50</v>
      </c>
    </row>
    <row r="10" spans="1:13">
      <c r="A10" s="9" t="s">
        <v>29</v>
      </c>
      <c r="B10" s="9"/>
      <c r="C10" s="15"/>
      <c r="D10" s="16"/>
      <c r="E10" s="9"/>
      <c r="F10" s="27">
        <f>F8</f>
        <v>1.5761000000000001E-2</v>
      </c>
      <c r="G10" s="31">
        <f>L10*L3</f>
        <v>-156615</v>
      </c>
      <c r="H10" s="33">
        <f>G10*F10</f>
        <v>-2468.4090150000002</v>
      </c>
      <c r="J10" s="34" t="s">
        <v>58</v>
      </c>
      <c r="K10" s="35"/>
      <c r="L10" s="72">
        <f>-Summary!C6</f>
        <v>-150000</v>
      </c>
    </row>
    <row r="11" spans="1:13">
      <c r="A11" s="9" t="s">
        <v>50</v>
      </c>
      <c r="B11" s="9"/>
      <c r="C11" s="15"/>
      <c r="D11" s="16"/>
      <c r="E11" s="9"/>
      <c r="F11" s="27">
        <f>F9</f>
        <v>8.1290000000000001E-2</v>
      </c>
      <c r="G11" s="31">
        <f>L10*L3</f>
        <v>-156615</v>
      </c>
      <c r="H11" s="33">
        <f>G11*F11</f>
        <v>-12731.23335</v>
      </c>
    </row>
    <row r="12" spans="1:13">
      <c r="A12" s="9"/>
      <c r="B12" s="9"/>
      <c r="C12" s="15"/>
      <c r="D12" s="16"/>
      <c r="E12" s="9"/>
      <c r="F12" s="27"/>
      <c r="G12" s="31"/>
      <c r="H12" s="62"/>
      <c r="J12" s="36"/>
      <c r="K12" s="1"/>
      <c r="L12" s="37"/>
    </row>
    <row r="13" spans="1:13">
      <c r="A13" s="41" t="s">
        <v>30</v>
      </c>
      <c r="B13" s="41"/>
      <c r="C13" s="41"/>
      <c r="D13" s="42"/>
      <c r="E13" s="43"/>
      <c r="F13" s="44">
        <v>86.22</v>
      </c>
      <c r="G13" s="45">
        <v>1</v>
      </c>
      <c r="H13" s="46">
        <f>G13*F13</f>
        <v>86.22</v>
      </c>
      <c r="K13" s="39"/>
      <c r="L13" s="40"/>
    </row>
    <row r="14" spans="1:13">
      <c r="A14" s="41" t="s">
        <v>31</v>
      </c>
      <c r="B14" s="41"/>
      <c r="C14" s="41"/>
      <c r="D14" s="42"/>
      <c r="E14" s="43"/>
      <c r="F14" s="47">
        <v>3.4548999999999999</v>
      </c>
      <c r="G14" s="45">
        <f>L7</f>
        <v>300</v>
      </c>
      <c r="H14" s="46">
        <f t="shared" ref="H14:H18" si="0">G14*F14</f>
        <v>1036.47</v>
      </c>
      <c r="J14" s="38" t="s">
        <v>65</v>
      </c>
      <c r="K14" s="39">
        <f>(H8+H9+H13+H14+H16+H18+H20+H25+H26+H27+H28+H37)*1.13</f>
        <v>34957.18992165949</v>
      </c>
      <c r="L14" s="40"/>
      <c r="M14" s="30"/>
    </row>
    <row r="15" spans="1:13">
      <c r="A15" s="41" t="s">
        <v>31</v>
      </c>
      <c r="B15" s="41"/>
      <c r="C15" s="41"/>
      <c r="D15" s="42"/>
      <c r="E15" s="43"/>
      <c r="F15" s="47">
        <f>F14</f>
        <v>3.4548999999999999</v>
      </c>
      <c r="G15" s="45">
        <f>L9</f>
        <v>-50</v>
      </c>
      <c r="H15" s="53">
        <f>G15*F15</f>
        <v>-172.745</v>
      </c>
      <c r="J15" s="38" t="s">
        <v>60</v>
      </c>
      <c r="K15" s="39">
        <f>(H10+H29+H31+H11+H30)*1.13</f>
        <v>-17865.79817745</v>
      </c>
      <c r="L15" s="40"/>
    </row>
    <row r="16" spans="1:13">
      <c r="A16" s="41" t="s">
        <v>33</v>
      </c>
      <c r="B16" s="41"/>
      <c r="C16" s="41"/>
      <c r="D16" s="42"/>
      <c r="E16" s="43"/>
      <c r="F16" s="47">
        <v>0.49330000000000002</v>
      </c>
      <c r="G16" s="45">
        <f>L7</f>
        <v>300</v>
      </c>
      <c r="H16" s="46">
        <f t="shared" si="0"/>
        <v>147.99</v>
      </c>
      <c r="J16" s="38" t="s">
        <v>61</v>
      </c>
      <c r="K16" s="39">
        <f>(H15+H17+H19+H21)*1.13</f>
        <v>-446.33304999999996</v>
      </c>
    </row>
    <row r="17" spans="1:12">
      <c r="A17" s="41" t="s">
        <v>33</v>
      </c>
      <c r="B17" s="41"/>
      <c r="C17" s="41"/>
      <c r="D17" s="42"/>
      <c r="E17" s="43"/>
      <c r="F17" s="47">
        <f>F16</f>
        <v>0.49330000000000002</v>
      </c>
      <c r="G17" s="45">
        <f>L9</f>
        <v>-50</v>
      </c>
      <c r="H17" s="53">
        <f>G17*F17</f>
        <v>-24.664999999999999</v>
      </c>
      <c r="J17" s="38" t="s">
        <v>66</v>
      </c>
      <c r="K17" s="73">
        <f>H22</f>
        <v>863.72499999999991</v>
      </c>
    </row>
    <row r="18" spans="1:12" ht="15.75" thickBot="1">
      <c r="A18" s="41" t="s">
        <v>34</v>
      </c>
      <c r="B18" s="41"/>
      <c r="C18" s="41"/>
      <c r="D18" s="42"/>
      <c r="E18" s="43"/>
      <c r="F18" s="47">
        <v>1.738</v>
      </c>
      <c r="G18" s="45">
        <f>L7</f>
        <v>300</v>
      </c>
      <c r="H18" s="46">
        <f t="shared" si="0"/>
        <v>521.4</v>
      </c>
      <c r="J18" s="38" t="s">
        <v>32</v>
      </c>
      <c r="K18" s="48">
        <f>K14+K15+K16+K17</f>
        <v>17508.783694209487</v>
      </c>
      <c r="L18" s="49">
        <f>K18-H39</f>
        <v>3.2500000001164153E-2</v>
      </c>
    </row>
    <row r="19" spans="1:12">
      <c r="A19" s="41" t="s">
        <v>34</v>
      </c>
      <c r="B19" s="41"/>
      <c r="C19" s="41"/>
      <c r="D19" s="42"/>
      <c r="E19" s="43"/>
      <c r="F19" s="47">
        <f>F18</f>
        <v>1.738</v>
      </c>
      <c r="G19" s="45">
        <f>L9</f>
        <v>-50</v>
      </c>
      <c r="H19" s="53">
        <f>G19*F19</f>
        <v>-86.9</v>
      </c>
    </row>
    <row r="20" spans="1:12">
      <c r="A20" s="41" t="s">
        <v>35</v>
      </c>
      <c r="B20" s="41"/>
      <c r="C20" s="41"/>
      <c r="D20" s="42"/>
      <c r="E20" s="43"/>
      <c r="F20" s="47">
        <v>2.2134999999999998</v>
      </c>
      <c r="G20" s="45">
        <f>L7</f>
        <v>300</v>
      </c>
      <c r="H20" s="46">
        <f>G20*F20</f>
        <v>664.05</v>
      </c>
    </row>
    <row r="21" spans="1:12">
      <c r="A21" s="41" t="s">
        <v>35</v>
      </c>
      <c r="B21" s="41"/>
      <c r="C21" s="41"/>
      <c r="D21" s="42"/>
      <c r="E21" s="43"/>
      <c r="F21" s="47">
        <f>F20</f>
        <v>2.2134999999999998</v>
      </c>
      <c r="G21" s="45">
        <f>L9</f>
        <v>-50</v>
      </c>
      <c r="H21" s="53">
        <f>G21*F21</f>
        <v>-110.67499999999998</v>
      </c>
      <c r="K21" s="75"/>
      <c r="L21" s="49"/>
    </row>
    <row r="22" spans="1:12">
      <c r="A22" s="41" t="s">
        <v>51</v>
      </c>
      <c r="B22" s="41"/>
      <c r="C22" s="41"/>
      <c r="D22" s="42"/>
      <c r="E22" s="43"/>
      <c r="F22" s="47">
        <f>F14</f>
        <v>3.4548999999999999</v>
      </c>
      <c r="G22" s="45">
        <f>Summary!C8</f>
        <v>250</v>
      </c>
      <c r="H22" s="74">
        <f>G22*F22</f>
        <v>863.72499999999991</v>
      </c>
      <c r="K22" s="39"/>
      <c r="L22" s="40"/>
    </row>
    <row r="23" spans="1:12" ht="15.75" thickBot="1">
      <c r="A23" s="50" t="s">
        <v>36</v>
      </c>
      <c r="B23" s="50"/>
      <c r="C23" s="50"/>
      <c r="D23" s="50"/>
      <c r="E23" s="50"/>
      <c r="F23" s="50"/>
      <c r="G23" s="50"/>
      <c r="H23" s="51">
        <f>SUM(H13:H22)</f>
        <v>2924.8699999999994</v>
      </c>
      <c r="K23" s="39"/>
      <c r="L23" s="40"/>
    </row>
    <row r="24" spans="1:12">
      <c r="K24" s="39"/>
      <c r="L24" s="40"/>
    </row>
    <row r="25" spans="1:12">
      <c r="A25" s="41" t="s">
        <v>37</v>
      </c>
      <c r="B25" s="41"/>
      <c r="C25" s="41"/>
      <c r="D25" s="42"/>
      <c r="E25" s="43"/>
      <c r="F25" s="47">
        <v>3.0000000000000001E-3</v>
      </c>
      <c r="G25" s="45">
        <f>(L6*L3)</f>
        <v>281019.36882600002</v>
      </c>
      <c r="H25" s="46">
        <f t="shared" ref="H25:H31" si="1">G25*F25</f>
        <v>843.05810647800013</v>
      </c>
    </row>
    <row r="26" spans="1:12">
      <c r="A26" s="41" t="s">
        <v>38</v>
      </c>
      <c r="F26" s="47">
        <v>4.0000000000000002E-4</v>
      </c>
      <c r="G26" s="45">
        <f>L6*L3</f>
        <v>281019.36882600002</v>
      </c>
      <c r="H26" s="46">
        <f t="shared" si="1"/>
        <v>112.40774753040002</v>
      </c>
      <c r="I26" s="30"/>
    </row>
    <row r="27" spans="1:12">
      <c r="A27" s="41" t="s">
        <v>39</v>
      </c>
      <c r="B27" s="41"/>
      <c r="C27" s="41"/>
      <c r="D27" s="42"/>
      <c r="E27" s="43"/>
      <c r="F27" s="47">
        <v>5.0000000000000001E-4</v>
      </c>
      <c r="G27" s="45">
        <f>(L6*L3)</f>
        <v>281019.36882600002</v>
      </c>
      <c r="H27" s="46">
        <f t="shared" si="1"/>
        <v>140.509684413</v>
      </c>
    </row>
    <row r="28" spans="1:12">
      <c r="A28" s="41" t="s">
        <v>48</v>
      </c>
      <c r="B28" s="41"/>
      <c r="C28" s="41"/>
      <c r="D28" s="42"/>
      <c r="E28" s="43"/>
      <c r="F28" s="47">
        <v>0.25</v>
      </c>
      <c r="G28" s="45">
        <v>1</v>
      </c>
      <c r="H28" s="46">
        <f t="shared" si="1"/>
        <v>0.25</v>
      </c>
    </row>
    <row r="29" spans="1:12">
      <c r="A29" s="41" t="s">
        <v>40</v>
      </c>
      <c r="B29" s="41"/>
      <c r="C29" s="41"/>
      <c r="D29" s="42"/>
      <c r="E29" s="43"/>
      <c r="F29" s="47">
        <f>F25</f>
        <v>3.0000000000000001E-3</v>
      </c>
      <c r="G29" s="45">
        <f>L10*L3</f>
        <v>-156615</v>
      </c>
      <c r="H29" s="53">
        <f t="shared" si="1"/>
        <v>-469.84500000000003</v>
      </c>
    </row>
    <row r="30" spans="1:12">
      <c r="A30" s="41" t="s">
        <v>41</v>
      </c>
      <c r="B30" s="41"/>
      <c r="C30" s="41"/>
      <c r="D30" s="42"/>
      <c r="E30" s="43"/>
      <c r="F30" s="47">
        <v>4.0000000000000002E-4</v>
      </c>
      <c r="G30" s="45">
        <f>L10*L3</f>
        <v>-156615</v>
      </c>
      <c r="H30" s="53">
        <f t="shared" si="1"/>
        <v>-62.646000000000001</v>
      </c>
    </row>
    <row r="31" spans="1:12">
      <c r="A31" s="41" t="s">
        <v>42</v>
      </c>
      <c r="B31" s="41"/>
      <c r="C31" s="41"/>
      <c r="D31" s="42"/>
      <c r="E31" s="43"/>
      <c r="F31" s="47">
        <f>F27</f>
        <v>5.0000000000000001E-4</v>
      </c>
      <c r="G31" s="45">
        <f>L10*L3</f>
        <v>-156615</v>
      </c>
      <c r="H31" s="53">
        <f t="shared" si="1"/>
        <v>-78.307500000000005</v>
      </c>
    </row>
    <row r="32" spans="1:12" ht="15.75" thickBot="1">
      <c r="A32" s="50" t="s">
        <v>43</v>
      </c>
      <c r="B32" s="50"/>
      <c r="C32" s="50"/>
      <c r="D32" s="50"/>
      <c r="E32" s="50"/>
      <c r="F32" s="50"/>
      <c r="G32" s="50"/>
      <c r="H32" s="51">
        <f>SUM(H25:H31)</f>
        <v>485.4270384214002</v>
      </c>
    </row>
    <row r="34" spans="1:12">
      <c r="A34" t="s">
        <v>44</v>
      </c>
      <c r="B34" s="41"/>
      <c r="C34" s="41"/>
      <c r="D34" s="42"/>
      <c r="E34" s="43"/>
      <c r="H34" s="39">
        <f>(H8+H9+H13+H14+H16+H18+H20+H25+H26+H27+H37)*0.13</f>
        <v>4021.5911193059596</v>
      </c>
      <c r="I34" s="30"/>
    </row>
    <row r="35" spans="1:12">
      <c r="A35" t="s">
        <v>45</v>
      </c>
      <c r="B35" s="41"/>
      <c r="C35" s="41"/>
      <c r="D35" s="42"/>
      <c r="E35" s="43"/>
      <c r="H35" s="54">
        <f>(H29+H31+H11+H10+H30+H15+H17+H19+H21)*0.13</f>
        <v>-2106.7053624500004</v>
      </c>
      <c r="I35" s="30"/>
      <c r="L35" s="30"/>
    </row>
    <row r="36" spans="1:12">
      <c r="A36" t="s">
        <v>1</v>
      </c>
      <c r="B36" s="41"/>
      <c r="C36" s="41"/>
      <c r="D36" s="42"/>
      <c r="E36" s="43"/>
      <c r="F36" s="55"/>
      <c r="G36" s="56"/>
      <c r="H36" s="39">
        <f>H34+H32+H8+H9+H10+H23+H35+H11</f>
        <v>17398.751194209486</v>
      </c>
      <c r="I36" s="30"/>
      <c r="L36" s="30"/>
    </row>
    <row r="37" spans="1:12">
      <c r="A37" t="s">
        <v>49</v>
      </c>
      <c r="B37" s="41"/>
      <c r="C37" s="41"/>
      <c r="D37" s="42"/>
      <c r="E37" s="43"/>
      <c r="F37" s="55"/>
      <c r="G37" s="56"/>
      <c r="H37" s="39">
        <v>110</v>
      </c>
    </row>
    <row r="38" spans="1:12">
      <c r="A38" t="s">
        <v>46</v>
      </c>
      <c r="F38" s="39"/>
      <c r="G38" s="1"/>
      <c r="H38" s="39">
        <v>0</v>
      </c>
      <c r="I38" s="30"/>
      <c r="J38" s="52"/>
      <c r="K38" s="30"/>
    </row>
    <row r="39" spans="1:12" ht="15.75" thickBot="1">
      <c r="A39" s="50" t="s">
        <v>47</v>
      </c>
      <c r="B39" s="50"/>
      <c r="C39" s="50"/>
      <c r="D39" s="50"/>
      <c r="E39" s="50"/>
      <c r="F39" s="51"/>
      <c r="G39" s="57"/>
      <c r="H39" s="51">
        <f>H8+H9+H10+H23+H32+H34+H37+H38+H12+H35+H11</f>
        <v>17508.751194209486</v>
      </c>
      <c r="I39" s="30"/>
      <c r="J39" s="52"/>
      <c r="K39" s="30"/>
      <c r="L39" s="30"/>
    </row>
    <row r="40" spans="1:12">
      <c r="A40" s="41"/>
      <c r="B40" s="41"/>
      <c r="C40" s="41"/>
      <c r="D40" s="42"/>
      <c r="E40" s="43"/>
      <c r="F40" s="58"/>
      <c r="G40" s="59"/>
      <c r="H40" s="60"/>
    </row>
    <row r="41" spans="1:12">
      <c r="A41" s="41"/>
      <c r="J41" s="52"/>
    </row>
    <row r="42" spans="1:12">
      <c r="A42" s="9"/>
      <c r="B42" s="41"/>
      <c r="C42" s="41"/>
      <c r="D42" s="42"/>
      <c r="E42" s="43"/>
      <c r="F42" s="58"/>
      <c r="G42" s="59"/>
      <c r="H42" s="60"/>
    </row>
    <row r="43" spans="1:12">
      <c r="B43" s="41"/>
      <c r="C43" s="41"/>
      <c r="D43" s="42"/>
      <c r="E43" s="43"/>
      <c r="F43" s="58"/>
      <c r="G43" s="59"/>
      <c r="H43" s="60"/>
    </row>
    <row r="44" spans="1:12">
      <c r="B44" s="41"/>
      <c r="C44" s="41"/>
      <c r="D44" s="42"/>
      <c r="E44" s="43"/>
      <c r="F44" s="58"/>
      <c r="G44" s="59"/>
      <c r="H44" s="60"/>
    </row>
    <row r="45" spans="1:12">
      <c r="B45" s="9"/>
      <c r="C45" s="9"/>
      <c r="H45" s="61"/>
    </row>
  </sheetData>
  <pageMargins left="0.70866141732283472" right="0.70866141732283472" top="0.74803149606299213" bottom="0.74803149606299213" header="0.31496062992125984" footer="0.31496062992125984"/>
  <pageSetup scale="47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F813FD-5D33-4417-BE87-0E93E4634BE9}">
  <sheetPr codeName="Sheet10">
    <tabColor rgb="FF92D050"/>
    <pageSetUpPr fitToPage="1"/>
  </sheetPr>
  <dimension ref="A1:M45"/>
  <sheetViews>
    <sheetView showGridLines="0" zoomScale="70" zoomScaleNormal="70" workbookViewId="0">
      <selection activeCell="L6" sqref="L6"/>
    </sheetView>
  </sheetViews>
  <sheetFormatPr defaultColWidth="9.140625" defaultRowHeight="15"/>
  <cols>
    <col min="1" max="1" width="35.28515625" bestFit="1" customWidth="1"/>
    <col min="5" max="5" width="6.140625" customWidth="1"/>
    <col min="6" max="6" width="11.140625" bestFit="1" customWidth="1"/>
    <col min="7" max="7" width="9.85546875" bestFit="1" customWidth="1"/>
    <col min="8" max="8" width="14.28515625" bestFit="1" customWidth="1"/>
    <col min="9" max="9" width="11.7109375" bestFit="1" customWidth="1"/>
    <col min="10" max="10" width="49.28515625" style="38" bestFit="1" customWidth="1"/>
    <col min="11" max="11" width="12.42578125" bestFit="1" customWidth="1"/>
    <col min="12" max="12" width="29.42578125" bestFit="1" customWidth="1"/>
  </cols>
  <sheetData>
    <row r="1" spans="1:13">
      <c r="A1" s="2"/>
      <c r="B1" s="2"/>
      <c r="C1" s="2"/>
      <c r="D1" s="2"/>
      <c r="E1" s="2"/>
      <c r="F1" s="2"/>
      <c r="G1" s="2"/>
      <c r="H1" s="2"/>
      <c r="J1" s="3" t="s">
        <v>14</v>
      </c>
      <c r="K1" s="4"/>
      <c r="L1" s="5" t="s">
        <v>15</v>
      </c>
    </row>
    <row r="2" spans="1:13">
      <c r="J2" s="6" t="s">
        <v>16</v>
      </c>
      <c r="K2" s="70"/>
      <c r="L2" s="7" t="s">
        <v>67</v>
      </c>
    </row>
    <row r="3" spans="1:13">
      <c r="J3" s="6" t="s">
        <v>17</v>
      </c>
      <c r="K3" s="70"/>
      <c r="L3" s="8">
        <v>1.0441</v>
      </c>
    </row>
    <row r="4" spans="1:13">
      <c r="A4" s="9"/>
      <c r="B4" s="9"/>
      <c r="C4" s="10"/>
      <c r="D4" s="10"/>
      <c r="E4" s="9"/>
      <c r="F4" s="11"/>
      <c r="G4" s="12"/>
      <c r="H4" s="13"/>
      <c r="J4" s="6" t="s">
        <v>18</v>
      </c>
      <c r="K4" s="70"/>
      <c r="L4" s="14" t="s">
        <v>19</v>
      </c>
    </row>
    <row r="5" spans="1:13">
      <c r="A5" s="9"/>
      <c r="B5" s="9"/>
      <c r="C5" s="15"/>
      <c r="D5" s="16"/>
      <c r="E5" s="9"/>
      <c r="F5" s="17" t="s">
        <v>20</v>
      </c>
      <c r="G5" s="18" t="s">
        <v>21</v>
      </c>
      <c r="H5" s="19" t="s">
        <v>22</v>
      </c>
      <c r="J5" s="6" t="s">
        <v>23</v>
      </c>
      <c r="K5" s="70"/>
      <c r="L5" s="20">
        <v>30</v>
      </c>
    </row>
    <row r="6" spans="1:13">
      <c r="A6" s="9"/>
      <c r="B6" s="9"/>
      <c r="C6" s="15"/>
      <c r="D6" s="16"/>
      <c r="E6" s="9"/>
      <c r="F6" s="21" t="s">
        <v>24</v>
      </c>
      <c r="G6" s="22"/>
      <c r="H6" s="22" t="s">
        <v>24</v>
      </c>
      <c r="J6" s="6" t="s">
        <v>25</v>
      </c>
      <c r="K6" s="70"/>
      <c r="L6" s="23">
        <f>Summary!E16</f>
        <v>240834.54</v>
      </c>
    </row>
    <row r="7" spans="1:13">
      <c r="A7" s="9"/>
      <c r="B7" s="9"/>
      <c r="C7" s="15"/>
      <c r="D7" s="16"/>
      <c r="E7" s="9"/>
      <c r="F7" s="24"/>
      <c r="G7" s="25"/>
      <c r="H7" s="25"/>
      <c r="J7" s="6" t="s">
        <v>26</v>
      </c>
      <c r="K7" s="70"/>
      <c r="L7" s="26">
        <f>Summary!C5</f>
        <v>300</v>
      </c>
    </row>
    <row r="8" spans="1:13">
      <c r="A8" s="9" t="s">
        <v>27</v>
      </c>
      <c r="B8" s="9"/>
      <c r="C8" s="15"/>
      <c r="D8" s="16"/>
      <c r="E8" s="9"/>
      <c r="F8" s="27">
        <f>L8</f>
        <v>7.7619999999999998E-3</v>
      </c>
      <c r="G8" s="28">
        <f>L6*L3</f>
        <v>251455.34321400002</v>
      </c>
      <c r="H8" s="29">
        <f>G8*F8</f>
        <v>1951.7963740270682</v>
      </c>
      <c r="I8" s="30"/>
      <c r="J8" s="6" t="s">
        <v>28</v>
      </c>
      <c r="K8" s="70"/>
      <c r="L8" s="32">
        <v>7.7619999999999998E-3</v>
      </c>
    </row>
    <row r="9" spans="1:13">
      <c r="A9" s="9" t="s">
        <v>50</v>
      </c>
      <c r="B9" s="9"/>
      <c r="C9" s="15"/>
      <c r="D9" s="16"/>
      <c r="E9" s="9"/>
      <c r="F9" s="63">
        <f>128.6/1000</f>
        <v>0.12859999999999999</v>
      </c>
      <c r="G9" s="28">
        <f>L6*L3</f>
        <v>251455.34321400002</v>
      </c>
      <c r="H9" s="29">
        <f>G9*F9</f>
        <v>32337.157137320402</v>
      </c>
      <c r="I9" s="30"/>
      <c r="J9" s="6" t="s">
        <v>59</v>
      </c>
      <c r="K9" s="70"/>
      <c r="L9" s="71">
        <f>-Summary!C7</f>
        <v>-50</v>
      </c>
    </row>
    <row r="10" spans="1:13">
      <c r="A10" s="9" t="s">
        <v>29</v>
      </c>
      <c r="B10" s="9"/>
      <c r="C10" s="15"/>
      <c r="D10" s="16"/>
      <c r="E10" s="9"/>
      <c r="F10" s="27">
        <f>F8</f>
        <v>7.7619999999999998E-3</v>
      </c>
      <c r="G10" s="31">
        <f>L10*L3</f>
        <v>-156615</v>
      </c>
      <c r="H10" s="33">
        <f>G10*F10</f>
        <v>-1215.64563</v>
      </c>
      <c r="J10" s="34" t="s">
        <v>58</v>
      </c>
      <c r="K10" s="35"/>
      <c r="L10" s="72">
        <f>-Summary!C6</f>
        <v>-150000</v>
      </c>
    </row>
    <row r="11" spans="1:13">
      <c r="A11" s="9" t="s">
        <v>50</v>
      </c>
      <c r="B11" s="9"/>
      <c r="C11" s="15"/>
      <c r="D11" s="16"/>
      <c r="E11" s="9"/>
      <c r="F11" s="27">
        <f>F9</f>
        <v>0.12859999999999999</v>
      </c>
      <c r="G11" s="31">
        <f>L10*L3</f>
        <v>-156615</v>
      </c>
      <c r="H11" s="33">
        <f>G11*F11</f>
        <v>-20140.688999999998</v>
      </c>
    </row>
    <row r="12" spans="1:13">
      <c r="A12" s="9"/>
      <c r="B12" s="9"/>
      <c r="C12" s="15"/>
      <c r="D12" s="16"/>
      <c r="E12" s="9"/>
      <c r="F12" s="27"/>
      <c r="G12" s="31"/>
      <c r="H12" s="62"/>
      <c r="J12" s="36"/>
      <c r="K12" s="1"/>
      <c r="L12" s="37"/>
    </row>
    <row r="13" spans="1:13">
      <c r="A13" s="41" t="s">
        <v>30</v>
      </c>
      <c r="B13" s="41"/>
      <c r="C13" s="41"/>
      <c r="D13" s="42"/>
      <c r="E13" s="43"/>
      <c r="F13" s="44">
        <v>86.22</v>
      </c>
      <c r="G13" s="45">
        <v>1</v>
      </c>
      <c r="H13" s="46">
        <f>G13*F13</f>
        <v>86.22</v>
      </c>
      <c r="K13" s="39"/>
      <c r="L13" s="40"/>
    </row>
    <row r="14" spans="1:13">
      <c r="A14" s="41" t="s">
        <v>31</v>
      </c>
      <c r="B14" s="41"/>
      <c r="C14" s="41"/>
      <c r="D14" s="42"/>
      <c r="E14" s="43"/>
      <c r="F14" s="47">
        <v>3.4548999999999999</v>
      </c>
      <c r="G14" s="45">
        <f>L7</f>
        <v>300</v>
      </c>
      <c r="H14" s="46">
        <f t="shared" ref="H14:H18" si="0">G14*F14</f>
        <v>1036.47</v>
      </c>
      <c r="J14" s="38" t="s">
        <v>65</v>
      </c>
      <c r="K14" s="39">
        <f>(H8+H9+H13+H14+H16+H18+H20+H25+H26+H27+H28+H37)*1.13</f>
        <v>42754.690565366735</v>
      </c>
      <c r="L14" s="40"/>
      <c r="M14" s="30"/>
    </row>
    <row r="15" spans="1:13">
      <c r="A15" s="41" t="s">
        <v>31</v>
      </c>
      <c r="B15" s="41"/>
      <c r="C15" s="41"/>
      <c r="D15" s="42"/>
      <c r="E15" s="43"/>
      <c r="F15" s="47">
        <f>F14</f>
        <v>3.4548999999999999</v>
      </c>
      <c r="G15" s="45">
        <f>L9</f>
        <v>-50</v>
      </c>
      <c r="H15" s="53">
        <f>G15*F15</f>
        <v>-172.745</v>
      </c>
      <c r="J15" s="38" t="s">
        <v>60</v>
      </c>
      <c r="K15" s="39">
        <f>(H10+H29+H31+H11+H30)*1.13</f>
        <v>-24822.860436899995</v>
      </c>
      <c r="L15" s="40"/>
    </row>
    <row r="16" spans="1:13">
      <c r="A16" s="41" t="s">
        <v>33</v>
      </c>
      <c r="B16" s="41"/>
      <c r="C16" s="41"/>
      <c r="D16" s="42"/>
      <c r="E16" s="43"/>
      <c r="F16" s="47">
        <v>0.49330000000000002</v>
      </c>
      <c r="G16" s="45">
        <f>L7</f>
        <v>300</v>
      </c>
      <c r="H16" s="46">
        <f t="shared" si="0"/>
        <v>147.99</v>
      </c>
      <c r="J16" s="38" t="s">
        <v>61</v>
      </c>
      <c r="K16" s="39">
        <f>(H15+H17+H19+H21)*1.13</f>
        <v>-446.33304999999996</v>
      </c>
    </row>
    <row r="17" spans="1:12">
      <c r="A17" s="41" t="s">
        <v>33</v>
      </c>
      <c r="B17" s="41"/>
      <c r="C17" s="41"/>
      <c r="D17" s="42"/>
      <c r="E17" s="43"/>
      <c r="F17" s="47">
        <f>F16</f>
        <v>0.49330000000000002</v>
      </c>
      <c r="G17" s="45">
        <f>L9</f>
        <v>-50</v>
      </c>
      <c r="H17" s="53">
        <f>G17*F17</f>
        <v>-24.664999999999999</v>
      </c>
      <c r="J17" s="38" t="s">
        <v>66</v>
      </c>
      <c r="K17" s="73">
        <f>H22</f>
        <v>863.72499999999991</v>
      </c>
    </row>
    <row r="18" spans="1:12" ht="15.75" thickBot="1">
      <c r="A18" s="41" t="s">
        <v>34</v>
      </c>
      <c r="B18" s="41"/>
      <c r="C18" s="41"/>
      <c r="D18" s="42"/>
      <c r="E18" s="43"/>
      <c r="F18" s="47">
        <v>1.738</v>
      </c>
      <c r="G18" s="45">
        <f>L7</f>
        <v>300</v>
      </c>
      <c r="H18" s="46">
        <f t="shared" si="0"/>
        <v>521.4</v>
      </c>
      <c r="J18" s="38" t="s">
        <v>32</v>
      </c>
      <c r="K18" s="48">
        <f>K14+K15+K16+K17</f>
        <v>18349.222078466737</v>
      </c>
      <c r="L18" s="49">
        <f>K18-H39</f>
        <v>3.2499999993888196E-2</v>
      </c>
    </row>
    <row r="19" spans="1:12">
      <c r="A19" s="41" t="s">
        <v>34</v>
      </c>
      <c r="B19" s="41"/>
      <c r="C19" s="41"/>
      <c r="D19" s="42"/>
      <c r="E19" s="43"/>
      <c r="F19" s="47">
        <f>F18</f>
        <v>1.738</v>
      </c>
      <c r="G19" s="45">
        <f>L9</f>
        <v>-50</v>
      </c>
      <c r="H19" s="53">
        <f>G19*F19</f>
        <v>-86.9</v>
      </c>
    </row>
    <row r="20" spans="1:12">
      <c r="A20" s="41" t="s">
        <v>35</v>
      </c>
      <c r="B20" s="41"/>
      <c r="C20" s="41"/>
      <c r="D20" s="42"/>
      <c r="E20" s="43"/>
      <c r="F20" s="47">
        <v>2.2134999999999998</v>
      </c>
      <c r="G20" s="45">
        <f>L7</f>
        <v>300</v>
      </c>
      <c r="H20" s="46">
        <f>G20*F20</f>
        <v>664.05</v>
      </c>
    </row>
    <row r="21" spans="1:12">
      <c r="A21" s="41" t="s">
        <v>35</v>
      </c>
      <c r="B21" s="41"/>
      <c r="C21" s="41"/>
      <c r="D21" s="42"/>
      <c r="E21" s="43"/>
      <c r="F21" s="47">
        <f>F20</f>
        <v>2.2134999999999998</v>
      </c>
      <c r="G21" s="45">
        <f>L9</f>
        <v>-50</v>
      </c>
      <c r="H21" s="53">
        <f>G21*F21</f>
        <v>-110.67499999999998</v>
      </c>
      <c r="K21" s="75"/>
      <c r="L21" s="49"/>
    </row>
    <row r="22" spans="1:12">
      <c r="A22" s="41" t="s">
        <v>51</v>
      </c>
      <c r="B22" s="41"/>
      <c r="C22" s="41"/>
      <c r="D22" s="42"/>
      <c r="E22" s="43"/>
      <c r="F22" s="47">
        <f>F14</f>
        <v>3.4548999999999999</v>
      </c>
      <c r="G22" s="45">
        <f>Summary!C8</f>
        <v>250</v>
      </c>
      <c r="H22" s="74">
        <f>G22*F22</f>
        <v>863.72499999999991</v>
      </c>
      <c r="K22" s="39"/>
      <c r="L22" s="40"/>
    </row>
    <row r="23" spans="1:12" ht="15.75" thickBot="1">
      <c r="A23" s="50" t="s">
        <v>36</v>
      </c>
      <c r="B23" s="50"/>
      <c r="C23" s="50"/>
      <c r="D23" s="50"/>
      <c r="E23" s="50"/>
      <c r="F23" s="50"/>
      <c r="G23" s="50"/>
      <c r="H23" s="51">
        <f>SUM(H13:H22)</f>
        <v>2924.8699999999994</v>
      </c>
      <c r="K23" s="39"/>
      <c r="L23" s="40"/>
    </row>
    <row r="24" spans="1:12">
      <c r="K24" s="39"/>
      <c r="L24" s="40"/>
    </row>
    <row r="25" spans="1:12">
      <c r="A25" s="41" t="s">
        <v>37</v>
      </c>
      <c r="B25" s="41"/>
      <c r="C25" s="41"/>
      <c r="D25" s="42"/>
      <c r="E25" s="43"/>
      <c r="F25" s="47">
        <v>3.0000000000000001E-3</v>
      </c>
      <c r="G25" s="45">
        <f>(L6*L3)</f>
        <v>251455.34321400002</v>
      </c>
      <c r="H25" s="46">
        <f t="shared" ref="H25:H31" si="1">G25*F25</f>
        <v>754.36602964200006</v>
      </c>
    </row>
    <row r="26" spans="1:12">
      <c r="A26" s="41" t="s">
        <v>38</v>
      </c>
      <c r="F26" s="47">
        <v>4.0000000000000002E-4</v>
      </c>
      <c r="G26" s="45">
        <f>L6*L3</f>
        <v>251455.34321400002</v>
      </c>
      <c r="H26" s="46">
        <f t="shared" si="1"/>
        <v>100.58213728560001</v>
      </c>
      <c r="I26" s="30"/>
    </row>
    <row r="27" spans="1:12">
      <c r="A27" s="41" t="s">
        <v>39</v>
      </c>
      <c r="B27" s="41"/>
      <c r="C27" s="41"/>
      <c r="D27" s="42"/>
      <c r="E27" s="43"/>
      <c r="F27" s="47">
        <v>5.0000000000000001E-4</v>
      </c>
      <c r="G27" s="45">
        <f>(L6*L3)</f>
        <v>251455.34321400002</v>
      </c>
      <c r="H27" s="46">
        <f t="shared" si="1"/>
        <v>125.72767160700002</v>
      </c>
    </row>
    <row r="28" spans="1:12">
      <c r="A28" s="41" t="s">
        <v>48</v>
      </c>
      <c r="B28" s="41"/>
      <c r="C28" s="41"/>
      <c r="D28" s="42"/>
      <c r="E28" s="43"/>
      <c r="F28" s="47">
        <v>0.25</v>
      </c>
      <c r="G28" s="45">
        <v>1</v>
      </c>
      <c r="H28" s="46">
        <f t="shared" si="1"/>
        <v>0.25</v>
      </c>
    </row>
    <row r="29" spans="1:12">
      <c r="A29" s="41" t="s">
        <v>40</v>
      </c>
      <c r="B29" s="41"/>
      <c r="C29" s="41"/>
      <c r="D29" s="42"/>
      <c r="E29" s="43"/>
      <c r="F29" s="47">
        <f>F25</f>
        <v>3.0000000000000001E-3</v>
      </c>
      <c r="G29" s="45">
        <f>L10*L3</f>
        <v>-156615</v>
      </c>
      <c r="H29" s="53">
        <f t="shared" si="1"/>
        <v>-469.84500000000003</v>
      </c>
    </row>
    <row r="30" spans="1:12">
      <c r="A30" s="41" t="s">
        <v>41</v>
      </c>
      <c r="B30" s="41"/>
      <c r="C30" s="41"/>
      <c r="D30" s="42"/>
      <c r="E30" s="43"/>
      <c r="F30" s="47">
        <v>4.0000000000000002E-4</v>
      </c>
      <c r="G30" s="45">
        <f>L10*L3</f>
        <v>-156615</v>
      </c>
      <c r="H30" s="53">
        <f t="shared" si="1"/>
        <v>-62.646000000000001</v>
      </c>
    </row>
    <row r="31" spans="1:12">
      <c r="A31" s="41" t="s">
        <v>42</v>
      </c>
      <c r="B31" s="41"/>
      <c r="C31" s="41"/>
      <c r="D31" s="42"/>
      <c r="E31" s="43"/>
      <c r="F31" s="47">
        <f>F27</f>
        <v>5.0000000000000001E-4</v>
      </c>
      <c r="G31" s="45">
        <f>L10*L3</f>
        <v>-156615</v>
      </c>
      <c r="H31" s="53">
        <f t="shared" si="1"/>
        <v>-78.307500000000005</v>
      </c>
    </row>
    <row r="32" spans="1:12" ht="15.75" thickBot="1">
      <c r="A32" s="50" t="s">
        <v>43</v>
      </c>
      <c r="B32" s="50"/>
      <c r="C32" s="50"/>
      <c r="D32" s="50"/>
      <c r="E32" s="50"/>
      <c r="F32" s="50"/>
      <c r="G32" s="50"/>
      <c r="H32" s="51">
        <f>SUM(H25:H31)</f>
        <v>370.12733853460003</v>
      </c>
    </row>
    <row r="34" spans="1:12">
      <c r="A34" t="s">
        <v>44</v>
      </c>
      <c r="B34" s="41"/>
      <c r="C34" s="41"/>
      <c r="D34" s="42"/>
      <c r="E34" s="43"/>
      <c r="H34" s="39">
        <f>(H8+H9+H13+H14+H16+H18+H20+H25+H26+H27+H37)*0.13</f>
        <v>4918.6487154846691</v>
      </c>
      <c r="I34" s="30"/>
    </row>
    <row r="35" spans="1:12">
      <c r="A35" t="s">
        <v>45</v>
      </c>
      <c r="B35" s="41"/>
      <c r="C35" s="41"/>
      <c r="D35" s="42"/>
      <c r="E35" s="43"/>
      <c r="H35" s="54">
        <f>(H29+H31+H11+H10+H30+H15+H17+H19+H21)*0.13</f>
        <v>-2907.0753568999999</v>
      </c>
      <c r="I35" s="30"/>
      <c r="L35" s="30"/>
    </row>
    <row r="36" spans="1:12">
      <c r="A36" t="s">
        <v>1</v>
      </c>
      <c r="B36" s="41"/>
      <c r="C36" s="41"/>
      <c r="D36" s="42"/>
      <c r="E36" s="43"/>
      <c r="F36" s="55"/>
      <c r="G36" s="56"/>
      <c r="H36" s="39">
        <f>H34+H32+H8+H9+H10+H23+H35+H11</f>
        <v>18239.189578466743</v>
      </c>
      <c r="I36" s="30"/>
      <c r="L36" s="30"/>
    </row>
    <row r="37" spans="1:12">
      <c r="A37" t="s">
        <v>49</v>
      </c>
      <c r="B37" s="41"/>
      <c r="C37" s="41"/>
      <c r="D37" s="42"/>
      <c r="E37" s="43"/>
      <c r="F37" s="55"/>
      <c r="G37" s="56"/>
      <c r="H37" s="39">
        <v>110</v>
      </c>
    </row>
    <row r="38" spans="1:12">
      <c r="A38" t="s">
        <v>46</v>
      </c>
      <c r="F38" s="39"/>
      <c r="G38" s="1"/>
      <c r="H38" s="39">
        <v>0</v>
      </c>
      <c r="I38" s="30"/>
      <c r="J38" s="52"/>
      <c r="K38" s="30"/>
    </row>
    <row r="39" spans="1:12" ht="15.75" thickBot="1">
      <c r="A39" s="50" t="s">
        <v>47</v>
      </c>
      <c r="B39" s="50"/>
      <c r="C39" s="50"/>
      <c r="D39" s="50"/>
      <c r="E39" s="50"/>
      <c r="F39" s="51"/>
      <c r="G39" s="57"/>
      <c r="H39" s="51">
        <f>H8+H9+H10+H23+H32+H34+H37+H38+H12+H35+H11</f>
        <v>18349.189578466743</v>
      </c>
      <c r="I39" s="30"/>
      <c r="J39" s="52"/>
      <c r="K39" s="30"/>
      <c r="L39" s="30"/>
    </row>
    <row r="40" spans="1:12">
      <c r="A40" s="41"/>
      <c r="B40" s="41"/>
      <c r="C40" s="41"/>
      <c r="D40" s="42"/>
      <c r="E40" s="43"/>
      <c r="F40" s="58"/>
      <c r="G40" s="59"/>
      <c r="H40" s="60"/>
    </row>
    <row r="41" spans="1:12">
      <c r="A41" s="41"/>
      <c r="J41" s="52"/>
    </row>
    <row r="42" spans="1:12">
      <c r="A42" s="9"/>
      <c r="B42" s="41"/>
      <c r="C42" s="41"/>
      <c r="D42" s="42"/>
      <c r="E42" s="43"/>
      <c r="F42" s="58"/>
      <c r="G42" s="59"/>
      <c r="H42" s="60"/>
    </row>
    <row r="43" spans="1:12">
      <c r="B43" s="41"/>
      <c r="C43" s="41"/>
      <c r="D43" s="42"/>
      <c r="E43" s="43"/>
      <c r="F43" s="58"/>
      <c r="G43" s="59"/>
      <c r="H43" s="60"/>
    </row>
    <row r="44" spans="1:12">
      <c r="B44" s="41"/>
      <c r="C44" s="41"/>
      <c r="D44" s="42"/>
      <c r="E44" s="43"/>
      <c r="F44" s="58"/>
      <c r="G44" s="59"/>
      <c r="H44" s="60"/>
    </row>
    <row r="45" spans="1:12">
      <c r="B45" s="9"/>
      <c r="C45" s="9"/>
      <c r="H45" s="61"/>
    </row>
  </sheetData>
  <pageMargins left="0.70866141732283472" right="0.70866141732283472" top="0.74803149606299213" bottom="0.74803149606299213" header="0.31496062992125984" footer="0.31496062992125984"/>
  <pageSetup scale="47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4112CA-21DB-4422-80F7-2BD5DE83C169}">
  <sheetPr codeName="Sheet11">
    <tabColor rgb="FF92D050"/>
    <pageSetUpPr fitToPage="1"/>
  </sheetPr>
  <dimension ref="A1:M45"/>
  <sheetViews>
    <sheetView showGridLines="0" zoomScale="70" zoomScaleNormal="70" workbookViewId="0">
      <selection activeCell="F10" sqref="F10"/>
    </sheetView>
  </sheetViews>
  <sheetFormatPr defaultColWidth="9.140625" defaultRowHeight="15"/>
  <cols>
    <col min="1" max="1" width="35.28515625" bestFit="1" customWidth="1"/>
    <col min="5" max="5" width="6.140625" customWidth="1"/>
    <col min="6" max="6" width="11.140625" bestFit="1" customWidth="1"/>
    <col min="7" max="7" width="9.85546875" bestFit="1" customWidth="1"/>
    <col min="8" max="8" width="14.28515625" bestFit="1" customWidth="1"/>
    <col min="9" max="9" width="11.7109375" bestFit="1" customWidth="1"/>
    <col min="10" max="10" width="49.28515625" style="38" bestFit="1" customWidth="1"/>
    <col min="11" max="11" width="12.42578125" bestFit="1" customWidth="1"/>
    <col min="12" max="12" width="29.42578125" bestFit="1" customWidth="1"/>
  </cols>
  <sheetData>
    <row r="1" spans="1:13">
      <c r="A1" s="2"/>
      <c r="B1" s="2"/>
      <c r="C1" s="2"/>
      <c r="D1" s="2"/>
      <c r="E1" s="2"/>
      <c r="F1" s="2"/>
      <c r="G1" s="2"/>
      <c r="H1" s="2"/>
      <c r="J1" s="3" t="s">
        <v>14</v>
      </c>
      <c r="K1" s="4"/>
      <c r="L1" s="5" t="s">
        <v>15</v>
      </c>
    </row>
    <row r="2" spans="1:13">
      <c r="J2" s="6" t="s">
        <v>16</v>
      </c>
      <c r="K2" s="70"/>
      <c r="L2" s="7" t="s">
        <v>67</v>
      </c>
    </row>
    <row r="3" spans="1:13">
      <c r="J3" s="6" t="s">
        <v>17</v>
      </c>
      <c r="K3" s="70"/>
      <c r="L3" s="8">
        <v>1.0441</v>
      </c>
    </row>
    <row r="4" spans="1:13">
      <c r="A4" s="9"/>
      <c r="B4" s="9"/>
      <c r="C4" s="10"/>
      <c r="D4" s="10"/>
      <c r="E4" s="9"/>
      <c r="F4" s="11"/>
      <c r="G4" s="12"/>
      <c r="H4" s="13"/>
      <c r="J4" s="6" t="s">
        <v>18</v>
      </c>
      <c r="K4" s="70"/>
      <c r="L4" s="14" t="s">
        <v>19</v>
      </c>
    </row>
    <row r="5" spans="1:13">
      <c r="A5" s="9"/>
      <c r="B5" s="9"/>
      <c r="C5" s="15"/>
      <c r="D5" s="16"/>
      <c r="E5" s="9"/>
      <c r="F5" s="17" t="s">
        <v>20</v>
      </c>
      <c r="G5" s="18" t="s">
        <v>21</v>
      </c>
      <c r="H5" s="19" t="s">
        <v>22</v>
      </c>
      <c r="J5" s="6" t="s">
        <v>23</v>
      </c>
      <c r="K5" s="70"/>
      <c r="L5" s="20">
        <v>30</v>
      </c>
    </row>
    <row r="6" spans="1:13">
      <c r="A6" s="9"/>
      <c r="B6" s="9"/>
      <c r="C6" s="15"/>
      <c r="D6" s="16"/>
      <c r="E6" s="9"/>
      <c r="F6" s="21" t="s">
        <v>24</v>
      </c>
      <c r="G6" s="22"/>
      <c r="H6" s="22" t="s">
        <v>24</v>
      </c>
      <c r="J6" s="6" t="s">
        <v>25</v>
      </c>
      <c r="K6" s="70"/>
      <c r="L6" s="23">
        <f>Summary!E17</f>
        <v>240793.8</v>
      </c>
    </row>
    <row r="7" spans="1:13">
      <c r="A7" s="9"/>
      <c r="B7" s="9"/>
      <c r="C7" s="15"/>
      <c r="D7" s="16"/>
      <c r="E7" s="9"/>
      <c r="F7" s="24"/>
      <c r="G7" s="25"/>
      <c r="H7" s="25"/>
      <c r="J7" s="6" t="s">
        <v>26</v>
      </c>
      <c r="K7" s="70"/>
      <c r="L7" s="26">
        <f>Summary!C5</f>
        <v>300</v>
      </c>
    </row>
    <row r="8" spans="1:13">
      <c r="A8" s="9" t="s">
        <v>27</v>
      </c>
      <c r="B8" s="9"/>
      <c r="C8" s="15"/>
      <c r="D8" s="16"/>
      <c r="E8" s="9"/>
      <c r="F8" s="27">
        <f>L8</f>
        <v>4.8650000000000004E-3</v>
      </c>
      <c r="G8" s="28">
        <f>L6*L3</f>
        <v>251412.80658</v>
      </c>
      <c r="H8" s="29">
        <f>G8*F8</f>
        <v>1223.1233040117002</v>
      </c>
      <c r="I8" s="30"/>
      <c r="J8" s="6" t="s">
        <v>28</v>
      </c>
      <c r="K8" s="70"/>
      <c r="L8" s="32">
        <v>4.8650000000000004E-3</v>
      </c>
    </row>
    <row r="9" spans="1:13">
      <c r="A9" s="9" t="s">
        <v>50</v>
      </c>
      <c r="B9" s="9"/>
      <c r="C9" s="15"/>
      <c r="D9" s="16"/>
      <c r="E9" s="9"/>
      <c r="F9" s="63">
        <f>124.44/1000</f>
        <v>0.12444</v>
      </c>
      <c r="G9" s="28">
        <f>L6*L3</f>
        <v>251412.80658</v>
      </c>
      <c r="H9" s="29">
        <f>G9*F9</f>
        <v>31285.809650815198</v>
      </c>
      <c r="I9" s="30"/>
      <c r="J9" s="6" t="s">
        <v>59</v>
      </c>
      <c r="K9" s="70"/>
      <c r="L9" s="71">
        <f>-Summary!C7</f>
        <v>-50</v>
      </c>
    </row>
    <row r="10" spans="1:13">
      <c r="A10" s="9" t="s">
        <v>29</v>
      </c>
      <c r="B10" s="9"/>
      <c r="C10" s="15"/>
      <c r="D10" s="16"/>
      <c r="E10" s="9"/>
      <c r="F10" s="27">
        <f>F8</f>
        <v>4.8650000000000004E-3</v>
      </c>
      <c r="G10" s="31">
        <f>L10*L3</f>
        <v>-156615</v>
      </c>
      <c r="H10" s="33">
        <f>G10*F10</f>
        <v>-761.93197500000008</v>
      </c>
      <c r="J10" s="34" t="s">
        <v>58</v>
      </c>
      <c r="K10" s="35"/>
      <c r="L10" s="72">
        <f>-Summary!C6</f>
        <v>-150000</v>
      </c>
    </row>
    <row r="11" spans="1:13">
      <c r="A11" s="9" t="s">
        <v>50</v>
      </c>
      <c r="B11" s="9"/>
      <c r="C11" s="15"/>
      <c r="D11" s="16"/>
      <c r="E11" s="9"/>
      <c r="F11" s="27">
        <f>F9</f>
        <v>0.12444</v>
      </c>
      <c r="G11" s="31">
        <f>L10*L3</f>
        <v>-156615</v>
      </c>
      <c r="H11" s="33">
        <f>G11*F11</f>
        <v>-19489.170599999998</v>
      </c>
    </row>
    <row r="12" spans="1:13">
      <c r="A12" s="9"/>
      <c r="B12" s="9"/>
      <c r="C12" s="15"/>
      <c r="D12" s="16"/>
      <c r="E12" s="9"/>
      <c r="F12" s="27"/>
      <c r="G12" s="31"/>
      <c r="H12" s="62"/>
      <c r="J12" s="36"/>
      <c r="K12" s="1"/>
      <c r="L12" s="37"/>
    </row>
    <row r="13" spans="1:13">
      <c r="A13" s="41" t="s">
        <v>30</v>
      </c>
      <c r="B13" s="41"/>
      <c r="C13" s="41"/>
      <c r="D13" s="42"/>
      <c r="E13" s="43"/>
      <c r="F13" s="44">
        <v>86.22</v>
      </c>
      <c r="G13" s="45">
        <v>1</v>
      </c>
      <c r="H13" s="46">
        <f>G13*F13</f>
        <v>86.22</v>
      </c>
      <c r="K13" s="39"/>
      <c r="L13" s="40"/>
    </row>
    <row r="14" spans="1:13">
      <c r="A14" s="41" t="s">
        <v>31</v>
      </c>
      <c r="B14" s="41"/>
      <c r="C14" s="41"/>
      <c r="D14" s="42"/>
      <c r="E14" s="43"/>
      <c r="F14" s="47">
        <v>3.4548999999999999</v>
      </c>
      <c r="G14" s="45">
        <f>L7</f>
        <v>300</v>
      </c>
      <c r="H14" s="46">
        <f t="shared" ref="H14:H18" si="0">G14*F14</f>
        <v>1036.47</v>
      </c>
      <c r="J14" s="38" t="s">
        <v>65</v>
      </c>
      <c r="K14" s="39">
        <f>(H8+H9+H13+H14+H16+H18+H20+H25+H26+H27+H28+H37)*1.13</f>
        <v>40743.079877552453</v>
      </c>
      <c r="L14" s="40"/>
      <c r="M14" s="30"/>
    </row>
    <row r="15" spans="1:13">
      <c r="A15" s="41" t="s">
        <v>31</v>
      </c>
      <c r="B15" s="41"/>
      <c r="C15" s="41"/>
      <c r="D15" s="42"/>
      <c r="E15" s="43"/>
      <c r="F15" s="47">
        <f>F14</f>
        <v>3.4548999999999999</v>
      </c>
      <c r="G15" s="45">
        <f>L9</f>
        <v>-50</v>
      </c>
      <c r="H15" s="53">
        <f>G15*F15</f>
        <v>-172.745</v>
      </c>
      <c r="J15" s="38" t="s">
        <v>60</v>
      </c>
      <c r="K15" s="39">
        <f>(H10+H29+H31+H11+H30)*1.13</f>
        <v>-23573.948214749995</v>
      </c>
      <c r="L15" s="40"/>
    </row>
    <row r="16" spans="1:13">
      <c r="A16" s="41" t="s">
        <v>33</v>
      </c>
      <c r="B16" s="41"/>
      <c r="C16" s="41"/>
      <c r="D16" s="42"/>
      <c r="E16" s="43"/>
      <c r="F16" s="47">
        <v>0.49330000000000002</v>
      </c>
      <c r="G16" s="45">
        <f>L7</f>
        <v>300</v>
      </c>
      <c r="H16" s="46">
        <f t="shared" si="0"/>
        <v>147.99</v>
      </c>
      <c r="J16" s="38" t="s">
        <v>61</v>
      </c>
      <c r="K16" s="39">
        <f>(H15+H17+H19+H21)*1.13</f>
        <v>-446.33304999999996</v>
      </c>
    </row>
    <row r="17" spans="1:12">
      <c r="A17" s="41" t="s">
        <v>33</v>
      </c>
      <c r="B17" s="41"/>
      <c r="C17" s="41"/>
      <c r="D17" s="42"/>
      <c r="E17" s="43"/>
      <c r="F17" s="47">
        <f>F16</f>
        <v>0.49330000000000002</v>
      </c>
      <c r="G17" s="45">
        <f>L9</f>
        <v>-50</v>
      </c>
      <c r="H17" s="53">
        <f>G17*F17</f>
        <v>-24.664999999999999</v>
      </c>
      <c r="J17" s="38" t="s">
        <v>66</v>
      </c>
      <c r="K17" s="73">
        <f>H22</f>
        <v>863.72499999999991</v>
      </c>
    </row>
    <row r="18" spans="1:12" ht="15.75" thickBot="1">
      <c r="A18" s="41" t="s">
        <v>34</v>
      </c>
      <c r="B18" s="41"/>
      <c r="C18" s="41"/>
      <c r="D18" s="42"/>
      <c r="E18" s="43"/>
      <c r="F18" s="47">
        <v>1.738</v>
      </c>
      <c r="G18" s="45">
        <f>L7</f>
        <v>300</v>
      </c>
      <c r="H18" s="46">
        <f t="shared" si="0"/>
        <v>521.4</v>
      </c>
      <c r="J18" s="38" t="s">
        <v>32</v>
      </c>
      <c r="K18" s="48">
        <f>K14+K15+K16+K17</f>
        <v>17586.523612802455</v>
      </c>
      <c r="L18" s="49">
        <f>K18-H39</f>
        <v>3.2500000001164153E-2</v>
      </c>
    </row>
    <row r="19" spans="1:12">
      <c r="A19" s="41" t="s">
        <v>34</v>
      </c>
      <c r="B19" s="41"/>
      <c r="C19" s="41"/>
      <c r="D19" s="42"/>
      <c r="E19" s="43"/>
      <c r="F19" s="47">
        <f>F18</f>
        <v>1.738</v>
      </c>
      <c r="G19" s="45">
        <f>L9</f>
        <v>-50</v>
      </c>
      <c r="H19" s="53">
        <f>G19*F19</f>
        <v>-86.9</v>
      </c>
    </row>
    <row r="20" spans="1:12">
      <c r="A20" s="41" t="s">
        <v>35</v>
      </c>
      <c r="B20" s="41"/>
      <c r="C20" s="41"/>
      <c r="D20" s="42"/>
      <c r="E20" s="43"/>
      <c r="F20" s="47">
        <v>2.2134999999999998</v>
      </c>
      <c r="G20" s="45">
        <f>L7</f>
        <v>300</v>
      </c>
      <c r="H20" s="46">
        <f>G20*F20</f>
        <v>664.05</v>
      </c>
    </row>
    <row r="21" spans="1:12">
      <c r="A21" s="41" t="s">
        <v>35</v>
      </c>
      <c r="B21" s="41"/>
      <c r="C21" s="41"/>
      <c r="D21" s="42"/>
      <c r="E21" s="43"/>
      <c r="F21" s="47">
        <f>F20</f>
        <v>2.2134999999999998</v>
      </c>
      <c r="G21" s="45">
        <f>L9</f>
        <v>-50</v>
      </c>
      <c r="H21" s="53">
        <f>G21*F21</f>
        <v>-110.67499999999998</v>
      </c>
      <c r="K21" s="75"/>
      <c r="L21" s="49"/>
    </row>
    <row r="22" spans="1:12">
      <c r="A22" s="41" t="s">
        <v>51</v>
      </c>
      <c r="B22" s="41"/>
      <c r="C22" s="41"/>
      <c r="D22" s="42"/>
      <c r="E22" s="43"/>
      <c r="F22" s="47">
        <f>F14</f>
        <v>3.4548999999999999</v>
      </c>
      <c r="G22" s="45">
        <f>Summary!C8</f>
        <v>250</v>
      </c>
      <c r="H22" s="74">
        <f>G22*F22</f>
        <v>863.72499999999991</v>
      </c>
      <c r="K22" s="39"/>
      <c r="L22" s="40"/>
    </row>
    <row r="23" spans="1:12" ht="15.75" thickBot="1">
      <c r="A23" s="50" t="s">
        <v>36</v>
      </c>
      <c r="B23" s="50"/>
      <c r="C23" s="50"/>
      <c r="D23" s="50"/>
      <c r="E23" s="50"/>
      <c r="F23" s="50"/>
      <c r="G23" s="50"/>
      <c r="H23" s="51">
        <f>SUM(H13:H22)</f>
        <v>2924.8699999999994</v>
      </c>
      <c r="K23" s="39"/>
      <c r="L23" s="40"/>
    </row>
    <row r="24" spans="1:12">
      <c r="K24" s="39"/>
      <c r="L24" s="40"/>
    </row>
    <row r="25" spans="1:12">
      <c r="A25" s="41" t="s">
        <v>37</v>
      </c>
      <c r="B25" s="41"/>
      <c r="C25" s="41"/>
      <c r="D25" s="42"/>
      <c r="E25" s="43"/>
      <c r="F25" s="47">
        <v>3.0000000000000001E-3</v>
      </c>
      <c r="G25" s="45">
        <f>(L6*L3)</f>
        <v>251412.80658</v>
      </c>
      <c r="H25" s="46">
        <f t="shared" ref="H25:H31" si="1">G25*F25</f>
        <v>754.23841974000004</v>
      </c>
    </row>
    <row r="26" spans="1:12">
      <c r="A26" s="41" t="s">
        <v>38</v>
      </c>
      <c r="F26" s="47">
        <v>4.0000000000000002E-4</v>
      </c>
      <c r="G26" s="45">
        <f>L6*L3</f>
        <v>251412.80658</v>
      </c>
      <c r="H26" s="46">
        <f t="shared" si="1"/>
        <v>100.56512263200001</v>
      </c>
      <c r="I26" s="30"/>
    </row>
    <row r="27" spans="1:12">
      <c r="A27" s="41" t="s">
        <v>39</v>
      </c>
      <c r="B27" s="41"/>
      <c r="C27" s="41"/>
      <c r="D27" s="42"/>
      <c r="E27" s="43"/>
      <c r="F27" s="47">
        <v>5.0000000000000001E-4</v>
      </c>
      <c r="G27" s="45">
        <f>(L6*L3)</f>
        <v>251412.80658</v>
      </c>
      <c r="H27" s="46">
        <f t="shared" si="1"/>
        <v>125.70640329000001</v>
      </c>
    </row>
    <row r="28" spans="1:12">
      <c r="A28" s="41" t="s">
        <v>48</v>
      </c>
      <c r="B28" s="41"/>
      <c r="C28" s="41"/>
      <c r="D28" s="42"/>
      <c r="E28" s="43"/>
      <c r="F28" s="47">
        <v>0.25</v>
      </c>
      <c r="G28" s="45">
        <v>1</v>
      </c>
      <c r="H28" s="46">
        <f t="shared" si="1"/>
        <v>0.25</v>
      </c>
    </row>
    <row r="29" spans="1:12">
      <c r="A29" s="41" t="s">
        <v>40</v>
      </c>
      <c r="B29" s="41"/>
      <c r="C29" s="41"/>
      <c r="D29" s="42"/>
      <c r="E29" s="43"/>
      <c r="F29" s="47">
        <f>F25</f>
        <v>3.0000000000000001E-3</v>
      </c>
      <c r="G29" s="45">
        <f>L10*L3</f>
        <v>-156615</v>
      </c>
      <c r="H29" s="53">
        <f t="shared" si="1"/>
        <v>-469.84500000000003</v>
      </c>
    </row>
    <row r="30" spans="1:12">
      <c r="A30" s="41" t="s">
        <v>41</v>
      </c>
      <c r="B30" s="41"/>
      <c r="C30" s="41"/>
      <c r="D30" s="42"/>
      <c r="E30" s="43"/>
      <c r="F30" s="47">
        <v>4.0000000000000002E-4</v>
      </c>
      <c r="G30" s="45">
        <f>L10*L3</f>
        <v>-156615</v>
      </c>
      <c r="H30" s="53">
        <f t="shared" si="1"/>
        <v>-62.646000000000001</v>
      </c>
    </row>
    <row r="31" spans="1:12">
      <c r="A31" s="41" t="s">
        <v>42</v>
      </c>
      <c r="B31" s="41"/>
      <c r="C31" s="41"/>
      <c r="D31" s="42"/>
      <c r="E31" s="43"/>
      <c r="F31" s="47">
        <f>F27</f>
        <v>5.0000000000000001E-4</v>
      </c>
      <c r="G31" s="45">
        <f>L10*L3</f>
        <v>-156615</v>
      </c>
      <c r="H31" s="53">
        <f t="shared" si="1"/>
        <v>-78.307500000000005</v>
      </c>
    </row>
    <row r="32" spans="1:12" ht="15.75" thickBot="1">
      <c r="A32" s="50" t="s">
        <v>43</v>
      </c>
      <c r="B32" s="50"/>
      <c r="C32" s="50"/>
      <c r="D32" s="50"/>
      <c r="E32" s="50"/>
      <c r="F32" s="50"/>
      <c r="G32" s="50"/>
      <c r="H32" s="51">
        <f>SUM(H25:H31)</f>
        <v>369.96144566200002</v>
      </c>
    </row>
    <row r="34" spans="1:12">
      <c r="A34" t="s">
        <v>44</v>
      </c>
      <c r="B34" s="41"/>
      <c r="C34" s="41"/>
      <c r="D34" s="42"/>
      <c r="E34" s="43"/>
      <c r="H34" s="39">
        <f>(H8+H9+H13+H14+H16+H18+H20+H25+H26+H27+H37)*0.13</f>
        <v>4687.2244770635571</v>
      </c>
      <c r="I34" s="30"/>
    </row>
    <row r="35" spans="1:12">
      <c r="A35" t="s">
        <v>45</v>
      </c>
      <c r="B35" s="41"/>
      <c r="C35" s="41"/>
      <c r="D35" s="42"/>
      <c r="E35" s="43"/>
      <c r="H35" s="54">
        <f>(H29+H31+H11+H10+H30+H15+H17+H19+H21)*0.13</f>
        <v>-2763.3951897500001</v>
      </c>
      <c r="I35" s="30"/>
      <c r="L35" s="30"/>
    </row>
    <row r="36" spans="1:12">
      <c r="A36" t="s">
        <v>1</v>
      </c>
      <c r="B36" s="41"/>
      <c r="C36" s="41"/>
      <c r="D36" s="42"/>
      <c r="E36" s="43"/>
      <c r="F36" s="55"/>
      <c r="G36" s="56"/>
      <c r="H36" s="39">
        <f>H34+H32+H8+H9+H10+H23+H35+H11</f>
        <v>17476.491112802461</v>
      </c>
      <c r="I36" s="30"/>
      <c r="L36" s="30"/>
    </row>
    <row r="37" spans="1:12">
      <c r="A37" t="s">
        <v>49</v>
      </c>
      <c r="B37" s="41"/>
      <c r="C37" s="41"/>
      <c r="D37" s="42"/>
      <c r="E37" s="43"/>
      <c r="F37" s="55"/>
      <c r="G37" s="56"/>
      <c r="H37" s="39">
        <v>110</v>
      </c>
    </row>
    <row r="38" spans="1:12">
      <c r="A38" t="s">
        <v>46</v>
      </c>
      <c r="F38" s="39"/>
      <c r="G38" s="1"/>
      <c r="H38" s="39">
        <v>0</v>
      </c>
      <c r="I38" s="30"/>
      <c r="J38" s="52"/>
      <c r="K38" s="30"/>
    </row>
    <row r="39" spans="1:12" ht="15.75" thickBot="1">
      <c r="A39" s="50" t="s">
        <v>47</v>
      </c>
      <c r="B39" s="50"/>
      <c r="C39" s="50"/>
      <c r="D39" s="50"/>
      <c r="E39" s="50"/>
      <c r="F39" s="51"/>
      <c r="G39" s="57"/>
      <c r="H39" s="51">
        <f>H8+H9+H10+H23+H32+H34+H37+H38+H12+H35+H11</f>
        <v>17586.491112802454</v>
      </c>
      <c r="I39" s="30"/>
      <c r="J39" s="52"/>
      <c r="K39" s="30"/>
      <c r="L39" s="30"/>
    </row>
    <row r="40" spans="1:12">
      <c r="A40" s="41"/>
      <c r="B40" s="41"/>
      <c r="C40" s="41"/>
      <c r="D40" s="42"/>
      <c r="E40" s="43"/>
      <c r="F40" s="58"/>
      <c r="G40" s="59"/>
      <c r="H40" s="60"/>
    </row>
    <row r="41" spans="1:12">
      <c r="A41" s="41"/>
      <c r="J41" s="52"/>
    </row>
    <row r="42" spans="1:12">
      <c r="A42" s="9"/>
      <c r="B42" s="41"/>
      <c r="C42" s="41"/>
      <c r="D42" s="42"/>
      <c r="E42" s="43"/>
      <c r="F42" s="58"/>
      <c r="G42" s="59"/>
      <c r="H42" s="60"/>
    </row>
    <row r="43" spans="1:12">
      <c r="B43" s="41"/>
      <c r="C43" s="41"/>
      <c r="D43" s="42"/>
      <c r="E43" s="43"/>
      <c r="F43" s="58"/>
      <c r="G43" s="59"/>
      <c r="H43" s="60"/>
    </row>
    <row r="44" spans="1:12">
      <c r="B44" s="41"/>
      <c r="C44" s="41"/>
      <c r="D44" s="42"/>
      <c r="E44" s="43"/>
      <c r="F44" s="58"/>
      <c r="G44" s="59"/>
      <c r="H44" s="60"/>
    </row>
    <row r="45" spans="1:12">
      <c r="B45" s="9"/>
      <c r="C45" s="9"/>
      <c r="H45" s="61"/>
    </row>
  </sheetData>
  <pageMargins left="0.70866141732283472" right="0.70866141732283472" top="0.74803149606299213" bottom="0.74803149606299213" header="0.31496062992125984" footer="0.31496062992125984"/>
  <pageSetup scale="47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31D979-00A4-4F46-A913-2257AE5A2EA2}">
  <sheetPr codeName="Sheet12">
    <tabColor rgb="FF92D050"/>
    <pageSetUpPr fitToPage="1"/>
  </sheetPr>
  <dimension ref="A1:M45"/>
  <sheetViews>
    <sheetView showGridLines="0" zoomScale="70" zoomScaleNormal="70" workbookViewId="0">
      <selection activeCell="F9" sqref="F9"/>
    </sheetView>
  </sheetViews>
  <sheetFormatPr defaultColWidth="9.140625" defaultRowHeight="15"/>
  <cols>
    <col min="1" max="1" width="35.28515625" bestFit="1" customWidth="1"/>
    <col min="5" max="5" width="6.140625" customWidth="1"/>
    <col min="6" max="6" width="11.140625" bestFit="1" customWidth="1"/>
    <col min="7" max="7" width="9.85546875" bestFit="1" customWidth="1"/>
    <col min="8" max="8" width="14.28515625" bestFit="1" customWidth="1"/>
    <col min="9" max="9" width="11.7109375" bestFit="1" customWidth="1"/>
    <col min="10" max="10" width="49.28515625" style="38" bestFit="1" customWidth="1"/>
    <col min="11" max="11" width="12.42578125" bestFit="1" customWidth="1"/>
    <col min="12" max="12" width="29.42578125" bestFit="1" customWidth="1"/>
  </cols>
  <sheetData>
    <row r="1" spans="1:13">
      <c r="A1" s="2"/>
      <c r="B1" s="2"/>
      <c r="C1" s="2"/>
      <c r="D1" s="2"/>
      <c r="E1" s="2"/>
      <c r="F1" s="2"/>
      <c r="G1" s="2"/>
      <c r="H1" s="2"/>
      <c r="J1" s="3" t="s">
        <v>14</v>
      </c>
      <c r="K1" s="4"/>
      <c r="L1" s="5" t="s">
        <v>15</v>
      </c>
    </row>
    <row r="2" spans="1:13">
      <c r="J2" s="6" t="s">
        <v>16</v>
      </c>
      <c r="K2" s="70"/>
      <c r="L2" s="7" t="s">
        <v>67</v>
      </c>
    </row>
    <row r="3" spans="1:13">
      <c r="J3" s="6" t="s">
        <v>17</v>
      </c>
      <c r="K3" s="70"/>
      <c r="L3" s="8">
        <v>1.0441</v>
      </c>
    </row>
    <row r="4" spans="1:13">
      <c r="A4" s="9"/>
      <c r="B4" s="9"/>
      <c r="C4" s="10"/>
      <c r="D4" s="10"/>
      <c r="E4" s="9"/>
      <c r="F4" s="11"/>
      <c r="G4" s="12"/>
      <c r="H4" s="13"/>
      <c r="J4" s="6" t="s">
        <v>18</v>
      </c>
      <c r="K4" s="70"/>
      <c r="L4" s="14" t="s">
        <v>19</v>
      </c>
    </row>
    <row r="5" spans="1:13">
      <c r="A5" s="9"/>
      <c r="B5" s="9"/>
      <c r="C5" s="15"/>
      <c r="D5" s="16"/>
      <c r="E5" s="9"/>
      <c r="F5" s="17" t="s">
        <v>20</v>
      </c>
      <c r="G5" s="18" t="s">
        <v>21</v>
      </c>
      <c r="H5" s="19" t="s">
        <v>22</v>
      </c>
      <c r="J5" s="6" t="s">
        <v>23</v>
      </c>
      <c r="K5" s="70"/>
      <c r="L5" s="20">
        <v>30</v>
      </c>
    </row>
    <row r="6" spans="1:13">
      <c r="A6" s="9"/>
      <c r="B6" s="9"/>
      <c r="C6" s="15"/>
      <c r="D6" s="16"/>
      <c r="E6" s="9"/>
      <c r="F6" s="21" t="s">
        <v>24</v>
      </c>
      <c r="G6" s="22"/>
      <c r="H6" s="22" t="s">
        <v>24</v>
      </c>
      <c r="J6" s="6" t="s">
        <v>25</v>
      </c>
      <c r="K6" s="70"/>
      <c r="L6" s="23">
        <f>Summary!E18</f>
        <v>267486.59999999998</v>
      </c>
    </row>
    <row r="7" spans="1:13">
      <c r="A7" s="9"/>
      <c r="B7" s="9"/>
      <c r="C7" s="15"/>
      <c r="D7" s="16"/>
      <c r="E7" s="9"/>
      <c r="F7" s="24"/>
      <c r="G7" s="25"/>
      <c r="H7" s="25"/>
      <c r="J7" s="6" t="s">
        <v>26</v>
      </c>
      <c r="K7" s="70"/>
      <c r="L7" s="26">
        <f>Summary!C5</f>
        <v>300</v>
      </c>
    </row>
    <row r="8" spans="1:13">
      <c r="A8" s="9" t="s">
        <v>27</v>
      </c>
      <c r="B8" s="9"/>
      <c r="C8" s="15"/>
      <c r="D8" s="16"/>
      <c r="E8" s="9"/>
      <c r="F8" s="27">
        <f>L8</f>
        <v>2.2474000000000001E-2</v>
      </c>
      <c r="G8" s="28">
        <f>L6*L3</f>
        <v>279282.75906000001</v>
      </c>
      <c r="H8" s="29">
        <f>G8*F8</f>
        <v>6276.6007271144408</v>
      </c>
      <c r="I8" s="30"/>
      <c r="J8" s="6" t="s">
        <v>28</v>
      </c>
      <c r="K8" s="70"/>
      <c r="L8" s="32">
        <v>2.2474000000000001E-2</v>
      </c>
    </row>
    <row r="9" spans="1:13">
      <c r="A9" s="9" t="s">
        <v>50</v>
      </c>
      <c r="B9" s="9"/>
      <c r="C9" s="15"/>
      <c r="D9" s="16"/>
      <c r="E9" s="9"/>
      <c r="F9" s="63">
        <f>135.27/1000</f>
        <v>0.13527</v>
      </c>
      <c r="G9" s="28">
        <f>L6*L3</f>
        <v>279282.75906000001</v>
      </c>
      <c r="H9" s="29">
        <f>G9*F9</f>
        <v>37778.578818046204</v>
      </c>
      <c r="I9" s="30"/>
      <c r="J9" s="6" t="s">
        <v>59</v>
      </c>
      <c r="K9" s="70"/>
      <c r="L9" s="71">
        <f>-Summary!C7</f>
        <v>-50</v>
      </c>
    </row>
    <row r="10" spans="1:13">
      <c r="A10" s="9" t="s">
        <v>29</v>
      </c>
      <c r="B10" s="9"/>
      <c r="C10" s="15"/>
      <c r="D10" s="16"/>
      <c r="E10" s="9"/>
      <c r="F10" s="27">
        <f>F8</f>
        <v>2.2474000000000001E-2</v>
      </c>
      <c r="G10" s="31">
        <f>L10*L3</f>
        <v>-156615</v>
      </c>
      <c r="H10" s="33">
        <f>G10*F10</f>
        <v>-3519.7655100000002</v>
      </c>
      <c r="J10" s="34" t="s">
        <v>58</v>
      </c>
      <c r="K10" s="35"/>
      <c r="L10" s="72">
        <f>-Summary!C6</f>
        <v>-150000</v>
      </c>
    </row>
    <row r="11" spans="1:13">
      <c r="A11" s="9" t="s">
        <v>50</v>
      </c>
      <c r="B11" s="9"/>
      <c r="C11" s="15"/>
      <c r="D11" s="16"/>
      <c r="E11" s="9"/>
      <c r="F11" s="27">
        <f>F9</f>
        <v>0.13527</v>
      </c>
      <c r="G11" s="31">
        <f>L10*L3</f>
        <v>-156615</v>
      </c>
      <c r="H11" s="33">
        <f>G11*F11</f>
        <v>-21185.31105</v>
      </c>
    </row>
    <row r="12" spans="1:13">
      <c r="A12" s="9"/>
      <c r="B12" s="9"/>
      <c r="C12" s="15"/>
      <c r="D12" s="16"/>
      <c r="E12" s="9"/>
      <c r="F12" s="27"/>
      <c r="G12" s="31"/>
      <c r="H12" s="62"/>
      <c r="J12" s="36"/>
      <c r="K12" s="1"/>
      <c r="L12" s="37"/>
    </row>
    <row r="13" spans="1:13">
      <c r="A13" s="41" t="s">
        <v>30</v>
      </c>
      <c r="B13" s="41"/>
      <c r="C13" s="41"/>
      <c r="D13" s="42"/>
      <c r="E13" s="43"/>
      <c r="F13" s="44">
        <v>86.22</v>
      </c>
      <c r="G13" s="45">
        <v>1</v>
      </c>
      <c r="H13" s="46">
        <f>G13*F13</f>
        <v>86.22</v>
      </c>
      <c r="K13" s="39"/>
      <c r="L13" s="40"/>
    </row>
    <row r="14" spans="1:13">
      <c r="A14" s="41" t="s">
        <v>31</v>
      </c>
      <c r="B14" s="41"/>
      <c r="C14" s="41"/>
      <c r="D14" s="42"/>
      <c r="E14" s="43"/>
      <c r="F14" s="47">
        <v>3.4548999999999999</v>
      </c>
      <c r="G14" s="45">
        <f>L7</f>
        <v>300</v>
      </c>
      <c r="H14" s="46">
        <f t="shared" ref="H14:H18" si="0">G14*F14</f>
        <v>1036.47</v>
      </c>
      <c r="J14" s="38" t="s">
        <v>65</v>
      </c>
      <c r="K14" s="39">
        <f>(H8+H9+H13+H14+H16+H18+H20+H25+H26+H27+H28+H37)*1.13</f>
        <v>53913.16140520895</v>
      </c>
      <c r="L14" s="40"/>
      <c r="M14" s="30"/>
    </row>
    <row r="15" spans="1:13">
      <c r="A15" s="41" t="s">
        <v>31</v>
      </c>
      <c r="B15" s="41"/>
      <c r="C15" s="41"/>
      <c r="D15" s="42"/>
      <c r="E15" s="43"/>
      <c r="F15" s="47">
        <f>F14</f>
        <v>3.4548999999999999</v>
      </c>
      <c r="G15" s="45">
        <f>L9</f>
        <v>-50</v>
      </c>
      <c r="H15" s="53">
        <f>G15*F15</f>
        <v>-172.745</v>
      </c>
      <c r="J15" s="38" t="s">
        <v>60</v>
      </c>
      <c r="K15" s="39">
        <f>(H10+H29+H31+H11+H30)*1.13</f>
        <v>-28606.938817800001</v>
      </c>
      <c r="L15" s="40"/>
    </row>
    <row r="16" spans="1:13">
      <c r="A16" s="41" t="s">
        <v>33</v>
      </c>
      <c r="B16" s="41"/>
      <c r="C16" s="41"/>
      <c r="D16" s="42"/>
      <c r="E16" s="43"/>
      <c r="F16" s="47">
        <v>0.49330000000000002</v>
      </c>
      <c r="G16" s="45">
        <f>L7</f>
        <v>300</v>
      </c>
      <c r="H16" s="46">
        <f t="shared" si="0"/>
        <v>147.99</v>
      </c>
      <c r="J16" s="38" t="s">
        <v>61</v>
      </c>
      <c r="K16" s="39">
        <f>(H15+H17+H19+H21)*1.13</f>
        <v>-446.33304999999996</v>
      </c>
    </row>
    <row r="17" spans="1:12">
      <c r="A17" s="41" t="s">
        <v>33</v>
      </c>
      <c r="B17" s="41"/>
      <c r="C17" s="41"/>
      <c r="D17" s="42"/>
      <c r="E17" s="43"/>
      <c r="F17" s="47">
        <f>F16</f>
        <v>0.49330000000000002</v>
      </c>
      <c r="G17" s="45">
        <f>L9</f>
        <v>-50</v>
      </c>
      <c r="H17" s="53">
        <f>G17*F17</f>
        <v>-24.664999999999999</v>
      </c>
      <c r="J17" s="38" t="s">
        <v>66</v>
      </c>
      <c r="K17" s="73">
        <f>H22</f>
        <v>863.72499999999991</v>
      </c>
    </row>
    <row r="18" spans="1:12" ht="15.75" thickBot="1">
      <c r="A18" s="41" t="s">
        <v>34</v>
      </c>
      <c r="B18" s="41"/>
      <c r="C18" s="41"/>
      <c r="D18" s="42"/>
      <c r="E18" s="43"/>
      <c r="F18" s="47">
        <v>1.738</v>
      </c>
      <c r="G18" s="45">
        <f>L7</f>
        <v>300</v>
      </c>
      <c r="H18" s="46">
        <f t="shared" si="0"/>
        <v>521.4</v>
      </c>
      <c r="J18" s="38" t="s">
        <v>32</v>
      </c>
      <c r="K18" s="48">
        <f>K14+K15+K16+K17</f>
        <v>25723.614537408946</v>
      </c>
      <c r="L18" s="49">
        <f>K18-H39</f>
        <v>3.2499999997526174E-2</v>
      </c>
    </row>
    <row r="19" spans="1:12">
      <c r="A19" s="41" t="s">
        <v>34</v>
      </c>
      <c r="B19" s="41"/>
      <c r="C19" s="41"/>
      <c r="D19" s="42"/>
      <c r="E19" s="43"/>
      <c r="F19" s="47">
        <f>F18</f>
        <v>1.738</v>
      </c>
      <c r="G19" s="45">
        <f>L9</f>
        <v>-50</v>
      </c>
      <c r="H19" s="53">
        <f>G19*F19</f>
        <v>-86.9</v>
      </c>
    </row>
    <row r="20" spans="1:12">
      <c r="A20" s="41" t="s">
        <v>35</v>
      </c>
      <c r="B20" s="41"/>
      <c r="C20" s="41"/>
      <c r="D20" s="42"/>
      <c r="E20" s="43"/>
      <c r="F20" s="47">
        <v>2.2134999999999998</v>
      </c>
      <c r="G20" s="45">
        <f>L7</f>
        <v>300</v>
      </c>
      <c r="H20" s="46">
        <f>G20*F20</f>
        <v>664.05</v>
      </c>
    </row>
    <row r="21" spans="1:12">
      <c r="A21" s="41" t="s">
        <v>35</v>
      </c>
      <c r="B21" s="41"/>
      <c r="C21" s="41"/>
      <c r="D21" s="42"/>
      <c r="E21" s="43"/>
      <c r="F21" s="47">
        <f>F20</f>
        <v>2.2134999999999998</v>
      </c>
      <c r="G21" s="45">
        <f>L9</f>
        <v>-50</v>
      </c>
      <c r="H21" s="53">
        <f>G21*F21</f>
        <v>-110.67499999999998</v>
      </c>
      <c r="K21" s="75"/>
      <c r="L21" s="49"/>
    </row>
    <row r="22" spans="1:12">
      <c r="A22" s="41" t="s">
        <v>51</v>
      </c>
      <c r="B22" s="41"/>
      <c r="C22" s="41"/>
      <c r="D22" s="42"/>
      <c r="E22" s="43"/>
      <c r="F22" s="47">
        <f>F14</f>
        <v>3.4548999999999999</v>
      </c>
      <c r="G22" s="45">
        <f>Summary!C8</f>
        <v>250</v>
      </c>
      <c r="H22" s="74">
        <f>G22*F22</f>
        <v>863.72499999999991</v>
      </c>
      <c r="K22" s="39"/>
      <c r="L22" s="40"/>
    </row>
    <row r="23" spans="1:12" ht="15.75" thickBot="1">
      <c r="A23" s="50" t="s">
        <v>36</v>
      </c>
      <c r="B23" s="50"/>
      <c r="C23" s="50"/>
      <c r="D23" s="50"/>
      <c r="E23" s="50"/>
      <c r="F23" s="50"/>
      <c r="G23" s="50"/>
      <c r="H23" s="51">
        <f>SUM(H13:H22)</f>
        <v>2924.8699999999994</v>
      </c>
      <c r="K23" s="39"/>
      <c r="L23" s="40"/>
    </row>
    <row r="24" spans="1:12">
      <c r="K24" s="39"/>
      <c r="L24" s="40"/>
    </row>
    <row r="25" spans="1:12">
      <c r="A25" s="41" t="s">
        <v>37</v>
      </c>
      <c r="B25" s="41"/>
      <c r="C25" s="41"/>
      <c r="D25" s="42"/>
      <c r="E25" s="43"/>
      <c r="F25" s="47">
        <v>3.0000000000000001E-3</v>
      </c>
      <c r="G25" s="45">
        <f>(L6*L3)</f>
        <v>279282.75906000001</v>
      </c>
      <c r="H25" s="46">
        <f t="shared" ref="H25:H31" si="1">G25*F25</f>
        <v>837.84827718000008</v>
      </c>
    </row>
    <row r="26" spans="1:12">
      <c r="A26" s="41" t="s">
        <v>38</v>
      </c>
      <c r="F26" s="47">
        <v>4.0000000000000002E-4</v>
      </c>
      <c r="G26" s="45">
        <f>L6*L3</f>
        <v>279282.75906000001</v>
      </c>
      <c r="H26" s="46">
        <f t="shared" si="1"/>
        <v>111.71310362400001</v>
      </c>
      <c r="I26" s="30"/>
    </row>
    <row r="27" spans="1:12">
      <c r="A27" s="41" t="s">
        <v>39</v>
      </c>
      <c r="B27" s="41"/>
      <c r="C27" s="41"/>
      <c r="D27" s="42"/>
      <c r="E27" s="43"/>
      <c r="F27" s="47">
        <v>5.0000000000000001E-4</v>
      </c>
      <c r="G27" s="45">
        <f>(L6*L3)</f>
        <v>279282.75906000001</v>
      </c>
      <c r="H27" s="46">
        <f t="shared" si="1"/>
        <v>139.64137952999999</v>
      </c>
    </row>
    <row r="28" spans="1:12">
      <c r="A28" s="41" t="s">
        <v>48</v>
      </c>
      <c r="B28" s="41"/>
      <c r="C28" s="41"/>
      <c r="D28" s="42"/>
      <c r="E28" s="43"/>
      <c r="F28" s="47">
        <v>0.25</v>
      </c>
      <c r="G28" s="45">
        <v>1</v>
      </c>
      <c r="H28" s="46">
        <f t="shared" si="1"/>
        <v>0.25</v>
      </c>
    </row>
    <row r="29" spans="1:12">
      <c r="A29" s="41" t="s">
        <v>40</v>
      </c>
      <c r="B29" s="41"/>
      <c r="C29" s="41"/>
      <c r="D29" s="42"/>
      <c r="E29" s="43"/>
      <c r="F29" s="47">
        <f>F25</f>
        <v>3.0000000000000001E-3</v>
      </c>
      <c r="G29" s="45">
        <f>L10*L3</f>
        <v>-156615</v>
      </c>
      <c r="H29" s="53">
        <f t="shared" si="1"/>
        <v>-469.84500000000003</v>
      </c>
    </row>
    <row r="30" spans="1:12">
      <c r="A30" s="41" t="s">
        <v>41</v>
      </c>
      <c r="B30" s="41"/>
      <c r="C30" s="41"/>
      <c r="D30" s="42"/>
      <c r="E30" s="43"/>
      <c r="F30" s="47">
        <v>4.0000000000000002E-4</v>
      </c>
      <c r="G30" s="45">
        <f>L10*L3</f>
        <v>-156615</v>
      </c>
      <c r="H30" s="53">
        <f t="shared" si="1"/>
        <v>-62.646000000000001</v>
      </c>
    </row>
    <row r="31" spans="1:12">
      <c r="A31" s="41" t="s">
        <v>42</v>
      </c>
      <c r="B31" s="41"/>
      <c r="C31" s="41"/>
      <c r="D31" s="42"/>
      <c r="E31" s="43"/>
      <c r="F31" s="47">
        <f>F27</f>
        <v>5.0000000000000001E-4</v>
      </c>
      <c r="G31" s="45">
        <f>L10*L3</f>
        <v>-156615</v>
      </c>
      <c r="H31" s="53">
        <f t="shared" si="1"/>
        <v>-78.307500000000005</v>
      </c>
    </row>
    <row r="32" spans="1:12" ht="15.75" thickBot="1">
      <c r="A32" s="50" t="s">
        <v>43</v>
      </c>
      <c r="B32" s="50"/>
      <c r="C32" s="50"/>
      <c r="D32" s="50"/>
      <c r="E32" s="50"/>
      <c r="F32" s="50"/>
      <c r="G32" s="50"/>
      <c r="H32" s="51">
        <f>SUM(H25:H31)</f>
        <v>478.65426033400024</v>
      </c>
    </row>
    <row r="34" spans="1:12">
      <c r="A34" t="s">
        <v>44</v>
      </c>
      <c r="B34" s="41"/>
      <c r="C34" s="41"/>
      <c r="D34" s="42"/>
      <c r="E34" s="43"/>
      <c r="H34" s="39">
        <f>(H8+H9+H13+H14+H16+H18+H20+H25+H26+H27+H37)*0.13</f>
        <v>6202.3665997143053</v>
      </c>
      <c r="I34" s="30"/>
    </row>
    <row r="35" spans="1:12">
      <c r="A35" t="s">
        <v>45</v>
      </c>
      <c r="B35" s="41"/>
      <c r="C35" s="41"/>
      <c r="D35" s="42"/>
      <c r="E35" s="43"/>
      <c r="H35" s="54">
        <f>(H29+H31+H11+H10+H30+H15+H17+H19+H21)*0.13</f>
        <v>-3342.4118078000006</v>
      </c>
      <c r="I35" s="30"/>
      <c r="L35" s="30"/>
    </row>
    <row r="36" spans="1:12">
      <c r="A36" t="s">
        <v>1</v>
      </c>
      <c r="B36" s="41"/>
      <c r="C36" s="41"/>
      <c r="D36" s="42"/>
      <c r="E36" s="43"/>
      <c r="F36" s="55"/>
      <c r="G36" s="56"/>
      <c r="H36" s="39">
        <f>H34+H32+H8+H9+H10+H23+H35+H11</f>
        <v>25613.582037408949</v>
      </c>
      <c r="I36" s="30"/>
      <c r="L36" s="30"/>
    </row>
    <row r="37" spans="1:12">
      <c r="A37" t="s">
        <v>49</v>
      </c>
      <c r="B37" s="41"/>
      <c r="C37" s="41"/>
      <c r="D37" s="42"/>
      <c r="E37" s="43"/>
      <c r="F37" s="55"/>
      <c r="G37" s="56"/>
      <c r="H37" s="39">
        <v>110</v>
      </c>
    </row>
    <row r="38" spans="1:12">
      <c r="A38" t="s">
        <v>46</v>
      </c>
      <c r="F38" s="39"/>
      <c r="G38" s="1"/>
      <c r="H38" s="39">
        <v>0</v>
      </c>
      <c r="I38" s="30"/>
      <c r="J38" s="52"/>
      <c r="K38" s="30"/>
    </row>
    <row r="39" spans="1:12" ht="15.75" thickBot="1">
      <c r="A39" s="50" t="s">
        <v>47</v>
      </c>
      <c r="B39" s="50"/>
      <c r="C39" s="50"/>
      <c r="D39" s="50"/>
      <c r="E39" s="50"/>
      <c r="F39" s="51"/>
      <c r="G39" s="57"/>
      <c r="H39" s="51">
        <f>H8+H9+H10+H23+H32+H34+H37+H38+H12+H35+H11</f>
        <v>25723.582037408949</v>
      </c>
      <c r="I39" s="30"/>
      <c r="J39" s="52"/>
      <c r="K39" s="30"/>
      <c r="L39" s="30"/>
    </row>
    <row r="40" spans="1:12">
      <c r="A40" s="41"/>
      <c r="B40" s="41"/>
      <c r="C40" s="41"/>
      <c r="D40" s="42"/>
      <c r="E40" s="43"/>
      <c r="F40" s="58"/>
      <c r="G40" s="59"/>
      <c r="H40" s="60"/>
    </row>
    <row r="41" spans="1:12">
      <c r="A41" s="41"/>
      <c r="J41" s="52"/>
    </row>
    <row r="42" spans="1:12">
      <c r="A42" s="9"/>
      <c r="B42" s="41"/>
      <c r="C42" s="41"/>
      <c r="D42" s="42"/>
      <c r="E42" s="43"/>
      <c r="F42" s="58"/>
      <c r="G42" s="59"/>
      <c r="H42" s="60"/>
    </row>
    <row r="43" spans="1:12">
      <c r="B43" s="41"/>
      <c r="C43" s="41"/>
      <c r="D43" s="42"/>
      <c r="E43" s="43"/>
      <c r="F43" s="58"/>
      <c r="G43" s="59"/>
      <c r="H43" s="60"/>
    </row>
    <row r="44" spans="1:12">
      <c r="B44" s="41"/>
      <c r="C44" s="41"/>
      <c r="D44" s="42"/>
      <c r="E44" s="43"/>
      <c r="F44" s="58"/>
      <c r="G44" s="59"/>
      <c r="H44" s="60"/>
    </row>
    <row r="45" spans="1:12">
      <c r="B45" s="9"/>
      <c r="C45" s="9"/>
      <c r="H45" s="61"/>
    </row>
  </sheetData>
  <pageMargins left="0.70866141732283472" right="0.70866141732283472" top="0.74803149606299213" bottom="0.74803149606299213" header="0.31496062992125984" footer="0.31496062992125984"/>
  <pageSetup scale="47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4FF66C-0A33-4816-AE87-870C71F2260D}">
  <sheetPr codeName="Sheet13">
    <tabColor rgb="FF92D050"/>
    <pageSetUpPr fitToPage="1"/>
  </sheetPr>
  <dimension ref="A1:M45"/>
  <sheetViews>
    <sheetView showGridLines="0" zoomScale="70" zoomScaleNormal="70" workbookViewId="0">
      <selection activeCell="F9" sqref="F9"/>
    </sheetView>
  </sheetViews>
  <sheetFormatPr defaultColWidth="9.140625" defaultRowHeight="15"/>
  <cols>
    <col min="1" max="1" width="35.28515625" bestFit="1" customWidth="1"/>
    <col min="5" max="5" width="6.140625" customWidth="1"/>
    <col min="6" max="6" width="11.140625" bestFit="1" customWidth="1"/>
    <col min="7" max="7" width="9.85546875" bestFit="1" customWidth="1"/>
    <col min="8" max="8" width="14.28515625" bestFit="1" customWidth="1"/>
    <col min="9" max="9" width="11.7109375" bestFit="1" customWidth="1"/>
    <col min="10" max="10" width="49.28515625" style="38" bestFit="1" customWidth="1"/>
    <col min="11" max="11" width="12.42578125" bestFit="1" customWidth="1"/>
    <col min="12" max="12" width="29.42578125" bestFit="1" customWidth="1"/>
  </cols>
  <sheetData>
    <row r="1" spans="1:13">
      <c r="A1" s="2"/>
      <c r="B1" s="2"/>
      <c r="C1" s="2"/>
      <c r="D1" s="2"/>
      <c r="E1" s="2"/>
      <c r="F1" s="2"/>
      <c r="G1" s="2"/>
      <c r="H1" s="2"/>
      <c r="J1" s="3" t="s">
        <v>14</v>
      </c>
      <c r="K1" s="4"/>
      <c r="L1" s="5" t="s">
        <v>15</v>
      </c>
    </row>
    <row r="2" spans="1:13">
      <c r="J2" s="6" t="s">
        <v>16</v>
      </c>
      <c r="K2" s="70"/>
      <c r="L2" s="7" t="s">
        <v>67</v>
      </c>
    </row>
    <row r="3" spans="1:13">
      <c r="J3" s="6" t="s">
        <v>17</v>
      </c>
      <c r="K3" s="70"/>
      <c r="L3" s="8">
        <v>1.0441</v>
      </c>
    </row>
    <row r="4" spans="1:13">
      <c r="A4" s="9"/>
      <c r="B4" s="9"/>
      <c r="C4" s="10"/>
      <c r="D4" s="10"/>
      <c r="E4" s="9"/>
      <c r="F4" s="11"/>
      <c r="G4" s="12"/>
      <c r="H4" s="13"/>
      <c r="J4" s="6" t="s">
        <v>18</v>
      </c>
      <c r="K4" s="70"/>
      <c r="L4" s="14" t="s">
        <v>19</v>
      </c>
    </row>
    <row r="5" spans="1:13">
      <c r="A5" s="9"/>
      <c r="B5" s="9"/>
      <c r="C5" s="15"/>
      <c r="D5" s="16"/>
      <c r="E5" s="9"/>
      <c r="F5" s="17" t="s">
        <v>20</v>
      </c>
      <c r="G5" s="18" t="s">
        <v>21</v>
      </c>
      <c r="H5" s="19" t="s">
        <v>22</v>
      </c>
      <c r="J5" s="6" t="s">
        <v>23</v>
      </c>
      <c r="K5" s="70"/>
      <c r="L5" s="20">
        <v>30</v>
      </c>
    </row>
    <row r="6" spans="1:13">
      <c r="A6" s="9"/>
      <c r="B6" s="9"/>
      <c r="C6" s="15"/>
      <c r="D6" s="16"/>
      <c r="E6" s="9"/>
      <c r="F6" s="21" t="s">
        <v>24</v>
      </c>
      <c r="G6" s="22"/>
      <c r="H6" s="22" t="s">
        <v>24</v>
      </c>
      <c r="J6" s="6" t="s">
        <v>25</v>
      </c>
      <c r="K6" s="70"/>
      <c r="L6" s="23">
        <f>Summary!E19</f>
        <v>377980.8</v>
      </c>
    </row>
    <row r="7" spans="1:13">
      <c r="A7" s="9"/>
      <c r="B7" s="9"/>
      <c r="C7" s="15"/>
      <c r="D7" s="16"/>
      <c r="E7" s="9"/>
      <c r="F7" s="24"/>
      <c r="G7" s="25"/>
      <c r="H7" s="25"/>
      <c r="J7" s="6" t="s">
        <v>26</v>
      </c>
      <c r="K7" s="70"/>
      <c r="L7" s="26">
        <f>Summary!C5</f>
        <v>300</v>
      </c>
    </row>
    <row r="8" spans="1:13">
      <c r="A8" s="9" t="s">
        <v>27</v>
      </c>
      <c r="B8" s="9"/>
      <c r="C8" s="15"/>
      <c r="D8" s="16"/>
      <c r="E8" s="9"/>
      <c r="F8" s="27">
        <f>L8</f>
        <v>1.6251000000000002E-2</v>
      </c>
      <c r="G8" s="28">
        <f>L6*L3</f>
        <v>394649.75328</v>
      </c>
      <c r="H8" s="29">
        <f>G8*F8</f>
        <v>6413.4531405532807</v>
      </c>
      <c r="I8" s="30"/>
      <c r="J8" s="6" t="s">
        <v>28</v>
      </c>
      <c r="K8" s="70"/>
      <c r="L8" s="32">
        <v>1.6251000000000002E-2</v>
      </c>
    </row>
    <row r="9" spans="1:13">
      <c r="A9" s="9" t="s">
        <v>50</v>
      </c>
      <c r="B9" s="9"/>
      <c r="C9" s="15"/>
      <c r="D9" s="16"/>
      <c r="E9" s="9"/>
      <c r="F9" s="63">
        <f>72.11/1000</f>
        <v>7.2109999999999994E-2</v>
      </c>
      <c r="G9" s="28">
        <f>L6*L3</f>
        <v>394649.75328</v>
      </c>
      <c r="H9" s="29">
        <f>G9*F9</f>
        <v>28458.193709020798</v>
      </c>
      <c r="I9" s="30"/>
      <c r="J9" s="6" t="s">
        <v>59</v>
      </c>
      <c r="K9" s="70"/>
      <c r="L9" s="71">
        <f>-Summary!C7</f>
        <v>-50</v>
      </c>
    </row>
    <row r="10" spans="1:13">
      <c r="A10" s="9" t="s">
        <v>29</v>
      </c>
      <c r="B10" s="9"/>
      <c r="C10" s="15"/>
      <c r="D10" s="16"/>
      <c r="E10" s="9"/>
      <c r="F10" s="27">
        <f>F8</f>
        <v>1.6251000000000002E-2</v>
      </c>
      <c r="G10" s="31">
        <f>L10*L3</f>
        <v>-156615</v>
      </c>
      <c r="H10" s="33">
        <f>G10*F10</f>
        <v>-2545.1503650000004</v>
      </c>
      <c r="J10" s="34" t="s">
        <v>58</v>
      </c>
      <c r="K10" s="35"/>
      <c r="L10" s="72">
        <f>-Summary!C6</f>
        <v>-150000</v>
      </c>
    </row>
    <row r="11" spans="1:13">
      <c r="A11" s="9" t="s">
        <v>50</v>
      </c>
      <c r="B11" s="9"/>
      <c r="C11" s="15"/>
      <c r="D11" s="16"/>
      <c r="E11" s="9"/>
      <c r="F11" s="27">
        <f>F9</f>
        <v>7.2109999999999994E-2</v>
      </c>
      <c r="G11" s="31">
        <f>L10*L3</f>
        <v>-156615</v>
      </c>
      <c r="H11" s="33">
        <f>G11*F11</f>
        <v>-11293.50765</v>
      </c>
    </row>
    <row r="12" spans="1:13">
      <c r="A12" s="9"/>
      <c r="B12" s="9"/>
      <c r="C12" s="15"/>
      <c r="D12" s="16"/>
      <c r="E12" s="9"/>
      <c r="F12" s="27"/>
      <c r="G12" s="31"/>
      <c r="H12" s="62"/>
      <c r="J12" s="36"/>
      <c r="K12" s="1"/>
      <c r="L12" s="37"/>
    </row>
    <row r="13" spans="1:13">
      <c r="A13" s="41" t="s">
        <v>30</v>
      </c>
      <c r="B13" s="41"/>
      <c r="C13" s="41"/>
      <c r="D13" s="42"/>
      <c r="E13" s="43"/>
      <c r="F13" s="44">
        <v>86.22</v>
      </c>
      <c r="G13" s="45">
        <v>1</v>
      </c>
      <c r="H13" s="46">
        <f>G13*F13</f>
        <v>86.22</v>
      </c>
      <c r="K13" s="39"/>
      <c r="L13" s="40"/>
    </row>
    <row r="14" spans="1:13">
      <c r="A14" s="41" t="s">
        <v>31</v>
      </c>
      <c r="B14" s="41"/>
      <c r="C14" s="41"/>
      <c r="D14" s="42"/>
      <c r="E14" s="43"/>
      <c r="F14" s="47">
        <v>3.4548999999999999</v>
      </c>
      <c r="G14" s="45">
        <f>L7</f>
        <v>300</v>
      </c>
      <c r="H14" s="46">
        <f t="shared" ref="H14:H18" si="0">G14*F14</f>
        <v>1036.47</v>
      </c>
      <c r="J14" s="38" t="s">
        <v>65</v>
      </c>
      <c r="K14" s="39">
        <f>(H8+H9+H13+H14+H16+H18+H20+H25+H26+H27+H28+H37)*1.13</f>
        <v>44044.191802723668</v>
      </c>
      <c r="L14" s="40"/>
      <c r="M14" s="30"/>
    </row>
    <row r="15" spans="1:13">
      <c r="A15" s="41" t="s">
        <v>31</v>
      </c>
      <c r="B15" s="41"/>
      <c r="C15" s="41"/>
      <c r="D15" s="42"/>
      <c r="E15" s="43"/>
      <c r="F15" s="47">
        <f>F14</f>
        <v>3.4548999999999999</v>
      </c>
      <c r="G15" s="45">
        <f>L9</f>
        <v>-50</v>
      </c>
      <c r="H15" s="53">
        <f>G15*F15</f>
        <v>-172.745</v>
      </c>
      <c r="J15" s="38" t="s">
        <v>60</v>
      </c>
      <c r="K15" s="39">
        <f>(H10+H29+H31+H11+H30)*1.13</f>
        <v>-16327.885861950001</v>
      </c>
      <c r="L15" s="40"/>
    </row>
    <row r="16" spans="1:13">
      <c r="A16" s="41" t="s">
        <v>33</v>
      </c>
      <c r="B16" s="41"/>
      <c r="C16" s="41"/>
      <c r="D16" s="42"/>
      <c r="E16" s="43"/>
      <c r="F16" s="47">
        <v>0.49330000000000002</v>
      </c>
      <c r="G16" s="45">
        <f>L7</f>
        <v>300</v>
      </c>
      <c r="H16" s="46">
        <f t="shared" si="0"/>
        <v>147.99</v>
      </c>
      <c r="J16" s="38" t="s">
        <v>61</v>
      </c>
      <c r="K16" s="39">
        <f>(H15+H17+H19+H21)*1.13</f>
        <v>-446.33304999999996</v>
      </c>
    </row>
    <row r="17" spans="1:12">
      <c r="A17" s="41" t="s">
        <v>33</v>
      </c>
      <c r="B17" s="41"/>
      <c r="C17" s="41"/>
      <c r="D17" s="42"/>
      <c r="E17" s="43"/>
      <c r="F17" s="47">
        <f>F16</f>
        <v>0.49330000000000002</v>
      </c>
      <c r="G17" s="45">
        <f>L9</f>
        <v>-50</v>
      </c>
      <c r="H17" s="53">
        <f>G17*F17</f>
        <v>-24.664999999999999</v>
      </c>
      <c r="J17" s="38" t="s">
        <v>66</v>
      </c>
      <c r="K17" s="73">
        <f>H22</f>
        <v>863.72499999999991</v>
      </c>
    </row>
    <row r="18" spans="1:12" ht="15.75" thickBot="1">
      <c r="A18" s="41" t="s">
        <v>34</v>
      </c>
      <c r="B18" s="41"/>
      <c r="C18" s="41"/>
      <c r="D18" s="42"/>
      <c r="E18" s="43"/>
      <c r="F18" s="47">
        <v>1.738</v>
      </c>
      <c r="G18" s="45">
        <f>L7</f>
        <v>300</v>
      </c>
      <c r="H18" s="46">
        <f t="shared" si="0"/>
        <v>521.4</v>
      </c>
      <c r="J18" s="38" t="s">
        <v>32</v>
      </c>
      <c r="K18" s="48">
        <f>K14+K15+K16+K17</f>
        <v>28133.697890773663</v>
      </c>
      <c r="L18" s="49">
        <f>K18-H39</f>
        <v>3.2499999986612238E-2</v>
      </c>
    </row>
    <row r="19" spans="1:12">
      <c r="A19" s="41" t="s">
        <v>34</v>
      </c>
      <c r="B19" s="41"/>
      <c r="C19" s="41"/>
      <c r="D19" s="42"/>
      <c r="E19" s="43"/>
      <c r="F19" s="47">
        <f>F18</f>
        <v>1.738</v>
      </c>
      <c r="G19" s="45">
        <f>L9</f>
        <v>-50</v>
      </c>
      <c r="H19" s="53">
        <f>G19*F19</f>
        <v>-86.9</v>
      </c>
    </row>
    <row r="20" spans="1:12">
      <c r="A20" s="41" t="s">
        <v>35</v>
      </c>
      <c r="B20" s="41"/>
      <c r="C20" s="41"/>
      <c r="D20" s="42"/>
      <c r="E20" s="43"/>
      <c r="F20" s="47">
        <v>2.2134999999999998</v>
      </c>
      <c r="G20" s="45">
        <f>L7</f>
        <v>300</v>
      </c>
      <c r="H20" s="46">
        <f>G20*F20</f>
        <v>664.05</v>
      </c>
    </row>
    <row r="21" spans="1:12">
      <c r="A21" s="41" t="s">
        <v>35</v>
      </c>
      <c r="B21" s="41"/>
      <c r="C21" s="41"/>
      <c r="D21" s="42"/>
      <c r="E21" s="43"/>
      <c r="F21" s="47">
        <f>F20</f>
        <v>2.2134999999999998</v>
      </c>
      <c r="G21" s="45">
        <f>L9</f>
        <v>-50</v>
      </c>
      <c r="H21" s="53">
        <f>G21*F21</f>
        <v>-110.67499999999998</v>
      </c>
      <c r="K21" s="75"/>
      <c r="L21" s="49"/>
    </row>
    <row r="22" spans="1:12">
      <c r="A22" s="41" t="s">
        <v>51</v>
      </c>
      <c r="B22" s="41"/>
      <c r="C22" s="41"/>
      <c r="D22" s="42"/>
      <c r="E22" s="43"/>
      <c r="F22" s="47">
        <f>F14</f>
        <v>3.4548999999999999</v>
      </c>
      <c r="G22" s="45">
        <f>Summary!C8</f>
        <v>250</v>
      </c>
      <c r="H22" s="74">
        <f>G22*F22</f>
        <v>863.72499999999991</v>
      </c>
      <c r="K22" s="39"/>
      <c r="L22" s="40"/>
    </row>
    <row r="23" spans="1:12" ht="15.75" thickBot="1">
      <c r="A23" s="50" t="s">
        <v>36</v>
      </c>
      <c r="B23" s="50"/>
      <c r="C23" s="50"/>
      <c r="D23" s="50"/>
      <c r="E23" s="50"/>
      <c r="F23" s="50"/>
      <c r="G23" s="50"/>
      <c r="H23" s="51">
        <f>SUM(H13:H22)</f>
        <v>2924.8699999999994</v>
      </c>
      <c r="K23" s="39"/>
      <c r="L23" s="40"/>
    </row>
    <row r="24" spans="1:12">
      <c r="K24" s="39"/>
      <c r="L24" s="40"/>
    </row>
    <row r="25" spans="1:12">
      <c r="A25" s="41" t="s">
        <v>37</v>
      </c>
      <c r="B25" s="41"/>
      <c r="C25" s="41"/>
      <c r="D25" s="42"/>
      <c r="E25" s="43"/>
      <c r="F25" s="47">
        <v>3.0000000000000001E-3</v>
      </c>
      <c r="G25" s="45">
        <f>(L6*L3)</f>
        <v>394649.75328</v>
      </c>
      <c r="H25" s="46">
        <f t="shared" ref="H25:H31" si="1">G25*F25</f>
        <v>1183.94925984</v>
      </c>
    </row>
    <row r="26" spans="1:12">
      <c r="A26" s="41" t="s">
        <v>38</v>
      </c>
      <c r="F26" s="47">
        <v>4.0000000000000002E-4</v>
      </c>
      <c r="G26" s="45">
        <f>L6*L3</f>
        <v>394649.75328</v>
      </c>
      <c r="H26" s="46">
        <f t="shared" si="1"/>
        <v>157.85990131200001</v>
      </c>
      <c r="I26" s="30"/>
    </row>
    <row r="27" spans="1:12">
      <c r="A27" s="41" t="s">
        <v>39</v>
      </c>
      <c r="B27" s="41"/>
      <c r="C27" s="41"/>
      <c r="D27" s="42"/>
      <c r="E27" s="43"/>
      <c r="F27" s="47">
        <v>5.0000000000000001E-4</v>
      </c>
      <c r="G27" s="45">
        <f>(L6*L3)</f>
        <v>394649.75328</v>
      </c>
      <c r="H27" s="46">
        <f t="shared" si="1"/>
        <v>197.32487664000001</v>
      </c>
    </row>
    <row r="28" spans="1:12">
      <c r="A28" s="41" t="s">
        <v>48</v>
      </c>
      <c r="B28" s="41"/>
      <c r="C28" s="41"/>
      <c r="D28" s="42"/>
      <c r="E28" s="43"/>
      <c r="F28" s="47">
        <v>0.25</v>
      </c>
      <c r="G28" s="45">
        <v>1</v>
      </c>
      <c r="H28" s="46">
        <f t="shared" si="1"/>
        <v>0.25</v>
      </c>
    </row>
    <row r="29" spans="1:12">
      <c r="A29" s="41" t="s">
        <v>40</v>
      </c>
      <c r="B29" s="41"/>
      <c r="C29" s="41"/>
      <c r="D29" s="42"/>
      <c r="E29" s="43"/>
      <c r="F29" s="47">
        <f>F25</f>
        <v>3.0000000000000001E-3</v>
      </c>
      <c r="G29" s="45">
        <f>L10*L3</f>
        <v>-156615</v>
      </c>
      <c r="H29" s="53">
        <f t="shared" si="1"/>
        <v>-469.84500000000003</v>
      </c>
    </row>
    <row r="30" spans="1:12">
      <c r="A30" s="41" t="s">
        <v>41</v>
      </c>
      <c r="B30" s="41"/>
      <c r="C30" s="41"/>
      <c r="D30" s="42"/>
      <c r="E30" s="43"/>
      <c r="F30" s="47">
        <v>4.0000000000000002E-4</v>
      </c>
      <c r="G30" s="45">
        <f>L10*L3</f>
        <v>-156615</v>
      </c>
      <c r="H30" s="53">
        <f t="shared" si="1"/>
        <v>-62.646000000000001</v>
      </c>
    </row>
    <row r="31" spans="1:12">
      <c r="A31" s="41" t="s">
        <v>42</v>
      </c>
      <c r="B31" s="41"/>
      <c r="C31" s="41"/>
      <c r="D31" s="42"/>
      <c r="E31" s="43"/>
      <c r="F31" s="47">
        <f>F27</f>
        <v>5.0000000000000001E-4</v>
      </c>
      <c r="G31" s="45">
        <f>L10*L3</f>
        <v>-156615</v>
      </c>
      <c r="H31" s="53">
        <f t="shared" si="1"/>
        <v>-78.307500000000005</v>
      </c>
    </row>
    <row r="32" spans="1:12" ht="15.75" thickBot="1">
      <c r="A32" s="50" t="s">
        <v>43</v>
      </c>
      <c r="B32" s="50"/>
      <c r="C32" s="50"/>
      <c r="D32" s="50"/>
      <c r="E32" s="50"/>
      <c r="F32" s="50"/>
      <c r="G32" s="50"/>
      <c r="H32" s="51">
        <f>SUM(H25:H31)</f>
        <v>928.58553779199985</v>
      </c>
    </row>
    <row r="34" spans="1:12">
      <c r="A34" t="s">
        <v>44</v>
      </c>
      <c r="B34" s="41"/>
      <c r="C34" s="41"/>
      <c r="D34" s="42"/>
      <c r="E34" s="43"/>
      <c r="H34" s="39">
        <f>(H8+H9+H13+H14+H16+H18+H20+H25+H26+H27+H37)*0.13</f>
        <v>5066.9984153575906</v>
      </c>
      <c r="I34" s="30"/>
    </row>
    <row r="35" spans="1:12">
      <c r="A35" t="s">
        <v>45</v>
      </c>
      <c r="B35" s="41"/>
      <c r="C35" s="41"/>
      <c r="D35" s="42"/>
      <c r="E35" s="43"/>
      <c r="H35" s="54">
        <f>(H29+H31+H11+H10+H30+H15+H17+H19+H21)*0.13</f>
        <v>-1929.7773969500004</v>
      </c>
      <c r="I35" s="30"/>
      <c r="L35" s="30"/>
    </row>
    <row r="36" spans="1:12">
      <c r="A36" t="s">
        <v>1</v>
      </c>
      <c r="B36" s="41"/>
      <c r="C36" s="41"/>
      <c r="D36" s="42"/>
      <c r="E36" s="43"/>
      <c r="F36" s="55"/>
      <c r="G36" s="56"/>
      <c r="H36" s="39">
        <f>H34+H32+H8+H9+H10+H23+H35+H11</f>
        <v>28023.665390773676</v>
      </c>
      <c r="I36" s="30"/>
      <c r="L36" s="30"/>
    </row>
    <row r="37" spans="1:12">
      <c r="A37" t="s">
        <v>49</v>
      </c>
      <c r="B37" s="41"/>
      <c r="C37" s="41"/>
      <c r="D37" s="42"/>
      <c r="E37" s="43"/>
      <c r="F37" s="55"/>
      <c r="G37" s="56"/>
      <c r="H37" s="39">
        <v>110</v>
      </c>
    </row>
    <row r="38" spans="1:12">
      <c r="A38" t="s">
        <v>46</v>
      </c>
      <c r="F38" s="39"/>
      <c r="G38" s="1"/>
      <c r="H38" s="39">
        <v>0</v>
      </c>
      <c r="I38" s="30"/>
      <c r="J38" s="52"/>
      <c r="K38" s="30"/>
    </row>
    <row r="39" spans="1:12" ht="15.75" thickBot="1">
      <c r="A39" s="50" t="s">
        <v>47</v>
      </c>
      <c r="B39" s="50"/>
      <c r="C39" s="50"/>
      <c r="D39" s="50"/>
      <c r="E39" s="50"/>
      <c r="F39" s="51"/>
      <c r="G39" s="57"/>
      <c r="H39" s="51">
        <f>H8+H9+H10+H23+H32+H34+H37+H38+H12+H35+H11</f>
        <v>28133.665390773676</v>
      </c>
      <c r="I39" s="30"/>
      <c r="J39" s="52"/>
      <c r="K39" s="30"/>
      <c r="L39" s="30"/>
    </row>
    <row r="40" spans="1:12">
      <c r="A40" s="41"/>
      <c r="B40" s="41"/>
      <c r="C40" s="41"/>
      <c r="D40" s="42"/>
      <c r="E40" s="43"/>
      <c r="F40" s="58"/>
      <c r="G40" s="59"/>
      <c r="H40" s="60"/>
    </row>
    <row r="41" spans="1:12">
      <c r="A41" s="41"/>
      <c r="J41" s="52"/>
    </row>
    <row r="42" spans="1:12">
      <c r="A42" s="9"/>
      <c r="B42" s="41"/>
      <c r="C42" s="41"/>
      <c r="D42" s="42"/>
      <c r="E42" s="43"/>
      <c r="F42" s="58"/>
      <c r="G42" s="59"/>
      <c r="H42" s="60"/>
    </row>
    <row r="43" spans="1:12">
      <c r="B43" s="41"/>
      <c r="C43" s="41"/>
      <c r="D43" s="42"/>
      <c r="E43" s="43"/>
      <c r="F43" s="58"/>
      <c r="G43" s="59"/>
      <c r="H43" s="60"/>
    </row>
    <row r="44" spans="1:12">
      <c r="B44" s="41"/>
      <c r="C44" s="41"/>
      <c r="D44" s="42"/>
      <c r="E44" s="43"/>
      <c r="F44" s="58"/>
      <c r="G44" s="59"/>
      <c r="H44" s="60"/>
    </row>
    <row r="45" spans="1:12">
      <c r="B45" s="9"/>
      <c r="C45" s="9"/>
      <c r="H45" s="61"/>
    </row>
  </sheetData>
  <pageMargins left="0.70866141732283472" right="0.70866141732283472" top="0.74803149606299213" bottom="0.74803149606299213" header="0.31496062992125984" footer="0.31496062992125984"/>
  <pageSetup scale="4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Summary</vt:lpstr>
      <vt:lpstr>January 2019</vt:lpstr>
      <vt:lpstr>February 2019</vt:lpstr>
      <vt:lpstr>March 2019</vt:lpstr>
      <vt:lpstr>April 2019</vt:lpstr>
      <vt:lpstr>May 2019</vt:lpstr>
      <vt:lpstr>June 2019</vt:lpstr>
      <vt:lpstr>July 2019</vt:lpstr>
      <vt:lpstr>August 2019</vt:lpstr>
      <vt:lpstr>September 2019</vt:lpstr>
      <vt:lpstr>October 2019</vt:lpstr>
      <vt:lpstr>November 2019</vt:lpstr>
      <vt:lpstr>December 2019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Adam Giddings</dc:creator>
  <cp:lastModifiedBy>Adam Giddings</cp:lastModifiedBy>
  <dcterms:created xsi:type="dcterms:W3CDTF">2020-02-10T18:04:05Z</dcterms:created>
  <dcterms:modified xsi:type="dcterms:W3CDTF">2021-07-29T02:06:50Z</dcterms:modified>
</cp:coreProperties>
</file>