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0" windowWidth="28800" windowHeight="11100"/>
  </bookViews>
  <sheets>
    <sheet name="I6.1 Revenue" sheetId="1" r:id="rId1"/>
    <sheet name="I6.2 Customer Data" sheetId="2" r:id="rId2"/>
    <sheet name="I8 Demand Data" sheetId="3" r:id="rId3"/>
    <sheet name="O1 Revenue to cost|RR" sheetId="4" r:id="rId4"/>
    <sheet name="O2 Fixed Charge|Floor|Ceiling" sheetId="5" r:id="rId5"/>
  </sheets>
  <externalReferences>
    <externalReference r:id="rId6"/>
  </externalReferences>
  <definedNames>
    <definedName name="ccar" localSheetId="2">'[1]I6.2 Customer Data'!$D$21</definedName>
    <definedName name="ccar" localSheetId="3">'[1]I6.2 Customer Data'!$D$21</definedName>
    <definedName name="ccar" localSheetId="4">'[1]I6.2 Customer Data'!$D$21</definedName>
    <definedName name="ccar">'I6.2 Customer Data'!$D$21</definedName>
    <definedName name="_xlnm.Print_Area" localSheetId="0">'I6.1 Revenue'!$A$1:$V$46</definedName>
    <definedName name="_xlnm.Print_Area" localSheetId="1">'I6.2 Customer Data'!$A$1:$V$54</definedName>
    <definedName name="_xlnm.Print_Area" localSheetId="2">'I8 Demand Data'!$A$1:$U$70</definedName>
    <definedName name="_xlnm.Print_Area" localSheetId="3">'O1 Revenue to cost|RR'!$A$1:$V$81</definedName>
    <definedName name="_xlnm.Print_Area" localSheetId="4">'O2 Fixed Charge|Floor|Ceiling'!$A$1:$U$19</definedName>
    <definedName name="_xlnm.Print_Titles" localSheetId="3">'O1 Revenue to cost|RR'!$A:$C,'O1 Revenue to cost|RR'!$1:$17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6" i="5" l="1"/>
  <c r="S303" i="5"/>
  <c r="C251" i="5"/>
  <c r="C292" i="5" s="1"/>
  <c r="C335" i="5" s="1"/>
  <c r="U394" i="5"/>
  <c r="T394" i="5"/>
  <c r="S394" i="5"/>
  <c r="R394" i="5"/>
  <c r="Q394" i="5"/>
  <c r="P394" i="5"/>
  <c r="O394" i="5"/>
  <c r="N394" i="5"/>
  <c r="M394" i="5"/>
  <c r="L394" i="5"/>
  <c r="K394" i="5"/>
  <c r="J394" i="5"/>
  <c r="I394" i="5"/>
  <c r="H394" i="5"/>
  <c r="G394" i="5"/>
  <c r="F394" i="5"/>
  <c r="E394" i="5"/>
  <c r="U393" i="5"/>
  <c r="T393" i="5"/>
  <c r="S393" i="5"/>
  <c r="R393" i="5"/>
  <c r="Q393" i="5"/>
  <c r="P393" i="5"/>
  <c r="O393" i="5"/>
  <c r="N393" i="5"/>
  <c r="M393" i="5"/>
  <c r="L393" i="5"/>
  <c r="K393" i="5"/>
  <c r="J393" i="5"/>
  <c r="I393" i="5"/>
  <c r="H393" i="5"/>
  <c r="G393" i="5"/>
  <c r="F393" i="5"/>
  <c r="E393" i="5"/>
  <c r="D393" i="5"/>
  <c r="C237" i="5"/>
  <c r="C393" i="5" s="1"/>
  <c r="U392" i="5"/>
  <c r="T392" i="5"/>
  <c r="S392" i="5"/>
  <c r="R392" i="5"/>
  <c r="Q392" i="5"/>
  <c r="P392" i="5"/>
  <c r="O392" i="5"/>
  <c r="N392" i="5"/>
  <c r="M392" i="5"/>
  <c r="L392" i="5"/>
  <c r="K392" i="5"/>
  <c r="J392" i="5"/>
  <c r="I392" i="5"/>
  <c r="H392" i="5"/>
  <c r="G392" i="5"/>
  <c r="F392" i="5"/>
  <c r="E392" i="5"/>
  <c r="D392" i="5"/>
  <c r="U385" i="5"/>
  <c r="T385" i="5"/>
  <c r="S385" i="5"/>
  <c r="R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C223" i="5"/>
  <c r="U380" i="5"/>
  <c r="T380" i="5"/>
  <c r="S380" i="5"/>
  <c r="R380" i="5"/>
  <c r="Q380" i="5"/>
  <c r="P380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222" i="5"/>
  <c r="C380" i="5" s="1"/>
  <c r="C220" i="5"/>
  <c r="C219" i="5"/>
  <c r="C218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I378" i="5"/>
  <c r="I381" i="5" s="1"/>
  <c r="U374" i="5"/>
  <c r="T374" i="5"/>
  <c r="S374" i="5"/>
  <c r="R374" i="5"/>
  <c r="Q374" i="5"/>
  <c r="P374" i="5"/>
  <c r="O374" i="5"/>
  <c r="N374" i="5"/>
  <c r="M374" i="5"/>
  <c r="L374" i="5"/>
  <c r="K374" i="5"/>
  <c r="J374" i="5"/>
  <c r="I374" i="5"/>
  <c r="H374" i="5"/>
  <c r="G374" i="5"/>
  <c r="F374" i="5"/>
  <c r="E374" i="5"/>
  <c r="D374" i="5"/>
  <c r="C211" i="5"/>
  <c r="C374" i="5" s="1"/>
  <c r="C209" i="5"/>
  <c r="U373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207" i="5"/>
  <c r="C372" i="5" s="1"/>
  <c r="C206" i="5"/>
  <c r="T371" i="5"/>
  <c r="S371" i="5"/>
  <c r="R371" i="5"/>
  <c r="P371" i="5"/>
  <c r="O371" i="5"/>
  <c r="N371" i="5"/>
  <c r="L371" i="5"/>
  <c r="K371" i="5"/>
  <c r="J371" i="5"/>
  <c r="H371" i="5"/>
  <c r="G371" i="5"/>
  <c r="F371" i="5"/>
  <c r="D371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203" i="5"/>
  <c r="C369" i="5" s="1"/>
  <c r="C202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D368" i="5"/>
  <c r="C200" i="5"/>
  <c r="C199" i="5"/>
  <c r="C198" i="5"/>
  <c r="C197" i="5"/>
  <c r="T367" i="5"/>
  <c r="P367" i="5"/>
  <c r="L367" i="5"/>
  <c r="H367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195" i="5"/>
  <c r="C366" i="5" s="1"/>
  <c r="C194" i="5"/>
  <c r="C193" i="5"/>
  <c r="T365" i="5"/>
  <c r="P365" i="5"/>
  <c r="L365" i="5"/>
  <c r="H365" i="5"/>
  <c r="U364" i="5"/>
  <c r="T364" i="5"/>
  <c r="S364" i="5"/>
  <c r="Q364" i="5"/>
  <c r="P364" i="5"/>
  <c r="O364" i="5"/>
  <c r="M364" i="5"/>
  <c r="L364" i="5"/>
  <c r="K364" i="5"/>
  <c r="I364" i="5"/>
  <c r="H364" i="5"/>
  <c r="G364" i="5"/>
  <c r="E364" i="5"/>
  <c r="D364" i="5"/>
  <c r="C190" i="5"/>
  <c r="U363" i="5"/>
  <c r="R363" i="5"/>
  <c r="Q363" i="5"/>
  <c r="N363" i="5"/>
  <c r="M363" i="5"/>
  <c r="J363" i="5"/>
  <c r="I363" i="5"/>
  <c r="F363" i="5"/>
  <c r="C187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D356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C180" i="5"/>
  <c r="C179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D358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U349" i="5"/>
  <c r="T349" i="5"/>
  <c r="S349" i="5"/>
  <c r="R349" i="5"/>
  <c r="Q349" i="5"/>
  <c r="P349" i="5"/>
  <c r="O349" i="5"/>
  <c r="N349" i="5"/>
  <c r="M349" i="5"/>
  <c r="L349" i="5"/>
  <c r="K349" i="5"/>
  <c r="J349" i="5"/>
  <c r="I349" i="5"/>
  <c r="H349" i="5"/>
  <c r="G349" i="5"/>
  <c r="F349" i="5"/>
  <c r="D349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F345" i="5"/>
  <c r="E345" i="5"/>
  <c r="D345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D344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D343" i="5"/>
  <c r="C160" i="5"/>
  <c r="C343" i="5" s="1"/>
  <c r="C158" i="5"/>
  <c r="C157" i="5"/>
  <c r="C156" i="5"/>
  <c r="C154" i="5"/>
  <c r="C153" i="5"/>
  <c r="C152" i="5"/>
  <c r="C150" i="5"/>
  <c r="C149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T341" i="5"/>
  <c r="S341" i="5"/>
  <c r="P341" i="5"/>
  <c r="O341" i="5"/>
  <c r="N341" i="5"/>
  <c r="L341" i="5"/>
  <c r="K341" i="5"/>
  <c r="H341" i="5"/>
  <c r="G341" i="5"/>
  <c r="R340" i="5"/>
  <c r="N340" i="5"/>
  <c r="J340" i="5"/>
  <c r="F340" i="5"/>
  <c r="C146" i="5"/>
  <c r="U339" i="5"/>
  <c r="Q339" i="5"/>
  <c r="M339" i="5"/>
  <c r="I339" i="5"/>
  <c r="E339" i="5"/>
  <c r="C145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C144" i="5"/>
  <c r="C338" i="5" s="1"/>
  <c r="U337" i="5"/>
  <c r="T337" i="5"/>
  <c r="S337" i="5"/>
  <c r="Q337" i="5"/>
  <c r="P337" i="5"/>
  <c r="O337" i="5"/>
  <c r="M337" i="5"/>
  <c r="L337" i="5"/>
  <c r="K337" i="5"/>
  <c r="I337" i="5"/>
  <c r="H337" i="5"/>
  <c r="G337" i="5"/>
  <c r="E337" i="5"/>
  <c r="U321" i="5"/>
  <c r="S321" i="5"/>
  <c r="R321" i="5"/>
  <c r="Q80" i="5"/>
  <c r="Q280" i="5" s="1"/>
  <c r="O321" i="5"/>
  <c r="N321" i="5"/>
  <c r="M321" i="5"/>
  <c r="K321" i="5"/>
  <c r="J321" i="5"/>
  <c r="I321" i="5"/>
  <c r="G321" i="5"/>
  <c r="F321" i="5"/>
  <c r="E321" i="5"/>
  <c r="U75" i="5"/>
  <c r="T75" i="5"/>
  <c r="Q75" i="5"/>
  <c r="N75" i="5"/>
  <c r="M75" i="5"/>
  <c r="J75" i="5"/>
  <c r="I75" i="5"/>
  <c r="E75" i="5"/>
  <c r="U126" i="5"/>
  <c r="T74" i="5"/>
  <c r="Q74" i="5"/>
  <c r="P74" i="5"/>
  <c r="M74" i="5"/>
  <c r="L74" i="5"/>
  <c r="I74" i="5"/>
  <c r="H74" i="5"/>
  <c r="E126" i="5"/>
  <c r="D74" i="5"/>
  <c r="T73" i="5"/>
  <c r="S73" i="5"/>
  <c r="P73" i="5"/>
  <c r="O73" i="5"/>
  <c r="L73" i="5"/>
  <c r="K73" i="5"/>
  <c r="G73" i="5"/>
  <c r="C122" i="5"/>
  <c r="S317" i="5"/>
  <c r="O317" i="5"/>
  <c r="K317" i="5"/>
  <c r="G317" i="5"/>
  <c r="C121" i="5"/>
  <c r="S316" i="5"/>
  <c r="R316" i="5"/>
  <c r="Q126" i="5"/>
  <c r="O316" i="5"/>
  <c r="N316" i="5"/>
  <c r="M126" i="5"/>
  <c r="K316" i="5"/>
  <c r="J316" i="5"/>
  <c r="F316" i="5"/>
  <c r="U313" i="5"/>
  <c r="S313" i="5"/>
  <c r="R313" i="5"/>
  <c r="Q313" i="5"/>
  <c r="O313" i="5"/>
  <c r="N313" i="5"/>
  <c r="M313" i="5"/>
  <c r="K313" i="5"/>
  <c r="J313" i="5"/>
  <c r="I313" i="5"/>
  <c r="G313" i="5"/>
  <c r="F313" i="5"/>
  <c r="E313" i="5"/>
  <c r="R114" i="5"/>
  <c r="K114" i="5"/>
  <c r="G114" i="5"/>
  <c r="F114" i="5"/>
  <c r="U63" i="5"/>
  <c r="R63" i="5"/>
  <c r="N63" i="5"/>
  <c r="M63" i="5"/>
  <c r="J63" i="5"/>
  <c r="I63" i="5"/>
  <c r="F63" i="5"/>
  <c r="E63" i="5"/>
  <c r="T309" i="5"/>
  <c r="P309" i="5"/>
  <c r="L309" i="5"/>
  <c r="H309" i="5"/>
  <c r="U61" i="5"/>
  <c r="S308" i="5"/>
  <c r="R308" i="5"/>
  <c r="O308" i="5"/>
  <c r="N308" i="5"/>
  <c r="K308" i="5"/>
  <c r="J308" i="5"/>
  <c r="I61" i="5"/>
  <c r="G308" i="5"/>
  <c r="F308" i="5"/>
  <c r="E61" i="5"/>
  <c r="D308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U303" i="5"/>
  <c r="T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U176" i="5"/>
  <c r="T107" i="5"/>
  <c r="S176" i="5"/>
  <c r="R176" i="5"/>
  <c r="Q176" i="5"/>
  <c r="P176" i="5"/>
  <c r="O176" i="5"/>
  <c r="N176" i="5"/>
  <c r="M176" i="5"/>
  <c r="L54" i="5"/>
  <c r="K176" i="5"/>
  <c r="J176" i="5"/>
  <c r="I176" i="5"/>
  <c r="H107" i="5"/>
  <c r="G176" i="5"/>
  <c r="F176" i="5"/>
  <c r="E176" i="5"/>
  <c r="C103" i="5"/>
  <c r="U175" i="5"/>
  <c r="T175" i="5"/>
  <c r="S107" i="5"/>
  <c r="R175" i="5"/>
  <c r="Q175" i="5"/>
  <c r="P175" i="5"/>
  <c r="O53" i="5"/>
  <c r="N175" i="5"/>
  <c r="M175" i="5"/>
  <c r="L175" i="5"/>
  <c r="K175" i="5"/>
  <c r="J175" i="5"/>
  <c r="I175" i="5"/>
  <c r="H175" i="5"/>
  <c r="G53" i="5"/>
  <c r="F175" i="5"/>
  <c r="E175" i="5"/>
  <c r="D175" i="5"/>
  <c r="C102" i="5"/>
  <c r="U174" i="5"/>
  <c r="T174" i="5"/>
  <c r="R302" i="5"/>
  <c r="N302" i="5"/>
  <c r="M174" i="5"/>
  <c r="J302" i="5"/>
  <c r="F302" i="5"/>
  <c r="E174" i="5"/>
  <c r="D174" i="5"/>
  <c r="T96" i="5"/>
  <c r="T298" i="5" s="1"/>
  <c r="P96" i="5"/>
  <c r="P298" i="5" s="1"/>
  <c r="K96" i="5"/>
  <c r="F96" i="5"/>
  <c r="D96" i="5"/>
  <c r="D298" i="5" s="1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95" i="5"/>
  <c r="C297" i="5" s="1"/>
  <c r="T294" i="5"/>
  <c r="S294" i="5"/>
  <c r="R294" i="5"/>
  <c r="P294" i="5"/>
  <c r="O294" i="5"/>
  <c r="N294" i="5"/>
  <c r="M294" i="5"/>
  <c r="L294" i="5"/>
  <c r="K294" i="5"/>
  <c r="J294" i="5"/>
  <c r="H294" i="5"/>
  <c r="G294" i="5"/>
  <c r="F294" i="5"/>
  <c r="U80" i="5"/>
  <c r="U280" i="5" s="1"/>
  <c r="S80" i="5"/>
  <c r="S280" i="5" s="1"/>
  <c r="R80" i="5"/>
  <c r="R280" i="5" s="1"/>
  <c r="N80" i="5"/>
  <c r="N280" i="5" s="1"/>
  <c r="M80" i="5"/>
  <c r="M280" i="5" s="1"/>
  <c r="J80" i="5"/>
  <c r="J280" i="5" s="1"/>
  <c r="I80" i="5"/>
  <c r="I280" i="5" s="1"/>
  <c r="G80" i="5"/>
  <c r="G280" i="5" s="1"/>
  <c r="F80" i="5"/>
  <c r="F280" i="5" s="1"/>
  <c r="E80" i="5"/>
  <c r="E280" i="5" s="1"/>
  <c r="S75" i="5"/>
  <c r="R75" i="5"/>
  <c r="P75" i="5"/>
  <c r="O75" i="5"/>
  <c r="L75" i="5"/>
  <c r="K75" i="5"/>
  <c r="H75" i="5"/>
  <c r="G75" i="5"/>
  <c r="F75" i="5"/>
  <c r="U74" i="5"/>
  <c r="S74" i="5"/>
  <c r="R74" i="5"/>
  <c r="O74" i="5"/>
  <c r="N74" i="5"/>
  <c r="K74" i="5"/>
  <c r="J74" i="5"/>
  <c r="G74" i="5"/>
  <c r="F74" i="5"/>
  <c r="E74" i="5"/>
  <c r="U73" i="5"/>
  <c r="R73" i="5"/>
  <c r="Q73" i="5"/>
  <c r="N73" i="5"/>
  <c r="M73" i="5"/>
  <c r="J73" i="5"/>
  <c r="I73" i="5"/>
  <c r="H73" i="5"/>
  <c r="F73" i="5"/>
  <c r="E73" i="5"/>
  <c r="U72" i="5"/>
  <c r="T72" i="5"/>
  <c r="Q72" i="5"/>
  <c r="P72" i="5"/>
  <c r="M72" i="5"/>
  <c r="L72" i="5"/>
  <c r="K72" i="5"/>
  <c r="K275" i="5" s="1"/>
  <c r="I72" i="5"/>
  <c r="H72" i="5"/>
  <c r="E72" i="5"/>
  <c r="D72" i="5"/>
  <c r="T71" i="5"/>
  <c r="T274" i="5" s="1"/>
  <c r="S71" i="5"/>
  <c r="S274" i="5" s="1"/>
  <c r="P71" i="5"/>
  <c r="P274" i="5" s="1"/>
  <c r="O71" i="5"/>
  <c r="O274" i="5" s="1"/>
  <c r="N71" i="5"/>
  <c r="L71" i="5"/>
  <c r="L274" i="5" s="1"/>
  <c r="K71" i="5"/>
  <c r="K274" i="5" s="1"/>
  <c r="H71" i="5"/>
  <c r="H274" i="5" s="1"/>
  <c r="G71" i="5"/>
  <c r="G274" i="5" s="1"/>
  <c r="D71" i="5"/>
  <c r="D274" i="5" s="1"/>
  <c r="U68" i="5"/>
  <c r="U271" i="5" s="1"/>
  <c r="R68" i="5"/>
  <c r="R271" i="5" s="1"/>
  <c r="Q68" i="5"/>
  <c r="Q271" i="5" s="1"/>
  <c r="O68" i="5"/>
  <c r="O271" i="5" s="1"/>
  <c r="N68" i="5"/>
  <c r="N271" i="5" s="1"/>
  <c r="M68" i="5"/>
  <c r="M271" i="5" s="1"/>
  <c r="K68" i="5"/>
  <c r="K271" i="5" s="1"/>
  <c r="J68" i="5"/>
  <c r="J271" i="5" s="1"/>
  <c r="F68" i="5"/>
  <c r="F271" i="5" s="1"/>
  <c r="E68" i="5"/>
  <c r="E271" i="5" s="1"/>
  <c r="T63" i="5"/>
  <c r="S63" i="5"/>
  <c r="Q63" i="5"/>
  <c r="P63" i="5"/>
  <c r="O63" i="5"/>
  <c r="L63" i="5"/>
  <c r="K63" i="5"/>
  <c r="H63" i="5"/>
  <c r="G63" i="5"/>
  <c r="D63" i="5"/>
  <c r="T62" i="5"/>
  <c r="T267" i="5" s="1"/>
  <c r="S62" i="5"/>
  <c r="S267" i="5" s="1"/>
  <c r="R62" i="5"/>
  <c r="O62" i="5"/>
  <c r="N62" i="5"/>
  <c r="N267" i="5" s="1"/>
  <c r="K62" i="5"/>
  <c r="J62" i="5"/>
  <c r="J267" i="5" s="1"/>
  <c r="G62" i="5"/>
  <c r="F62" i="5"/>
  <c r="F267" i="5" s="1"/>
  <c r="D62" i="5"/>
  <c r="D267" i="5" s="1"/>
  <c r="S61" i="5"/>
  <c r="S266" i="5" s="1"/>
  <c r="S268" i="5" s="1"/>
  <c r="R61" i="5"/>
  <c r="R266" i="5" s="1"/>
  <c r="Q61" i="5"/>
  <c r="Q266" i="5" s="1"/>
  <c r="N61" i="5"/>
  <c r="N266" i="5" s="1"/>
  <c r="M61" i="5"/>
  <c r="M266" i="5" s="1"/>
  <c r="K61" i="5"/>
  <c r="J61" i="5"/>
  <c r="J266" i="5" s="1"/>
  <c r="G61" i="5"/>
  <c r="F61" i="5"/>
  <c r="F266" i="5" s="1"/>
  <c r="F268" i="5" s="1"/>
  <c r="D61" i="5"/>
  <c r="D266" i="5" s="1"/>
  <c r="U56" i="5"/>
  <c r="U262" i="5" s="1"/>
  <c r="T56" i="5"/>
  <c r="T262" i="5" s="1"/>
  <c r="Q56" i="5"/>
  <c r="Q262" i="5" s="1"/>
  <c r="P56" i="5"/>
  <c r="P262" i="5" s="1"/>
  <c r="M56" i="5"/>
  <c r="M262" i="5" s="1"/>
  <c r="L56" i="5"/>
  <c r="L262" i="5" s="1"/>
  <c r="I56" i="5"/>
  <c r="I262" i="5" s="1"/>
  <c r="H56" i="5"/>
  <c r="H262" i="5" s="1"/>
  <c r="E56" i="5"/>
  <c r="E262" i="5" s="1"/>
  <c r="D56" i="5"/>
  <c r="D262" i="5" s="1"/>
  <c r="T55" i="5"/>
  <c r="T261" i="5" s="1"/>
  <c r="S55" i="5"/>
  <c r="S261" i="5" s="1"/>
  <c r="P55" i="5"/>
  <c r="P261" i="5" s="1"/>
  <c r="O55" i="5"/>
  <c r="O261" i="5" s="1"/>
  <c r="L55" i="5"/>
  <c r="L261" i="5" s="1"/>
  <c r="K55" i="5"/>
  <c r="K261" i="5" s="1"/>
  <c r="H55" i="5"/>
  <c r="H261" i="5" s="1"/>
  <c r="G55" i="5"/>
  <c r="G261" i="5" s="1"/>
  <c r="D55" i="5"/>
  <c r="D261" i="5" s="1"/>
  <c r="S54" i="5"/>
  <c r="R54" i="5"/>
  <c r="O54" i="5"/>
  <c r="N54" i="5"/>
  <c r="K54" i="5"/>
  <c r="J54" i="5"/>
  <c r="G54" i="5"/>
  <c r="F54" i="5"/>
  <c r="U53" i="5"/>
  <c r="R53" i="5"/>
  <c r="Q53" i="5"/>
  <c r="N53" i="5"/>
  <c r="M53" i="5"/>
  <c r="J53" i="5"/>
  <c r="I53" i="5"/>
  <c r="F53" i="5"/>
  <c r="E53" i="5"/>
  <c r="U52" i="5"/>
  <c r="T52" i="5"/>
  <c r="Q52" i="5"/>
  <c r="P52" i="5"/>
  <c r="M52" i="5"/>
  <c r="L52" i="5"/>
  <c r="I52" i="5"/>
  <c r="H52" i="5"/>
  <c r="E52" i="5"/>
  <c r="D52" i="5"/>
  <c r="T48" i="5"/>
  <c r="T256" i="5" s="1"/>
  <c r="S48" i="5"/>
  <c r="S256" i="5" s="1"/>
  <c r="R48" i="5"/>
  <c r="R256" i="5" s="1"/>
  <c r="P48" i="5"/>
  <c r="P256" i="5" s="1"/>
  <c r="O48" i="5"/>
  <c r="O256" i="5" s="1"/>
  <c r="N48" i="5"/>
  <c r="N256" i="5" s="1"/>
  <c r="L48" i="5"/>
  <c r="L256" i="5" s="1"/>
  <c r="K48" i="5"/>
  <c r="K256" i="5" s="1"/>
  <c r="J48" i="5"/>
  <c r="J256" i="5" s="1"/>
  <c r="H48" i="5"/>
  <c r="H256" i="5" s="1"/>
  <c r="G48" i="5"/>
  <c r="G256" i="5" s="1"/>
  <c r="F48" i="5"/>
  <c r="F256" i="5" s="1"/>
  <c r="D48" i="5"/>
  <c r="D256" i="5" s="1"/>
  <c r="U45" i="5"/>
  <c r="U253" i="5" s="1"/>
  <c r="S45" i="5"/>
  <c r="S253" i="5" s="1"/>
  <c r="R45" i="5"/>
  <c r="R253" i="5" s="1"/>
  <c r="Q45" i="5"/>
  <c r="Q253" i="5" s="1"/>
  <c r="O45" i="5"/>
  <c r="O253" i="5" s="1"/>
  <c r="N45" i="5"/>
  <c r="N253" i="5" s="1"/>
  <c r="M45" i="5"/>
  <c r="M253" i="5" s="1"/>
  <c r="K45" i="5"/>
  <c r="K253" i="5" s="1"/>
  <c r="J45" i="5"/>
  <c r="J253" i="5" s="1"/>
  <c r="I45" i="5"/>
  <c r="I253" i="5" s="1"/>
  <c r="G45" i="5"/>
  <c r="G253" i="5" s="1"/>
  <c r="F45" i="5"/>
  <c r="F253" i="5" s="1"/>
  <c r="E45" i="5"/>
  <c r="E253" i="5" s="1"/>
  <c r="O251" i="5"/>
  <c r="O292" i="5" s="1"/>
  <c r="O335" i="5" s="1"/>
  <c r="N251" i="5"/>
  <c r="N292" i="5" s="1"/>
  <c r="N335" i="5" s="1"/>
  <c r="M251" i="5"/>
  <c r="M292" i="5" s="1"/>
  <c r="M335" i="5" s="1"/>
  <c r="L251" i="5"/>
  <c r="L292" i="5" s="1"/>
  <c r="L335" i="5" s="1"/>
  <c r="K251" i="5"/>
  <c r="K292" i="5" s="1"/>
  <c r="K335" i="5" s="1"/>
  <c r="J251" i="5"/>
  <c r="J292" i="5" s="1"/>
  <c r="J335" i="5" s="1"/>
  <c r="I251" i="5"/>
  <c r="I292" i="5" s="1"/>
  <c r="I335" i="5" s="1"/>
  <c r="H251" i="5"/>
  <c r="H292" i="5" s="1"/>
  <c r="H335" i="5" s="1"/>
  <c r="G251" i="5"/>
  <c r="G292" i="5" s="1"/>
  <c r="G335" i="5" s="1"/>
  <c r="F251" i="5"/>
  <c r="F292" i="5" s="1"/>
  <c r="F335" i="5" s="1"/>
  <c r="E251" i="5"/>
  <c r="E292" i="5" s="1"/>
  <c r="E335" i="5" s="1"/>
  <c r="D251" i="5"/>
  <c r="D292" i="5" s="1"/>
  <c r="D335" i="5" s="1"/>
  <c r="C36" i="5"/>
  <c r="C34" i="5"/>
  <c r="C32" i="5"/>
  <c r="C30" i="5"/>
  <c r="S28" i="5"/>
  <c r="O28" i="5"/>
  <c r="K28" i="5"/>
  <c r="G28" i="5"/>
  <c r="R28" i="5"/>
  <c r="N28" i="5"/>
  <c r="J28" i="5"/>
  <c r="F28" i="5"/>
  <c r="C27" i="5"/>
  <c r="U28" i="5"/>
  <c r="T28" i="5"/>
  <c r="Q28" i="5"/>
  <c r="P28" i="5"/>
  <c r="M28" i="5"/>
  <c r="L28" i="5"/>
  <c r="I28" i="5"/>
  <c r="H28" i="5"/>
  <c r="E28" i="5"/>
  <c r="C26" i="5"/>
  <c r="C87" i="4"/>
  <c r="C69" i="4"/>
  <c r="C58" i="4"/>
  <c r="I57" i="4"/>
  <c r="C53" i="4"/>
  <c r="N51" i="4"/>
  <c r="C50" i="4"/>
  <c r="C49" i="4"/>
  <c r="C48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36" i="4"/>
  <c r="S34" i="4"/>
  <c r="S40" i="4" s="1"/>
  <c r="G34" i="4"/>
  <c r="G40" i="4" s="1"/>
  <c r="C31" i="4"/>
  <c r="O34" i="4"/>
  <c r="O40" i="4" s="1"/>
  <c r="K34" i="4"/>
  <c r="K40" i="4" s="1"/>
  <c r="C30" i="4"/>
  <c r="C29" i="4"/>
  <c r="T57" i="4"/>
  <c r="S57" i="4"/>
  <c r="S59" i="4" s="1"/>
  <c r="R34" i="4"/>
  <c r="R40" i="4" s="1"/>
  <c r="Q57" i="4"/>
  <c r="P57" i="4"/>
  <c r="O57" i="4"/>
  <c r="O59" i="4" s="1"/>
  <c r="N34" i="4"/>
  <c r="N40" i="4" s="1"/>
  <c r="M57" i="4"/>
  <c r="L57" i="4"/>
  <c r="K57" i="4"/>
  <c r="K59" i="4" s="1"/>
  <c r="J34" i="4"/>
  <c r="J40" i="4" s="1"/>
  <c r="H57" i="4"/>
  <c r="G57" i="4"/>
  <c r="G59" i="4" s="1"/>
  <c r="F34" i="4"/>
  <c r="F40" i="4" s="1"/>
  <c r="C28" i="4"/>
  <c r="D57" i="4"/>
  <c r="M24" i="4"/>
  <c r="G24" i="4"/>
  <c r="U24" i="4"/>
  <c r="T24" i="4"/>
  <c r="S24" i="4"/>
  <c r="R24" i="4"/>
  <c r="Q24" i="4"/>
  <c r="P24" i="4"/>
  <c r="O24" i="4"/>
  <c r="N21" i="4"/>
  <c r="N77" i="4" s="1"/>
  <c r="L24" i="4"/>
  <c r="K24" i="4"/>
  <c r="J24" i="4"/>
  <c r="I24" i="4"/>
  <c r="H24" i="4"/>
  <c r="F24" i="4"/>
  <c r="E24" i="4"/>
  <c r="D24" i="4"/>
  <c r="U21" i="4"/>
  <c r="T21" i="4"/>
  <c r="S21" i="4"/>
  <c r="Q21" i="4"/>
  <c r="P21" i="4"/>
  <c r="O21" i="4"/>
  <c r="M21" i="4"/>
  <c r="L21" i="4"/>
  <c r="K21" i="4"/>
  <c r="I21" i="4"/>
  <c r="H21" i="4"/>
  <c r="G21" i="4"/>
  <c r="E21" i="4"/>
  <c r="D21" i="4"/>
  <c r="C70" i="3"/>
  <c r="C69" i="3"/>
  <c r="C68" i="3"/>
  <c r="C67" i="3"/>
  <c r="C64" i="3"/>
  <c r="C63" i="3"/>
  <c r="C62" i="3"/>
  <c r="C61" i="3"/>
  <c r="C15" i="3" s="1"/>
  <c r="C58" i="3"/>
  <c r="C57" i="3"/>
  <c r="C56" i="3"/>
  <c r="C55" i="3"/>
  <c r="C50" i="3"/>
  <c r="C49" i="3"/>
  <c r="C48" i="3"/>
  <c r="C45" i="3"/>
  <c r="C44" i="3"/>
  <c r="C43" i="3"/>
  <c r="C40" i="3"/>
  <c r="C39" i="3"/>
  <c r="C38" i="3"/>
  <c r="B53" i="2"/>
  <c r="D53" i="2" s="1"/>
  <c r="D52" i="2"/>
  <c r="B52" i="2"/>
  <c r="D51" i="2"/>
  <c r="B51" i="2"/>
  <c r="D50" i="2"/>
  <c r="B50" i="2"/>
  <c r="D49" i="2"/>
  <c r="B49" i="2"/>
  <c r="D48" i="2"/>
  <c r="B48" i="2"/>
  <c r="E47" i="2"/>
  <c r="C47" i="2"/>
  <c r="U41" i="2"/>
  <c r="T41" i="2"/>
  <c r="S41" i="2"/>
  <c r="S14" i="2" s="1"/>
  <c r="R41" i="2"/>
  <c r="R14" i="2" s="1"/>
  <c r="Q41" i="2"/>
  <c r="P41" i="2"/>
  <c r="P14" i="2" s="1"/>
  <c r="O41" i="2"/>
  <c r="O14" i="2" s="1"/>
  <c r="N41" i="2"/>
  <c r="M41" i="2"/>
  <c r="L41" i="2"/>
  <c r="L14" i="2" s="1"/>
  <c r="K41" i="2"/>
  <c r="K14" i="2" s="1"/>
  <c r="J41" i="2"/>
  <c r="I41" i="2"/>
  <c r="H41" i="2"/>
  <c r="H14" i="2" s="1"/>
  <c r="G41" i="2"/>
  <c r="G14" i="2" s="1"/>
  <c r="F41" i="2"/>
  <c r="E41" i="2"/>
  <c r="E14" i="2" s="1"/>
  <c r="D41" i="2"/>
  <c r="C41" i="2" s="1"/>
  <c r="C40" i="2"/>
  <c r="C39" i="2"/>
  <c r="C38" i="2"/>
  <c r="C30" i="2"/>
  <c r="C29" i="2"/>
  <c r="C28" i="2"/>
  <c r="C27" i="2"/>
  <c r="K25" i="2"/>
  <c r="C25" i="2" s="1"/>
  <c r="C22" i="2"/>
  <c r="C21" i="2"/>
  <c r="C19" i="2"/>
  <c r="C17" i="2"/>
  <c r="C15" i="2"/>
  <c r="U14" i="2"/>
  <c r="T14" i="2"/>
  <c r="Q14" i="2"/>
  <c r="N14" i="2"/>
  <c r="M14" i="2"/>
  <c r="J14" i="2"/>
  <c r="I14" i="2"/>
  <c r="F14" i="2"/>
  <c r="D14" i="2"/>
  <c r="M41" i="1"/>
  <c r="E41" i="1"/>
  <c r="U40" i="1"/>
  <c r="T40" i="1"/>
  <c r="S40" i="1"/>
  <c r="R40" i="1"/>
  <c r="R41" i="1" s="1"/>
  <c r="Q40" i="1"/>
  <c r="Q41" i="1" s="1"/>
  <c r="P40" i="1"/>
  <c r="O40" i="1"/>
  <c r="N40" i="1"/>
  <c r="N41" i="1" s="1"/>
  <c r="M40" i="1"/>
  <c r="L40" i="1"/>
  <c r="K40" i="1"/>
  <c r="J40" i="1"/>
  <c r="I40" i="1"/>
  <c r="I41" i="1" s="1"/>
  <c r="H40" i="1"/>
  <c r="G40" i="1"/>
  <c r="G41" i="1" s="1"/>
  <c r="F40" i="1"/>
  <c r="F41" i="1" s="1"/>
  <c r="E40" i="1"/>
  <c r="D40" i="1"/>
  <c r="U41" i="1"/>
  <c r="T41" i="1"/>
  <c r="S41" i="1"/>
  <c r="P41" i="1"/>
  <c r="O41" i="1"/>
  <c r="L41" i="1"/>
  <c r="K41" i="1"/>
  <c r="J41" i="1"/>
  <c r="H41" i="1"/>
  <c r="D41" i="1"/>
  <c r="C39" i="1"/>
  <c r="C29" i="1"/>
  <c r="C28" i="1"/>
  <c r="C27" i="1"/>
  <c r="C26" i="1"/>
  <c r="C25" i="1"/>
  <c r="C14" i="2" l="1"/>
  <c r="C63" i="5"/>
  <c r="S77" i="4"/>
  <c r="N305" i="5"/>
  <c r="N65" i="5"/>
  <c r="O267" i="5"/>
  <c r="C74" i="5"/>
  <c r="R305" i="5"/>
  <c r="C14" i="3"/>
  <c r="K65" i="5"/>
  <c r="E275" i="5"/>
  <c r="F305" i="5"/>
  <c r="C40" i="1"/>
  <c r="G77" i="4"/>
  <c r="U275" i="5"/>
  <c r="J305" i="5"/>
  <c r="G77" i="5"/>
  <c r="P77" i="5"/>
  <c r="E354" i="5"/>
  <c r="E184" i="5"/>
  <c r="M184" i="5"/>
  <c r="M354" i="5"/>
  <c r="M359" i="5" s="1"/>
  <c r="U354" i="5"/>
  <c r="U359" i="5" s="1"/>
  <c r="U184" i="5"/>
  <c r="C340" i="5"/>
  <c r="E266" i="5"/>
  <c r="I266" i="5"/>
  <c r="U266" i="5"/>
  <c r="T275" i="5"/>
  <c r="T77" i="5"/>
  <c r="L275" i="5"/>
  <c r="C339" i="5"/>
  <c r="O107" i="5"/>
  <c r="L114" i="5"/>
  <c r="D321" i="5"/>
  <c r="D80" i="5"/>
  <c r="P321" i="5"/>
  <c r="P80" i="5"/>
  <c r="P280" i="5" s="1"/>
  <c r="T165" i="5"/>
  <c r="T169" i="5" s="1"/>
  <c r="G175" i="5"/>
  <c r="O175" i="5"/>
  <c r="D176" i="5"/>
  <c r="D354" i="5" s="1"/>
  <c r="L176" i="5"/>
  <c r="T176" i="5"/>
  <c r="T354" i="5" s="1"/>
  <c r="T359" i="5" s="1"/>
  <c r="E358" i="5"/>
  <c r="C178" i="5"/>
  <c r="C358" i="5" s="1"/>
  <c r="O362" i="5"/>
  <c r="O213" i="5"/>
  <c r="D370" i="5"/>
  <c r="C204" i="5"/>
  <c r="C370" i="5" s="1"/>
  <c r="L213" i="5"/>
  <c r="E378" i="5"/>
  <c r="E381" i="5" s="1"/>
  <c r="C216" i="5"/>
  <c r="M378" i="5"/>
  <c r="M381" i="5" s="1"/>
  <c r="M225" i="5"/>
  <c r="Q378" i="5"/>
  <c r="Q381" i="5" s="1"/>
  <c r="Q225" i="5"/>
  <c r="U378" i="5"/>
  <c r="U381" i="5" s="1"/>
  <c r="U225" i="5"/>
  <c r="G65" i="5"/>
  <c r="G266" i="5"/>
  <c r="K298" i="5"/>
  <c r="C105" i="5"/>
  <c r="C304" i="5" s="1"/>
  <c r="D107" i="5"/>
  <c r="D309" i="5"/>
  <c r="C111" i="5"/>
  <c r="H313" i="5"/>
  <c r="H68" i="5"/>
  <c r="H271" i="5" s="1"/>
  <c r="P313" i="5"/>
  <c r="P68" i="5"/>
  <c r="P271" i="5" s="1"/>
  <c r="T313" i="5"/>
  <c r="T68" i="5"/>
  <c r="T271" i="5" s="1"/>
  <c r="J126" i="5"/>
  <c r="H321" i="5"/>
  <c r="H80" i="5"/>
  <c r="H280" i="5" s="1"/>
  <c r="L321" i="5"/>
  <c r="L80" i="5"/>
  <c r="L280" i="5" s="1"/>
  <c r="D341" i="5"/>
  <c r="C147" i="5"/>
  <c r="D165" i="5"/>
  <c r="R174" i="5"/>
  <c r="G362" i="5"/>
  <c r="G213" i="5"/>
  <c r="S362" i="5"/>
  <c r="S213" i="5"/>
  <c r="D28" i="5"/>
  <c r="C28" i="5" s="1"/>
  <c r="F52" i="5"/>
  <c r="J52" i="5"/>
  <c r="N52" i="5"/>
  <c r="R52" i="5"/>
  <c r="K53" i="5"/>
  <c r="S53" i="5"/>
  <c r="D54" i="5"/>
  <c r="H54" i="5"/>
  <c r="P54" i="5"/>
  <c r="T54" i="5"/>
  <c r="E55" i="5"/>
  <c r="E261" i="5" s="1"/>
  <c r="I55" i="5"/>
  <c r="I261" i="5" s="1"/>
  <c r="M55" i="5"/>
  <c r="M261" i="5" s="1"/>
  <c r="Q55" i="5"/>
  <c r="Q261" i="5" s="1"/>
  <c r="U55" i="5"/>
  <c r="U261" i="5" s="1"/>
  <c r="F56" i="5"/>
  <c r="F262" i="5" s="1"/>
  <c r="J56" i="5"/>
  <c r="J262" i="5" s="1"/>
  <c r="N56" i="5"/>
  <c r="N262" i="5" s="1"/>
  <c r="R56" i="5"/>
  <c r="R262" i="5" s="1"/>
  <c r="D268" i="5"/>
  <c r="N268" i="5"/>
  <c r="S65" i="5"/>
  <c r="K267" i="5"/>
  <c r="P62" i="5"/>
  <c r="P267" i="5" s="1"/>
  <c r="J65" i="5"/>
  <c r="G68" i="5"/>
  <c r="G271" i="5" s="1"/>
  <c r="J71" i="5"/>
  <c r="T277" i="5"/>
  <c r="G72" i="5"/>
  <c r="G275" i="5" s="1"/>
  <c r="G277" i="5" s="1"/>
  <c r="Q275" i="5"/>
  <c r="D73" i="5"/>
  <c r="K77" i="5"/>
  <c r="K78" i="5" s="1"/>
  <c r="O80" i="5"/>
  <c r="O280" i="5" s="1"/>
  <c r="D294" i="5"/>
  <c r="C92" i="5"/>
  <c r="C294" i="5" s="1"/>
  <c r="G96" i="5"/>
  <c r="L96" i="5"/>
  <c r="R96" i="5"/>
  <c r="D97" i="5"/>
  <c r="T97" i="5"/>
  <c r="C101" i="5"/>
  <c r="G302" i="5"/>
  <c r="G305" i="5" s="1"/>
  <c r="G174" i="5"/>
  <c r="K302" i="5"/>
  <c r="K305" i="5" s="1"/>
  <c r="K174" i="5"/>
  <c r="O302" i="5"/>
  <c r="O305" i="5" s="1"/>
  <c r="O174" i="5"/>
  <c r="S302" i="5"/>
  <c r="S305" i="5" s="1"/>
  <c r="S174" i="5"/>
  <c r="F107" i="5"/>
  <c r="K107" i="5"/>
  <c r="P107" i="5"/>
  <c r="C110" i="5"/>
  <c r="E309" i="5"/>
  <c r="E62" i="5"/>
  <c r="E267" i="5" s="1"/>
  <c r="I309" i="5"/>
  <c r="I62" i="5"/>
  <c r="I267" i="5" s="1"/>
  <c r="M309" i="5"/>
  <c r="M62" i="5"/>
  <c r="M267" i="5" s="1"/>
  <c r="M268" i="5" s="1"/>
  <c r="Q309" i="5"/>
  <c r="Q62" i="5"/>
  <c r="Q267" i="5" s="1"/>
  <c r="U309" i="5"/>
  <c r="U62" i="5"/>
  <c r="U267" i="5" s="1"/>
  <c r="H114" i="5"/>
  <c r="N114" i="5"/>
  <c r="S114" i="5"/>
  <c r="D317" i="5"/>
  <c r="C124" i="5"/>
  <c r="F126" i="5"/>
  <c r="F127" i="5" s="1"/>
  <c r="F131" i="5" s="1"/>
  <c r="F323" i="5" s="1"/>
  <c r="K126" i="5"/>
  <c r="K127" i="5" s="1"/>
  <c r="K131" i="5" s="1"/>
  <c r="K323" i="5" s="1"/>
  <c r="D337" i="5"/>
  <c r="C143" i="5"/>
  <c r="C337" i="5" s="1"/>
  <c r="F339" i="5"/>
  <c r="J339" i="5"/>
  <c r="N339" i="5"/>
  <c r="R339" i="5"/>
  <c r="G340" i="5"/>
  <c r="K340" i="5"/>
  <c r="O340" i="5"/>
  <c r="S340" i="5"/>
  <c r="E341" i="5"/>
  <c r="I341" i="5"/>
  <c r="M341" i="5"/>
  <c r="Q341" i="5"/>
  <c r="U341" i="5"/>
  <c r="C159" i="5"/>
  <c r="C162" i="5"/>
  <c r="C345" i="5" s="1"/>
  <c r="E165" i="5"/>
  <c r="E169" i="5" s="1"/>
  <c r="M165" i="5"/>
  <c r="M169" i="5" s="1"/>
  <c r="U165" i="5"/>
  <c r="U169" i="5" s="1"/>
  <c r="D357" i="5"/>
  <c r="C177" i="5"/>
  <c r="C357" i="5" s="1"/>
  <c r="D362" i="5"/>
  <c r="H362" i="5"/>
  <c r="L362" i="5"/>
  <c r="P362" i="5"/>
  <c r="T362" i="5"/>
  <c r="D365" i="5"/>
  <c r="C192" i="5"/>
  <c r="C365" i="5" s="1"/>
  <c r="D373" i="5"/>
  <c r="C208" i="5"/>
  <c r="C373" i="5" s="1"/>
  <c r="C210" i="5"/>
  <c r="P213" i="5"/>
  <c r="E225" i="5"/>
  <c r="Q321" i="5"/>
  <c r="D65" i="5"/>
  <c r="N274" i="5"/>
  <c r="P275" i="5"/>
  <c r="P277" i="5" s="1"/>
  <c r="F298" i="5"/>
  <c r="F97" i="5"/>
  <c r="J107" i="5"/>
  <c r="D313" i="5"/>
  <c r="D68" i="5"/>
  <c r="L313" i="5"/>
  <c r="L68" i="5"/>
  <c r="L271" i="5" s="1"/>
  <c r="O126" i="5"/>
  <c r="T321" i="5"/>
  <c r="T80" i="5"/>
  <c r="T280" i="5" s="1"/>
  <c r="L165" i="5"/>
  <c r="L169" i="5" s="1"/>
  <c r="J174" i="5"/>
  <c r="K362" i="5"/>
  <c r="K213" i="5"/>
  <c r="D45" i="5"/>
  <c r="H45" i="5"/>
  <c r="L45" i="5"/>
  <c r="P45" i="5"/>
  <c r="T45" i="5"/>
  <c r="E48" i="5"/>
  <c r="I48" i="5"/>
  <c r="I256" i="5" s="1"/>
  <c r="M48" i="5"/>
  <c r="M256" i="5" s="1"/>
  <c r="Q48" i="5"/>
  <c r="Q256" i="5" s="1"/>
  <c r="U48" i="5"/>
  <c r="U256" i="5" s="1"/>
  <c r="F49" i="5"/>
  <c r="J49" i="5"/>
  <c r="N49" i="5"/>
  <c r="R49" i="5"/>
  <c r="G52" i="5"/>
  <c r="C52" i="5" s="1"/>
  <c r="K52" i="5"/>
  <c r="O52" i="5"/>
  <c r="S52" i="5"/>
  <c r="D53" i="5"/>
  <c r="D260" i="5" s="1"/>
  <c r="D263" i="5" s="1"/>
  <c r="H53" i="5"/>
  <c r="H58" i="5" s="1"/>
  <c r="L53" i="5"/>
  <c r="L58" i="5" s="1"/>
  <c r="P53" i="5"/>
  <c r="P58" i="5" s="1"/>
  <c r="T53" i="5"/>
  <c r="T58" i="5" s="1"/>
  <c r="E54" i="5"/>
  <c r="E260" i="5" s="1"/>
  <c r="E263" i="5" s="1"/>
  <c r="I54" i="5"/>
  <c r="I260" i="5" s="1"/>
  <c r="I263" i="5" s="1"/>
  <c r="M54" i="5"/>
  <c r="M260" i="5" s="1"/>
  <c r="M263" i="5" s="1"/>
  <c r="Q54" i="5"/>
  <c r="Q260" i="5" s="1"/>
  <c r="Q263" i="5" s="1"/>
  <c r="U54" i="5"/>
  <c r="U260" i="5" s="1"/>
  <c r="U263" i="5" s="1"/>
  <c r="F55" i="5"/>
  <c r="F261" i="5" s="1"/>
  <c r="J55" i="5"/>
  <c r="J261" i="5" s="1"/>
  <c r="N55" i="5"/>
  <c r="N261" i="5" s="1"/>
  <c r="R55" i="5"/>
  <c r="R261" i="5" s="1"/>
  <c r="G56" i="5"/>
  <c r="G262" i="5" s="1"/>
  <c r="K56" i="5"/>
  <c r="K262" i="5" s="1"/>
  <c r="O56" i="5"/>
  <c r="O262" i="5" s="1"/>
  <c r="S56" i="5"/>
  <c r="S262" i="5" s="1"/>
  <c r="J268" i="5"/>
  <c r="O61" i="5"/>
  <c r="G267" i="5"/>
  <c r="L62" i="5"/>
  <c r="L267" i="5" s="1"/>
  <c r="R267" i="5"/>
  <c r="R268" i="5" s="1"/>
  <c r="F65" i="5"/>
  <c r="Q65" i="5"/>
  <c r="I68" i="5"/>
  <c r="I271" i="5" s="1"/>
  <c r="S68" i="5"/>
  <c r="S271" i="5" s="1"/>
  <c r="F71" i="5"/>
  <c r="K277" i="5"/>
  <c r="H275" i="5"/>
  <c r="H277" i="5" s="1"/>
  <c r="M275" i="5"/>
  <c r="S72" i="5"/>
  <c r="S275" i="5" s="1"/>
  <c r="S278" i="5" s="1"/>
  <c r="D75" i="5"/>
  <c r="C75" i="5" s="1"/>
  <c r="L77" i="5"/>
  <c r="K80" i="5"/>
  <c r="K280" i="5" s="1"/>
  <c r="E96" i="5"/>
  <c r="E294" i="5"/>
  <c r="I294" i="5"/>
  <c r="I96" i="5"/>
  <c r="M96" i="5"/>
  <c r="Q294" i="5"/>
  <c r="Q96" i="5"/>
  <c r="U96" i="5"/>
  <c r="U294" i="5"/>
  <c r="H96" i="5"/>
  <c r="N96" i="5"/>
  <c r="S96" i="5"/>
  <c r="K97" i="5"/>
  <c r="P97" i="5"/>
  <c r="L302" i="5"/>
  <c r="L305" i="5" s="1"/>
  <c r="T184" i="5"/>
  <c r="D303" i="5"/>
  <c r="C104" i="5"/>
  <c r="C303" i="5" s="1"/>
  <c r="G107" i="5"/>
  <c r="L107" i="5"/>
  <c r="R107" i="5"/>
  <c r="D310" i="5"/>
  <c r="H308" i="5"/>
  <c r="H310" i="5" s="1"/>
  <c r="H61" i="5"/>
  <c r="L308" i="5"/>
  <c r="L310" i="5" s="1"/>
  <c r="L61" i="5"/>
  <c r="P308" i="5"/>
  <c r="P310" i="5" s="1"/>
  <c r="P61" i="5"/>
  <c r="T308" i="5"/>
  <c r="T310" i="5" s="1"/>
  <c r="T61" i="5"/>
  <c r="F309" i="5"/>
  <c r="J309" i="5"/>
  <c r="J310" i="5" s="1"/>
  <c r="N309" i="5"/>
  <c r="N310" i="5" s="1"/>
  <c r="R309" i="5"/>
  <c r="C112" i="5"/>
  <c r="D114" i="5"/>
  <c r="J114" i="5"/>
  <c r="O114" i="5"/>
  <c r="T114" i="5"/>
  <c r="D316" i="5"/>
  <c r="D318" i="5" s="1"/>
  <c r="D319" i="5" s="1"/>
  <c r="D126" i="5"/>
  <c r="C120" i="5"/>
  <c r="H316" i="5"/>
  <c r="H126" i="5"/>
  <c r="H127" i="5" s="1"/>
  <c r="H131" i="5" s="1"/>
  <c r="H323" i="5" s="1"/>
  <c r="L316" i="5"/>
  <c r="L126" i="5"/>
  <c r="P316" i="5"/>
  <c r="P126" i="5"/>
  <c r="T316" i="5"/>
  <c r="T126" i="5"/>
  <c r="E317" i="5"/>
  <c r="I317" i="5"/>
  <c r="M317" i="5"/>
  <c r="Q317" i="5"/>
  <c r="U317" i="5"/>
  <c r="C123" i="5"/>
  <c r="C317" i="5" s="1"/>
  <c r="G126" i="5"/>
  <c r="G127" i="5" s="1"/>
  <c r="G131" i="5" s="1"/>
  <c r="G323" i="5" s="1"/>
  <c r="R126" i="5"/>
  <c r="R127" i="5" s="1"/>
  <c r="R131" i="5" s="1"/>
  <c r="R323" i="5" s="1"/>
  <c r="G339" i="5"/>
  <c r="K339" i="5"/>
  <c r="O339" i="5"/>
  <c r="S339" i="5"/>
  <c r="D340" i="5"/>
  <c r="H340" i="5"/>
  <c r="L340" i="5"/>
  <c r="P340" i="5"/>
  <c r="T340" i="5"/>
  <c r="F341" i="5"/>
  <c r="J341" i="5"/>
  <c r="R341" i="5"/>
  <c r="C148" i="5"/>
  <c r="C342" i="5" s="1"/>
  <c r="C155" i="5"/>
  <c r="C161" i="5"/>
  <c r="C344" i="5" s="1"/>
  <c r="H165" i="5"/>
  <c r="H169" i="5" s="1"/>
  <c r="P165" i="5"/>
  <c r="P169" i="5" s="1"/>
  <c r="F174" i="5"/>
  <c r="N174" i="5"/>
  <c r="S175" i="5"/>
  <c r="H176" i="5"/>
  <c r="E356" i="5"/>
  <c r="C182" i="5"/>
  <c r="C356" i="5" s="1"/>
  <c r="E213" i="5"/>
  <c r="I213" i="5"/>
  <c r="I227" i="5" s="1"/>
  <c r="I231" i="5" s="1"/>
  <c r="I387" i="5" s="1"/>
  <c r="M213" i="5"/>
  <c r="M227" i="5" s="1"/>
  <c r="M231" i="5" s="1"/>
  <c r="M387" i="5" s="1"/>
  <c r="Q213" i="5"/>
  <c r="Q227" i="5" s="1"/>
  <c r="Q231" i="5" s="1"/>
  <c r="Q387" i="5" s="1"/>
  <c r="U213" i="5"/>
  <c r="U227" i="5" s="1"/>
  <c r="U231" i="5" s="1"/>
  <c r="U387" i="5" s="1"/>
  <c r="E363" i="5"/>
  <c r="C189" i="5"/>
  <c r="C363" i="5" s="1"/>
  <c r="C191" i="5"/>
  <c r="C364" i="5" s="1"/>
  <c r="D367" i="5"/>
  <c r="C196" i="5"/>
  <c r="C367" i="5" s="1"/>
  <c r="E368" i="5"/>
  <c r="C201" i="5"/>
  <c r="C368" i="5" s="1"/>
  <c r="D213" i="5"/>
  <c r="T213" i="5"/>
  <c r="O225" i="5"/>
  <c r="C221" i="5"/>
  <c r="I225" i="5"/>
  <c r="G49" i="5"/>
  <c r="K49" i="5"/>
  <c r="O49" i="5"/>
  <c r="S49" i="5"/>
  <c r="H260" i="5"/>
  <c r="H263" i="5" s="1"/>
  <c r="L260" i="5"/>
  <c r="L263" i="5" s="1"/>
  <c r="P260" i="5"/>
  <c r="P263" i="5" s="1"/>
  <c r="E58" i="5"/>
  <c r="I58" i="5"/>
  <c r="M58" i="5"/>
  <c r="U58" i="5"/>
  <c r="Q268" i="5"/>
  <c r="H62" i="5"/>
  <c r="H267" i="5" s="1"/>
  <c r="M65" i="5"/>
  <c r="R65" i="5"/>
  <c r="L277" i="5"/>
  <c r="R71" i="5"/>
  <c r="I275" i="5"/>
  <c r="O72" i="5"/>
  <c r="H77" i="5"/>
  <c r="S77" i="5"/>
  <c r="J96" i="5"/>
  <c r="O96" i="5"/>
  <c r="D98" i="5"/>
  <c r="T98" i="5"/>
  <c r="E302" i="5"/>
  <c r="E305" i="5" s="1"/>
  <c r="E107" i="5"/>
  <c r="I302" i="5"/>
  <c r="I305" i="5" s="1"/>
  <c r="I107" i="5"/>
  <c r="M302" i="5"/>
  <c r="M305" i="5" s="1"/>
  <c r="M107" i="5"/>
  <c r="Q302" i="5"/>
  <c r="Q305" i="5" s="1"/>
  <c r="Q107" i="5"/>
  <c r="U302" i="5"/>
  <c r="U305" i="5" s="1"/>
  <c r="U107" i="5"/>
  <c r="N107" i="5"/>
  <c r="E308" i="5"/>
  <c r="E310" i="5" s="1"/>
  <c r="E114" i="5"/>
  <c r="E127" i="5" s="1"/>
  <c r="E131" i="5" s="1"/>
  <c r="E323" i="5" s="1"/>
  <c r="I308" i="5"/>
  <c r="I114" i="5"/>
  <c r="M308" i="5"/>
  <c r="M310" i="5" s="1"/>
  <c r="M114" i="5"/>
  <c r="M127" i="5" s="1"/>
  <c r="M131" i="5" s="1"/>
  <c r="M323" i="5" s="1"/>
  <c r="Q308" i="5"/>
  <c r="Q114" i="5"/>
  <c r="Q127" i="5" s="1"/>
  <c r="Q131" i="5" s="1"/>
  <c r="Q323" i="5" s="1"/>
  <c r="U308" i="5"/>
  <c r="U310" i="5" s="1"/>
  <c r="U114" i="5"/>
  <c r="U127" i="5" s="1"/>
  <c r="U131" i="5" s="1"/>
  <c r="U323" i="5" s="1"/>
  <c r="P114" i="5"/>
  <c r="C117" i="5"/>
  <c r="C313" i="5" s="1"/>
  <c r="E316" i="5"/>
  <c r="E71" i="5"/>
  <c r="I316" i="5"/>
  <c r="I71" i="5"/>
  <c r="M316" i="5"/>
  <c r="M318" i="5" s="1"/>
  <c r="M319" i="5" s="1"/>
  <c r="M71" i="5"/>
  <c r="Q316" i="5"/>
  <c r="Q318" i="5" s="1"/>
  <c r="Q71" i="5"/>
  <c r="U316" i="5"/>
  <c r="U71" i="5"/>
  <c r="F317" i="5"/>
  <c r="F318" i="5" s="1"/>
  <c r="F319" i="5" s="1"/>
  <c r="F72" i="5"/>
  <c r="F275" i="5" s="1"/>
  <c r="J72" i="5"/>
  <c r="J275" i="5" s="1"/>
  <c r="J317" i="5"/>
  <c r="J318" i="5" s="1"/>
  <c r="N317" i="5"/>
  <c r="N318" i="5" s="1"/>
  <c r="N72" i="5"/>
  <c r="N275" i="5" s="1"/>
  <c r="R317" i="5"/>
  <c r="R318" i="5" s="1"/>
  <c r="R72" i="5"/>
  <c r="R275" i="5" s="1"/>
  <c r="I126" i="5"/>
  <c r="N126" i="5"/>
  <c r="S126" i="5"/>
  <c r="S127" i="5" s="1"/>
  <c r="S131" i="5" s="1"/>
  <c r="S323" i="5" s="1"/>
  <c r="C129" i="5"/>
  <c r="C321" i="5" s="1"/>
  <c r="F337" i="5"/>
  <c r="F346" i="5" s="1"/>
  <c r="F165" i="5"/>
  <c r="F169" i="5" s="1"/>
  <c r="J337" i="5"/>
  <c r="J346" i="5" s="1"/>
  <c r="J165" i="5"/>
  <c r="J169" i="5" s="1"/>
  <c r="N337" i="5"/>
  <c r="N346" i="5" s="1"/>
  <c r="N165" i="5"/>
  <c r="N169" i="5" s="1"/>
  <c r="R337" i="5"/>
  <c r="R346" i="5" s="1"/>
  <c r="R165" i="5"/>
  <c r="R169" i="5" s="1"/>
  <c r="D339" i="5"/>
  <c r="H339" i="5"/>
  <c r="L339" i="5"/>
  <c r="L346" i="5" s="1"/>
  <c r="P339" i="5"/>
  <c r="P346" i="5" s="1"/>
  <c r="T339" i="5"/>
  <c r="E340" i="5"/>
  <c r="I340" i="5"/>
  <c r="I346" i="5" s="1"/>
  <c r="M340" i="5"/>
  <c r="M346" i="5" s="1"/>
  <c r="Q340" i="5"/>
  <c r="Q346" i="5" s="1"/>
  <c r="U340" i="5"/>
  <c r="C151" i="5"/>
  <c r="I165" i="5"/>
  <c r="I169" i="5" s="1"/>
  <c r="Q165" i="5"/>
  <c r="Q169" i="5" s="1"/>
  <c r="E349" i="5"/>
  <c r="C168" i="5"/>
  <c r="C349" i="5" s="1"/>
  <c r="I174" i="5"/>
  <c r="Q174" i="5"/>
  <c r="D355" i="5"/>
  <c r="C181" i="5"/>
  <c r="C355" i="5" s="1"/>
  <c r="F213" i="5"/>
  <c r="J213" i="5"/>
  <c r="N213" i="5"/>
  <c r="R213" i="5"/>
  <c r="C188" i="5"/>
  <c r="C362" i="5" s="1"/>
  <c r="E371" i="5"/>
  <c r="C205" i="5"/>
  <c r="C371" i="5" s="1"/>
  <c r="I371" i="5"/>
  <c r="M371" i="5"/>
  <c r="Q371" i="5"/>
  <c r="U371" i="5"/>
  <c r="H213" i="5"/>
  <c r="N225" i="5"/>
  <c r="K266" i="5"/>
  <c r="K268" i="5" s="1"/>
  <c r="K278" i="5" s="1"/>
  <c r="G318" i="5"/>
  <c r="E365" i="5"/>
  <c r="I365" i="5"/>
  <c r="M365" i="5"/>
  <c r="Q365" i="5"/>
  <c r="U365" i="5"/>
  <c r="E367" i="5"/>
  <c r="I367" i="5"/>
  <c r="M367" i="5"/>
  <c r="Q367" i="5"/>
  <c r="U367" i="5"/>
  <c r="F378" i="5"/>
  <c r="F381" i="5" s="1"/>
  <c r="J378" i="5"/>
  <c r="J381" i="5" s="1"/>
  <c r="N378" i="5"/>
  <c r="N381" i="5" s="1"/>
  <c r="R378" i="5"/>
  <c r="R381" i="5" s="1"/>
  <c r="C217" i="5"/>
  <c r="C379" i="5" s="1"/>
  <c r="F225" i="5"/>
  <c r="J225" i="5"/>
  <c r="D394" i="5"/>
  <c r="C238" i="5"/>
  <c r="C394" i="5" s="1"/>
  <c r="D302" i="5"/>
  <c r="D305" i="5" s="1"/>
  <c r="T302" i="5"/>
  <c r="T305" i="5" s="1"/>
  <c r="E362" i="5"/>
  <c r="I362" i="5"/>
  <c r="M362" i="5"/>
  <c r="Q362" i="5"/>
  <c r="U362" i="5"/>
  <c r="G363" i="5"/>
  <c r="K363" i="5"/>
  <c r="O363" i="5"/>
  <c r="S363" i="5"/>
  <c r="F365" i="5"/>
  <c r="J365" i="5"/>
  <c r="N365" i="5"/>
  <c r="R365" i="5"/>
  <c r="F367" i="5"/>
  <c r="J367" i="5"/>
  <c r="N367" i="5"/>
  <c r="R367" i="5"/>
  <c r="G378" i="5"/>
  <c r="G381" i="5" s="1"/>
  <c r="K378" i="5"/>
  <c r="K381" i="5" s="1"/>
  <c r="O378" i="5"/>
  <c r="O381" i="5" s="1"/>
  <c r="S378" i="5"/>
  <c r="S381" i="5" s="1"/>
  <c r="G225" i="5"/>
  <c r="K225" i="5"/>
  <c r="R225" i="5"/>
  <c r="D385" i="5"/>
  <c r="C229" i="5"/>
  <c r="C385" i="5" s="1"/>
  <c r="H302" i="5"/>
  <c r="H305" i="5" s="1"/>
  <c r="P302" i="5"/>
  <c r="P305" i="5" s="1"/>
  <c r="F310" i="5"/>
  <c r="R310" i="5"/>
  <c r="G309" i="5"/>
  <c r="G310" i="5" s="1"/>
  <c r="K309" i="5"/>
  <c r="K310" i="5" s="1"/>
  <c r="O309" i="5"/>
  <c r="O310" i="5" s="1"/>
  <c r="S309" i="5"/>
  <c r="S310" i="5" s="1"/>
  <c r="K318" i="5"/>
  <c r="O318" i="5"/>
  <c r="S318" i="5"/>
  <c r="H317" i="5"/>
  <c r="L317" i="5"/>
  <c r="P317" i="5"/>
  <c r="T317" i="5"/>
  <c r="K346" i="5"/>
  <c r="O346" i="5"/>
  <c r="G165" i="5"/>
  <c r="G169" i="5" s="1"/>
  <c r="K165" i="5"/>
  <c r="K169" i="5" s="1"/>
  <c r="O165" i="5"/>
  <c r="O169" i="5" s="1"/>
  <c r="S165" i="5"/>
  <c r="S169" i="5" s="1"/>
  <c r="H174" i="5"/>
  <c r="L174" i="5"/>
  <c r="P174" i="5"/>
  <c r="F362" i="5"/>
  <c r="J362" i="5"/>
  <c r="N362" i="5"/>
  <c r="R362" i="5"/>
  <c r="D363" i="5"/>
  <c r="H363" i="5"/>
  <c r="L363" i="5"/>
  <c r="P363" i="5"/>
  <c r="T363" i="5"/>
  <c r="F364" i="5"/>
  <c r="J364" i="5"/>
  <c r="N364" i="5"/>
  <c r="R364" i="5"/>
  <c r="G365" i="5"/>
  <c r="K365" i="5"/>
  <c r="O365" i="5"/>
  <c r="S365" i="5"/>
  <c r="G367" i="5"/>
  <c r="K367" i="5"/>
  <c r="O367" i="5"/>
  <c r="S367" i="5"/>
  <c r="D378" i="5"/>
  <c r="D381" i="5" s="1"/>
  <c r="H378" i="5"/>
  <c r="H381" i="5" s="1"/>
  <c r="L378" i="5"/>
  <c r="L381" i="5" s="1"/>
  <c r="P378" i="5"/>
  <c r="P381" i="5" s="1"/>
  <c r="P225" i="5"/>
  <c r="T378" i="5"/>
  <c r="T381" i="5" s="1"/>
  <c r="T225" i="5"/>
  <c r="D225" i="5"/>
  <c r="H225" i="5"/>
  <c r="L225" i="5"/>
  <c r="S225" i="5"/>
  <c r="C236" i="5"/>
  <c r="C392" i="5" s="1"/>
  <c r="I77" i="4"/>
  <c r="K77" i="4"/>
  <c r="O77" i="4"/>
  <c r="C19" i="4"/>
  <c r="N24" i="4"/>
  <c r="C24" i="4" s="1"/>
  <c r="C33" i="4"/>
  <c r="H63" i="4"/>
  <c r="T63" i="4"/>
  <c r="C56" i="4"/>
  <c r="D59" i="4"/>
  <c r="H59" i="4"/>
  <c r="L59" i="4"/>
  <c r="L63" i="4" s="1"/>
  <c r="P59" i="4"/>
  <c r="P63" i="4" s="1"/>
  <c r="T59" i="4"/>
  <c r="F21" i="4"/>
  <c r="F77" i="4" s="1"/>
  <c r="J21" i="4"/>
  <c r="J77" i="4" s="1"/>
  <c r="R21" i="4"/>
  <c r="R77" i="4" s="1"/>
  <c r="G63" i="4"/>
  <c r="K63" i="4"/>
  <c r="O63" i="4"/>
  <c r="S63" i="4"/>
  <c r="C18" i="4"/>
  <c r="C21" i="4" s="1"/>
  <c r="C38" i="4"/>
  <c r="E51" i="4"/>
  <c r="E59" i="4"/>
  <c r="I59" i="4"/>
  <c r="I63" i="4" s="1"/>
  <c r="M59" i="4"/>
  <c r="M63" i="4" s="1"/>
  <c r="Q59" i="4"/>
  <c r="Q63" i="4" s="1"/>
  <c r="E34" i="4"/>
  <c r="E40" i="4" s="1"/>
  <c r="E77" i="4" s="1"/>
  <c r="I34" i="4"/>
  <c r="I40" i="4" s="1"/>
  <c r="M34" i="4"/>
  <c r="M40" i="4" s="1"/>
  <c r="M77" i="4" s="1"/>
  <c r="Q34" i="4"/>
  <c r="Q40" i="4" s="1"/>
  <c r="Q77" i="4" s="1"/>
  <c r="U34" i="4"/>
  <c r="U40" i="4" s="1"/>
  <c r="U77" i="4" s="1"/>
  <c r="C32" i="4"/>
  <c r="C34" i="4" s="1"/>
  <c r="E57" i="4"/>
  <c r="U57" i="4"/>
  <c r="U59" i="4" s="1"/>
  <c r="U63" i="4" s="1"/>
  <c r="D34" i="4"/>
  <c r="D40" i="4" s="1"/>
  <c r="D77" i="4" s="1"/>
  <c r="H34" i="4"/>
  <c r="H40" i="4" s="1"/>
  <c r="H77" i="4" s="1"/>
  <c r="L34" i="4"/>
  <c r="L40" i="4" s="1"/>
  <c r="L77" i="4" s="1"/>
  <c r="P34" i="4"/>
  <c r="P40" i="4" s="1"/>
  <c r="P77" i="4" s="1"/>
  <c r="T34" i="4"/>
  <c r="T40" i="4" s="1"/>
  <c r="T77" i="4" s="1"/>
  <c r="C47" i="4"/>
  <c r="C51" i="4" s="1"/>
  <c r="F57" i="4"/>
  <c r="F59" i="4" s="1"/>
  <c r="F63" i="4" s="1"/>
  <c r="J57" i="4"/>
  <c r="J59" i="4" s="1"/>
  <c r="J63" i="4" s="1"/>
  <c r="N57" i="4"/>
  <c r="N59" i="4" s="1"/>
  <c r="N63" i="4" s="1"/>
  <c r="R57" i="4"/>
  <c r="R59" i="4" s="1"/>
  <c r="R63" i="4" s="1"/>
  <c r="I48" i="2"/>
  <c r="K23" i="2" s="1"/>
  <c r="C23" i="2" s="1"/>
  <c r="C41" i="1"/>
  <c r="C375" i="5" l="1"/>
  <c r="J319" i="5"/>
  <c r="T260" i="5"/>
  <c r="T263" i="5" s="1"/>
  <c r="T346" i="5"/>
  <c r="G346" i="5"/>
  <c r="H227" i="5"/>
  <c r="H231" i="5" s="1"/>
  <c r="H387" i="5" s="1"/>
  <c r="U65" i="5"/>
  <c r="N227" i="5"/>
  <c r="N231" i="5" s="1"/>
  <c r="N387" i="5" s="1"/>
  <c r="E346" i="5"/>
  <c r="N127" i="5"/>
  <c r="N131" i="5" s="1"/>
  <c r="N323" i="5" s="1"/>
  <c r="C62" i="5"/>
  <c r="C267" i="5" s="1"/>
  <c r="K227" i="5"/>
  <c r="K231" i="5" s="1"/>
  <c r="K387" i="5" s="1"/>
  <c r="J127" i="5"/>
  <c r="J131" i="5" s="1"/>
  <c r="J323" i="5" s="1"/>
  <c r="P127" i="5"/>
  <c r="P131" i="5" s="1"/>
  <c r="P323" i="5" s="1"/>
  <c r="C61" i="5"/>
  <c r="C266" i="5" s="1"/>
  <c r="C268" i="5" s="1"/>
  <c r="N375" i="5"/>
  <c r="T227" i="5"/>
  <c r="T231" i="5" s="1"/>
  <c r="T387" i="5" s="1"/>
  <c r="P375" i="5"/>
  <c r="S346" i="5"/>
  <c r="E65" i="5"/>
  <c r="Q375" i="5"/>
  <c r="R319" i="5"/>
  <c r="U318" i="5"/>
  <c r="U319" i="5" s="1"/>
  <c r="E318" i="5"/>
  <c r="E319" i="5" s="1"/>
  <c r="D184" i="5"/>
  <c r="C175" i="5"/>
  <c r="M375" i="5"/>
  <c r="U346" i="5"/>
  <c r="H346" i="5"/>
  <c r="S227" i="5"/>
  <c r="S231" i="5" s="1"/>
  <c r="S387" i="5" s="1"/>
  <c r="M383" i="5"/>
  <c r="N319" i="5"/>
  <c r="L354" i="5"/>
  <c r="L359" i="5" s="1"/>
  <c r="L184" i="5"/>
  <c r="J282" i="5"/>
  <c r="J257" i="5"/>
  <c r="J281" i="5"/>
  <c r="J283" i="5"/>
  <c r="O375" i="5"/>
  <c r="O383" i="5" s="1"/>
  <c r="D280" i="5"/>
  <c r="C80" i="5"/>
  <c r="C280" i="5" s="1"/>
  <c r="J375" i="5"/>
  <c r="J383" i="5" s="1"/>
  <c r="N350" i="5"/>
  <c r="N170" i="5"/>
  <c r="N351" i="5" s="1"/>
  <c r="N171" i="5"/>
  <c r="F350" i="5"/>
  <c r="F170" i="5"/>
  <c r="F351" i="5" s="1"/>
  <c r="Q274" i="5"/>
  <c r="Q77" i="5"/>
  <c r="Q78" i="5" s="1"/>
  <c r="I274" i="5"/>
  <c r="I77" i="5"/>
  <c r="D300" i="5"/>
  <c r="S257" i="5"/>
  <c r="S283" i="5"/>
  <c r="S281" i="5"/>
  <c r="S282" i="5"/>
  <c r="C213" i="5"/>
  <c r="D227" i="5"/>
  <c r="D231" i="5" s="1"/>
  <c r="E227" i="5"/>
  <c r="E231" i="5" s="1"/>
  <c r="E387" i="5" s="1"/>
  <c r="H350" i="5"/>
  <c r="H170" i="5"/>
  <c r="H351" i="5" s="1"/>
  <c r="P318" i="5"/>
  <c r="P319" i="5" s="1"/>
  <c r="H318" i="5"/>
  <c r="H319" i="5" s="1"/>
  <c r="D359" i="5"/>
  <c r="N298" i="5"/>
  <c r="N97" i="5"/>
  <c r="U298" i="5"/>
  <c r="U97" i="5"/>
  <c r="U98" i="5" s="1"/>
  <c r="I298" i="5"/>
  <c r="I97" i="5"/>
  <c r="S260" i="5"/>
  <c r="S263" i="5" s="1"/>
  <c r="S58" i="5"/>
  <c r="F282" i="5"/>
  <c r="F257" i="5"/>
  <c r="F283" i="5"/>
  <c r="F281" i="5"/>
  <c r="L253" i="5"/>
  <c r="L49" i="5"/>
  <c r="K375" i="5"/>
  <c r="F299" i="5"/>
  <c r="F130" i="5"/>
  <c r="F322" i="5" s="1"/>
  <c r="N77" i="5"/>
  <c r="N78" i="5" s="1"/>
  <c r="P227" i="5"/>
  <c r="P231" i="5" s="1"/>
  <c r="P387" i="5" s="1"/>
  <c r="L375" i="5"/>
  <c r="L383" i="5" s="1"/>
  <c r="D346" i="5"/>
  <c r="O354" i="5"/>
  <c r="O359" i="5" s="1"/>
  <c r="O184" i="5"/>
  <c r="G354" i="5"/>
  <c r="G359" i="5" s="1"/>
  <c r="G184" i="5"/>
  <c r="D130" i="5"/>
  <c r="D299" i="5"/>
  <c r="J77" i="5"/>
  <c r="J78" i="5" s="1"/>
  <c r="J274" i="5"/>
  <c r="F260" i="5"/>
  <c r="F263" i="5" s="1"/>
  <c r="F58" i="5"/>
  <c r="I49" i="5"/>
  <c r="S375" i="5"/>
  <c r="C165" i="5"/>
  <c r="D169" i="5"/>
  <c r="C309" i="5"/>
  <c r="G268" i="5"/>
  <c r="G278" i="5" s="1"/>
  <c r="T350" i="5"/>
  <c r="T170" i="5"/>
  <c r="T351" i="5" s="1"/>
  <c r="U268" i="5"/>
  <c r="K350" i="5"/>
  <c r="K170" i="5"/>
  <c r="K351" i="5" s="1"/>
  <c r="K319" i="5"/>
  <c r="N383" i="5"/>
  <c r="R227" i="5"/>
  <c r="R231" i="5" s="1"/>
  <c r="R387" i="5" s="1"/>
  <c r="T300" i="5"/>
  <c r="T326" i="5"/>
  <c r="T324" i="5"/>
  <c r="T325" i="5"/>
  <c r="O275" i="5"/>
  <c r="O77" i="5"/>
  <c r="G257" i="5"/>
  <c r="G283" i="5"/>
  <c r="G282" i="5"/>
  <c r="G281" i="5"/>
  <c r="P350" i="5"/>
  <c r="P170" i="5"/>
  <c r="P351" i="5" s="1"/>
  <c r="P266" i="5"/>
  <c r="P268" i="5" s="1"/>
  <c r="P65" i="5"/>
  <c r="S298" i="5"/>
  <c r="S97" i="5"/>
  <c r="M298" i="5"/>
  <c r="M97" i="5"/>
  <c r="E298" i="5"/>
  <c r="E97" i="5"/>
  <c r="C72" i="5"/>
  <c r="O65" i="5"/>
  <c r="O266" i="5"/>
  <c r="O268" i="5" s="1"/>
  <c r="C53" i="5"/>
  <c r="C260" i="5" s="1"/>
  <c r="G260" i="5"/>
  <c r="G263" i="5" s="1"/>
  <c r="G58" i="5"/>
  <c r="P253" i="5"/>
  <c r="P49" i="5"/>
  <c r="P278" i="5"/>
  <c r="E350" i="5"/>
  <c r="E170" i="5"/>
  <c r="E351" i="5" s="1"/>
  <c r="E171" i="5"/>
  <c r="J260" i="5"/>
  <c r="J263" i="5" s="1"/>
  <c r="J58" i="5"/>
  <c r="M49" i="5"/>
  <c r="H354" i="5"/>
  <c r="H359" i="5" s="1"/>
  <c r="H184" i="5"/>
  <c r="G319" i="5"/>
  <c r="P383" i="5"/>
  <c r="F375" i="5"/>
  <c r="F383" i="5" s="1"/>
  <c r="S319" i="5"/>
  <c r="J227" i="5"/>
  <c r="J231" i="5" s="1"/>
  <c r="J387" i="5" s="1"/>
  <c r="Q354" i="5"/>
  <c r="Q359" i="5" s="1"/>
  <c r="Q184" i="5"/>
  <c r="Q350" i="5"/>
  <c r="Q170" i="5"/>
  <c r="Q351" i="5" s="1"/>
  <c r="Q171" i="5"/>
  <c r="I127" i="5"/>
  <c r="I131" i="5" s="1"/>
  <c r="I323" i="5" s="1"/>
  <c r="I318" i="5"/>
  <c r="Q310" i="5"/>
  <c r="Q319" i="5" s="1"/>
  <c r="I310" i="5"/>
  <c r="O298" i="5"/>
  <c r="O97" i="5"/>
  <c r="O98" i="5" s="1"/>
  <c r="S78" i="5"/>
  <c r="R77" i="5"/>
  <c r="R78" i="5" s="1"/>
  <c r="R274" i="5"/>
  <c r="O257" i="5"/>
  <c r="O283" i="5"/>
  <c r="O281" i="5"/>
  <c r="O282" i="5"/>
  <c r="N354" i="5"/>
  <c r="N359" i="5" s="1"/>
  <c r="N184" i="5"/>
  <c r="T127" i="5"/>
  <c r="L127" i="5"/>
  <c r="L131" i="5" s="1"/>
  <c r="L323" i="5" s="1"/>
  <c r="C316" i="5"/>
  <c r="C318" i="5" s="1"/>
  <c r="C126" i="5"/>
  <c r="T266" i="5"/>
  <c r="T268" i="5" s="1"/>
  <c r="T278" i="5" s="1"/>
  <c r="T65" i="5"/>
  <c r="T78" i="5" s="1"/>
  <c r="L266" i="5"/>
  <c r="L268" i="5" s="1"/>
  <c r="L278" i="5" s="1"/>
  <c r="L65" i="5"/>
  <c r="L78" i="5" s="1"/>
  <c r="P299" i="5"/>
  <c r="P130" i="5"/>
  <c r="P322" i="5" s="1"/>
  <c r="H298" i="5"/>
  <c r="H98" i="5"/>
  <c r="H97" i="5"/>
  <c r="Q298" i="5"/>
  <c r="Q97" i="5"/>
  <c r="Q98" i="5" s="1"/>
  <c r="C56" i="5"/>
  <c r="C262" i="5" s="1"/>
  <c r="O260" i="5"/>
  <c r="O263" i="5" s="1"/>
  <c r="O58" i="5"/>
  <c r="R282" i="5"/>
  <c r="R283" i="5"/>
  <c r="R281" i="5"/>
  <c r="R257" i="5"/>
  <c r="C48" i="5"/>
  <c r="C256" i="5" s="1"/>
  <c r="E256" i="5"/>
  <c r="H253" i="5"/>
  <c r="H49" i="5"/>
  <c r="J354" i="5"/>
  <c r="J359" i="5" s="1"/>
  <c r="J184" i="5"/>
  <c r="O127" i="5"/>
  <c r="O131" i="5" s="1"/>
  <c r="O323" i="5" s="1"/>
  <c r="D271" i="5"/>
  <c r="C68" i="5"/>
  <c r="C271" i="5" s="1"/>
  <c r="N278" i="5"/>
  <c r="N277" i="5"/>
  <c r="H375" i="5"/>
  <c r="H383" i="5" s="1"/>
  <c r="U350" i="5"/>
  <c r="U170" i="5"/>
  <c r="U351" i="5" s="1"/>
  <c r="R298" i="5"/>
  <c r="R97" i="5"/>
  <c r="R98" i="5" s="1"/>
  <c r="R260" i="5"/>
  <c r="R263" i="5" s="1"/>
  <c r="R58" i="5"/>
  <c r="R85" i="5" s="1"/>
  <c r="U49" i="5"/>
  <c r="E49" i="5"/>
  <c r="G227" i="5"/>
  <c r="G231" i="5" s="1"/>
  <c r="G387" i="5" s="1"/>
  <c r="C341" i="5"/>
  <c r="C346" i="5" s="1"/>
  <c r="P98" i="5"/>
  <c r="S277" i="5"/>
  <c r="Q383" i="5"/>
  <c r="C378" i="5"/>
  <c r="C381" i="5" s="1"/>
  <c r="C225" i="5"/>
  <c r="C176" i="5"/>
  <c r="I65" i="5"/>
  <c r="E268" i="5"/>
  <c r="E359" i="5"/>
  <c r="H266" i="5"/>
  <c r="H268" i="5" s="1"/>
  <c r="H278" i="5" s="1"/>
  <c r="H65" i="5"/>
  <c r="H78" i="5" s="1"/>
  <c r="F274" i="5"/>
  <c r="F77" i="5"/>
  <c r="F78" i="5" s="1"/>
  <c r="T130" i="5"/>
  <c r="T322" i="5" s="1"/>
  <c r="T299" i="5"/>
  <c r="G298" i="5"/>
  <c r="G97" i="5"/>
  <c r="G98" i="5" s="1"/>
  <c r="C73" i="5"/>
  <c r="D77" i="5"/>
  <c r="D78" i="5" s="1"/>
  <c r="R354" i="5"/>
  <c r="R359" i="5" s="1"/>
  <c r="R184" i="5"/>
  <c r="U383" i="5"/>
  <c r="L227" i="5"/>
  <c r="L231" i="5" s="1"/>
  <c r="L387" i="5" s="1"/>
  <c r="D275" i="5"/>
  <c r="G78" i="5"/>
  <c r="G350" i="5"/>
  <c r="G170" i="5"/>
  <c r="G351" i="5" s="1"/>
  <c r="K383" i="5"/>
  <c r="S350" i="5"/>
  <c r="S170" i="5"/>
  <c r="S351" i="5" s="1"/>
  <c r="I375" i="5"/>
  <c r="I383" i="5" s="1"/>
  <c r="R375" i="5"/>
  <c r="R383" i="5" s="1"/>
  <c r="P354" i="5"/>
  <c r="P359" i="5" s="1"/>
  <c r="P184" i="5"/>
  <c r="O350" i="5"/>
  <c r="O170" i="5"/>
  <c r="O351" i="5" s="1"/>
  <c r="O319" i="5"/>
  <c r="S383" i="5"/>
  <c r="U375" i="5"/>
  <c r="E375" i="5"/>
  <c r="E383" i="5" s="1"/>
  <c r="F227" i="5"/>
  <c r="F231" i="5" s="1"/>
  <c r="F387" i="5" s="1"/>
  <c r="I354" i="5"/>
  <c r="I359" i="5" s="1"/>
  <c r="I184" i="5"/>
  <c r="I350" i="5"/>
  <c r="I170" i="5"/>
  <c r="I351" i="5" s="1"/>
  <c r="I171" i="5"/>
  <c r="R350" i="5"/>
  <c r="R170" i="5"/>
  <c r="R351" i="5" s="1"/>
  <c r="J350" i="5"/>
  <c r="J170" i="5"/>
  <c r="J351" i="5" s="1"/>
  <c r="U274" i="5"/>
  <c r="U77" i="5"/>
  <c r="M274" i="5"/>
  <c r="M77" i="5"/>
  <c r="M78" i="5" s="1"/>
  <c r="E274" i="5"/>
  <c r="E77" i="5"/>
  <c r="C71" i="5"/>
  <c r="J298" i="5"/>
  <c r="J97" i="5"/>
  <c r="J98" i="5" s="1"/>
  <c r="Q58" i="5"/>
  <c r="C55" i="5"/>
  <c r="C261" i="5" s="1"/>
  <c r="K257" i="5"/>
  <c r="K283" i="5"/>
  <c r="K282" i="5"/>
  <c r="K281" i="5"/>
  <c r="K285" i="5" s="1"/>
  <c r="F354" i="5"/>
  <c r="F359" i="5" s="1"/>
  <c r="F184" i="5"/>
  <c r="T318" i="5"/>
  <c r="T319" i="5" s="1"/>
  <c r="L318" i="5"/>
  <c r="L319" i="5" s="1"/>
  <c r="D127" i="5"/>
  <c r="D131" i="5" s="1"/>
  <c r="C174" i="5"/>
  <c r="K299" i="5"/>
  <c r="K130" i="5"/>
  <c r="K322" i="5" s="1"/>
  <c r="C96" i="5"/>
  <c r="C298" i="5" s="1"/>
  <c r="K260" i="5"/>
  <c r="K263" i="5" s="1"/>
  <c r="K58" i="5"/>
  <c r="K85" i="5" s="1"/>
  <c r="N282" i="5"/>
  <c r="N257" i="5"/>
  <c r="N283" i="5"/>
  <c r="N281" i="5"/>
  <c r="N285" i="5" s="1"/>
  <c r="T253" i="5"/>
  <c r="T49" i="5"/>
  <c r="D253" i="5"/>
  <c r="C45" i="5"/>
  <c r="C253" i="5" s="1"/>
  <c r="D49" i="5"/>
  <c r="L350" i="5"/>
  <c r="L170" i="5"/>
  <c r="L351" i="5" s="1"/>
  <c r="T375" i="5"/>
  <c r="T383" i="5" s="1"/>
  <c r="D375" i="5"/>
  <c r="D383" i="5" s="1"/>
  <c r="M350" i="5"/>
  <c r="M170" i="5"/>
  <c r="M351" i="5" s="1"/>
  <c r="C308" i="5"/>
  <c r="C114" i="5"/>
  <c r="S354" i="5"/>
  <c r="S359" i="5" s="1"/>
  <c r="S184" i="5"/>
  <c r="K354" i="5"/>
  <c r="K359" i="5" s="1"/>
  <c r="K184" i="5"/>
  <c r="C302" i="5"/>
  <c r="C305" i="5" s="1"/>
  <c r="C107" i="5"/>
  <c r="L298" i="5"/>
  <c r="L97" i="5"/>
  <c r="C54" i="5"/>
  <c r="N260" i="5"/>
  <c r="N263" i="5" s="1"/>
  <c r="N58" i="5"/>
  <c r="N85" i="5" s="1"/>
  <c r="Q49" i="5"/>
  <c r="G375" i="5"/>
  <c r="G383" i="5" s="1"/>
  <c r="K98" i="5"/>
  <c r="O227" i="5"/>
  <c r="O231" i="5" s="1"/>
  <c r="O387" i="5" s="1"/>
  <c r="I268" i="5"/>
  <c r="F98" i="5"/>
  <c r="P78" i="5"/>
  <c r="D58" i="5"/>
  <c r="C77" i="4"/>
  <c r="C57" i="4"/>
  <c r="E63" i="4"/>
  <c r="C40" i="4"/>
  <c r="C59" i="4"/>
  <c r="I49" i="2"/>
  <c r="K24" i="2" s="1"/>
  <c r="C24" i="2" s="1"/>
  <c r="C65" i="5" l="1"/>
  <c r="H171" i="5"/>
  <c r="E78" i="5"/>
  <c r="C383" i="5"/>
  <c r="F85" i="5"/>
  <c r="C310" i="5"/>
  <c r="C319" i="5" s="1"/>
  <c r="C263" i="5"/>
  <c r="U78" i="5"/>
  <c r="O78" i="5"/>
  <c r="R300" i="5"/>
  <c r="R325" i="5"/>
  <c r="R326" i="5"/>
  <c r="R324" i="5"/>
  <c r="Q324" i="5"/>
  <c r="Q325" i="5"/>
  <c r="Q300" i="5"/>
  <c r="Q326" i="5"/>
  <c r="H300" i="5"/>
  <c r="H326" i="5"/>
  <c r="H324" i="5"/>
  <c r="H325" i="5"/>
  <c r="R278" i="5"/>
  <c r="R277" i="5"/>
  <c r="E299" i="5"/>
  <c r="E130" i="5"/>
  <c r="D136" i="5"/>
  <c r="G326" i="5"/>
  <c r="G300" i="5"/>
  <c r="G325" i="5"/>
  <c r="G324" i="5"/>
  <c r="O85" i="5"/>
  <c r="Q299" i="5"/>
  <c r="Q130" i="5"/>
  <c r="O300" i="5"/>
  <c r="O326" i="5"/>
  <c r="O324" i="5"/>
  <c r="O325" i="5"/>
  <c r="M281" i="5"/>
  <c r="M257" i="5"/>
  <c r="M283" i="5"/>
  <c r="M282" i="5"/>
  <c r="E352" i="5"/>
  <c r="E388" i="5"/>
  <c r="E390" i="5"/>
  <c r="E389" i="5"/>
  <c r="E230" i="5"/>
  <c r="G85" i="5"/>
  <c r="S299" i="5"/>
  <c r="S130" i="5"/>
  <c r="P171" i="5"/>
  <c r="O277" i="5"/>
  <c r="O278" i="5"/>
  <c r="O285" i="5" s="1"/>
  <c r="K171" i="5"/>
  <c r="C97" i="5"/>
  <c r="C299" i="5" s="1"/>
  <c r="I299" i="5"/>
  <c r="I130" i="5"/>
  <c r="I322" i="5" s="1"/>
  <c r="U299" i="5"/>
  <c r="U130" i="5"/>
  <c r="S285" i="5"/>
  <c r="D325" i="5"/>
  <c r="L299" i="5"/>
  <c r="L130" i="5"/>
  <c r="C127" i="5"/>
  <c r="L257" i="5"/>
  <c r="L282" i="5"/>
  <c r="L283" i="5"/>
  <c r="L281" i="5"/>
  <c r="L285" i="5" s="1"/>
  <c r="L171" i="5"/>
  <c r="E278" i="5"/>
  <c r="E277" i="5"/>
  <c r="I352" i="5"/>
  <c r="I388" i="5"/>
  <c r="I389" i="5"/>
  <c r="I230" i="5"/>
  <c r="I386" i="5" s="1"/>
  <c r="I390" i="5"/>
  <c r="M171" i="5"/>
  <c r="T257" i="5"/>
  <c r="T283" i="5"/>
  <c r="T281" i="5"/>
  <c r="T282" i="5"/>
  <c r="C354" i="5"/>
  <c r="C359" i="5" s="1"/>
  <c r="C184" i="5"/>
  <c r="R171" i="5"/>
  <c r="S171" i="5"/>
  <c r="D278" i="5"/>
  <c r="D277" i="5"/>
  <c r="P300" i="5"/>
  <c r="P325" i="5"/>
  <c r="P326" i="5"/>
  <c r="E281" i="5"/>
  <c r="E257" i="5"/>
  <c r="E282" i="5"/>
  <c r="E283" i="5"/>
  <c r="U171" i="5"/>
  <c r="R285" i="5"/>
  <c r="Q352" i="5"/>
  <c r="Q388" i="5"/>
  <c r="Q389" i="5"/>
  <c r="Q230" i="5"/>
  <c r="Q386" i="5" s="1"/>
  <c r="Q397" i="5" s="1"/>
  <c r="Q390" i="5"/>
  <c r="J85" i="5"/>
  <c r="C275" i="5"/>
  <c r="M299" i="5"/>
  <c r="M130" i="5"/>
  <c r="S98" i="5"/>
  <c r="T171" i="5"/>
  <c r="J277" i="5"/>
  <c r="J278" i="5"/>
  <c r="D322" i="5"/>
  <c r="S85" i="5"/>
  <c r="I98" i="5"/>
  <c r="H352" i="5"/>
  <c r="H390" i="5"/>
  <c r="H230" i="5"/>
  <c r="H386" i="5" s="1"/>
  <c r="H389" i="5"/>
  <c r="H388" i="5"/>
  <c r="D387" i="5"/>
  <c r="C231" i="5"/>
  <c r="C387" i="5" s="1"/>
  <c r="D324" i="5"/>
  <c r="Q278" i="5"/>
  <c r="Q277" i="5"/>
  <c r="N352" i="5"/>
  <c r="N388" i="5"/>
  <c r="N389" i="5"/>
  <c r="N390" i="5"/>
  <c r="N230" i="5"/>
  <c r="N386" i="5" s="1"/>
  <c r="N397" i="5" s="1"/>
  <c r="C58" i="5"/>
  <c r="K300" i="5"/>
  <c r="K326" i="5"/>
  <c r="K325" i="5"/>
  <c r="K324" i="5"/>
  <c r="K328" i="5" s="1"/>
  <c r="D323" i="5"/>
  <c r="J300" i="5"/>
  <c r="J325" i="5"/>
  <c r="J324" i="5"/>
  <c r="J326" i="5"/>
  <c r="D350" i="5"/>
  <c r="D171" i="5"/>
  <c r="D170" i="5"/>
  <c r="C169" i="5"/>
  <c r="C350" i="5" s="1"/>
  <c r="U300" i="5"/>
  <c r="U324" i="5"/>
  <c r="U325" i="5"/>
  <c r="U326" i="5"/>
  <c r="N299" i="5"/>
  <c r="N130" i="5"/>
  <c r="I278" i="5"/>
  <c r="I277" i="5"/>
  <c r="J285" i="5"/>
  <c r="J299" i="5"/>
  <c r="J130" i="5"/>
  <c r="U278" i="5"/>
  <c r="U277" i="5"/>
  <c r="O171" i="5"/>
  <c r="H257" i="5"/>
  <c r="H283" i="5"/>
  <c r="H281" i="5"/>
  <c r="H282" i="5"/>
  <c r="F300" i="5"/>
  <c r="F325" i="5"/>
  <c r="F326" i="5"/>
  <c r="F324" i="5"/>
  <c r="F328" i="5" s="1"/>
  <c r="Q257" i="5"/>
  <c r="Q281" i="5"/>
  <c r="Q282" i="5"/>
  <c r="Q283" i="5"/>
  <c r="L98" i="5"/>
  <c r="D257" i="5"/>
  <c r="C49" i="5"/>
  <c r="C257" i="5" s="1"/>
  <c r="C274" i="5"/>
  <c r="C77" i="5"/>
  <c r="C78" i="5" s="1"/>
  <c r="M278" i="5"/>
  <c r="M277" i="5"/>
  <c r="J171" i="5"/>
  <c r="G171" i="5"/>
  <c r="G299" i="5"/>
  <c r="G130" i="5"/>
  <c r="F277" i="5"/>
  <c r="F278" i="5"/>
  <c r="F285" i="5" s="1"/>
  <c r="U281" i="5"/>
  <c r="U257" i="5"/>
  <c r="U282" i="5"/>
  <c r="U283" i="5"/>
  <c r="R299" i="5"/>
  <c r="R130" i="5"/>
  <c r="H299" i="5"/>
  <c r="H130" i="5"/>
  <c r="T131" i="5"/>
  <c r="T323" i="5" s="1"/>
  <c r="T328" i="5" s="1"/>
  <c r="T136" i="5"/>
  <c r="O299" i="5"/>
  <c r="O130" i="5"/>
  <c r="O322" i="5" s="1"/>
  <c r="I319" i="5"/>
  <c r="P257" i="5"/>
  <c r="P282" i="5"/>
  <c r="P283" i="5"/>
  <c r="P281" i="5"/>
  <c r="E98" i="5"/>
  <c r="M98" i="5"/>
  <c r="G285" i="5"/>
  <c r="I257" i="5"/>
  <c r="I281" i="5"/>
  <c r="I283" i="5"/>
  <c r="I282" i="5"/>
  <c r="K136" i="5"/>
  <c r="N98" i="5"/>
  <c r="C227" i="5"/>
  <c r="D326" i="5"/>
  <c r="I78" i="5"/>
  <c r="F171" i="5"/>
  <c r="S23" i="4"/>
  <c r="S25" i="4" s="1"/>
  <c r="O23" i="4"/>
  <c r="O25" i="4" s="1"/>
  <c r="K23" i="4"/>
  <c r="K25" i="4" s="1"/>
  <c r="T23" i="4"/>
  <c r="T25" i="4" s="1"/>
  <c r="N23" i="4"/>
  <c r="N25" i="4" s="1"/>
  <c r="I23" i="4"/>
  <c r="I25" i="4" s="1"/>
  <c r="E23" i="4"/>
  <c r="E25" i="4" s="1"/>
  <c r="R23" i="4"/>
  <c r="R25" i="4" s="1"/>
  <c r="M23" i="4"/>
  <c r="M25" i="4" s="1"/>
  <c r="H23" i="4"/>
  <c r="H25" i="4" s="1"/>
  <c r="D23" i="4"/>
  <c r="U23" i="4"/>
  <c r="U25" i="4" s="1"/>
  <c r="P23" i="4"/>
  <c r="P25" i="4" s="1"/>
  <c r="J23" i="4"/>
  <c r="J25" i="4" s="1"/>
  <c r="F23" i="4"/>
  <c r="F25" i="4" s="1"/>
  <c r="C22" i="4"/>
  <c r="Q23" i="4"/>
  <c r="Q25" i="4" s="1"/>
  <c r="L23" i="4"/>
  <c r="L25" i="4" s="1"/>
  <c r="G23" i="4"/>
  <c r="G25" i="4" s="1"/>
  <c r="C61" i="4"/>
  <c r="C88" i="4" s="1"/>
  <c r="C89" i="4" s="1"/>
  <c r="C91" i="4" s="1"/>
  <c r="D63" i="4"/>
  <c r="C131" i="5" l="1"/>
  <c r="C323" i="5" s="1"/>
  <c r="D328" i="5"/>
  <c r="I397" i="5"/>
  <c r="I285" i="5"/>
  <c r="H397" i="5"/>
  <c r="C277" i="5"/>
  <c r="C278" i="5"/>
  <c r="L300" i="5"/>
  <c r="L325" i="5"/>
  <c r="L326" i="5"/>
  <c r="L324" i="5"/>
  <c r="L322" i="5"/>
  <c r="K352" i="5"/>
  <c r="K389" i="5"/>
  <c r="K390" i="5"/>
  <c r="K230" i="5"/>
  <c r="K388" i="5"/>
  <c r="S322" i="5"/>
  <c r="S136" i="5"/>
  <c r="H241" i="5"/>
  <c r="Q322" i="5"/>
  <c r="Q328" i="5" s="1"/>
  <c r="Q136" i="5"/>
  <c r="U85" i="5"/>
  <c r="M300" i="5"/>
  <c r="M324" i="5"/>
  <c r="M326" i="5"/>
  <c r="M325" i="5"/>
  <c r="J352" i="5"/>
  <c r="J388" i="5"/>
  <c r="J389" i="5"/>
  <c r="J230" i="5"/>
  <c r="J390" i="5"/>
  <c r="J322" i="5"/>
  <c r="J328" i="5" s="1"/>
  <c r="J136" i="5"/>
  <c r="S300" i="5"/>
  <c r="S326" i="5"/>
  <c r="S324" i="5"/>
  <c r="S325" i="5"/>
  <c r="Q241" i="5"/>
  <c r="E85" i="5"/>
  <c r="D281" i="5"/>
  <c r="C81" i="5"/>
  <c r="C281" i="5" s="1"/>
  <c r="D352" i="5"/>
  <c r="D230" i="5"/>
  <c r="C171" i="5"/>
  <c r="C352" i="5" s="1"/>
  <c r="D85" i="5"/>
  <c r="E300" i="5"/>
  <c r="C98" i="5"/>
  <c r="C300" i="5" s="1"/>
  <c r="C83" i="5"/>
  <c r="C283" i="5" s="1"/>
  <c r="D283" i="5"/>
  <c r="F136" i="5"/>
  <c r="S352" i="5"/>
  <c r="S389" i="5"/>
  <c r="S390" i="5"/>
  <c r="S230" i="5"/>
  <c r="S388" i="5"/>
  <c r="F352" i="5"/>
  <c r="F388" i="5"/>
  <c r="F389" i="5"/>
  <c r="F390" i="5"/>
  <c r="F230" i="5"/>
  <c r="O136" i="5"/>
  <c r="P285" i="5"/>
  <c r="R322" i="5"/>
  <c r="R328" i="5" s="1"/>
  <c r="R136" i="5"/>
  <c r="G352" i="5"/>
  <c r="G389" i="5"/>
  <c r="G390" i="5"/>
  <c r="G230" i="5"/>
  <c r="G388" i="5"/>
  <c r="D282" i="5"/>
  <c r="C82" i="5"/>
  <c r="C282" i="5" s="1"/>
  <c r="H285" i="5"/>
  <c r="O352" i="5"/>
  <c r="O389" i="5"/>
  <c r="O390" i="5"/>
  <c r="O230" i="5"/>
  <c r="O388" i="5"/>
  <c r="M322" i="5"/>
  <c r="M136" i="5"/>
  <c r="U352" i="5"/>
  <c r="U388" i="5"/>
  <c r="U390" i="5"/>
  <c r="U389" i="5"/>
  <c r="U230" i="5"/>
  <c r="E285" i="5"/>
  <c r="R352" i="5"/>
  <c r="R388" i="5"/>
  <c r="R389" i="5"/>
  <c r="R230" i="5"/>
  <c r="R390" i="5"/>
  <c r="M352" i="5"/>
  <c r="M388" i="5"/>
  <c r="M390" i="5"/>
  <c r="M389" i="5"/>
  <c r="M230" i="5"/>
  <c r="U322" i="5"/>
  <c r="U328" i="5" s="1"/>
  <c r="U136" i="5"/>
  <c r="L85" i="5"/>
  <c r="P85" i="5"/>
  <c r="I85" i="5"/>
  <c r="N300" i="5"/>
  <c r="N325" i="5"/>
  <c r="N326" i="5"/>
  <c r="N324" i="5"/>
  <c r="O328" i="5"/>
  <c r="H322" i="5"/>
  <c r="H328" i="5" s="1"/>
  <c r="H136" i="5"/>
  <c r="U285" i="5"/>
  <c r="G322" i="5"/>
  <c r="G328" i="5" s="1"/>
  <c r="G136" i="5"/>
  <c r="Q285" i="5"/>
  <c r="N322" i="5"/>
  <c r="D351" i="5"/>
  <c r="C170" i="5"/>
  <c r="C351" i="5" s="1"/>
  <c r="I241" i="5"/>
  <c r="I300" i="5"/>
  <c r="I326" i="5"/>
  <c r="I325" i="5"/>
  <c r="C130" i="5"/>
  <c r="C322" i="5" s="1"/>
  <c r="T352" i="5"/>
  <c r="T390" i="5"/>
  <c r="T230" i="5"/>
  <c r="T388" i="5"/>
  <c r="T389" i="5"/>
  <c r="P324" i="5"/>
  <c r="P328" i="5" s="1"/>
  <c r="P136" i="5"/>
  <c r="Q85" i="5"/>
  <c r="T285" i="5"/>
  <c r="L352" i="5"/>
  <c r="L390" i="5"/>
  <c r="L230" i="5"/>
  <c r="L388" i="5"/>
  <c r="L389" i="5"/>
  <c r="P352" i="5"/>
  <c r="P390" i="5"/>
  <c r="P230" i="5"/>
  <c r="P389" i="5"/>
  <c r="P388" i="5"/>
  <c r="E386" i="5"/>
  <c r="E397" i="5" s="1"/>
  <c r="E241" i="5"/>
  <c r="M285" i="5"/>
  <c r="E322" i="5"/>
  <c r="E136" i="5"/>
  <c r="N241" i="5"/>
  <c r="H85" i="5"/>
  <c r="M85" i="5"/>
  <c r="T85" i="5"/>
  <c r="T75" i="4"/>
  <c r="T79" i="4"/>
  <c r="T67" i="4"/>
  <c r="T71" i="4" s="1"/>
  <c r="T81" i="4" s="1"/>
  <c r="J75" i="4"/>
  <c r="J67" i="4"/>
  <c r="J71" i="4" s="1"/>
  <c r="J81" i="4" s="1"/>
  <c r="J79" i="4"/>
  <c r="D25" i="4"/>
  <c r="C23" i="4"/>
  <c r="C25" i="4" s="1"/>
  <c r="C75" i="4" s="1"/>
  <c r="E79" i="4"/>
  <c r="E67" i="4"/>
  <c r="E71" i="4" s="1"/>
  <c r="E81" i="4" s="1"/>
  <c r="E75" i="4"/>
  <c r="K75" i="4"/>
  <c r="K79" i="4"/>
  <c r="K67" i="4"/>
  <c r="K71" i="4" s="1"/>
  <c r="K81" i="4" s="1"/>
  <c r="G75" i="4"/>
  <c r="G79" i="4"/>
  <c r="G67" i="4"/>
  <c r="G71" i="4" s="1"/>
  <c r="G81" i="4" s="1"/>
  <c r="F75" i="4"/>
  <c r="F79" i="4"/>
  <c r="F67" i="4"/>
  <c r="F71" i="4" s="1"/>
  <c r="F81" i="4" s="1"/>
  <c r="R75" i="4"/>
  <c r="R79" i="4"/>
  <c r="R67" i="4"/>
  <c r="R71" i="4" s="1"/>
  <c r="R81" i="4" s="1"/>
  <c r="L75" i="4"/>
  <c r="L79" i="4"/>
  <c r="L67" i="4"/>
  <c r="L71" i="4" s="1"/>
  <c r="L81" i="4" s="1"/>
  <c r="C65" i="4"/>
  <c r="C63" i="4"/>
  <c r="Q79" i="4"/>
  <c r="Q67" i="4"/>
  <c r="Q71" i="4" s="1"/>
  <c r="Q81" i="4" s="1"/>
  <c r="Q75" i="4"/>
  <c r="P75" i="4"/>
  <c r="P79" i="4"/>
  <c r="P67" i="4"/>
  <c r="P71" i="4" s="1"/>
  <c r="P81" i="4" s="1"/>
  <c r="H75" i="4"/>
  <c r="H79" i="4"/>
  <c r="H67" i="4"/>
  <c r="H71" i="4" s="1"/>
  <c r="H81" i="4" s="1"/>
  <c r="I79" i="4"/>
  <c r="I67" i="4"/>
  <c r="I71" i="4" s="1"/>
  <c r="I81" i="4" s="1"/>
  <c r="I75" i="4"/>
  <c r="O75" i="4"/>
  <c r="O79" i="4"/>
  <c r="O67" i="4"/>
  <c r="O71" i="4" s="1"/>
  <c r="O81" i="4" s="1"/>
  <c r="U79" i="4"/>
  <c r="U67" i="4"/>
  <c r="U71" i="4" s="1"/>
  <c r="U81" i="4" s="1"/>
  <c r="U75" i="4"/>
  <c r="M79" i="4"/>
  <c r="M67" i="4"/>
  <c r="M71" i="4" s="1"/>
  <c r="M81" i="4" s="1"/>
  <c r="M75" i="4"/>
  <c r="N75" i="4"/>
  <c r="N79" i="4"/>
  <c r="N67" i="4"/>
  <c r="N71" i="4" s="1"/>
  <c r="N81" i="4" s="1"/>
  <c r="S75" i="4"/>
  <c r="S79" i="4"/>
  <c r="S67" i="4"/>
  <c r="S71" i="4" s="1"/>
  <c r="S81" i="4" s="1"/>
  <c r="D388" i="5" l="1"/>
  <c r="C232" i="5"/>
  <c r="C388" i="5" s="1"/>
  <c r="J386" i="5"/>
  <c r="J397" i="5" s="1"/>
  <c r="J241" i="5"/>
  <c r="L386" i="5"/>
  <c r="L397" i="5" s="1"/>
  <c r="L241" i="5"/>
  <c r="I324" i="5"/>
  <c r="I328" i="5" s="1"/>
  <c r="I136" i="5"/>
  <c r="N136" i="5"/>
  <c r="M328" i="5"/>
  <c r="S386" i="5"/>
  <c r="S397" i="5" s="1"/>
  <c r="S241" i="5"/>
  <c r="E326" i="5"/>
  <c r="C134" i="5"/>
  <c r="C326" i="5" s="1"/>
  <c r="D386" i="5"/>
  <c r="C230" i="5"/>
  <c r="C386" i="5" s="1"/>
  <c r="D241" i="5"/>
  <c r="D285" i="5"/>
  <c r="S328" i="5"/>
  <c r="L328" i="5"/>
  <c r="P386" i="5"/>
  <c r="P397" i="5" s="1"/>
  <c r="P241" i="5"/>
  <c r="M386" i="5"/>
  <c r="M397" i="5" s="1"/>
  <c r="M241" i="5"/>
  <c r="C285" i="5"/>
  <c r="L136" i="5"/>
  <c r="T386" i="5"/>
  <c r="T397" i="5" s="1"/>
  <c r="T241" i="5"/>
  <c r="N328" i="5"/>
  <c r="R386" i="5"/>
  <c r="R397" i="5" s="1"/>
  <c r="R241" i="5"/>
  <c r="E325" i="5"/>
  <c r="C133" i="5"/>
  <c r="C325" i="5" s="1"/>
  <c r="D389" i="5"/>
  <c r="C233" i="5"/>
  <c r="C389" i="5" s="1"/>
  <c r="D390" i="5"/>
  <c r="C234" i="5"/>
  <c r="C390" i="5" s="1"/>
  <c r="C85" i="5"/>
  <c r="U386" i="5"/>
  <c r="U397" i="5" s="1"/>
  <c r="U241" i="5"/>
  <c r="O386" i="5"/>
  <c r="O397" i="5" s="1"/>
  <c r="O241" i="5"/>
  <c r="G386" i="5"/>
  <c r="G397" i="5" s="1"/>
  <c r="G241" i="5"/>
  <c r="F386" i="5"/>
  <c r="F397" i="5" s="1"/>
  <c r="F241" i="5"/>
  <c r="E324" i="5"/>
  <c r="E328" i="5" s="1"/>
  <c r="C132" i="5"/>
  <c r="C324" i="5" s="1"/>
  <c r="K386" i="5"/>
  <c r="K397" i="5" s="1"/>
  <c r="K241" i="5"/>
  <c r="D75" i="4"/>
  <c r="D79" i="4"/>
  <c r="C79" i="4" s="1"/>
  <c r="D67" i="4"/>
  <c r="C328" i="5" l="1"/>
  <c r="C241" i="5"/>
  <c r="C397" i="5"/>
  <c r="D397" i="5"/>
  <c r="C136" i="5"/>
  <c r="C67" i="4"/>
  <c r="D71" i="4"/>
  <c r="C71" i="4" l="1"/>
  <c r="C81" i="4" s="1"/>
  <c r="D81" i="4"/>
</calcChain>
</file>

<file path=xl/comments1.xml><?xml version="1.0" encoding="utf-8"?>
<comments xmlns="http://schemas.openxmlformats.org/spreadsheetml/2006/main">
  <authors>
    <author>SHETH Nikita</author>
  </authors>
  <commentList>
    <comment ref="A179" authorId="0" shapeId="0">
      <text>
        <r>
          <rPr>
            <b/>
            <sz val="9"/>
            <color indexed="81"/>
            <rFont val="Tahoma"/>
            <family val="2"/>
          </rPr>
          <t>SHETH Nikita:</t>
        </r>
        <r>
          <rPr>
            <sz val="9"/>
            <color indexed="81"/>
            <rFont val="Tahoma"/>
            <family val="2"/>
          </rPr>
          <t xml:space="preserve">
Need to consider all Misc rev (including USoA 4235-1 and 4235-90)
</t>
        </r>
      </text>
    </comment>
    <comment ref="A182" authorId="0" shapeId="0">
      <text>
        <r>
          <rPr>
            <b/>
            <sz val="9"/>
            <color indexed="81"/>
            <rFont val="Tahoma"/>
            <family val="2"/>
          </rPr>
          <t>SHETH Nikita:</t>
        </r>
        <r>
          <rPr>
            <sz val="9"/>
            <color indexed="81"/>
            <rFont val="Tahoma"/>
            <family val="2"/>
          </rPr>
          <t xml:space="preserve">
Take only customer component.</t>
        </r>
      </text>
    </comment>
  </commentList>
</comments>
</file>

<file path=xl/sharedStrings.xml><?xml version="1.0" encoding="utf-8"?>
<sst xmlns="http://schemas.openxmlformats.org/spreadsheetml/2006/main" count="831" uniqueCount="343">
  <si>
    <t>Total kWhs from Load Forecast</t>
  </si>
  <si>
    <t>Total kWs from Load Forecast</t>
  </si>
  <si>
    <t>Deficiency/sufficiency  ( RRWF 8. cell F51)</t>
  </si>
  <si>
    <t>Miscellaneous Revenue (RRWF 5. cell F48)</t>
  </si>
  <si>
    <t>ID</t>
  </si>
  <si>
    <t>Total</t>
  </si>
  <si>
    <t>Billing Data</t>
  </si>
  <si>
    <t>Forecast kWh</t>
  </si>
  <si>
    <t>CEN</t>
  </si>
  <si>
    <t>Forecast kW</t>
  </si>
  <si>
    <t>CDEM</t>
  </si>
  <si>
    <t>Forecast kW, included in CDEM, of customers receiving line transformer allowance</t>
  </si>
  <si>
    <t>Optional - Forecast kWh, included in CEN, from customers that receive a line transformation allowance on a kWh basis.  In most cases this will not be applicable and will be left blank.</t>
  </si>
  <si>
    <t>KWh excluding KWh from Wholesale Market Participants</t>
  </si>
  <si>
    <t>CEN EWMP</t>
  </si>
  <si>
    <t>Existing Monthly Charge</t>
  </si>
  <si>
    <t>Existing Distribution kWh Rate</t>
  </si>
  <si>
    <t>Existing Distribution kW Rate</t>
  </si>
  <si>
    <t>Existing TFOA Rate</t>
  </si>
  <si>
    <t>Additional Charges</t>
  </si>
  <si>
    <t>Distribution Revenue from Rates</t>
  </si>
  <si>
    <t>Transformer Ownership Allowance</t>
  </si>
  <si>
    <t>Net Class Revenue</t>
  </si>
  <si>
    <t>CREV</t>
  </si>
  <si>
    <t>UR</t>
  </si>
  <si>
    <t>Bad Debt 3 Year Historical Average</t>
  </si>
  <si>
    <t>BDHA</t>
  </si>
  <si>
    <t>Late Payment 3 Year Historical Average</t>
  </si>
  <si>
    <t>LPHA</t>
  </si>
  <si>
    <t>Number of Bills</t>
  </si>
  <si>
    <t>CNB</t>
  </si>
  <si>
    <t>Number of Devices</t>
  </si>
  <si>
    <t>Number of Connections (Unmetered)</t>
  </si>
  <si>
    <t>CCON</t>
  </si>
  <si>
    <t>Total Number of Customers</t>
  </si>
  <si>
    <t xml:space="preserve">CCA </t>
  </si>
  <si>
    <t>Bulk Customer Base</t>
  </si>
  <si>
    <t xml:space="preserve">CCB </t>
  </si>
  <si>
    <t>Primary Customer Base</t>
  </si>
  <si>
    <t xml:space="preserve">CCP </t>
  </si>
  <si>
    <t>Line Transformer Customer Base</t>
  </si>
  <si>
    <t xml:space="preserve">CCLT </t>
  </si>
  <si>
    <t>Secondary Customer Base</t>
  </si>
  <si>
    <t xml:space="preserve">CCS </t>
  </si>
  <si>
    <t xml:space="preserve">Weighted - Services </t>
  </si>
  <si>
    <t>CWCS</t>
  </si>
  <si>
    <t xml:space="preserve">Weighted Meter Capital </t>
  </si>
  <si>
    <t>CWMC</t>
  </si>
  <si>
    <t>Weighted Meter Reading</t>
  </si>
  <si>
    <t>CWMR</t>
  </si>
  <si>
    <t>Weighted Bills</t>
  </si>
  <si>
    <t>CWNB</t>
  </si>
  <si>
    <t>Bad Debt Data</t>
  </si>
  <si>
    <t>Historic Year:</t>
  </si>
  <si>
    <t>Three-year average</t>
  </si>
  <si>
    <t>Street Lighting Adjustment Factors</t>
  </si>
  <si>
    <t>NCP Test Results</t>
  </si>
  <si>
    <t>Primary Asset Data</t>
  </si>
  <si>
    <t>Line Transformer Asset Data</t>
  </si>
  <si>
    <t>Class</t>
  </si>
  <si>
    <t>Customers/
Devices</t>
  </si>
  <si>
    <t>Primary</t>
  </si>
  <si>
    <t>R1</t>
  </si>
  <si>
    <t>Line Transformer</t>
  </si>
  <si>
    <t>R2</t>
  </si>
  <si>
    <t>AUR</t>
  </si>
  <si>
    <t>AR</t>
  </si>
  <si>
    <t>Street Light</t>
  </si>
  <si>
    <t>CP TEST RESULTS</t>
  </si>
  <si>
    <t>NCP TEST RESULTS</t>
  </si>
  <si>
    <t>Co-incident Peak</t>
  </si>
  <si>
    <t>Indicator</t>
  </si>
  <si>
    <t>1  CP</t>
  </si>
  <si>
    <t>CP 1</t>
  </si>
  <si>
    <t>4 CP</t>
  </si>
  <si>
    <t>CP 4</t>
  </si>
  <si>
    <t>12 CP</t>
  </si>
  <si>
    <t>CP 12</t>
  </si>
  <si>
    <t>4 NCP</t>
  </si>
  <si>
    <t>NCP 4</t>
  </si>
  <si>
    <t>12 NCP</t>
  </si>
  <si>
    <t>NCP 12</t>
  </si>
  <si>
    <t>Non-co-incident Peak</t>
  </si>
  <si>
    <t>1 NCP</t>
  </si>
  <si>
    <t xml:space="preserve">NCP 1 </t>
  </si>
  <si>
    <t>Customer Classes</t>
  </si>
  <si>
    <t>CO-INCIDENT PEAK</t>
  </si>
  <si>
    <t>1 CP</t>
  </si>
  <si>
    <t>Transformation CP</t>
  </si>
  <si>
    <t>TCP1</t>
  </si>
  <si>
    <t>Bulk Delivery CP</t>
  </si>
  <si>
    <t>BCP1</t>
  </si>
  <si>
    <t xml:space="preserve">Total Sytem CP </t>
  </si>
  <si>
    <t>DCP1</t>
  </si>
  <si>
    <t>TCP4</t>
  </si>
  <si>
    <t>BCP4</t>
  </si>
  <si>
    <t>DCP4</t>
  </si>
  <si>
    <t>TCP12</t>
  </si>
  <si>
    <t>BCP12</t>
  </si>
  <si>
    <t>DCP12</t>
  </si>
  <si>
    <t>NON CO_INCIDENT PEAK</t>
  </si>
  <si>
    <t>Classification NCP from 
 Load Data Provider</t>
  </si>
  <si>
    <t>DNCP1</t>
  </si>
  <si>
    <t>Primary NCP</t>
  </si>
  <si>
    <t>PNCP1</t>
  </si>
  <si>
    <t xml:space="preserve"> Line Transformer NCP</t>
  </si>
  <si>
    <t>LTNCP1</t>
  </si>
  <si>
    <t>Secondary NCP</t>
  </si>
  <si>
    <t>SNCP1</t>
  </si>
  <si>
    <t>DNCP4</t>
  </si>
  <si>
    <t>PNCP4</t>
  </si>
  <si>
    <t>LTNCP4</t>
  </si>
  <si>
    <t>SNCP4</t>
  </si>
  <si>
    <t>DNCP12</t>
  </si>
  <si>
    <t>PNCP12</t>
  </si>
  <si>
    <t>LTNCP12</t>
  </si>
  <si>
    <t>SNCP12</t>
  </si>
  <si>
    <t>Rate Base Assets</t>
  </si>
  <si>
    <t>crev</t>
  </si>
  <si>
    <t>Distribution Revenue at Existing Rates</t>
  </si>
  <si>
    <t>mi</t>
  </si>
  <si>
    <t>Miscellaneous Revenue (mi)</t>
  </si>
  <si>
    <t>Total Revenue at Existing Rates</t>
  </si>
  <si>
    <t>Factor required to recover deficiency (1 + D)</t>
  </si>
  <si>
    <t>Distribution Revenue at Status Quo Rates</t>
  </si>
  <si>
    <t>Total Revenue at Status Quo Rates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</si>
  <si>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</si>
  <si>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</si>
  <si>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</si>
  <si>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</si>
  <si>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</si>
  <si>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</si>
  <si>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</si>
  <si>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</si>
  <si>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</si>
  <si>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</si>
  <si>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</si>
  <si>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</si>
  <si>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</si>
  <si>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</si>
  <si>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</si>
  <si>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</si>
  <si>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</si>
  <si>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</si>
  <si>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</si>
  <si>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</si>
  <si>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</si>
  <si>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</si>
  <si>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</si>
  <si>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</si>
  <si>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</si>
  <si>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</si>
  <si>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</si>
  <si>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</si>
  <si>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</si>
  <si>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</si>
  <si>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</si>
  <si>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</si>
  <si>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</si>
  <si>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</si>
  <si>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</si>
  <si>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</si>
  <si>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</si>
  <si>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</si>
  <si>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</si>
  <si>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</si>
  <si>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</si>
  <si>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</si>
  <si>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STATUS QUO%</t>
  </si>
  <si>
    <t>EXISTING REVENUE MINUS ALLOCATED COSTS</t>
  </si>
  <si>
    <t>STATUS QUO REVENUE MINUS ALLOCATED COSTS</t>
  </si>
  <si>
    <t>RETURN ON EQUITY COMPONENT OF RATE BASE</t>
  </si>
  <si>
    <t>Total Gross Plant including USoAs 1600s, 1700s and 2040</t>
  </si>
  <si>
    <t>Total Accumulated Depreciation including USoAs 1600s, 1700s and 2040</t>
  </si>
  <si>
    <t>Total Capital Contributions</t>
  </si>
  <si>
    <t>Working Captial</t>
  </si>
  <si>
    <t>Rate Base from I3 TB Data Sheet</t>
  </si>
  <si>
    <t>Summary</t>
  </si>
  <si>
    <t>Customer Unit Cost per month - Avoided Cost</t>
  </si>
  <si>
    <t xml:space="preserve">Customer Unit Cost per month - Directly Related </t>
  </si>
  <si>
    <t xml:space="preserve">Customer Unit Cost per month - Minimum System with PLCC Adjustment </t>
  </si>
  <si>
    <t>Existing Approved Fixed Charge</t>
  </si>
  <si>
    <t>Information to be Used to Allocate PILs, ROD, ROE and A&amp;G</t>
  </si>
  <si>
    <t xml:space="preserve">General Plant - Gross Assets </t>
  </si>
  <si>
    <t>General Plant - Accumulated Depreciation</t>
  </si>
  <si>
    <t>General Plant - Net Fixed Assets</t>
  </si>
  <si>
    <t>General Plant - Depreciation</t>
  </si>
  <si>
    <t>Total Net Fixed Assets Excluding General Plant</t>
  </si>
  <si>
    <t>Total Administration and General Expense</t>
  </si>
  <si>
    <t xml:space="preserve">Total O&amp;M </t>
  </si>
  <si>
    <t>Scenario 1</t>
  </si>
  <si>
    <t>Accounts included in Avoided Costs Plus General Administration  Allocation</t>
  </si>
  <si>
    <t>USoA           Account #</t>
  </si>
  <si>
    <t>Accounts</t>
  </si>
  <si>
    <t>Distribution Plant</t>
  </si>
  <si>
    <t>Meters</t>
  </si>
  <si>
    <t>Accumulated Amortization</t>
  </si>
  <si>
    <t>Accum. Amortization of Electric Utility Plant -  Meters only</t>
  </si>
  <si>
    <t>Meter Net Fixed Assets</t>
  </si>
  <si>
    <t>Misc Revenue</t>
  </si>
  <si>
    <t>Retail Services Revenues</t>
  </si>
  <si>
    <t>Service Transaction Requests (STR) Revenues</t>
  </si>
  <si>
    <t>Electric Services Incidental to Energy Sales</t>
  </si>
  <si>
    <t>Other Electric Revenues</t>
  </si>
  <si>
    <t>NFA</t>
  </si>
  <si>
    <t>Late Payment Charges</t>
  </si>
  <si>
    <t>Sub-total</t>
  </si>
  <si>
    <t xml:space="preserve">Operation </t>
  </si>
  <si>
    <t>Meter Expense</t>
  </si>
  <si>
    <t>Customer Premises - Operation Labour</t>
  </si>
  <si>
    <t>CCA</t>
  </si>
  <si>
    <t>Customer Premises - Materials and Expenses</t>
  </si>
  <si>
    <t xml:space="preserve">Maintenance </t>
  </si>
  <si>
    <t>Maintenance of Meters</t>
  </si>
  <si>
    <t>Billing and Collection</t>
  </si>
  <si>
    <t>Meter Reading Expense</t>
  </si>
  <si>
    <t>Customer Billing</t>
  </si>
  <si>
    <t>Collecting</t>
  </si>
  <si>
    <t>Collecting- Cash Over and Short</t>
  </si>
  <si>
    <t>Collection Charges</t>
  </si>
  <si>
    <t xml:space="preserve"> </t>
  </si>
  <si>
    <t>Total Operation, Maintenance and Billing</t>
  </si>
  <si>
    <t>Amortization Expense - Meters</t>
  </si>
  <si>
    <t xml:space="preserve">Allocated PILs </t>
  </si>
  <si>
    <t xml:space="preserve">Allocated Debt Return </t>
  </si>
  <si>
    <t xml:space="preserve">Allocated Equity Return </t>
  </si>
  <si>
    <t xml:space="preserve">Total </t>
  </si>
  <si>
    <t>Scenario 2</t>
  </si>
  <si>
    <t>Accounts included in Directly Related Customer Costs Plus General Administration  Allocation</t>
  </si>
  <si>
    <t>Allocated General Plant Net Fixed Assets</t>
  </si>
  <si>
    <t>Meter Net Fixed Assets Including General Plant</t>
  </si>
  <si>
    <t>Amortization Expense -                                               General Plant assigned to Meters</t>
  </si>
  <si>
    <t xml:space="preserve">Admin and General </t>
  </si>
  <si>
    <t>Scenario 3</t>
  </si>
  <si>
    <t>Minimum System Customer Costs Adjusted for PLCC -  High Limit Fixed Customer Charge</t>
  </si>
  <si>
    <t>Conservation and Demand Management Expenditures and Recoveries</t>
  </si>
  <si>
    <t>CDMPP</t>
  </si>
  <si>
    <t>Poles, Towers and Fixtures</t>
  </si>
  <si>
    <t>1830-3</t>
  </si>
  <si>
    <t>Poles, Towers and Fixtures - Subtransmission Bulk Delivery</t>
  </si>
  <si>
    <t>BCP</t>
  </si>
  <si>
    <t>1830-4</t>
  </si>
  <si>
    <t>Poles, Towers and Fixtures - Primary</t>
  </si>
  <si>
    <t>PNCP</t>
  </si>
  <si>
    <t>1830-5</t>
  </si>
  <si>
    <t>Poles, Towers and Fixtures - Secondary</t>
  </si>
  <si>
    <t>SNCP</t>
  </si>
  <si>
    <t>Overhead Conductors and Devices</t>
  </si>
  <si>
    <t>1835-3</t>
  </si>
  <si>
    <t>Overhead Conductors and Devices - Subtransmission Bulk Delivery</t>
  </si>
  <si>
    <t>1835-4</t>
  </si>
  <si>
    <t>Overhead Conductors and Devices - Primary</t>
  </si>
  <si>
    <t>1835-5</t>
  </si>
  <si>
    <t>Overhead Conductors and Devices - Secondary</t>
  </si>
  <si>
    <t>Underground Conduit</t>
  </si>
  <si>
    <t>1840-3</t>
  </si>
  <si>
    <t>Underground Conduit - Bulk Delivery</t>
  </si>
  <si>
    <t>1840-4</t>
  </si>
  <si>
    <t>Underground Conduit - Primary</t>
  </si>
  <si>
    <t>1840-5</t>
  </si>
  <si>
    <t>Underground Conduit - Secondary</t>
  </si>
  <si>
    <t>Underground Conductors and Devices</t>
  </si>
  <si>
    <t>1845-3</t>
  </si>
  <si>
    <t>Underground Conductors and Devices - Bulk Delivery</t>
  </si>
  <si>
    <t>1845-4</t>
  </si>
  <si>
    <t>Underground Conductors and Devices - Primary</t>
  </si>
  <si>
    <t>1845-5</t>
  </si>
  <si>
    <t>Underground Conductors and Devices - Secondary</t>
  </si>
  <si>
    <t>Line Transformers</t>
  </si>
  <si>
    <t>LTNCP</t>
  </si>
  <si>
    <t>Services</t>
  </si>
  <si>
    <t>blank row</t>
  </si>
  <si>
    <t xml:space="preserve">Accum. Amortization of Electric Utility Plant -Line Transformers, Services and Meters </t>
  </si>
  <si>
    <t>Customer Related Net Fixed Assets</t>
  </si>
  <si>
    <t>Customer Related NFA Including General Plant</t>
  </si>
  <si>
    <t>Miscellaneous Service Revenues</t>
  </si>
  <si>
    <t>4235-1</t>
  </si>
  <si>
    <t>Account Set Up Charges</t>
  </si>
  <si>
    <t>4235-2</t>
  </si>
  <si>
    <t>Sentinel Lights Pole Rental Charges</t>
  </si>
  <si>
    <t>SenLgt</t>
  </si>
  <si>
    <t>4235-90</t>
  </si>
  <si>
    <t>Miscellaneous Service Revenues - Residual</t>
  </si>
  <si>
    <t>OM&amp;A</t>
  </si>
  <si>
    <t>Operating and Maintenance</t>
  </si>
  <si>
    <t>Operation Supervision and Engineering</t>
  </si>
  <si>
    <t>1815-1855</t>
  </si>
  <si>
    <t>Load Dispatching</t>
  </si>
  <si>
    <t>Overhead Distribution Lines and Feeders - Operation Labour</t>
  </si>
  <si>
    <t>1830 &amp; 1835</t>
  </si>
  <si>
    <t>Overhead Distribution Lines &amp; Feeders - Operation Supplies and Expenses</t>
  </si>
  <si>
    <t>Overhead Distribution Transformers- Operation</t>
  </si>
  <si>
    <t>Underground Distribution Lines and Feeders - Operation Labour</t>
  </si>
  <si>
    <t>1840 &amp; 1845</t>
  </si>
  <si>
    <t>Underground Distribution Lines &amp; Feeders - Operation Supplies &amp; Expenses</t>
  </si>
  <si>
    <t>Underground Distribution Transformers - Operation</t>
  </si>
  <si>
    <t>Miscellaneous Distribution Expense</t>
  </si>
  <si>
    <t>Underground Distribution Lines and Feeders - Rental Paid</t>
  </si>
  <si>
    <t>Overhead Distribution Lines and Feeders - Rental Paid</t>
  </si>
  <si>
    <t>Other Rent</t>
  </si>
  <si>
    <t>O&amp;M</t>
  </si>
  <si>
    <t>Maintenance Supervision and Engineering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</si>
  <si>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</si>
  <si>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</si>
  <si>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</si>
  <si>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</si>
  <si>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</si>
  <si>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</si>
  <si>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</si>
  <si>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</si>
  <si>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Supervision</t>
  </si>
  <si>
    <t>Bad Debt Expense</t>
  </si>
  <si>
    <t>Miscellaneous Customer Accounts Expenses</t>
  </si>
  <si>
    <t>Sub Total Operating, Maintenance and Biling</t>
  </si>
  <si>
    <t xml:space="preserve">Amortization Expense - Customer Related </t>
  </si>
  <si>
    <t>Amortization Expense - General Plant assigned to Meters</t>
  </si>
  <si>
    <t>PLCC Adjustment for Line Transformer</t>
  </si>
  <si>
    <t>PLCC Adjustment for Primary Costs</t>
  </si>
  <si>
    <t>PLCC Adjustment for Secondary Costs</t>
  </si>
  <si>
    <t>Below:  Grouping to avoid disclosure</t>
  </si>
  <si>
    <t>EB-2021-0110</t>
  </si>
  <si>
    <t>Sheet I6.1 Revenue Worksheet  - Pre-Filed Evidence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</si>
  <si>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</si>
  <si>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</si>
  <si>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</si>
  <si>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</si>
  <si>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</si>
  <si>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</si>
  <si>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</si>
  <si>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</si>
  <si>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</si>
  <si>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AUGe</t>
  </si>
  <si>
    <t>AUGd</t>
  </si>
  <si>
    <t>AGSe</t>
  </si>
  <si>
    <t>AGSd</t>
  </si>
  <si>
    <t>Sheet I6.2 Customer Data Worksheet  - Pre-Filed Evidence</t>
  </si>
  <si>
    <t>Sheet I8 Demand Data Worksheet  - Pre-Filed Evidence</t>
  </si>
  <si>
    <t>Sheet O1 Revenue to Cost Summary Worksheet  - Pre-Filed Evidence</t>
  </si>
  <si>
    <t>Sheet O2 Monthly Fixed Charge Min. &amp; Max. Worksheet  - Pre-Filed Evidence</t>
  </si>
  <si>
    <t>Revenue Requirement Input equals Output</t>
  </si>
  <si>
    <t>Rate Base Input Does Not Equal Output</t>
  </si>
  <si>
    <t>Miscellaneous Revenue Input equals Output</t>
  </si>
  <si>
    <t>Deficiency Input equals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</si>
</sst>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&quot;$&quot;#,##0.0000_);[Red]\(&quot;$&quot;#,##0.0000\)"/>
    <numFmt numFmtId="168" formatCode="&quot;$&quot;#,##0.00000"/>
    <numFmt numFmtId="169" formatCode="&quot;$&quot;#,##0.0000"/>
    <numFmt numFmtId="170" formatCode="_(* #,##0_);_(* \(#,##0\);_(* &quot;-&quot;??_);_(@_)"/>
    <numFmt numFmtId="171" formatCode="_-* #,##0.00_-;\-* #,##0.00_-;_-* &quot;-&quot;_-;_-@_-"/>
    <numFmt numFmtId="172" formatCode="0.0%"/>
    <numFmt numFmtId="173" formatCode="0.0000"/>
    <numFmt numFmtId="174" formatCode="#,##0_ ;\-#,##0\ "/>
    <numFmt numFmtId="175" formatCode="&quot;$&quot;#,##0.00"/>
    <numFmt numFmtId="176" formatCode="_(&quot;$&quot;* #,##0_);_(&quot;$&quot;* \(#,##0\);_(&quot;$&quot;* &quot;-&quot;??_);_(@_)"/>
    <numFmt numFmtId="177" formatCode="_-&quot;$&quot;* #,##0.00_-;\-&quot;$&quot;* #,##0.00_-;_-&quot;$&quot;* &quot;-&quot;??_-;_-@_-"/>
    <numFmt numFmtId="178" formatCode="_-&quot;$&quot;* #,##0_-;\-&quot;$&quot;* #,##0_-;_-&quot;$&quot;* &quot;-&quot;??_-;_-@_-"/>
  </numFmts>
  <fonts count="42" x14ac:knownFonts="1">
    <font>
      <sz val="10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sz val="8"/>
      <color indexed="2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sz val="8"/>
      <color indexed="16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0"/>
      <color indexed="61"/>
      <name val="Arial"/>
      <family val="2"/>
    </font>
    <font>
      <sz val="8"/>
      <color indexed="12"/>
      <name val="Arial"/>
      <family val="2"/>
    </font>
    <font>
      <b/>
      <sz val="8"/>
      <color indexed="21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b/>
      <i/>
      <sz val="12"/>
      <name val="Arial"/>
      <family val="2"/>
    </font>
    <font>
      <sz val="10"/>
      <color indexed="8"/>
      <name val="Times New Roman"/>
      <family val="1"/>
    </font>
    <font>
      <i/>
      <sz val="10"/>
      <name val="Arial"/>
      <family val="2"/>
    </font>
    <font>
      <i/>
      <sz val="10"/>
      <color indexed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8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480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0" fontId="3" fillId="3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4" fontId="3" fillId="2" borderId="0" xfId="0" applyNumberFormat="1" applyFont="1" applyFill="1" applyAlignment="1"/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1" fillId="2" borderId="0" xfId="0" applyNumberFormat="1" applyFont="1" applyFill="1" applyAlignment="1"/>
    <xf numFmtId="6" fontId="10" fillId="0" borderId="1" xfId="2" applyNumberFormat="1" applyFont="1" applyFill="1" applyBorder="1" applyAlignment="1">
      <alignment horizontal="center" vertical="center"/>
    </xf>
    <xf numFmtId="164" fontId="1" fillId="4" borderId="1" xfId="2" applyNumberFormat="1" applyFont="1" applyFill="1" applyBorder="1" applyAlignment="1" applyProtection="1">
      <alignment horizontal="left"/>
      <protection locked="0"/>
    </xf>
    <xf numFmtId="0" fontId="0" fillId="0" borderId="0" xfId="0" applyBorder="1" applyAlignment="1"/>
    <xf numFmtId="164" fontId="10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left"/>
    </xf>
    <xf numFmtId="6" fontId="10" fillId="0" borderId="1" xfId="2" applyNumberFormat="1" applyFont="1" applyFill="1" applyBorder="1" applyAlignment="1">
      <alignment horizontal="center" vertical="center" wrapText="1"/>
    </xf>
    <xf numFmtId="166" fontId="1" fillId="4" borderId="1" xfId="2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164" fontId="13" fillId="5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 applyProtection="1">
      <alignment horizontal="left"/>
      <protection locked="0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>
      <alignment horizontal="right"/>
    </xf>
    <xf numFmtId="0" fontId="1" fillId="6" borderId="2" xfId="0" applyNumberFormat="1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/>
    </xf>
    <xf numFmtId="164" fontId="13" fillId="6" borderId="2" xfId="0" applyNumberFormat="1" applyFont="1" applyFill="1" applyBorder="1" applyAlignment="1">
      <alignment horizontal="right"/>
    </xf>
    <xf numFmtId="164" fontId="1" fillId="6" borderId="2" xfId="0" applyNumberFormat="1" applyFont="1" applyFill="1" applyBorder="1" applyAlignment="1" applyProtection="1">
      <alignment horizontal="right"/>
      <protection locked="0"/>
    </xf>
    <xf numFmtId="164" fontId="1" fillId="7" borderId="0" xfId="0" applyNumberFormat="1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164" fontId="1" fillId="0" borderId="2" xfId="0" applyNumberFormat="1" applyFont="1" applyFill="1" applyBorder="1" applyAlignment="1" applyProtection="1">
      <alignment horizontal="right"/>
      <protection locked="0"/>
    </xf>
    <xf numFmtId="0" fontId="1" fillId="6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 wrapText="1"/>
    </xf>
    <xf numFmtId="6" fontId="10" fillId="0" borderId="2" xfId="0" applyNumberFormat="1" applyFont="1" applyBorder="1" applyAlignment="1">
      <alignment horizontal="center"/>
    </xf>
    <xf numFmtId="6" fontId="13" fillId="0" borderId="2" xfId="0" applyNumberFormat="1" applyFont="1" applyFill="1" applyBorder="1" applyAlignment="1">
      <alignment horizontal="right"/>
    </xf>
    <xf numFmtId="8" fontId="1" fillId="4" borderId="2" xfId="0" applyNumberFormat="1" applyFont="1" applyFill="1" applyBorder="1" applyAlignment="1" applyProtection="1">
      <alignment horizontal="right"/>
      <protection locked="0"/>
    </xf>
    <xf numFmtId="6" fontId="1" fillId="2" borderId="0" xfId="0" applyNumberFormat="1" applyFont="1" applyFill="1" applyAlignment="1">
      <alignment horizontal="right"/>
    </xf>
    <xf numFmtId="6" fontId="3" fillId="2" borderId="0" xfId="0" applyNumberFormat="1" applyFont="1" applyFill="1" applyAlignment="1">
      <alignment horizontal="right"/>
    </xf>
    <xf numFmtId="167" fontId="1" fillId="4" borderId="2" xfId="0" applyNumberFormat="1" applyFont="1" applyFill="1" applyBorder="1" applyAlignment="1" applyProtection="1">
      <alignment horizontal="right"/>
      <protection locked="0"/>
    </xf>
    <xf numFmtId="168" fontId="1" fillId="4" borderId="2" xfId="0" applyNumberFormat="1" applyFont="1" applyFill="1" applyBorder="1" applyAlignment="1" applyProtection="1">
      <alignment horizontal="right"/>
      <protection locked="0"/>
    </xf>
    <xf numFmtId="169" fontId="1" fillId="4" borderId="2" xfId="0" applyNumberFormat="1" applyFont="1" applyFill="1" applyBorder="1" applyAlignment="1" applyProtection="1">
      <alignment horizontal="right"/>
      <protection locked="0"/>
    </xf>
    <xf numFmtId="6" fontId="14" fillId="0" borderId="2" xfId="0" applyNumberFormat="1" applyFont="1" applyBorder="1" applyAlignment="1">
      <alignment horizontal="left"/>
    </xf>
    <xf numFmtId="6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0" fontId="15" fillId="0" borderId="2" xfId="1" applyNumberFormat="1" applyFont="1" applyFill="1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right"/>
    </xf>
    <xf numFmtId="164" fontId="1" fillId="2" borderId="0" xfId="0" applyNumberFormat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164" fontId="13" fillId="0" borderId="2" xfId="1" applyNumberFormat="1" applyFont="1" applyFill="1" applyBorder="1" applyAlignment="1" applyProtection="1">
      <alignment horizontal="right"/>
    </xf>
    <xf numFmtId="164" fontId="16" fillId="2" borderId="0" xfId="1" applyNumberFormat="1" applyFont="1" applyFill="1" applyAlignment="1">
      <alignment horizontal="left" wrapText="1"/>
    </xf>
    <xf numFmtId="6" fontId="18" fillId="2" borderId="2" xfId="0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Alignment="1">
      <alignment horizontal="right"/>
    </xf>
    <xf numFmtId="164" fontId="19" fillId="4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0" fontId="1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left" wrapText="1"/>
    </xf>
    <xf numFmtId="0" fontId="10" fillId="6" borderId="2" xfId="0" applyFont="1" applyFill="1" applyBorder="1" applyAlignment="1">
      <alignment horizontal="center" wrapText="1"/>
    </xf>
    <xf numFmtId="0" fontId="1" fillId="0" borderId="2" xfId="1" applyNumberFormat="1" applyFont="1" applyFill="1" applyBorder="1" applyAlignment="1" applyProtection="1">
      <alignment horizontal="left" wrapText="1"/>
    </xf>
    <xf numFmtId="49" fontId="10" fillId="0" borderId="2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 applyProtection="1">
      <alignment horizontal="right"/>
      <protection locked="0"/>
    </xf>
    <xf numFmtId="0" fontId="20" fillId="0" borderId="2" xfId="1" applyNumberFormat="1" applyFont="1" applyFill="1" applyBorder="1" applyAlignment="1" applyProtection="1">
      <alignment horizontal="left" wrapText="1"/>
    </xf>
    <xf numFmtId="49" fontId="15" fillId="0" borderId="2" xfId="1" applyNumberFormat="1" applyFont="1" applyFill="1" applyBorder="1" applyAlignment="1" applyProtection="1">
      <alignment horizontal="center" wrapText="1"/>
    </xf>
    <xf numFmtId="164" fontId="20" fillId="0" borderId="2" xfId="1" applyNumberFormat="1" applyFont="1" applyFill="1" applyBorder="1" applyAlignment="1" applyProtection="1">
      <alignment horizontal="right"/>
    </xf>
    <xf numFmtId="164" fontId="20" fillId="2" borderId="0" xfId="1" applyNumberFormat="1" applyFont="1" applyFill="1" applyAlignment="1" applyProtection="1">
      <alignment horizontal="left"/>
    </xf>
    <xf numFmtId="164" fontId="21" fillId="2" borderId="0" xfId="1" applyNumberFormat="1" applyFont="1" applyFill="1" applyAlignment="1" applyProtection="1">
      <alignment horizontal="left"/>
    </xf>
    <xf numFmtId="49" fontId="10" fillId="0" borderId="2" xfId="1" applyNumberFormat="1" applyFont="1" applyFill="1" applyBorder="1" applyAlignment="1" applyProtection="1">
      <alignment horizontal="center" wrapText="1"/>
    </xf>
    <xf numFmtId="0" fontId="22" fillId="2" borderId="0" xfId="0" applyFont="1" applyFill="1" applyAlignment="1">
      <alignment horizontal="left"/>
    </xf>
    <xf numFmtId="164" fontId="10" fillId="2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0" fontId="19" fillId="4" borderId="0" xfId="0" applyNumberFormat="1" applyFont="1" applyFill="1" applyBorder="1" applyAlignment="1">
      <alignment horizontal="center"/>
    </xf>
    <xf numFmtId="164" fontId="13" fillId="2" borderId="2" xfId="0" applyNumberFormat="1" applyFont="1" applyFill="1" applyBorder="1" applyAlignment="1"/>
    <xf numFmtId="164" fontId="11" fillId="2" borderId="11" xfId="0" applyNumberFormat="1" applyFont="1" applyFill="1" applyBorder="1" applyAlignment="1"/>
    <xf numFmtId="170" fontId="10" fillId="2" borderId="2" xfId="0" applyNumberFormat="1" applyFont="1" applyFill="1" applyBorder="1" applyAlignment="1">
      <alignment horizontal="left"/>
    </xf>
    <xf numFmtId="164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0" fillId="0" borderId="2" xfId="0" applyNumberFormat="1" applyFont="1" applyFill="1" applyBorder="1" applyAlignment="1">
      <alignment horizontal="left" wrapText="1"/>
    </xf>
    <xf numFmtId="0" fontId="12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/>
    </xf>
    <xf numFmtId="164" fontId="1" fillId="7" borderId="0" xfId="0" applyNumberFormat="1" applyFont="1" applyFill="1" applyAlignment="1"/>
    <xf numFmtId="164" fontId="3" fillId="7" borderId="0" xfId="0" applyNumberFormat="1" applyFont="1" applyFill="1" applyAlignment="1">
      <alignment horizontal="left"/>
    </xf>
    <xf numFmtId="0" fontId="10" fillId="7" borderId="3" xfId="0" applyNumberFormat="1" applyFont="1" applyFill="1" applyBorder="1" applyAlignment="1">
      <alignment horizontal="left" wrapText="1"/>
    </xf>
    <xf numFmtId="0" fontId="10" fillId="7" borderId="2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left"/>
    </xf>
    <xf numFmtId="164" fontId="3" fillId="7" borderId="2" xfId="0" applyNumberFormat="1" applyFont="1" applyFill="1" applyBorder="1" applyAlignment="1"/>
    <xf numFmtId="0" fontId="1" fillId="7" borderId="2" xfId="0" applyNumberFormat="1" applyFont="1" applyFill="1" applyBorder="1" applyAlignment="1">
      <alignment horizontal="left" wrapText="1"/>
    </xf>
    <xf numFmtId="171" fontId="3" fillId="7" borderId="2" xfId="0" applyNumberFormat="1" applyFont="1" applyFill="1" applyBorder="1" applyAlignment="1">
      <alignment horizontal="left"/>
    </xf>
    <xf numFmtId="170" fontId="3" fillId="7" borderId="2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0" fontId="23" fillId="2" borderId="0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64" fontId="24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164" fontId="25" fillId="2" borderId="2" xfId="0" applyNumberFormat="1" applyFont="1" applyFill="1" applyBorder="1" applyAlignment="1">
      <alignment horizontal="center"/>
    </xf>
    <xf numFmtId="172" fontId="3" fillId="2" borderId="0" xfId="1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left"/>
    </xf>
    <xf numFmtId="164" fontId="10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10" fillId="2" borderId="2" xfId="0" applyNumberFormat="1" applyFont="1" applyFill="1" applyBorder="1" applyAlignment="1">
      <alignment horizontal="center" wrapText="1"/>
    </xf>
    <xf numFmtId="172" fontId="3" fillId="2" borderId="0" xfId="0" applyNumberFormat="1" applyFont="1" applyFill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0" fontId="10" fillId="2" borderId="14" xfId="0" applyNumberFormat="1" applyFont="1" applyFill="1" applyBorder="1" applyAlignment="1">
      <alignment horizontal="center"/>
    </xf>
    <xf numFmtId="0" fontId="10" fillId="2" borderId="15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64" fontId="26" fillId="2" borderId="18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 applyProtection="1">
      <alignment horizontal="center"/>
      <protection locked="0"/>
    </xf>
    <xf numFmtId="164" fontId="3" fillId="7" borderId="0" xfId="0" applyNumberFormat="1" applyFont="1" applyFill="1" applyBorder="1" applyAlignment="1" applyProtection="1">
      <alignment horizontal="center"/>
      <protection locked="0"/>
    </xf>
    <xf numFmtId="164" fontId="3" fillId="2" borderId="0" xfId="0" applyNumberFormat="1" applyFont="1" applyFill="1" applyBorder="1" applyAlignment="1">
      <alignment horizontal="left" wrapText="1"/>
    </xf>
    <xf numFmtId="164" fontId="26" fillId="2" borderId="18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 applyAlignment="1" applyProtection="1">
      <alignment horizontal="center" wrapText="1"/>
      <protection locked="0"/>
    </xf>
    <xf numFmtId="164" fontId="1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164" fontId="1" fillId="7" borderId="0" xfId="0" applyNumberFormat="1" applyFont="1" applyFill="1" applyBorder="1" applyAlignment="1" applyProtection="1">
      <alignment horizontal="center"/>
      <protection locked="0"/>
    </xf>
    <xf numFmtId="164" fontId="1" fillId="2" borderId="21" xfId="0" applyNumberFormat="1" applyFont="1" applyFill="1" applyBorder="1" applyAlignment="1">
      <alignment horizontal="left"/>
    </xf>
    <xf numFmtId="164" fontId="1" fillId="2" borderId="22" xfId="0" applyNumberFormat="1" applyFont="1" applyFill="1" applyBorder="1" applyAlignment="1">
      <alignment horizontal="left" wrapText="1"/>
    </xf>
    <xf numFmtId="164" fontId="10" fillId="2" borderId="21" xfId="0" applyNumberFormat="1" applyFont="1" applyFill="1" applyBorder="1" applyAlignment="1">
      <alignment horizontal="left"/>
    </xf>
    <xf numFmtId="164" fontId="1" fillId="2" borderId="23" xfId="0" applyNumberFormat="1" applyFont="1" applyFill="1" applyBorder="1" applyAlignment="1">
      <alignment horizontal="left"/>
    </xf>
    <xf numFmtId="164" fontId="1" fillId="2" borderId="24" xfId="0" applyNumberFormat="1" applyFont="1" applyFill="1" applyBorder="1" applyAlignment="1">
      <alignment horizontal="left" wrapText="1"/>
    </xf>
    <xf numFmtId="164" fontId="13" fillId="2" borderId="23" xfId="0" applyNumberFormat="1" applyFont="1" applyFill="1" applyBorder="1" applyAlignment="1">
      <alignment horizontal="center" wrapText="1"/>
    </xf>
    <xf numFmtId="164" fontId="1" fillId="4" borderId="25" xfId="0" applyNumberFormat="1" applyFont="1" applyFill="1" applyBorder="1" applyAlignment="1" applyProtection="1">
      <alignment horizontal="center" wrapText="1"/>
      <protection locked="0"/>
    </xf>
    <xf numFmtId="164" fontId="1" fillId="4" borderId="26" xfId="0" applyNumberFormat="1" applyFont="1" applyFill="1" applyBorder="1" applyAlignment="1" applyProtection="1">
      <alignment horizontal="center" wrapText="1"/>
      <protection locked="0"/>
    </xf>
    <xf numFmtId="164" fontId="1" fillId="4" borderId="27" xfId="0" applyNumberFormat="1" applyFont="1" applyFill="1" applyBorder="1" applyAlignment="1" applyProtection="1">
      <alignment horizontal="center" wrapText="1"/>
      <protection locked="0"/>
    </xf>
    <xf numFmtId="164" fontId="1" fillId="2" borderId="28" xfId="0" applyNumberFormat="1" applyFont="1" applyFill="1" applyBorder="1" applyAlignment="1">
      <alignment horizontal="left"/>
    </xf>
    <xf numFmtId="164" fontId="1" fillId="2" borderId="29" xfId="0" applyNumberFormat="1" applyFont="1" applyFill="1" applyBorder="1" applyAlignment="1">
      <alignment horizontal="left" wrapText="1"/>
    </xf>
    <xf numFmtId="164" fontId="13" fillId="2" borderId="28" xfId="0" applyNumberFormat="1" applyFont="1" applyFill="1" applyBorder="1" applyAlignment="1">
      <alignment horizontal="center" wrapText="1"/>
    </xf>
    <xf numFmtId="164" fontId="1" fillId="4" borderId="30" xfId="0" applyNumberFormat="1" applyFont="1" applyFill="1" applyBorder="1" applyAlignment="1" applyProtection="1">
      <alignment horizontal="center" wrapText="1"/>
      <protection locked="0"/>
    </xf>
    <xf numFmtId="164" fontId="1" fillId="4" borderId="2" xfId="0" applyNumberFormat="1" applyFont="1" applyFill="1" applyBorder="1" applyAlignment="1" applyProtection="1">
      <alignment horizontal="center" wrapText="1"/>
      <protection locked="0"/>
    </xf>
    <xf numFmtId="164" fontId="1" fillId="4" borderId="31" xfId="0" applyNumberFormat="1" applyFont="1" applyFill="1" applyBorder="1" applyAlignment="1" applyProtection="1">
      <alignment horizontal="center" wrapText="1"/>
      <protection locked="0"/>
    </xf>
    <xf numFmtId="164" fontId="13" fillId="2" borderId="21" xfId="0" applyNumberFormat="1" applyFont="1" applyFill="1" applyBorder="1" applyAlignment="1">
      <alignment horizontal="center" wrapText="1"/>
    </xf>
    <xf numFmtId="164" fontId="1" fillId="2" borderId="21" xfId="0" applyNumberFormat="1" applyFont="1" applyFill="1" applyBorder="1" applyAlignment="1" applyProtection="1">
      <alignment horizontal="center" wrapText="1"/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22" xfId="0" applyNumberFormat="1" applyFont="1" applyFill="1" applyBorder="1" applyAlignment="1" applyProtection="1">
      <alignment horizontal="center"/>
      <protection locked="0"/>
    </xf>
    <xf numFmtId="164" fontId="1" fillId="2" borderId="22" xfId="0" applyNumberFormat="1" applyFont="1" applyFill="1" applyBorder="1" applyAlignment="1">
      <alignment horizontal="left"/>
    </xf>
    <xf numFmtId="164" fontId="13" fillId="2" borderId="21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 applyProtection="1">
      <alignment horizontal="center"/>
      <protection locked="0"/>
    </xf>
    <xf numFmtId="164" fontId="1" fillId="2" borderId="23" xfId="0" applyNumberFormat="1" applyFont="1" applyFill="1" applyBorder="1" applyAlignment="1">
      <alignment horizontal="left" wrapText="1"/>
    </xf>
    <xf numFmtId="164" fontId="1" fillId="2" borderId="32" xfId="0" applyNumberFormat="1" applyFont="1" applyFill="1" applyBorder="1" applyAlignment="1">
      <alignment horizontal="left"/>
    </xf>
    <xf numFmtId="164" fontId="1" fillId="2" borderId="33" xfId="0" applyNumberFormat="1" applyFont="1" applyFill="1" applyBorder="1" applyAlignment="1">
      <alignment horizontal="left" wrapText="1"/>
    </xf>
    <xf numFmtId="164" fontId="13" fillId="2" borderId="34" xfId="0" applyNumberFormat="1" applyFont="1" applyFill="1" applyBorder="1" applyAlignment="1">
      <alignment horizontal="center" wrapText="1"/>
    </xf>
    <xf numFmtId="164" fontId="1" fillId="4" borderId="35" xfId="0" applyNumberFormat="1" applyFont="1" applyFill="1" applyBorder="1" applyAlignment="1" applyProtection="1">
      <alignment horizontal="center" wrapText="1"/>
      <protection locked="0"/>
    </xf>
    <xf numFmtId="164" fontId="1" fillId="4" borderId="36" xfId="0" applyNumberFormat="1" applyFont="1" applyFill="1" applyBorder="1" applyAlignment="1" applyProtection="1">
      <alignment horizontal="center" wrapText="1"/>
      <protection locked="0"/>
    </xf>
    <xf numFmtId="164" fontId="1" fillId="4" borderId="37" xfId="0" applyNumberFormat="1" applyFont="1" applyFill="1" applyBorder="1" applyAlignment="1" applyProtection="1">
      <alignment horizontal="center" wrapText="1"/>
      <protection locked="0"/>
    </xf>
    <xf numFmtId="164" fontId="3" fillId="0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Border="1"/>
    <xf numFmtId="6" fontId="9" fillId="2" borderId="0" xfId="0" applyNumberFormat="1" applyFont="1" applyFill="1" applyBorder="1"/>
    <xf numFmtId="6" fontId="3" fillId="2" borderId="0" xfId="0" applyNumberFormat="1" applyFont="1" applyFill="1" applyBorder="1"/>
    <xf numFmtId="6" fontId="24" fillId="2" borderId="0" xfId="0" applyNumberFormat="1" applyFont="1" applyFill="1" applyBorder="1"/>
    <xf numFmtId="0" fontId="27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0" xfId="0" applyFont="1" applyFill="1" applyBorder="1"/>
    <xf numFmtId="6" fontId="10" fillId="2" borderId="0" xfId="0" applyNumberFormat="1" applyFont="1" applyFill="1" applyBorder="1"/>
    <xf numFmtId="6" fontId="1" fillId="2" borderId="0" xfId="0" applyNumberFormat="1" applyFont="1" applyFill="1" applyBorder="1"/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38" xfId="0" applyNumberFormat="1" applyFont="1" applyFill="1" applyBorder="1" applyAlignment="1">
      <alignment horizontal="center"/>
    </xf>
    <xf numFmtId="0" fontId="10" fillId="2" borderId="39" xfId="0" applyNumberFormat="1" applyFont="1" applyFill="1" applyBorder="1" applyAlignment="1">
      <alignment horizontal="center"/>
    </xf>
    <xf numFmtId="0" fontId="3" fillId="2" borderId="0" xfId="0" applyNumberFormat="1" applyFont="1" applyFill="1" applyBorder="1"/>
    <xf numFmtId="0" fontId="10" fillId="2" borderId="0" xfId="0" applyFont="1" applyFill="1" applyBorder="1" applyAlignment="1" applyProtection="1">
      <alignment horizont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22" xfId="0" applyNumberFormat="1" applyFont="1" applyFill="1" applyBorder="1" applyAlignment="1">
      <alignment horizontal="center" vertical="center"/>
    </xf>
    <xf numFmtId="0" fontId="10" fillId="2" borderId="4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/>
    </xf>
    <xf numFmtId="0" fontId="1" fillId="2" borderId="22" xfId="0" applyFont="1" applyFill="1" applyBorder="1"/>
    <xf numFmtId="6" fontId="11" fillId="2" borderId="41" xfId="0" applyNumberFormat="1" applyFont="1" applyFill="1" applyBorder="1"/>
    <xf numFmtId="6" fontId="1" fillId="2" borderId="38" xfId="0" applyNumberFormat="1" applyFont="1" applyFill="1" applyBorder="1"/>
    <xf numFmtId="6" fontId="11" fillId="2" borderId="18" xfId="0" applyNumberFormat="1" applyFont="1" applyFill="1" applyBorder="1"/>
    <xf numFmtId="6" fontId="1" fillId="2" borderId="18" xfId="0" applyNumberFormat="1" applyFont="1" applyFill="1" applyBorder="1"/>
    <xf numFmtId="0" fontId="3" fillId="2" borderId="10" xfId="0" applyFont="1" applyFill="1" applyBorder="1"/>
    <xf numFmtId="6" fontId="1" fillId="2" borderId="42" xfId="0" applyNumberFormat="1" applyFont="1" applyFill="1" applyBorder="1"/>
    <xf numFmtId="0" fontId="10" fillId="3" borderId="22" xfId="0" applyFont="1" applyFill="1" applyBorder="1"/>
    <xf numFmtId="6" fontId="11" fillId="3" borderId="43" xfId="0" applyNumberFormat="1" applyFont="1" applyFill="1" applyBorder="1"/>
    <xf numFmtId="6" fontId="10" fillId="3" borderId="44" xfId="0" applyNumberFormat="1" applyFont="1" applyFill="1" applyBorder="1"/>
    <xf numFmtId="0" fontId="9" fillId="2" borderId="0" xfId="0" applyFont="1" applyFill="1" applyBorder="1"/>
    <xf numFmtId="173" fontId="11" fillId="2" borderId="22" xfId="1" applyNumberFormat="1" applyFont="1" applyFill="1" applyBorder="1" applyAlignment="1">
      <alignment horizontal="right"/>
    </xf>
    <xf numFmtId="0" fontId="1" fillId="2" borderId="18" xfId="0" applyFont="1" applyFill="1" applyBorder="1"/>
    <xf numFmtId="6" fontId="11" fillId="2" borderId="33" xfId="0" applyNumberFormat="1" applyFont="1" applyFill="1" applyBorder="1"/>
    <xf numFmtId="6" fontId="11" fillId="2" borderId="22" xfId="0" applyNumberFormat="1" applyFont="1" applyFill="1" applyBorder="1"/>
    <xf numFmtId="0" fontId="10" fillId="2" borderId="22" xfId="0" applyFont="1" applyFill="1" applyBorder="1"/>
    <xf numFmtId="6" fontId="1" fillId="2" borderId="18" xfId="0" applyNumberFormat="1" applyFont="1" applyFill="1" applyBorder="1" applyAlignment="1">
      <alignment horizontal="right"/>
    </xf>
    <xf numFmtId="6" fontId="10" fillId="2" borderId="18" xfId="0" applyNumberFormat="1" applyFont="1" applyFill="1" applyBorder="1"/>
    <xf numFmtId="6" fontId="1" fillId="2" borderId="18" xfId="2" applyNumberFormat="1" applyFont="1" applyFill="1" applyBorder="1"/>
    <xf numFmtId="0" fontId="28" fillId="0" borderId="0" xfId="0" applyFont="1" applyFill="1" applyBorder="1" applyAlignment="1">
      <alignment horizontal="center"/>
    </xf>
    <xf numFmtId="0" fontId="29" fillId="2" borderId="22" xfId="0" applyFont="1" applyFill="1" applyBorder="1"/>
    <xf numFmtId="6" fontId="11" fillId="2" borderId="22" xfId="0" applyNumberFormat="1" applyFont="1" applyFill="1" applyBorder="1" applyAlignment="1">
      <alignment horizontal="right"/>
    </xf>
    <xf numFmtId="6" fontId="11" fillId="2" borderId="33" xfId="0" applyNumberFormat="1" applyFont="1" applyFill="1" applyBorder="1" applyAlignment="1">
      <alignment horizontal="right"/>
    </xf>
    <xf numFmtId="6" fontId="1" fillId="2" borderId="42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vertical="center" wrapText="1"/>
    </xf>
    <xf numFmtId="0" fontId="30" fillId="3" borderId="22" xfId="0" applyFont="1" applyFill="1" applyBorder="1" applyAlignment="1">
      <alignment vertical="center" wrapText="1"/>
    </xf>
    <xf numFmtId="6" fontId="11" fillId="3" borderId="22" xfId="0" applyNumberFormat="1" applyFont="1" applyFill="1" applyBorder="1"/>
    <xf numFmtId="6" fontId="10" fillId="3" borderId="18" xfId="0" applyNumberFormat="1" applyFont="1" applyFill="1" applyBorder="1"/>
    <xf numFmtId="6" fontId="10" fillId="2" borderId="21" xfId="0" applyNumberFormat="1" applyFont="1" applyFill="1" applyBorder="1"/>
    <xf numFmtId="6" fontId="1" fillId="2" borderId="22" xfId="0" applyNumberFormat="1" applyFont="1" applyFill="1" applyBorder="1"/>
    <xf numFmtId="6" fontId="11" fillId="3" borderId="45" xfId="0" applyNumberFormat="1" applyFont="1" applyFill="1" applyBorder="1"/>
    <xf numFmtId="6" fontId="10" fillId="3" borderId="46" xfId="0" applyNumberFormat="1" applyFont="1" applyFill="1" applyBorder="1"/>
    <xf numFmtId="165" fontId="1" fillId="2" borderId="18" xfId="0" applyNumberFormat="1" applyFont="1" applyFill="1" applyBorder="1"/>
    <xf numFmtId="0" fontId="10" fillId="2" borderId="18" xfId="0" applyFont="1" applyFill="1" applyBorder="1"/>
    <xf numFmtId="10" fontId="28" fillId="8" borderId="0" xfId="1" applyNumberFormat="1" applyFont="1" applyFill="1" applyBorder="1" applyAlignment="1">
      <alignment horizontal="center"/>
    </xf>
    <xf numFmtId="10" fontId="10" fillId="8" borderId="22" xfId="1" applyNumberFormat="1" applyFont="1" applyFill="1" applyBorder="1"/>
    <xf numFmtId="10" fontId="11" fillId="8" borderId="22" xfId="1" applyNumberFormat="1" applyFont="1" applyFill="1" applyBorder="1" applyAlignment="1">
      <alignment horizontal="right"/>
    </xf>
    <xf numFmtId="165" fontId="10" fillId="8" borderId="18" xfId="2" applyNumberFormat="1" applyFont="1" applyFill="1" applyBorder="1" applyAlignment="1">
      <alignment horizontal="right"/>
    </xf>
    <xf numFmtId="10" fontId="3" fillId="8" borderId="0" xfId="1" applyNumberFormat="1" applyFont="1" applyFill="1" applyBorder="1"/>
    <xf numFmtId="6" fontId="1" fillId="2" borderId="21" xfId="0" applyNumberFormat="1" applyFont="1" applyFill="1" applyBorder="1"/>
    <xf numFmtId="10" fontId="1" fillId="2" borderId="33" xfId="1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50" xfId="0" applyFont="1" applyFill="1" applyBorder="1" applyAlignment="1">
      <alignment vertical="center"/>
    </xf>
    <xf numFmtId="6" fontId="10" fillId="2" borderId="38" xfId="0" applyNumberFormat="1" applyFont="1" applyFill="1" applyBorder="1" applyAlignment="1">
      <alignment vertical="center"/>
    </xf>
    <xf numFmtId="8" fontId="3" fillId="2" borderId="0" xfId="0" applyNumberFormat="1" applyFont="1" applyFill="1" applyBorder="1"/>
    <xf numFmtId="172" fontId="3" fillId="2" borderId="0" xfId="1" applyNumberFormat="1" applyFont="1" applyFill="1" applyBorder="1"/>
    <xf numFmtId="0" fontId="1" fillId="2" borderId="21" xfId="0" applyFont="1" applyFill="1" applyBorder="1" applyAlignment="1">
      <alignment vertical="center" wrapText="1"/>
    </xf>
    <xf numFmtId="6" fontId="10" fillId="2" borderId="18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/>
    </xf>
    <xf numFmtId="0" fontId="1" fillId="2" borderId="51" xfId="0" applyFont="1" applyFill="1" applyBorder="1" applyAlignment="1">
      <alignment vertical="center"/>
    </xf>
    <xf numFmtId="6" fontId="10" fillId="2" borderId="1" xfId="0" applyNumberFormat="1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6" fontId="10" fillId="2" borderId="42" xfId="0" applyNumberFormat="1" applyFont="1" applyFill="1" applyBorder="1" applyAlignment="1">
      <alignment vertical="center"/>
    </xf>
    <xf numFmtId="6" fontId="10" fillId="9" borderId="4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6" fontId="3" fillId="2" borderId="0" xfId="0" applyNumberFormat="1" applyFont="1" applyFill="1" applyAlignment="1">
      <alignment horizontal="left"/>
    </xf>
    <xf numFmtId="6" fontId="3" fillId="2" borderId="0" xfId="0" applyNumberFormat="1" applyFont="1" applyFill="1" applyBorder="1" applyAlignment="1">
      <alignment horizontal="left" wrapText="1"/>
    </xf>
    <xf numFmtId="6" fontId="3" fillId="2" borderId="0" xfId="0" applyNumberFormat="1" applyFont="1" applyFill="1" applyBorder="1" applyAlignment="1">
      <alignment horizontal="left"/>
    </xf>
    <xf numFmtId="6" fontId="3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6" fontId="1" fillId="2" borderId="0" xfId="0" applyNumberFormat="1" applyFont="1" applyFill="1" applyBorder="1" applyAlignment="1">
      <alignment horizontal="left"/>
    </xf>
    <xf numFmtId="174" fontId="10" fillId="2" borderId="2" xfId="0" applyNumberFormat="1" applyFont="1" applyFill="1" applyBorder="1" applyAlignment="1">
      <alignment horizontal="center"/>
    </xf>
    <xf numFmtId="0" fontId="31" fillId="2" borderId="0" xfId="0" applyFont="1" applyFill="1" applyAlignment="1">
      <alignment vertical="center"/>
    </xf>
    <xf numFmtId="6" fontId="10" fillId="2" borderId="0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75" fontId="1" fillId="2" borderId="0" xfId="0" applyNumberFormat="1" applyFont="1" applyFill="1" applyBorder="1"/>
    <xf numFmtId="175" fontId="1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vertical="center"/>
    </xf>
    <xf numFmtId="175" fontId="1" fillId="2" borderId="0" xfId="0" applyNumberFormat="1" applyFont="1" applyFill="1"/>
    <xf numFmtId="175" fontId="3" fillId="2" borderId="0" xfId="0" applyNumberFormat="1" applyFont="1" applyFill="1"/>
    <xf numFmtId="175" fontId="1" fillId="2" borderId="0" xfId="0" applyNumberFormat="1" applyFont="1" applyFill="1" applyBorder="1" applyAlignment="1">
      <alignment vertical="center" wrapText="1"/>
    </xf>
    <xf numFmtId="175" fontId="1" fillId="2" borderId="0" xfId="0" applyNumberFormat="1" applyFont="1" applyFill="1" applyBorder="1" applyAlignment="1">
      <alignment horizontal="center" vertical="center" wrapText="1"/>
    </xf>
    <xf numFmtId="175" fontId="1" fillId="2" borderId="0" xfId="0" applyNumberFormat="1" applyFont="1" applyFill="1" applyBorder="1" applyAlignment="1">
      <alignment vertical="center"/>
    </xf>
    <xf numFmtId="175" fontId="1" fillId="2" borderId="0" xfId="0" applyNumberFormat="1" applyFont="1" applyFill="1" applyBorder="1" applyAlignment="1">
      <alignment horizontal="center" vertical="center"/>
    </xf>
    <xf numFmtId="175" fontId="3" fillId="2" borderId="0" xfId="0" applyNumberFormat="1" applyFont="1" applyFill="1" applyAlignment="1">
      <alignment horizontal="left" vertical="center"/>
    </xf>
    <xf numFmtId="175" fontId="3" fillId="2" borderId="0" xfId="0" applyNumberFormat="1" applyFont="1" applyFill="1" applyAlignment="1">
      <alignment vertical="center"/>
    </xf>
    <xf numFmtId="6" fontId="1" fillId="2" borderId="0" xfId="0" applyNumberFormat="1" applyFont="1" applyFill="1" applyBorder="1" applyAlignment="1">
      <alignment horizontal="center"/>
    </xf>
    <xf numFmtId="6" fontId="1" fillId="2" borderId="0" xfId="0" applyNumberFormat="1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1" fillId="6" borderId="0" xfId="0" applyFont="1" applyFill="1"/>
    <xf numFmtId="6" fontId="1" fillId="6" borderId="0" xfId="0" applyNumberFormat="1" applyFont="1" applyFill="1" applyAlignment="1">
      <alignment horizontal="center"/>
    </xf>
    <xf numFmtId="6" fontId="1" fillId="6" borderId="0" xfId="0" applyNumberFormat="1" applyFont="1" applyFill="1" applyBorder="1" applyAlignment="1">
      <alignment horizontal="left" wrapText="1"/>
    </xf>
    <xf numFmtId="6" fontId="1" fillId="6" borderId="0" xfId="0" applyNumberFormat="1" applyFont="1" applyFill="1" applyBorder="1" applyAlignment="1">
      <alignment horizontal="left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Border="1"/>
    <xf numFmtId="0" fontId="10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NumberFormat="1" applyFont="1" applyFill="1"/>
    <xf numFmtId="6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6" fontId="1" fillId="2" borderId="0" xfId="0" applyNumberFormat="1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6" fontId="1" fillId="2" borderId="0" xfId="0" applyNumberFormat="1" applyFont="1" applyFill="1"/>
    <xf numFmtId="6" fontId="10" fillId="2" borderId="0" xfId="0" applyNumberFormat="1" applyFont="1" applyFill="1"/>
    <xf numFmtId="6" fontId="13" fillId="2" borderId="0" xfId="0" applyNumberFormat="1" applyFont="1" applyFill="1" applyBorder="1"/>
    <xf numFmtId="6" fontId="1" fillId="7" borderId="0" xfId="0" applyNumberFormat="1" applyFont="1" applyFill="1"/>
    <xf numFmtId="6" fontId="1" fillId="10" borderId="0" xfId="0" applyNumberFormat="1" applyFont="1" applyFill="1"/>
    <xf numFmtId="6" fontId="10" fillId="3" borderId="0" xfId="0" applyNumberFormat="1" applyFont="1" applyFill="1"/>
    <xf numFmtId="6" fontId="13" fillId="3" borderId="0" xfId="0" applyNumberFormat="1" applyFont="1" applyFill="1" applyBorder="1"/>
    <xf numFmtId="6" fontId="1" fillId="3" borderId="0" xfId="0" applyNumberFormat="1" applyFont="1" applyFill="1" applyAlignment="1">
      <alignment horizontal="right"/>
    </xf>
    <xf numFmtId="6" fontId="1" fillId="3" borderId="0" xfId="0" applyNumberFormat="1" applyFont="1" applyFill="1"/>
    <xf numFmtId="6" fontId="13" fillId="2" borderId="0" xfId="0" applyNumberFormat="1" applyFont="1" applyFill="1"/>
    <xf numFmtId="6" fontId="1" fillId="6" borderId="0" xfId="0" applyNumberFormat="1" applyFont="1" applyFill="1"/>
    <xf numFmtId="6" fontId="10" fillId="6" borderId="0" xfId="0" applyNumberFormat="1" applyFont="1" applyFill="1"/>
    <xf numFmtId="6" fontId="13" fillId="6" borderId="0" xfId="0" applyNumberFormat="1" applyFont="1" applyFill="1" applyBorder="1"/>
    <xf numFmtId="6" fontId="13" fillId="2" borderId="0" xfId="0" applyNumberFormat="1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wrapText="1"/>
    </xf>
    <xf numFmtId="0" fontId="29" fillId="2" borderId="0" xfId="0" applyFont="1" applyFill="1" applyBorder="1" applyAlignment="1" applyProtection="1">
      <alignment horizontal="left" vertical="center" wrapText="1"/>
    </xf>
    <xf numFmtId="6" fontId="13" fillId="2" borderId="0" xfId="0" applyNumberFormat="1" applyFont="1" applyFill="1" applyBorder="1" applyAlignment="1">
      <alignment horizontal="right"/>
    </xf>
    <xf numFmtId="6" fontId="1" fillId="2" borderId="0" xfId="0" applyNumberFormat="1" applyFont="1" applyFill="1" applyBorder="1" applyAlignment="1">
      <alignment horizontal="right" wrapText="1"/>
    </xf>
    <xf numFmtId="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vertical="top" wrapText="1"/>
    </xf>
    <xf numFmtId="6" fontId="13" fillId="2" borderId="0" xfId="0" applyNumberFormat="1" applyFont="1" applyFill="1" applyAlignment="1">
      <alignment horizontal="right"/>
    </xf>
    <xf numFmtId="6" fontId="19" fillId="2" borderId="0" xfId="0" applyNumberFormat="1" applyFont="1" applyFill="1" applyAlignment="1">
      <alignment horizontal="right"/>
    </xf>
    <xf numFmtId="6" fontId="35" fillId="2" borderId="0" xfId="0" applyNumberFormat="1" applyFont="1" applyFill="1" applyAlignment="1">
      <alignment horizontal="right"/>
    </xf>
    <xf numFmtId="0" fontId="10" fillId="2" borderId="0" xfId="0" applyFont="1" applyFill="1" applyBorder="1" applyAlignment="1" applyProtection="1">
      <alignment horizontal="left" vertical="top" wrapText="1"/>
    </xf>
    <xf numFmtId="6" fontId="11" fillId="2" borderId="0" xfId="0" applyNumberFormat="1" applyFont="1" applyFill="1" applyAlignment="1">
      <alignment horizontal="right"/>
    </xf>
    <xf numFmtId="6" fontId="10" fillId="2" borderId="0" xfId="0" applyNumberFormat="1" applyFont="1" applyFill="1" applyAlignment="1">
      <alignment horizontal="right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10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vertical="top"/>
    </xf>
    <xf numFmtId="6" fontId="13" fillId="2" borderId="10" xfId="0" applyNumberFormat="1" applyFont="1" applyFill="1" applyBorder="1" applyAlignment="1">
      <alignment horizontal="right"/>
    </xf>
    <xf numFmtId="6" fontId="19" fillId="2" borderId="10" xfId="0" applyNumberFormat="1" applyFont="1" applyFill="1" applyBorder="1" applyAlignment="1">
      <alignment horizontal="right"/>
    </xf>
    <xf numFmtId="6" fontId="3" fillId="2" borderId="10" xfId="0" applyNumberFormat="1" applyFont="1" applyFill="1" applyBorder="1" applyAlignment="1">
      <alignment horizontal="left"/>
    </xf>
    <xf numFmtId="6" fontId="3" fillId="2" borderId="10" xfId="0" applyNumberFormat="1" applyFont="1" applyFill="1" applyBorder="1"/>
    <xf numFmtId="6" fontId="35" fillId="2" borderId="0" xfId="0" applyNumberFormat="1" applyFont="1" applyFill="1" applyBorder="1" applyAlignment="1">
      <alignment horizontal="right"/>
    </xf>
    <xf numFmtId="0" fontId="1" fillId="3" borderId="0" xfId="0" applyFont="1" applyFill="1"/>
    <xf numFmtId="6" fontId="13" fillId="3" borderId="0" xfId="0" applyNumberFormat="1" applyFont="1" applyFill="1" applyBorder="1" applyAlignment="1">
      <alignment horizontal="right" wrapText="1"/>
    </xf>
    <xf numFmtId="6" fontId="1" fillId="3" borderId="0" xfId="0" applyNumberFormat="1" applyFont="1" applyFill="1" applyBorder="1" applyAlignment="1">
      <alignment horizontal="right" wrapText="1"/>
    </xf>
    <xf numFmtId="0" fontId="36" fillId="2" borderId="0" xfId="0" applyFont="1" applyFill="1" applyBorder="1"/>
    <xf numFmtId="6" fontId="19" fillId="2" borderId="0" xfId="0" applyNumberFormat="1" applyFont="1" applyFill="1" applyBorder="1" applyAlignment="1">
      <alignment horizontal="right"/>
    </xf>
    <xf numFmtId="0" fontId="1" fillId="2" borderId="10" xfId="0" applyFont="1" applyFill="1" applyBorder="1" applyAlignment="1" applyProtection="1">
      <alignment horizontal="left" vertical="top" wrapText="1"/>
    </xf>
    <xf numFmtId="0" fontId="1" fillId="3" borderId="52" xfId="0" applyFont="1" applyFill="1" applyBorder="1"/>
    <xf numFmtId="6" fontId="13" fillId="3" borderId="52" xfId="0" applyNumberFormat="1" applyFont="1" applyFill="1" applyBorder="1" applyAlignment="1">
      <alignment horizontal="right" wrapText="1"/>
    </xf>
    <xf numFmtId="6" fontId="1" fillId="3" borderId="52" xfId="0" applyNumberFormat="1" applyFont="1" applyFill="1" applyBorder="1" applyAlignment="1">
      <alignment horizontal="right" wrapText="1"/>
    </xf>
    <xf numFmtId="6" fontId="13" fillId="2" borderId="0" xfId="0" applyNumberFormat="1" applyFont="1" applyFill="1" applyBorder="1" applyAlignment="1">
      <alignment horizontal="right" wrapText="1"/>
    </xf>
    <xf numFmtId="6" fontId="10" fillId="2" borderId="0" xfId="0" applyNumberFormat="1" applyFont="1" applyFill="1" applyBorder="1" applyAlignment="1" applyProtection="1">
      <alignment horizontal="left" vertical="top"/>
    </xf>
    <xf numFmtId="0" fontId="10" fillId="2" borderId="53" xfId="0" applyFont="1" applyFill="1" applyBorder="1" applyAlignment="1">
      <alignment horizontal="left" wrapText="1"/>
    </xf>
    <xf numFmtId="0" fontId="10" fillId="3" borderId="53" xfId="0" applyFont="1" applyFill="1" applyBorder="1"/>
    <xf numFmtId="6" fontId="11" fillId="3" borderId="53" xfId="0" applyNumberFormat="1" applyFont="1" applyFill="1" applyBorder="1" applyAlignment="1">
      <alignment horizontal="right" wrapText="1"/>
    </xf>
    <xf numFmtId="6" fontId="10" fillId="3" borderId="53" xfId="0" applyNumberFormat="1" applyFont="1" applyFill="1" applyBorder="1" applyAlignment="1">
      <alignment horizontal="right" wrapText="1"/>
    </xf>
    <xf numFmtId="6" fontId="9" fillId="2" borderId="53" xfId="0" applyNumberFormat="1" applyFont="1" applyFill="1" applyBorder="1" applyAlignment="1">
      <alignment horizontal="left"/>
    </xf>
    <xf numFmtId="6" fontId="9" fillId="2" borderId="53" xfId="0" applyNumberFormat="1" applyFont="1" applyFill="1" applyBorder="1"/>
    <xf numFmtId="0" fontId="9" fillId="2" borderId="53" xfId="0" applyFont="1" applyFill="1" applyBorder="1"/>
    <xf numFmtId="6" fontId="1" fillId="7" borderId="0" xfId="0" applyNumberFormat="1" applyFont="1" applyFill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1" fillId="7" borderId="0" xfId="0" applyNumberFormat="1" applyFont="1" applyFill="1" applyBorder="1" applyAlignment="1">
      <alignment horizontal="right" wrapText="1"/>
    </xf>
    <xf numFmtId="6" fontId="19" fillId="7" borderId="0" xfId="0" applyNumberFormat="1" applyFont="1" applyFill="1" applyAlignment="1">
      <alignment horizontal="right"/>
    </xf>
    <xf numFmtId="6" fontId="35" fillId="10" borderId="0" xfId="0" applyNumberFormat="1" applyFont="1" applyFill="1" applyAlignment="1">
      <alignment horizontal="right"/>
    </xf>
    <xf numFmtId="0" fontId="36" fillId="3" borderId="0" xfId="0" applyFont="1" applyFill="1"/>
    <xf numFmtId="6" fontId="19" fillId="10" borderId="0" xfId="0" applyNumberFormat="1" applyFont="1" applyFill="1" applyAlignment="1">
      <alignment horizontal="right"/>
    </xf>
    <xf numFmtId="0" fontId="30" fillId="2" borderId="0" xfId="0" applyFont="1" applyFill="1" applyBorder="1" applyAlignment="1" applyProtection="1">
      <alignment horizontal="left" vertical="center" wrapText="1"/>
    </xf>
    <xf numFmtId="6" fontId="13" fillId="2" borderId="0" xfId="0" applyNumberFormat="1" applyFont="1" applyFill="1" applyBorder="1" applyAlignment="1">
      <alignment horizontal="right" vertical="center"/>
    </xf>
    <xf numFmtId="6" fontId="19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Border="1" applyAlignment="1" applyProtection="1">
      <alignment horizontal="left" vertical="center"/>
    </xf>
    <xf numFmtId="0" fontId="29" fillId="2" borderId="0" xfId="0" applyFont="1" applyFill="1" applyBorder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/>
    </xf>
    <xf numFmtId="6" fontId="19" fillId="7" borderId="0" xfId="0" applyNumberFormat="1" applyFont="1" applyFill="1" applyBorder="1" applyAlignment="1">
      <alignment horizontal="right"/>
    </xf>
    <xf numFmtId="6" fontId="19" fillId="10" borderId="0" xfId="0" applyNumberFormat="1" applyFont="1" applyFill="1" applyBorder="1" applyAlignment="1">
      <alignment horizontal="right"/>
    </xf>
    <xf numFmtId="0" fontId="36" fillId="3" borderId="0" xfId="0" applyFont="1" applyFill="1" applyAlignment="1">
      <alignment horizontal="left" wrapText="1"/>
    </xf>
    <xf numFmtId="6" fontId="13" fillId="3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7" borderId="0" xfId="0" applyFont="1" applyFill="1" applyBorder="1" applyAlignment="1" applyProtection="1">
      <alignment horizontal="left" vertical="top"/>
    </xf>
    <xf numFmtId="0" fontId="1" fillId="7" borderId="0" xfId="0" applyFont="1" applyFill="1" applyBorder="1" applyAlignment="1" applyProtection="1">
      <alignment horizontal="left" wrapText="1"/>
    </xf>
    <xf numFmtId="6" fontId="17" fillId="7" borderId="0" xfId="0" applyNumberFormat="1" applyFont="1" applyFill="1" applyBorder="1" applyAlignment="1">
      <alignment horizontal="right"/>
    </xf>
    <xf numFmtId="6" fontId="17" fillId="7" borderId="0" xfId="0" applyNumberFormat="1" applyFont="1" applyFill="1" applyAlignment="1">
      <alignment horizontal="right"/>
    </xf>
    <xf numFmtId="6" fontId="3" fillId="7" borderId="0" xfId="0" applyNumberFormat="1" applyFont="1" applyFill="1" applyAlignment="1">
      <alignment horizontal="left"/>
    </xf>
    <xf numFmtId="6" fontId="3" fillId="7" borderId="0" xfId="0" applyNumberFormat="1" applyFont="1" applyFill="1"/>
    <xf numFmtId="0" fontId="1" fillId="7" borderId="0" xfId="0" applyFont="1" applyFill="1" applyBorder="1" applyAlignment="1" applyProtection="1">
      <alignment horizontal="left" vertical="top" wrapText="1"/>
    </xf>
    <xf numFmtId="0" fontId="3" fillId="7" borderId="0" xfId="0" applyFont="1" applyFill="1"/>
    <xf numFmtId="0" fontId="1" fillId="11" borderId="0" xfId="0" applyFont="1" applyFill="1" applyBorder="1" applyAlignment="1" applyProtection="1">
      <alignment horizontal="left" vertical="top"/>
    </xf>
    <xf numFmtId="0" fontId="1" fillId="11" borderId="0" xfId="0" applyFont="1" applyFill="1" applyBorder="1" applyAlignment="1" applyProtection="1">
      <alignment horizontal="left" wrapText="1"/>
    </xf>
    <xf numFmtId="6" fontId="17" fillId="11" borderId="0" xfId="0" applyNumberFormat="1" applyFont="1" applyFill="1" applyBorder="1" applyAlignment="1">
      <alignment horizontal="right"/>
    </xf>
    <xf numFmtId="6" fontId="17" fillId="11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wrapText="1"/>
    </xf>
    <xf numFmtId="6" fontId="1" fillId="2" borderId="0" xfId="0" applyNumberFormat="1" applyFont="1" applyFill="1" applyAlignment="1">
      <alignment horizontal="left" wrapText="1"/>
    </xf>
    <xf numFmtId="6" fontId="37" fillId="3" borderId="0" xfId="0" applyNumberFormat="1" applyFont="1" applyFill="1" applyBorder="1" applyAlignment="1">
      <alignment horizontal="right" wrapText="1"/>
    </xf>
    <xf numFmtId="6" fontId="36" fillId="3" borderId="0" xfId="0" applyNumberFormat="1" applyFont="1" applyFill="1" applyBorder="1" applyAlignment="1">
      <alignment horizontal="right" wrapText="1"/>
    </xf>
    <xf numFmtId="6" fontId="13" fillId="3" borderId="53" xfId="0" applyNumberFormat="1" applyFont="1" applyFill="1" applyBorder="1" applyAlignment="1">
      <alignment horizontal="right"/>
    </xf>
    <xf numFmtId="0" fontId="3" fillId="12" borderId="0" xfId="0" applyFont="1" applyFill="1" applyBorder="1" applyAlignment="1">
      <alignment horizontal="left" wrapText="1"/>
    </xf>
    <xf numFmtId="0" fontId="3" fillId="12" borderId="0" xfId="0" applyFont="1" applyFill="1" applyBorder="1"/>
    <xf numFmtId="6" fontId="3" fillId="12" borderId="0" xfId="0" applyNumberFormat="1" applyFont="1" applyFill="1" applyAlignment="1">
      <alignment horizontal="left"/>
    </xf>
    <xf numFmtId="6" fontId="3" fillId="12" borderId="0" xfId="0" applyNumberFormat="1" applyFont="1" applyFill="1" applyBorder="1" applyAlignment="1">
      <alignment horizontal="left" wrapText="1"/>
    </xf>
    <xf numFmtId="6" fontId="3" fillId="12" borderId="0" xfId="0" applyNumberFormat="1" applyFont="1" applyFill="1" applyBorder="1" applyAlignment="1">
      <alignment horizontal="left"/>
    </xf>
    <xf numFmtId="6" fontId="3" fillId="12" borderId="0" xfId="0" applyNumberFormat="1" applyFont="1" applyFill="1"/>
    <xf numFmtId="0" fontId="3" fillId="1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44" fontId="3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42" fontId="1" fillId="2" borderId="0" xfId="0" applyNumberFormat="1" applyFont="1" applyFill="1" applyAlignment="1">
      <alignment horizontal="right"/>
    </xf>
    <xf numFmtId="42" fontId="1" fillId="2" borderId="0" xfId="0" applyNumberFormat="1" applyFont="1" applyFill="1" applyBorder="1" applyAlignment="1">
      <alignment horizontal="right"/>
    </xf>
    <xf numFmtId="42" fontId="1" fillId="2" borderId="0" xfId="0" applyNumberFormat="1" applyFont="1" applyFill="1" applyAlignment="1">
      <alignment horizontal="left"/>
    </xf>
    <xf numFmtId="42" fontId="1" fillId="2" borderId="0" xfId="0" applyNumberFormat="1" applyFont="1" applyFill="1" applyBorder="1" applyAlignment="1">
      <alignment horizontal="left"/>
    </xf>
    <xf numFmtId="42" fontId="1" fillId="3" borderId="0" xfId="0" applyNumberFormat="1" applyFont="1" applyFill="1" applyAlignment="1">
      <alignment horizontal="left"/>
    </xf>
    <xf numFmtId="44" fontId="1" fillId="2" borderId="0" xfId="0" applyNumberFormat="1" applyFont="1" applyFill="1" applyAlignment="1">
      <alignment horizontal="left"/>
    </xf>
    <xf numFmtId="44" fontId="1" fillId="2" borderId="0" xfId="0" applyNumberFormat="1" applyFont="1" applyFill="1" applyBorder="1" applyAlignment="1">
      <alignment horizontal="left"/>
    </xf>
    <xf numFmtId="176" fontId="1" fillId="3" borderId="0" xfId="0" applyNumberFormat="1" applyFont="1" applyFill="1"/>
    <xf numFmtId="176" fontId="1" fillId="2" borderId="0" xfId="0" applyNumberFormat="1" applyFont="1" applyFill="1" applyBorder="1"/>
    <xf numFmtId="176" fontId="1" fillId="3" borderId="52" xfId="0" applyNumberFormat="1" applyFont="1" applyFill="1" applyBorder="1"/>
    <xf numFmtId="176" fontId="10" fillId="3" borderId="53" xfId="0" applyNumberFormat="1" applyFont="1" applyFill="1" applyBorder="1"/>
    <xf numFmtId="176" fontId="10" fillId="2" borderId="0" xfId="0" applyNumberFormat="1" applyFont="1" applyFill="1" applyBorder="1"/>
    <xf numFmtId="178" fontId="1" fillId="2" borderId="0" xfId="3" applyNumberFormat="1" applyFont="1" applyFill="1" applyBorder="1" applyAlignment="1">
      <alignment horizontal="right" wrapText="1"/>
    </xf>
    <xf numFmtId="178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wrapText="1"/>
    </xf>
    <xf numFmtId="0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 applyProtection="1">
      <alignment horizontal="left" vertical="center" wrapText="1"/>
    </xf>
    <xf numFmtId="42" fontId="1" fillId="2" borderId="0" xfId="0" applyNumberFormat="1" applyFont="1" applyFill="1" applyAlignment="1">
      <alignment horizontal="left" vertical="center"/>
    </xf>
    <xf numFmtId="42" fontId="1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horizontal="left" vertical="center" wrapText="1"/>
    </xf>
    <xf numFmtId="42" fontId="36" fillId="3" borderId="0" xfId="0" applyNumberFormat="1" applyFont="1" applyFill="1"/>
    <xf numFmtId="42" fontId="36" fillId="2" borderId="0" xfId="0" applyNumberFormat="1" applyFont="1" applyFill="1" applyBorder="1"/>
    <xf numFmtId="42" fontId="1" fillId="3" borderId="52" xfId="0" applyNumberFormat="1" applyFont="1" applyFill="1" applyBorder="1"/>
    <xf numFmtId="42" fontId="1" fillId="2" borderId="0" xfId="0" applyNumberFormat="1" applyFont="1" applyFill="1" applyBorder="1"/>
    <xf numFmtId="42" fontId="10" fillId="3" borderId="53" xfId="0" applyNumberFormat="1" applyFont="1" applyFill="1" applyBorder="1"/>
    <xf numFmtId="42" fontId="10" fillId="2" borderId="0" xfId="0" applyNumberFormat="1" applyFont="1" applyFill="1" applyBorder="1"/>
    <xf numFmtId="178" fontId="1" fillId="2" borderId="0" xfId="3" applyNumberFormat="1" applyFont="1" applyFill="1" applyBorder="1" applyAlignment="1">
      <alignment horizontal="left" wrapText="1"/>
    </xf>
    <xf numFmtId="0" fontId="33" fillId="2" borderId="0" xfId="0" applyFont="1" applyFill="1" applyBorder="1" applyAlignment="1"/>
    <xf numFmtId="42" fontId="36" fillId="3" borderId="0" xfId="0" applyNumberFormat="1" applyFont="1" applyFill="1" applyAlignment="1">
      <alignment horizontal="left" wrapText="1"/>
    </xf>
    <xf numFmtId="42" fontId="36" fillId="2" borderId="0" xfId="0" applyNumberFormat="1" applyFont="1" applyFill="1" applyBorder="1" applyAlignment="1">
      <alignment horizontal="left" wrapText="1"/>
    </xf>
    <xf numFmtId="42" fontId="1" fillId="2" borderId="0" xfId="0" applyNumberFormat="1" applyFont="1" applyFill="1" applyAlignment="1">
      <alignment horizontal="left" vertical="top"/>
    </xf>
    <xf numFmtId="42" fontId="1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0" fontId="12" fillId="0" borderId="5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7" borderId="3" xfId="0" applyNumberFormat="1" applyFont="1" applyFill="1" applyBorder="1" applyAlignment="1">
      <alignment horizontal="center" vertical="center" wrapText="1"/>
    </xf>
    <xf numFmtId="0" fontId="10" fillId="7" borderId="12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10" fillId="7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0" fontId="12" fillId="2" borderId="0" xfId="0" applyNumberFormat="1" applyFont="1" applyFill="1" applyBorder="1" applyAlignment="1">
      <alignment horizontal="left"/>
    </xf>
    <xf numFmtId="164" fontId="10" fillId="2" borderId="19" xfId="0" applyNumberFormat="1" applyFont="1" applyFill="1" applyBorder="1" applyAlignment="1">
      <alignment horizontal="center"/>
    </xf>
    <xf numFmtId="164" fontId="10" fillId="2" borderId="20" xfId="0" applyNumberFormat="1" applyFont="1" applyFill="1" applyBorder="1" applyAlignment="1">
      <alignment horizontal="center"/>
    </xf>
    <xf numFmtId="164" fontId="25" fillId="2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wrapText="1"/>
    </xf>
    <xf numFmtId="164" fontId="11" fillId="2" borderId="2" xfId="0" applyNumberFormat="1" applyFont="1" applyFill="1" applyBorder="1" applyAlignment="1">
      <alignment horizontal="center"/>
    </xf>
    <xf numFmtId="0" fontId="10" fillId="5" borderId="47" xfId="0" applyFont="1" applyFill="1" applyBorder="1" applyAlignment="1">
      <alignment horizontal="left"/>
    </xf>
    <xf numFmtId="0" fontId="10" fillId="5" borderId="48" xfId="0" applyFont="1" applyFill="1" applyBorder="1" applyAlignment="1">
      <alignment horizontal="left"/>
    </xf>
    <xf numFmtId="0" fontId="10" fillId="5" borderId="49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22" xfId="0" applyFont="1" applyFill="1" applyBorder="1" applyAlignment="1">
      <alignment horizontal="left"/>
    </xf>
    <xf numFmtId="6" fontId="9" fillId="2" borderId="0" xfId="0" applyNumberFormat="1" applyFont="1" applyFill="1" applyBorder="1" applyAlignment="1">
      <alignment horizontal="center"/>
    </xf>
    <xf numFmtId="0" fontId="10" fillId="5" borderId="32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left"/>
    </xf>
    <xf numFmtId="0" fontId="10" fillId="5" borderId="33" xfId="0" applyFont="1" applyFill="1" applyBorder="1" applyAlignment="1">
      <alignment horizontal="left"/>
    </xf>
    <xf numFmtId="0" fontId="3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wrapText="1"/>
    </xf>
    <xf numFmtId="0" fontId="33" fillId="2" borderId="0" xfId="0" applyFont="1" applyFill="1" applyBorder="1" applyAlignment="1">
      <alignment horizontal="left"/>
    </xf>
    <xf numFmtId="0" fontId="33" fillId="2" borderId="48" xfId="0" applyFont="1" applyFill="1" applyBorder="1" applyAlignment="1">
      <alignment horizontal="left"/>
    </xf>
    <xf numFmtId="0" fontId="38" fillId="2" borderId="0" xfId="0" applyFont="1" applyFill="1" applyBorder="1" applyAlignment="1">
      <alignment horizontal="left" wrapText="1"/>
    </xf>
    <xf numFmtId="0" fontId="34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left" wrapText="1"/>
    </xf>
    <xf numFmtId="0" fontId="32" fillId="2" borderId="5" xfId="0" applyFont="1" applyFill="1" applyBorder="1" applyAlignment="1">
      <alignment horizontal="left" wrapText="1"/>
    </xf>
  </cellXfs>
  <cellStyles count="4">
    <cellStyle name="Comma 2" xfId="2"/>
    <cellStyle name="Currency 2" xfId="3"/>
    <cellStyle name="Normal" xfId="0" builtinId="0"/>
    <cellStyle name="Percent" xfId="1" builtinId="5"/>
  </cellStyles>
  <dxfs count="2">
    <dxf>
      <fill>
        <patternFill patternType="solid">
          <bgColor indexed="9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828675</xdr:colOff>
      <xdr:row>3</xdr:row>
      <xdr:rowOff>57150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0" y="0"/>
          <a:ext cx="10042525" cy="2082800"/>
          <a:chOff x="9523" y="49814"/>
          <a:chExt cx="8286934" cy="1684218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3" y="49814"/>
            <a:ext cx="8286934" cy="1684218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>
            <a:fillRect/>
          </a:stretch>
        </xdr:blipFill>
        <xdr:spPr bwMode="auto">
          <a:xfrm>
            <a:off x="173458" y="276226"/>
            <a:ext cx="3112772" cy="121940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5" name="Rectangle 4"/>
          <xdr:cNvSpPr/>
        </xdr:nvSpPr>
        <xdr:spPr>
          <a:xfrm>
            <a:off x="3430960" y="434339"/>
            <a:ext cx="4816268" cy="499882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2023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13</xdr:row>
          <xdr:rowOff>0</xdr:rowOff>
        </xdr:from>
        <xdr:to>
          <xdr:col>1</xdr:col>
          <xdr:colOff>1117600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2700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909090" mc:Ignorable="a14" a14:legacySpreadsheetColorIndex="67">
                        <a:gamma/>
                        <a:shade val="60000"/>
                        <a:invGamma/>
                      </a:srgbClr>
                    </a:outerShdw>
                  </a:effectLst>
                </a14:hiddenEffects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Click here to Enter Data</a:t>
              </a:r>
            </a:p>
          </xdr:txBody>
        </xdr:sp>
        <xdr:clientData fPrintsWithSheet="0"/>
      </xdr:twoCellAnchor>
    </mc:Choice>
    <mc:Fallback/>
  </mc:AlternateContent>
  <xdr:twoCellAnchor editAs="absolute">
    <xdr:from>
      <xdr:col>0</xdr:col>
      <xdr:colOff>0</xdr:colOff>
      <xdr:row>0</xdr:row>
      <xdr:rowOff>0</xdr:rowOff>
    </xdr:from>
    <xdr:to>
      <xdr:col>7</xdr:col>
      <xdr:colOff>266700</xdr:colOff>
      <xdr:row>2</xdr:row>
      <xdr:rowOff>152400</xdr:rowOff>
    </xdr:to>
    <xdr:grpSp>
      <xdr:nvGrpSpPr>
        <xdr:cNvPr id="3" name="Group 4"/>
        <xdr:cNvGrpSpPr>
          <a:grpSpLocks/>
        </xdr:cNvGrpSpPr>
      </xdr:nvGrpSpPr>
      <xdr:grpSpPr bwMode="auto">
        <a:xfrm>
          <a:off x="0" y="0"/>
          <a:ext cx="9213850" cy="1924050"/>
          <a:chOff x="9524" y="19051"/>
          <a:chExt cx="8537711" cy="1924049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5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>
            <a:fillRect/>
          </a:stretch>
        </xdr:blipFill>
        <xdr:spPr bwMode="auto">
          <a:xfrm>
            <a:off x="193131" y="276226"/>
            <a:ext cx="3093100" cy="138112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3424608" y="428626"/>
            <a:ext cx="4827268" cy="49530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2023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28575</xdr:rowOff>
    </xdr:from>
    <xdr:to>
      <xdr:col>2</xdr:col>
      <xdr:colOff>1000125</xdr:colOff>
      <xdr:row>10</xdr:row>
      <xdr:rowOff>19050</xdr:rowOff>
    </xdr:to>
    <xdr:grpSp>
      <xdr:nvGrpSpPr>
        <xdr:cNvPr id="2" name="Group 9"/>
        <xdr:cNvGrpSpPr>
          <a:grpSpLocks/>
        </xdr:cNvGrpSpPr>
      </xdr:nvGrpSpPr>
      <xdr:grpSpPr bwMode="auto">
        <a:xfrm>
          <a:off x="28575" y="2492375"/>
          <a:ext cx="3511550" cy="536575"/>
          <a:chOff x="11" y="147"/>
          <a:chExt cx="521" cy="83"/>
        </a:xfrm>
      </xdr:grpSpPr>
      <xdr:sp macro="" textlink="">
        <xdr:nvSpPr>
          <xdr:cNvPr id="3" name="AutoShape 10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1"/>
          <xdr:cNvSpPr txBox="1">
            <a:spLocks noChangeArrowheads="1"/>
          </xdr:cNvSpPr>
        </xdr:nvSpPr>
        <xdr:spPr bwMode="auto">
          <a:xfrm>
            <a:off x="23" y="151"/>
            <a:ext cx="496" cy="7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This is an input sheet for demand allocators.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000"/>
              </a:lnSpc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8</xdr:col>
      <xdr:colOff>142875</xdr:colOff>
      <xdr:row>3</xdr:row>
      <xdr:rowOff>38100</xdr:rowOff>
    </xdr:to>
    <xdr:grpSp>
      <xdr:nvGrpSpPr>
        <xdr:cNvPr id="5" name="Group 6"/>
        <xdr:cNvGrpSpPr>
          <a:grpSpLocks/>
        </xdr:cNvGrpSpPr>
      </xdr:nvGrpSpPr>
      <xdr:grpSpPr bwMode="auto">
        <a:xfrm>
          <a:off x="0" y="0"/>
          <a:ext cx="9236075" cy="1930400"/>
          <a:chOff x="9524" y="19051"/>
          <a:chExt cx="8537711" cy="1924049"/>
        </a:xfrm>
      </xdr:grpSpPr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>
            <a:fillRect/>
          </a:stretch>
        </xdr:blipFill>
        <xdr:spPr bwMode="auto">
          <a:xfrm>
            <a:off x="119688" y="276226"/>
            <a:ext cx="3166543" cy="138112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/>
          <xdr:cNvSpPr/>
        </xdr:nvSpPr>
        <xdr:spPr>
          <a:xfrm>
            <a:off x="3419064" y="428626"/>
            <a:ext cx="4832492" cy="49530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2023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47625</xdr:rowOff>
    </xdr:from>
    <xdr:to>
      <xdr:col>2</xdr:col>
      <xdr:colOff>762000</xdr:colOff>
      <xdr:row>14</xdr:row>
      <xdr:rowOff>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104775" y="3235325"/>
          <a:ext cx="4829175" cy="390525"/>
          <a:chOff x="11" y="147"/>
          <a:chExt cx="521" cy="83"/>
        </a:xfrm>
      </xdr:grpSpPr>
      <xdr:sp macro="" textlink="">
        <xdr:nvSpPr>
          <xdr:cNvPr id="3" name="AutoShape 14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5"/>
          <xdr:cNvSpPr txBox="1">
            <a:spLocks noChangeArrowheads="1"/>
          </xdr:cNvSpPr>
        </xdr:nvSpPr>
        <xdr:spPr bwMode="auto">
          <a:xfrm>
            <a:off x="24" y="151"/>
            <a:ext cx="501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Analysis, and Return on Rate Base</a:t>
            </a:r>
          </a:p>
        </xdr:txBody>
      </xdr:sp>
    </xdr:grpSp>
    <xdr:clientData/>
  </xdr:twoCellAnchor>
  <xdr:twoCellAnchor>
    <xdr:from>
      <xdr:col>0</xdr:col>
      <xdr:colOff>123825</xdr:colOff>
      <xdr:row>6</xdr:row>
      <xdr:rowOff>47625</xdr:rowOff>
    </xdr:from>
    <xdr:to>
      <xdr:col>6</xdr:col>
      <xdr:colOff>790575</xdr:colOff>
      <xdr:row>10</xdr:row>
      <xdr:rowOff>114300</xdr:rowOff>
    </xdr:to>
    <xdr:grpSp>
      <xdr:nvGrpSpPr>
        <xdr:cNvPr id="5" name="Group 33"/>
        <xdr:cNvGrpSpPr>
          <a:grpSpLocks/>
        </xdr:cNvGrpSpPr>
      </xdr:nvGrpSpPr>
      <xdr:grpSpPr bwMode="auto">
        <a:xfrm>
          <a:off x="123825" y="2473325"/>
          <a:ext cx="11264900" cy="676275"/>
          <a:chOff x="11" y="147"/>
          <a:chExt cx="521" cy="83"/>
        </a:xfrm>
      </xdr:grpSpPr>
      <xdr:sp macro="" textlink="">
        <xdr:nvSpPr>
          <xdr:cNvPr id="6" name="AutoShape 34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Text Box 35"/>
          <xdr:cNvSpPr txBox="1">
            <a:spLocks noChangeArrowheads="1"/>
          </xdr:cNvSpPr>
        </xdr:nvSpPr>
        <xdr:spPr bwMode="auto">
          <a:xfrm>
            <a:off x="24" y="151"/>
            <a:ext cx="498" cy="7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Instructions: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Please see the first tab in this workbook for detailed instructions</a:t>
            </a:r>
            <a:endParaRPr lang="en-CA" sz="1000" b="1" i="1" u="none" strike="noStrike" baseline="0">
              <a:solidFill>
                <a:srgbClr val="FF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28575</xdr:colOff>
      <xdr:row>3</xdr:row>
      <xdr:rowOff>57150</xdr:rowOff>
    </xdr:to>
    <xdr:grpSp>
      <xdr:nvGrpSpPr>
        <xdr:cNvPr id="8" name="Group 8"/>
        <xdr:cNvGrpSpPr>
          <a:grpSpLocks/>
        </xdr:cNvGrpSpPr>
      </xdr:nvGrpSpPr>
      <xdr:grpSpPr bwMode="auto">
        <a:xfrm>
          <a:off x="0" y="0"/>
          <a:ext cx="9286875" cy="1917700"/>
          <a:chOff x="9524" y="19051"/>
          <a:chExt cx="8537711" cy="1924049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10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>
            <a:fillRect/>
          </a:stretch>
        </xdr:blipFill>
        <xdr:spPr bwMode="auto">
          <a:xfrm>
            <a:off x="156409" y="276226"/>
            <a:ext cx="3129821" cy="138112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1" name="Rectangle 10"/>
          <xdr:cNvSpPr/>
        </xdr:nvSpPr>
        <xdr:spPr>
          <a:xfrm>
            <a:off x="3420940" y="428626"/>
            <a:ext cx="4832840" cy="49530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2023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47625</xdr:rowOff>
    </xdr:from>
    <xdr:to>
      <xdr:col>2</xdr:col>
      <xdr:colOff>590550</xdr:colOff>
      <xdr:row>9</xdr:row>
      <xdr:rowOff>95250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5250" y="2547938"/>
          <a:ext cx="4527550" cy="460375"/>
          <a:chOff x="11" y="147"/>
          <a:chExt cx="521" cy="83"/>
        </a:xfrm>
      </xdr:grpSpPr>
      <xdr:sp macro="" textlink="">
        <xdr:nvSpPr>
          <xdr:cNvPr id="3" name="AutoShape 9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0"/>
          <xdr:cNvSpPr txBox="1">
            <a:spLocks noChangeArrowheads="1"/>
          </xdr:cNvSpPr>
        </xdr:nvSpPr>
        <xdr:spPr bwMode="auto">
          <a:xfrm>
            <a:off x="24" y="152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Output sheet showing minimum and maximum level for Monthly Fixed Charge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400050</xdr:colOff>
      <xdr:row>2</xdr:row>
      <xdr:rowOff>504825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0"/>
          <a:ext cx="9234488" cy="1909763"/>
          <a:chOff x="9524" y="19051"/>
          <a:chExt cx="8537711" cy="1924049"/>
        </a:xfrm>
      </xdr:grpSpPr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>
            <a:fillRect/>
          </a:stretch>
        </xdr:blipFill>
        <xdr:spPr bwMode="auto">
          <a:xfrm>
            <a:off x="124371" y="276226"/>
            <a:ext cx="3161860" cy="138112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/>
          <xdr:cNvSpPr/>
        </xdr:nvSpPr>
        <xdr:spPr>
          <a:xfrm>
            <a:off x="3422768" y="421091"/>
            <a:ext cx="4830063" cy="497764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2023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Cost%20Allocation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D21">
            <v>246399.44217882439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2"/>
    <pageSetUpPr fitToPage="1"/>
  </sheetPr>
  <dimension ref="A1:AL47"/>
  <sheetViews>
    <sheetView tabSelected="1" zoomScaleNormal="100" workbookViewId="0">
      <selection activeCell="G12" sqref="G12"/>
    </sheetView>
  </sheetViews>
  <sheetFormatPr defaultColWidth="9.1796875" defaultRowHeight="10.5" x14ac:dyDescent="0.25"/>
  <cols>
    <col min="1" max="1" width="32.1796875" style="11" customWidth="1"/>
    <col min="2" max="2" width="18.1796875" style="8" customWidth="1"/>
    <col min="3" max="3" width="17.54296875" style="9" bestFit="1" customWidth="1"/>
    <col min="4" max="14" width="16" style="10" customWidth="1"/>
    <col min="15" max="15" width="17.453125" style="10" customWidth="1"/>
    <col min="16" max="22" width="16" style="10" customWidth="1"/>
    <col min="23" max="28" width="9.1796875" style="10"/>
    <col min="29" max="16384" width="9.1796875" style="11"/>
  </cols>
  <sheetData>
    <row r="1" spans="1:28" s="1" customFormat="1" ht="40.5" customHeight="1" x14ac:dyDescent="0.2">
      <c r="A1" s="439"/>
      <c r="B1" s="439"/>
      <c r="C1" s="439"/>
      <c r="D1" s="439"/>
      <c r="E1" s="439"/>
      <c r="F1" s="439"/>
    </row>
    <row r="2" spans="1:28" s="1" customFormat="1" ht="42.75" customHeight="1" x14ac:dyDescent="0.4">
      <c r="A2" s="440"/>
      <c r="B2" s="440"/>
      <c r="C2" s="440"/>
      <c r="D2" s="440"/>
      <c r="E2" s="440"/>
    </row>
    <row r="3" spans="1:28" s="1" customFormat="1" ht="76.5" customHeight="1" x14ac:dyDescent="0.2"/>
    <row r="4" spans="1:28" s="1" customFormat="1" ht="17.5" x14ac:dyDescent="0.35">
      <c r="A4" s="441" t="s">
        <v>320</v>
      </c>
      <c r="B4" s="441"/>
      <c r="C4" s="441"/>
      <c r="D4" s="441"/>
      <c r="E4" s="441"/>
    </row>
    <row r="5" spans="1:28" s="1" customFormat="1" ht="21" customHeight="1" x14ac:dyDescent="0.4">
      <c r="A5" s="2" t="s">
        <v>321</v>
      </c>
      <c r="B5" s="3"/>
      <c r="C5" s="3"/>
      <c r="D5" s="4"/>
      <c r="E5" s="5"/>
    </row>
    <row r="6" spans="1:28" s="1" customFormat="1" ht="6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8" spans="1:28" ht="2.25" customHeight="1" x14ac:dyDescent="0.25">
      <c r="A8" s="7"/>
      <c r="E8" s="11"/>
      <c r="F8" s="11"/>
      <c r="G8" s="11"/>
      <c r="H8" s="11"/>
    </row>
    <row r="9" spans="1:28" ht="2.25" customHeight="1" thickBot="1" x14ac:dyDescent="0.3">
      <c r="C9" s="12"/>
      <c r="F9" s="11"/>
      <c r="G9" s="11"/>
      <c r="H9" s="11"/>
    </row>
    <row r="10" spans="1:28" ht="21" customHeight="1" thickBot="1" x14ac:dyDescent="0.3">
      <c r="A10" s="13" t="s">
        <v>0</v>
      </c>
      <c r="B10" s="14">
        <v>33807060750.949604</v>
      </c>
      <c r="E10" s="15"/>
      <c r="F10" s="11"/>
      <c r="G10" s="11"/>
      <c r="H10" s="11"/>
    </row>
    <row r="11" spans="1:28" ht="11.25" customHeight="1" x14ac:dyDescent="0.2">
      <c r="A11" s="16"/>
      <c r="B11" s="17"/>
      <c r="E11" s="18"/>
      <c r="F11" s="11"/>
      <c r="G11" s="11"/>
      <c r="H11" s="11"/>
    </row>
    <row r="12" spans="1:28" ht="13.5" thickBot="1" x14ac:dyDescent="0.25">
      <c r="A12" s="19"/>
      <c r="B12" s="17"/>
      <c r="E12" s="20"/>
    </row>
    <row r="13" spans="1:28" ht="20.25" customHeight="1" thickBot="1" x14ac:dyDescent="0.3">
      <c r="A13" s="13" t="s">
        <v>1</v>
      </c>
      <c r="B13" s="14">
        <v>41229661.177936062</v>
      </c>
      <c r="E13" s="15"/>
      <c r="AA13" s="11"/>
      <c r="AB13" s="11"/>
    </row>
    <row r="14" spans="1:28" ht="13.5" customHeight="1" x14ac:dyDescent="0.2">
      <c r="A14" s="16"/>
      <c r="B14" s="17"/>
      <c r="E14" s="18"/>
      <c r="F14" s="11"/>
      <c r="G14" s="11"/>
      <c r="AA14" s="11"/>
      <c r="AB14" s="11"/>
    </row>
    <row r="15" spans="1:28" ht="13.5" customHeight="1" thickBot="1" x14ac:dyDescent="0.25">
      <c r="A15" s="19"/>
      <c r="B15" s="10"/>
      <c r="E15" s="20"/>
      <c r="AA15" s="11"/>
      <c r="AB15" s="11"/>
    </row>
    <row r="16" spans="1:28" ht="29.25" customHeight="1" thickBot="1" x14ac:dyDescent="0.3">
      <c r="A16" s="21" t="s">
        <v>2</v>
      </c>
      <c r="B16" s="22">
        <v>79704413.651297569</v>
      </c>
      <c r="E16" s="15"/>
      <c r="AA16" s="11"/>
      <c r="AB16" s="11"/>
    </row>
    <row r="17" spans="1:38" ht="13.5" customHeight="1" x14ac:dyDescent="0.2">
      <c r="A17" s="16"/>
      <c r="B17" s="17"/>
      <c r="E17" s="18"/>
      <c r="F17" s="11"/>
      <c r="G17" s="11"/>
      <c r="AA17" s="11"/>
      <c r="AB17" s="11"/>
    </row>
    <row r="18" spans="1:38" ht="13.5" customHeight="1" thickBot="1" x14ac:dyDescent="0.25">
      <c r="A18" s="19"/>
      <c r="B18" s="17"/>
      <c r="E18" s="20"/>
      <c r="AA18" s="11"/>
      <c r="AB18" s="11"/>
    </row>
    <row r="19" spans="1:38" ht="30" customHeight="1" thickBot="1" x14ac:dyDescent="0.3">
      <c r="A19" s="21" t="s">
        <v>3</v>
      </c>
      <c r="B19" s="22">
        <v>46419183.495439753</v>
      </c>
      <c r="E19" s="15"/>
      <c r="AA19" s="11"/>
      <c r="AB19" s="11"/>
    </row>
    <row r="20" spans="1:38" ht="20.25" customHeight="1" x14ac:dyDescent="0.2">
      <c r="A20" s="19"/>
      <c r="B20" s="23"/>
      <c r="E20" s="11"/>
      <c r="AA20" s="11"/>
      <c r="AB20" s="11"/>
    </row>
    <row r="21" spans="1:38" s="24" customFormat="1" ht="13" x14ac:dyDescent="0.3">
      <c r="B21" s="25"/>
      <c r="D21" s="26">
        <v>1</v>
      </c>
      <c r="E21" s="26">
        <v>2</v>
      </c>
      <c r="F21" s="26">
        <v>3</v>
      </c>
      <c r="G21" s="26">
        <v>4</v>
      </c>
      <c r="H21" s="26">
        <v>5</v>
      </c>
      <c r="I21" s="26">
        <v>6</v>
      </c>
      <c r="J21" s="26">
        <v>7</v>
      </c>
      <c r="K21" s="26">
        <v>8</v>
      </c>
      <c r="L21" s="26">
        <v>9</v>
      </c>
      <c r="M21" s="26">
        <v>10</v>
      </c>
      <c r="N21" s="26">
        <v>11</v>
      </c>
      <c r="O21" s="26">
        <v>12</v>
      </c>
      <c r="P21" s="26">
        <v>13</v>
      </c>
      <c r="Q21" s="26">
        <v>14</v>
      </c>
      <c r="R21" s="26">
        <v>15</v>
      </c>
      <c r="S21" s="26">
        <v>16</v>
      </c>
      <c r="T21" s="26">
        <v>17</v>
      </c>
      <c r="U21" s="26">
        <v>18</v>
      </c>
      <c r="V21" s="27"/>
    </row>
    <row r="22" spans="1:38" s="28" customFormat="1" ht="45" customHeight="1" x14ac:dyDescent="0.25">
      <c r="B22" s="29" t="s">
        <v>4</v>
      </c>
      <c r="C22" s="30" t="s">
        <v>5</v>
      </c>
      <c r="D22" s="31" t="s">
        <v>24</v>
      </c>
      <c r="E22" s="31" t="s">
        <v>62</v>
      </c>
      <c r="F22" s="31" t="s">
        <v>64</v>
      </c>
      <c r="G22" s="31" t="s">
        <v>322</v>
      </c>
      <c r="H22" s="31" t="s">
        <v>323</v>
      </c>
      <c r="I22" s="31" t="s">
        <v>324</v>
      </c>
      <c r="J22" s="31" t="s">
        <v>325</v>
      </c>
      <c r="K22" s="31" t="s">
        <v>326</v>
      </c>
      <c r="L22" s="31" t="s">
        <v>327</v>
      </c>
      <c r="M22" s="31" t="s">
        <v>328</v>
      </c>
      <c r="N22" s="31" t="s">
        <v>329</v>
      </c>
      <c r="O22" s="32" t="s">
        <v>330</v>
      </c>
      <c r="P22" s="33" t="s">
        <v>65</v>
      </c>
      <c r="Q22" s="31" t="s">
        <v>331</v>
      </c>
      <c r="R22" s="31" t="s">
        <v>332</v>
      </c>
      <c r="S22" s="31" t="s">
        <v>66</v>
      </c>
      <c r="T22" s="31" t="s">
        <v>333</v>
      </c>
      <c r="U22" s="31" t="s">
        <v>334</v>
      </c>
      <c r="V22" s="34"/>
      <c r="W22" s="34"/>
      <c r="X22" s="34"/>
      <c r="Y22" s="34"/>
      <c r="Z22" s="34"/>
      <c r="AA22" s="34"/>
      <c r="AB22" s="34"/>
    </row>
    <row r="23" spans="1:38" ht="9.75" customHeight="1" x14ac:dyDescent="0.2">
      <c r="A23" s="442" t="s">
        <v>6</v>
      </c>
      <c r="B23" s="444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6"/>
      <c r="P23" s="445"/>
      <c r="Q23" s="445"/>
      <c r="R23" s="445"/>
      <c r="S23" s="445"/>
      <c r="T23" s="445"/>
      <c r="U23" s="445"/>
    </row>
    <row r="24" spans="1:38" ht="10" x14ac:dyDescent="0.2">
      <c r="A24" s="443"/>
      <c r="B24" s="447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</row>
    <row r="25" spans="1:38" ht="24" customHeight="1" x14ac:dyDescent="0.3">
      <c r="A25" s="35" t="s">
        <v>7</v>
      </c>
      <c r="B25" s="36" t="s">
        <v>8</v>
      </c>
      <c r="C25" s="37">
        <f>IF(ROUND(SUM(D25:U25),0)=ROUND(B10,0),SUM(D25:U25),"Error")</f>
        <v>33807060750.949604</v>
      </c>
      <c r="D25" s="38">
        <v>2041267573.2377341</v>
      </c>
      <c r="E25" s="38">
        <v>5124449212.330574</v>
      </c>
      <c r="F25" s="38">
        <v>4867286070.8326902</v>
      </c>
      <c r="G25" s="38">
        <v>2010934972.7918003</v>
      </c>
      <c r="H25" s="38">
        <v>2201214672.244875</v>
      </c>
      <c r="I25" s="38">
        <v>551684971.95534015</v>
      </c>
      <c r="J25" s="38">
        <v>890838741.60231829</v>
      </c>
      <c r="K25" s="38">
        <v>84012530.66655685</v>
      </c>
      <c r="L25" s="38">
        <v>11474983.252941515</v>
      </c>
      <c r="M25" s="38">
        <v>32893272.095852658</v>
      </c>
      <c r="N25" s="38">
        <v>30536218.275771469</v>
      </c>
      <c r="O25" s="38">
        <v>14998001695.896139</v>
      </c>
      <c r="P25" s="38">
        <v>118127033.16183612</v>
      </c>
      <c r="Q25" s="38">
        <v>40925459.816640347</v>
      </c>
      <c r="R25" s="38">
        <v>118498174.52721041</v>
      </c>
      <c r="S25" s="38">
        <v>336111906.71828586</v>
      </c>
      <c r="T25" s="38">
        <v>117355730.68971547</v>
      </c>
      <c r="U25" s="38">
        <v>231447530.85332602</v>
      </c>
      <c r="V25" s="39"/>
      <c r="W25" s="39"/>
      <c r="X25" s="39"/>
      <c r="Y25" s="39"/>
      <c r="Z25" s="39"/>
      <c r="AA25" s="39"/>
      <c r="AB25" s="39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38" ht="24.75" customHeight="1" x14ac:dyDescent="0.3">
      <c r="A26" s="35" t="s">
        <v>9</v>
      </c>
      <c r="B26" s="41" t="s">
        <v>10</v>
      </c>
      <c r="C26" s="37">
        <f>IF(ROUND(SUM(D26:U26),0)=ROUND(B13,0),SUM(D26:U26),"Error")</f>
        <v>41229661.177936062</v>
      </c>
      <c r="D26" s="38">
        <v>0</v>
      </c>
      <c r="E26" s="38">
        <v>0</v>
      </c>
      <c r="F26" s="38">
        <v>0</v>
      </c>
      <c r="G26" s="38">
        <v>0</v>
      </c>
      <c r="H26" s="38">
        <v>7055234.0324765751</v>
      </c>
      <c r="I26" s="38">
        <v>0</v>
      </c>
      <c r="J26" s="38">
        <v>2323293.5358517054</v>
      </c>
      <c r="K26" s="38">
        <v>0</v>
      </c>
      <c r="L26" s="38">
        <v>0</v>
      </c>
      <c r="M26" s="38">
        <v>0</v>
      </c>
      <c r="N26" s="38">
        <v>212159.15855613395</v>
      </c>
      <c r="O26" s="38">
        <v>30658244.419979587</v>
      </c>
      <c r="P26" s="38">
        <v>0</v>
      </c>
      <c r="Q26" s="38">
        <v>0</v>
      </c>
      <c r="R26" s="38">
        <v>334038.70333743596</v>
      </c>
      <c r="S26" s="38">
        <v>0</v>
      </c>
      <c r="T26" s="38">
        <v>0</v>
      </c>
      <c r="U26" s="38">
        <v>646691.32773462601</v>
      </c>
      <c r="V26" s="39"/>
      <c r="W26" s="39"/>
      <c r="X26" s="39"/>
      <c r="Y26" s="39"/>
      <c r="Z26" s="39"/>
      <c r="AA26" s="39"/>
      <c r="AB26" s="39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38" ht="37.5" x14ac:dyDescent="0.3">
      <c r="A27" s="42" t="s">
        <v>11</v>
      </c>
      <c r="B27" s="41"/>
      <c r="C27" s="43">
        <f>+SUM(D27:U27)</f>
        <v>2274568.6596740889</v>
      </c>
      <c r="D27" s="38">
        <v>0</v>
      </c>
      <c r="E27" s="38">
        <v>0</v>
      </c>
      <c r="F27" s="38">
        <v>0</v>
      </c>
      <c r="G27" s="38">
        <v>0</v>
      </c>
      <c r="H27" s="38">
        <v>1143545.4153690713</v>
      </c>
      <c r="I27" s="38">
        <v>0</v>
      </c>
      <c r="J27" s="38">
        <v>508388.24260430777</v>
      </c>
      <c r="K27" s="38">
        <v>0</v>
      </c>
      <c r="L27" s="38">
        <v>0</v>
      </c>
      <c r="M27" s="38">
        <v>0</v>
      </c>
      <c r="N27" s="38">
        <v>173155.54171916671</v>
      </c>
      <c r="O27" s="38">
        <v>0</v>
      </c>
      <c r="P27" s="38">
        <v>0</v>
      </c>
      <c r="Q27" s="38">
        <v>0</v>
      </c>
      <c r="R27" s="38">
        <v>175742.3532599757</v>
      </c>
      <c r="S27" s="38">
        <v>0</v>
      </c>
      <c r="T27" s="38">
        <v>0</v>
      </c>
      <c r="U27" s="38">
        <v>273737.10672156705</v>
      </c>
      <c r="V27" s="39"/>
      <c r="W27" s="39"/>
      <c r="X27" s="39"/>
      <c r="Y27" s="39"/>
      <c r="Z27" s="39"/>
      <c r="AA27" s="39"/>
      <c r="AB27" s="39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38" ht="62.5" x14ac:dyDescent="0.3">
      <c r="A28" s="42" t="s">
        <v>12</v>
      </c>
      <c r="B28" s="41"/>
      <c r="C28" s="43">
        <f>+SUM(D28:U28)</f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9"/>
      <c r="W28" s="39"/>
      <c r="X28" s="39"/>
      <c r="Y28" s="39"/>
      <c r="Z28" s="39"/>
      <c r="AA28" s="39"/>
      <c r="AB28" s="39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38" ht="25" x14ac:dyDescent="0.3">
      <c r="A29" s="42" t="s">
        <v>13</v>
      </c>
      <c r="B29" s="41" t="s">
        <v>14</v>
      </c>
      <c r="C29" s="43">
        <f>+SUM(D29:U29)</f>
        <v>24199891871.892475</v>
      </c>
      <c r="D29" s="38">
        <v>2041267573.2377341</v>
      </c>
      <c r="E29" s="38">
        <v>5124449212.330574</v>
      </c>
      <c r="F29" s="38">
        <v>4867286070.8326902</v>
      </c>
      <c r="G29" s="38">
        <v>2010934972.7918003</v>
      </c>
      <c r="H29" s="38">
        <v>2193744610.9329772</v>
      </c>
      <c r="I29" s="38">
        <v>551684971.95534015</v>
      </c>
      <c r="J29" s="38">
        <v>888602733.93209016</v>
      </c>
      <c r="K29" s="38">
        <v>84012530.66655685</v>
      </c>
      <c r="L29" s="38">
        <v>11474983.252941515</v>
      </c>
      <c r="M29" s="38">
        <v>32893272.095852658</v>
      </c>
      <c r="N29" s="38">
        <v>30414893.08878497</v>
      </c>
      <c r="O29" s="38">
        <v>5408389925.0597858</v>
      </c>
      <c r="P29" s="38">
        <v>118127033.16183612</v>
      </c>
      <c r="Q29" s="38">
        <v>40925459.816640347</v>
      </c>
      <c r="R29" s="38">
        <v>115975284.19239961</v>
      </c>
      <c r="S29" s="38">
        <v>336111906.71828586</v>
      </c>
      <c r="T29" s="38">
        <v>117355730.68971547</v>
      </c>
      <c r="U29" s="38">
        <v>226240707.1364792</v>
      </c>
      <c r="V29" s="39"/>
      <c r="W29" s="39"/>
      <c r="X29" s="39"/>
      <c r="Y29" s="39"/>
      <c r="Z29" s="39"/>
      <c r="AA29" s="39"/>
      <c r="AB29" s="39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38" s="50" customFormat="1" ht="6" customHeight="1" x14ac:dyDescent="0.3">
      <c r="A30" s="4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8"/>
      <c r="W30" s="48"/>
      <c r="X30" s="48"/>
      <c r="Y30" s="48"/>
      <c r="Z30" s="48"/>
      <c r="AA30" s="48"/>
      <c r="AB30" s="48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s="50" customFormat="1" ht="15.75" customHeight="1" x14ac:dyDescent="0.3">
      <c r="A31" s="42"/>
      <c r="B31" s="41"/>
      <c r="C31" s="43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48"/>
      <c r="W31" s="48"/>
      <c r="X31" s="48"/>
      <c r="Y31" s="48"/>
      <c r="Z31" s="48"/>
      <c r="AA31" s="48"/>
      <c r="AB31" s="48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ht="6" customHeight="1" x14ac:dyDescent="0.3">
      <c r="A32" s="52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7"/>
      <c r="T32" s="47"/>
      <c r="U32" s="47"/>
      <c r="V32" s="39"/>
      <c r="W32" s="39"/>
      <c r="X32" s="39"/>
      <c r="Y32" s="39"/>
      <c r="Z32" s="39"/>
      <c r="AA32" s="39"/>
      <c r="AB32" s="39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s="58" customFormat="1" ht="13" x14ac:dyDescent="0.3">
      <c r="A33" s="53" t="s">
        <v>15</v>
      </c>
      <c r="B33" s="54"/>
      <c r="C33" s="55"/>
      <c r="D33" s="56">
        <v>37.68</v>
      </c>
      <c r="E33" s="56">
        <v>55.79</v>
      </c>
      <c r="F33" s="56">
        <v>114.12</v>
      </c>
      <c r="G33" s="56">
        <v>33.799999999999997</v>
      </c>
      <c r="H33" s="56">
        <v>112.58</v>
      </c>
      <c r="I33" s="56">
        <v>26.69</v>
      </c>
      <c r="J33" s="56">
        <v>103.78</v>
      </c>
      <c r="K33" s="56">
        <v>11.04</v>
      </c>
      <c r="L33" s="56">
        <v>3.18</v>
      </c>
      <c r="M33" s="56">
        <v>38.94</v>
      </c>
      <c r="N33" s="56">
        <v>202.25</v>
      </c>
      <c r="O33" s="56">
        <v>1164.5</v>
      </c>
      <c r="P33" s="56">
        <v>31.08</v>
      </c>
      <c r="Q33" s="56">
        <v>26.08</v>
      </c>
      <c r="R33" s="56">
        <v>144.9</v>
      </c>
      <c r="S33" s="56">
        <v>37.75</v>
      </c>
      <c r="T33" s="56">
        <v>39.54</v>
      </c>
      <c r="U33" s="56">
        <v>168.45</v>
      </c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</row>
    <row r="34" spans="1:38" s="58" customFormat="1" ht="13" x14ac:dyDescent="0.3">
      <c r="A34" s="53" t="s">
        <v>16</v>
      </c>
      <c r="B34" s="54"/>
      <c r="C34" s="55"/>
      <c r="D34" s="59">
        <v>0</v>
      </c>
      <c r="E34" s="59">
        <v>1.0999999999999999E-2</v>
      </c>
      <c r="F34" s="59">
        <v>1.7000000000000001E-2</v>
      </c>
      <c r="G34" s="59">
        <v>6.7299999999999999E-2</v>
      </c>
      <c r="H34" s="59"/>
      <c r="I34" s="59">
        <v>3.2099999999999997E-2</v>
      </c>
      <c r="J34" s="59"/>
      <c r="K34" s="59">
        <v>0.1055</v>
      </c>
      <c r="L34" s="59">
        <v>0.16719999999999999</v>
      </c>
      <c r="M34" s="59">
        <v>2.58E-2</v>
      </c>
      <c r="N34" s="59"/>
      <c r="O34" s="59"/>
      <c r="P34" s="59">
        <v>0</v>
      </c>
      <c r="Q34" s="59">
        <v>1.5100000000000001E-2</v>
      </c>
      <c r="R34" s="59"/>
      <c r="S34" s="59">
        <v>0</v>
      </c>
      <c r="T34" s="59">
        <v>1.7999999999999999E-2</v>
      </c>
      <c r="U34" s="59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58" customFormat="1" ht="13" x14ac:dyDescent="0.3">
      <c r="A35" s="53" t="s">
        <v>17</v>
      </c>
      <c r="B35" s="54"/>
      <c r="C35" s="55"/>
      <c r="D35" s="60"/>
      <c r="E35" s="61"/>
      <c r="F35" s="61"/>
      <c r="G35" s="61"/>
      <c r="H35" s="59">
        <v>19.124099999999999</v>
      </c>
      <c r="I35" s="61"/>
      <c r="J35" s="59">
        <v>11.000500000000001</v>
      </c>
      <c r="K35" s="61"/>
      <c r="L35" s="61"/>
      <c r="M35" s="61"/>
      <c r="N35" s="59">
        <v>10.4335</v>
      </c>
      <c r="O35" s="59">
        <v>1.6498999999999999</v>
      </c>
      <c r="P35" s="61"/>
      <c r="Q35" s="61"/>
      <c r="R35" s="59">
        <v>2.2332000000000001</v>
      </c>
      <c r="S35" s="61"/>
      <c r="T35" s="61"/>
      <c r="U35" s="59">
        <v>3.8289</v>
      </c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</row>
    <row r="36" spans="1:38" s="58" customFormat="1" ht="13" x14ac:dyDescent="0.3">
      <c r="A36" s="53" t="s">
        <v>18</v>
      </c>
      <c r="B36" s="62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</row>
    <row r="37" spans="1:38" s="58" customFormat="1" ht="13" x14ac:dyDescent="0.3">
      <c r="A37" s="53" t="s">
        <v>19</v>
      </c>
      <c r="B37" s="54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</row>
    <row r="38" spans="1:38" ht="6" customHeight="1" x14ac:dyDescent="0.3">
      <c r="A38" s="52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/>
      <c r="S38" s="47"/>
      <c r="T38" s="47"/>
      <c r="U38" s="47"/>
      <c r="V38" s="39"/>
      <c r="W38" s="39"/>
      <c r="X38" s="39"/>
      <c r="Y38" s="39"/>
      <c r="Z38" s="39"/>
      <c r="AA38" s="39"/>
      <c r="AB38" s="39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s="58" customFormat="1" ht="13" x14ac:dyDescent="0.3">
      <c r="A39" s="53" t="s">
        <v>20</v>
      </c>
      <c r="B39" s="54"/>
      <c r="C39" s="55">
        <f>SUM(D39:U39)</f>
        <v>1665661703.5202253</v>
      </c>
      <c r="D39" s="63">
        <v>111411971.77557725</v>
      </c>
      <c r="E39" s="63">
        <v>421222732.24718231</v>
      </c>
      <c r="F39" s="63">
        <v>650481900.10767841</v>
      </c>
      <c r="G39" s="63">
        <v>171351141.81424558</v>
      </c>
      <c r="H39" s="63">
        <v>142142637.73477501</v>
      </c>
      <c r="I39" s="63">
        <v>23612494.58175981</v>
      </c>
      <c r="J39" s="63">
        <v>27728011.157537896</v>
      </c>
      <c r="K39" s="64">
        <v>9591155.1408041641</v>
      </c>
      <c r="L39" s="63">
        <v>2659281.3751204461</v>
      </c>
      <c r="M39" s="63">
        <v>3536636.1294668103</v>
      </c>
      <c r="N39" s="63">
        <v>5828157.9107498452</v>
      </c>
      <c r="O39" s="63">
        <v>63299377.468524322</v>
      </c>
      <c r="P39" s="63">
        <v>5772002.2073849197</v>
      </c>
      <c r="Q39" s="63">
        <v>1049890.7421351676</v>
      </c>
      <c r="R39" s="63">
        <v>1106428.472293162</v>
      </c>
      <c r="S39" s="63">
        <v>17662891.474306233</v>
      </c>
      <c r="T39" s="63">
        <v>4116063.8468360715</v>
      </c>
      <c r="U39" s="63">
        <v>3088929.3338477653</v>
      </c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s="58" customFormat="1" ht="13" x14ac:dyDescent="0.3">
      <c r="A40" s="53" t="s">
        <v>21</v>
      </c>
      <c r="B40" s="54"/>
      <c r="C40" s="55">
        <f>+SUM(D40:U40)</f>
        <v>0</v>
      </c>
      <c r="D40" s="63">
        <f t="shared" ref="D40:P40" si="0">D27*D36</f>
        <v>0</v>
      </c>
      <c r="E40" s="63">
        <f t="shared" si="0"/>
        <v>0</v>
      </c>
      <c r="F40" s="63">
        <f t="shared" si="0"/>
        <v>0</v>
      </c>
      <c r="G40" s="63">
        <f t="shared" si="0"/>
        <v>0</v>
      </c>
      <c r="H40" s="63">
        <f t="shared" si="0"/>
        <v>0</v>
      </c>
      <c r="I40" s="63">
        <f t="shared" si="0"/>
        <v>0</v>
      </c>
      <c r="J40" s="63">
        <f t="shared" si="0"/>
        <v>0</v>
      </c>
      <c r="K40" s="63">
        <f t="shared" si="0"/>
        <v>0</v>
      </c>
      <c r="L40" s="63">
        <f t="shared" si="0"/>
        <v>0</v>
      </c>
      <c r="M40" s="63">
        <f t="shared" si="0"/>
        <v>0</v>
      </c>
      <c r="N40" s="63">
        <f t="shared" si="0"/>
        <v>0</v>
      </c>
      <c r="O40" s="63">
        <f t="shared" si="0"/>
        <v>0</v>
      </c>
      <c r="P40" s="63">
        <f t="shared" si="0"/>
        <v>0</v>
      </c>
      <c r="Q40" s="63">
        <f>Q27*Q36</f>
        <v>0</v>
      </c>
      <c r="R40" s="63">
        <f>R27*R36</f>
        <v>0</v>
      </c>
      <c r="S40" s="63">
        <f>S27*S36</f>
        <v>0</v>
      </c>
      <c r="T40" s="63">
        <f>T27*T36</f>
        <v>0</v>
      </c>
      <c r="U40" s="63">
        <f>U27*U36</f>
        <v>0</v>
      </c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58" customFormat="1" ht="13" x14ac:dyDescent="0.3">
      <c r="A41" s="53" t="s">
        <v>22</v>
      </c>
      <c r="B41" s="54" t="s">
        <v>23</v>
      </c>
      <c r="C41" s="55">
        <f>+SUM(D41:U41)</f>
        <v>1665661703.5202253</v>
      </c>
      <c r="D41" s="63">
        <f>D39-D40</f>
        <v>111411971.77557725</v>
      </c>
      <c r="E41" s="63">
        <f t="shared" ref="E41:P41" si="1">E39-E40</f>
        <v>421222732.24718231</v>
      </c>
      <c r="F41" s="63">
        <f t="shared" si="1"/>
        <v>650481900.10767841</v>
      </c>
      <c r="G41" s="63">
        <f t="shared" si="1"/>
        <v>171351141.81424558</v>
      </c>
      <c r="H41" s="63">
        <f t="shared" si="1"/>
        <v>142142637.73477501</v>
      </c>
      <c r="I41" s="63">
        <f t="shared" si="1"/>
        <v>23612494.58175981</v>
      </c>
      <c r="J41" s="63">
        <f t="shared" si="1"/>
        <v>27728011.157537896</v>
      </c>
      <c r="K41" s="63">
        <f t="shared" si="1"/>
        <v>9591155.1408041641</v>
      </c>
      <c r="L41" s="63">
        <f t="shared" si="1"/>
        <v>2659281.3751204461</v>
      </c>
      <c r="M41" s="63">
        <f t="shared" si="1"/>
        <v>3536636.1294668103</v>
      </c>
      <c r="N41" s="63">
        <f t="shared" si="1"/>
        <v>5828157.9107498452</v>
      </c>
      <c r="O41" s="63">
        <f t="shared" si="1"/>
        <v>63299377.468524322</v>
      </c>
      <c r="P41" s="63">
        <f t="shared" si="1"/>
        <v>5772002.2073849197</v>
      </c>
      <c r="Q41" s="63">
        <f>Q39-Q40</f>
        <v>1049890.7421351676</v>
      </c>
      <c r="R41" s="63">
        <f>R39-R40</f>
        <v>1106428.472293162</v>
      </c>
      <c r="S41" s="63">
        <f>S39-S40</f>
        <v>17662891.474306233</v>
      </c>
      <c r="T41" s="63">
        <f>T39-T40</f>
        <v>4116063.8468360715</v>
      </c>
      <c r="U41" s="63">
        <f>U39-U40</f>
        <v>3088929.3338477653</v>
      </c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ht="6" customHeight="1" x14ac:dyDescent="0.3">
      <c r="A42" s="52"/>
      <c r="B42" s="45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39"/>
      <c r="W42" s="39"/>
      <c r="X42" s="39"/>
      <c r="Y42" s="39"/>
      <c r="Z42" s="39"/>
      <c r="AA42" s="39"/>
      <c r="AB42" s="39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s="70" customFormat="1" ht="13" x14ac:dyDescent="0.3">
      <c r="A43" s="65"/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8"/>
      <c r="W43" s="68"/>
      <c r="X43" s="68"/>
      <c r="Y43" s="68"/>
      <c r="Z43" s="68"/>
      <c r="AA43" s="68"/>
      <c r="AB43" s="68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70" customFormat="1" ht="13" x14ac:dyDescent="0.3">
      <c r="A44" s="65"/>
      <c r="B44" s="66"/>
      <c r="C44" s="71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8"/>
      <c r="W44" s="68"/>
      <c r="X44" s="68"/>
      <c r="Y44" s="68"/>
      <c r="Z44" s="68"/>
      <c r="AA44" s="68"/>
      <c r="AB44" s="68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ht="12.5" x14ac:dyDescent="0.25">
      <c r="A45" s="72"/>
      <c r="C45" s="12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ht="12.5" x14ac:dyDescent="0.25">
      <c r="A46" s="72"/>
      <c r="C46" s="1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ht="12.5" x14ac:dyDescent="0.25">
      <c r="A47" s="40"/>
      <c r="C47" s="12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0"/>
    </row>
  </sheetData>
  <mergeCells count="5">
    <mergeCell ref="A1:F1"/>
    <mergeCell ref="A2:E2"/>
    <mergeCell ref="A4:E4"/>
    <mergeCell ref="A23:A24"/>
    <mergeCell ref="B23:U24"/>
  </mergeCells>
  <pageMargins left="0.39370078740157483" right="0.39370078740157483" top="0.74803149606299213" bottom="0.74803149606299213" header="0.31496062992125984" footer="0.31496062992125984"/>
  <pageSetup scale="35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42"/>
    <pageSetUpPr fitToPage="1"/>
  </sheetPr>
  <dimension ref="A1:AL53"/>
  <sheetViews>
    <sheetView zoomScaleNormal="100" workbookViewId="0">
      <selection activeCell="J2" sqref="J2"/>
    </sheetView>
  </sheetViews>
  <sheetFormatPr defaultColWidth="9.1796875" defaultRowHeight="10.5" x14ac:dyDescent="0.25"/>
  <cols>
    <col min="1" max="1" width="32.1796875" style="11" customWidth="1"/>
    <col min="2" max="2" width="18.1796875" style="8" customWidth="1"/>
    <col min="3" max="3" width="15.54296875" style="9" customWidth="1"/>
    <col min="4" max="14" width="15.54296875" style="10" customWidth="1"/>
    <col min="15" max="15" width="18.54296875" style="10" customWidth="1"/>
    <col min="16" max="21" width="15.54296875" style="10" customWidth="1"/>
    <col min="22" max="28" width="9.1796875" style="10"/>
    <col min="29" max="16384" width="9.1796875" style="11"/>
  </cols>
  <sheetData>
    <row r="1" spans="1:38" s="1" customFormat="1" ht="73.5" customHeight="1" x14ac:dyDescent="0.2">
      <c r="A1" s="439"/>
      <c r="B1" s="439"/>
      <c r="C1" s="439"/>
      <c r="D1" s="439"/>
      <c r="E1" s="439"/>
      <c r="F1" s="439"/>
    </row>
    <row r="2" spans="1:38" s="1" customFormat="1" ht="66" customHeight="1" x14ac:dyDescent="0.4">
      <c r="A2" s="440"/>
      <c r="B2" s="440"/>
      <c r="C2" s="440"/>
      <c r="D2" s="440"/>
      <c r="E2" s="440"/>
    </row>
    <row r="3" spans="1:38" s="1" customFormat="1" ht="27.75" customHeight="1" x14ac:dyDescent="0.2"/>
    <row r="4" spans="1:38" s="1" customFormat="1" ht="24" customHeight="1" x14ac:dyDescent="0.35">
      <c r="A4" s="441" t="s">
        <v>320</v>
      </c>
      <c r="B4" s="441"/>
      <c r="C4" s="441"/>
      <c r="D4" s="441"/>
      <c r="E4" s="441"/>
    </row>
    <row r="5" spans="1:38" s="1" customFormat="1" ht="21" customHeight="1" x14ac:dyDescent="0.4">
      <c r="A5" s="2" t="s">
        <v>335</v>
      </c>
      <c r="B5" s="3"/>
      <c r="C5" s="3"/>
      <c r="D5" s="4"/>
      <c r="E5" s="5"/>
    </row>
    <row r="6" spans="1:38" s="1" customFormat="1" ht="6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8" spans="1:38" ht="27.75" hidden="1" customHeight="1" x14ac:dyDescent="0.25">
      <c r="A8" s="7"/>
      <c r="E8" s="11"/>
      <c r="F8" s="11"/>
      <c r="G8" s="11"/>
      <c r="H8" s="11"/>
    </row>
    <row r="9" spans="1:38" ht="24" hidden="1" customHeight="1" x14ac:dyDescent="0.25">
      <c r="C9" s="12"/>
      <c r="F9" s="11"/>
      <c r="G9" s="11"/>
      <c r="H9" s="11"/>
    </row>
    <row r="10" spans="1:38" s="24" customFormat="1" ht="13" x14ac:dyDescent="0.3">
      <c r="B10" s="25"/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>
        <v>6</v>
      </c>
      <c r="J10" s="26">
        <v>7</v>
      </c>
      <c r="K10" s="26">
        <v>8</v>
      </c>
      <c r="L10" s="26">
        <v>9</v>
      </c>
      <c r="M10" s="26">
        <v>10</v>
      </c>
      <c r="N10" s="26">
        <v>11</v>
      </c>
      <c r="O10" s="26">
        <v>12</v>
      </c>
      <c r="P10" s="26">
        <v>13</v>
      </c>
      <c r="Q10" s="26">
        <v>14</v>
      </c>
      <c r="R10" s="26">
        <v>15</v>
      </c>
      <c r="S10" s="26">
        <v>16</v>
      </c>
      <c r="T10" s="26">
        <v>17</v>
      </c>
      <c r="U10" s="26">
        <v>18</v>
      </c>
      <c r="V10" s="27"/>
    </row>
    <row r="11" spans="1:38" s="28" customFormat="1" ht="45" customHeight="1" x14ac:dyDescent="0.25">
      <c r="B11" s="29" t="s">
        <v>4</v>
      </c>
      <c r="C11" s="30" t="s">
        <v>5</v>
      </c>
      <c r="D11" s="31" t="s">
        <v>24</v>
      </c>
      <c r="E11" s="31" t="s">
        <v>62</v>
      </c>
      <c r="F11" s="31" t="s">
        <v>64</v>
      </c>
      <c r="G11" s="31" t="s">
        <v>322</v>
      </c>
      <c r="H11" s="31" t="s">
        <v>323</v>
      </c>
      <c r="I11" s="31" t="s">
        <v>324</v>
      </c>
      <c r="J11" s="31" t="s">
        <v>325</v>
      </c>
      <c r="K11" s="31" t="s">
        <v>326</v>
      </c>
      <c r="L11" s="31" t="s">
        <v>327</v>
      </c>
      <c r="M11" s="31" t="s">
        <v>328</v>
      </c>
      <c r="N11" s="31" t="s">
        <v>329</v>
      </c>
      <c r="O11" s="32" t="s">
        <v>330</v>
      </c>
      <c r="P11" s="31" t="s">
        <v>65</v>
      </c>
      <c r="Q11" s="31" t="s">
        <v>331</v>
      </c>
      <c r="R11" s="31" t="s">
        <v>332</v>
      </c>
      <c r="S11" s="31" t="s">
        <v>66</v>
      </c>
      <c r="T11" s="31" t="s">
        <v>333</v>
      </c>
      <c r="U11" s="32" t="s">
        <v>334</v>
      </c>
      <c r="V11" s="34"/>
      <c r="W11" s="34"/>
      <c r="X11" s="34"/>
      <c r="Y11" s="34"/>
      <c r="Z11" s="34"/>
      <c r="AA11" s="34"/>
      <c r="AB11" s="34"/>
    </row>
    <row r="12" spans="1:38" ht="9.75" customHeight="1" x14ac:dyDescent="0.2">
      <c r="A12" s="442" t="s">
        <v>6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</row>
    <row r="13" spans="1:38" ht="6" customHeight="1" x14ac:dyDescent="0.2">
      <c r="A13" s="443"/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</row>
    <row r="14" spans="1:38" s="58" customFormat="1" ht="13" x14ac:dyDescent="0.3">
      <c r="A14" s="53" t="s">
        <v>25</v>
      </c>
      <c r="B14" s="54" t="s">
        <v>26</v>
      </c>
      <c r="C14" s="55">
        <f>+SUM(D14:U14)</f>
        <v>24828191.496666934</v>
      </c>
      <c r="D14" s="73">
        <f>D41</f>
        <v>3018702.6947262571</v>
      </c>
      <c r="E14" s="73">
        <f t="shared" ref="E14:U14" si="0">E41</f>
        <v>9861897.9951698538</v>
      </c>
      <c r="F14" s="73">
        <f t="shared" si="0"/>
        <v>6488975.3377958871</v>
      </c>
      <c r="G14" s="73">
        <f t="shared" si="0"/>
        <v>1842062.0949254048</v>
      </c>
      <c r="H14" s="73">
        <f t="shared" si="0"/>
        <v>2020920.8166666664</v>
      </c>
      <c r="I14" s="73">
        <f t="shared" si="0"/>
        <v>304756.13816538145</v>
      </c>
      <c r="J14" s="73">
        <f t="shared" si="0"/>
        <v>363042.71333333338</v>
      </c>
      <c r="K14" s="73">
        <f t="shared" si="0"/>
        <v>26286.926666666648</v>
      </c>
      <c r="L14" s="73">
        <f t="shared" si="0"/>
        <v>34213.709181807557</v>
      </c>
      <c r="M14" s="73">
        <f t="shared" si="0"/>
        <v>6753.8866666666681</v>
      </c>
      <c r="N14" s="73">
        <f t="shared" si="0"/>
        <v>3980.8633333333332</v>
      </c>
      <c r="O14" s="73">
        <f t="shared" si="0"/>
        <v>159609.41333333333</v>
      </c>
      <c r="P14" s="73">
        <f t="shared" si="0"/>
        <v>205916.70867569302</v>
      </c>
      <c r="Q14" s="73">
        <f t="shared" si="0"/>
        <v>22476.29889835291</v>
      </c>
      <c r="R14" s="73">
        <f t="shared" si="0"/>
        <v>38003.533333333326</v>
      </c>
      <c r="S14" s="73">
        <f t="shared" si="0"/>
        <v>361471.43030953151</v>
      </c>
      <c r="T14" s="73">
        <f t="shared" si="0"/>
        <v>48184.288818759924</v>
      </c>
      <c r="U14" s="73">
        <f t="shared" si="0"/>
        <v>20936.646666666671</v>
      </c>
      <c r="V14" s="57"/>
      <c r="W14" s="74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</row>
    <row r="15" spans="1:38" s="58" customFormat="1" ht="25.5" x14ac:dyDescent="0.3">
      <c r="A15" s="53" t="s">
        <v>27</v>
      </c>
      <c r="B15" s="54" t="s">
        <v>28</v>
      </c>
      <c r="C15" s="55">
        <f>+SUM(D15:U15)</f>
        <v>12866261.347217409</v>
      </c>
      <c r="D15" s="75">
        <v>1570155.2092301312</v>
      </c>
      <c r="E15" s="75">
        <v>4196699.9845939595</v>
      </c>
      <c r="F15" s="75">
        <v>3515704.983544759</v>
      </c>
      <c r="G15" s="75">
        <v>1212048.9097001592</v>
      </c>
      <c r="H15" s="75">
        <v>787335.52825922938</v>
      </c>
      <c r="I15" s="75">
        <v>237497.18783298344</v>
      </c>
      <c r="J15" s="75">
        <v>189977.77123321826</v>
      </c>
      <c r="K15" s="75">
        <v>25798.985728845113</v>
      </c>
      <c r="L15" s="75">
        <v>17606.435458916731</v>
      </c>
      <c r="M15" s="75">
        <v>10831.7268444409</v>
      </c>
      <c r="N15" s="75">
        <v>36440.818244735594</v>
      </c>
      <c r="O15" s="75">
        <v>606056.28882526793</v>
      </c>
      <c r="P15" s="75">
        <v>90258.07857222743</v>
      </c>
      <c r="Q15" s="75">
        <v>11306.098903348911</v>
      </c>
      <c r="R15" s="75">
        <v>31143.586624416563</v>
      </c>
      <c r="S15" s="75">
        <v>224422.5945214832</v>
      </c>
      <c r="T15" s="75">
        <v>45478.69670914099</v>
      </c>
      <c r="U15" s="75">
        <v>57498.462390148045</v>
      </c>
      <c r="V15" s="57"/>
      <c r="W15" s="74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ht="6" customHeight="1" x14ac:dyDescent="0.3">
      <c r="A16" s="52"/>
      <c r="B16" s="45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39"/>
      <c r="W16" s="39"/>
      <c r="X16" s="39"/>
      <c r="Y16" s="39"/>
      <c r="Z16" s="39"/>
      <c r="AA16" s="39"/>
      <c r="AB16" s="39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ht="13" x14ac:dyDescent="0.3">
      <c r="A17" s="76" t="s">
        <v>29</v>
      </c>
      <c r="B17" s="77" t="s">
        <v>30</v>
      </c>
      <c r="C17" s="43">
        <f>+SUM(D17:U17)</f>
        <v>15709197.131217128</v>
      </c>
      <c r="D17" s="75">
        <v>2954945.3103295513</v>
      </c>
      <c r="E17" s="75">
        <v>6029826.5296456879</v>
      </c>
      <c r="F17" s="75">
        <v>4345504.2622847753</v>
      </c>
      <c r="G17" s="75">
        <v>1065538.9983833558</v>
      </c>
      <c r="H17" s="75">
        <v>64111.179377240449</v>
      </c>
      <c r="I17" s="75">
        <v>221184.22562732833</v>
      </c>
      <c r="J17" s="75">
        <v>20915.596612075631</v>
      </c>
      <c r="K17" s="75">
        <v>65926.91625746536</v>
      </c>
      <c r="L17" s="75">
        <v>116456.63132525547</v>
      </c>
      <c r="M17" s="75">
        <v>69029.01154067312</v>
      </c>
      <c r="N17" s="75">
        <v>17871.917577030508</v>
      </c>
      <c r="O17" s="75">
        <v>10920</v>
      </c>
      <c r="P17" s="75">
        <v>185714.35673696655</v>
      </c>
      <c r="Q17" s="75">
        <v>16561.207780057448</v>
      </c>
      <c r="R17" s="75">
        <v>2487.6</v>
      </c>
      <c r="S17" s="75">
        <v>467891.16488228424</v>
      </c>
      <c r="T17" s="75">
        <v>50674.271482579497</v>
      </c>
      <c r="U17" s="75">
        <v>3637.9513747976007</v>
      </c>
      <c r="V17" s="39"/>
      <c r="W17" s="39"/>
      <c r="X17" s="39"/>
      <c r="Y17" s="39"/>
      <c r="Z17" s="39"/>
      <c r="AA17" s="39"/>
      <c r="AB17" s="39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13" x14ac:dyDescent="0.3">
      <c r="A18" s="76" t="s">
        <v>31</v>
      </c>
      <c r="B18" s="77"/>
      <c r="C18" s="43"/>
      <c r="D18" s="78"/>
      <c r="E18" s="78"/>
      <c r="F18" s="78"/>
      <c r="G18" s="78"/>
      <c r="H18" s="78"/>
      <c r="I18" s="78"/>
      <c r="J18" s="78"/>
      <c r="K18" s="78">
        <v>165226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39"/>
      <c r="W18" s="39"/>
      <c r="X18" s="39"/>
      <c r="Y18" s="39"/>
      <c r="Z18" s="39"/>
      <c r="AA18" s="39"/>
      <c r="AB18" s="39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38" ht="13" x14ac:dyDescent="0.3">
      <c r="A19" s="79" t="s">
        <v>32</v>
      </c>
      <c r="B19" s="41" t="s">
        <v>33</v>
      </c>
      <c r="C19" s="43">
        <f>+SUM(D19:U19)</f>
        <v>36110.329117998204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20653.192212504156</v>
      </c>
      <c r="L19" s="75">
        <v>9704.719277104623</v>
      </c>
      <c r="M19" s="75">
        <v>5752.4176283894267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39"/>
      <c r="W19" s="39"/>
      <c r="X19" s="39"/>
      <c r="Y19" s="39"/>
      <c r="Z19" s="39"/>
      <c r="AA19" s="39"/>
      <c r="AB19" s="39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38" ht="6" customHeight="1" x14ac:dyDescent="0.3">
      <c r="A20" s="52"/>
      <c r="B20" s="45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39"/>
      <c r="W20" s="39"/>
      <c r="X20" s="39"/>
      <c r="Y20" s="39"/>
      <c r="Z20" s="39"/>
      <c r="AA20" s="39"/>
      <c r="AB20" s="3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3" x14ac:dyDescent="0.3">
      <c r="A21" s="53" t="s">
        <v>34</v>
      </c>
      <c r="B21" s="80" t="s">
        <v>35</v>
      </c>
      <c r="C21" s="43">
        <f>+SUM(D21:U21)</f>
        <v>1419359.7991428715</v>
      </c>
      <c r="D21" s="75">
        <v>246399.44217882439</v>
      </c>
      <c r="E21" s="75">
        <v>544980.86710812268</v>
      </c>
      <c r="F21" s="75">
        <v>414576.7882517837</v>
      </c>
      <c r="G21" s="75">
        <v>88794.916531946306</v>
      </c>
      <c r="H21" s="75">
        <v>5342.5982814367044</v>
      </c>
      <c r="I21" s="75">
        <v>18432.018802277362</v>
      </c>
      <c r="J21" s="75">
        <v>1742.9663843396359</v>
      </c>
      <c r="K21" s="75">
        <v>20653.192212504156</v>
      </c>
      <c r="L21" s="75">
        <v>9704.719277104623</v>
      </c>
      <c r="M21" s="75">
        <v>5752.4176283894267</v>
      </c>
      <c r="N21" s="75">
        <v>1489.3264647525425</v>
      </c>
      <c r="O21" s="75">
        <v>910</v>
      </c>
      <c r="P21" s="75">
        <v>15476.196394747212</v>
      </c>
      <c r="Q21" s="75">
        <v>1380.1006483381207</v>
      </c>
      <c r="R21" s="75">
        <v>207.29999999999998</v>
      </c>
      <c r="S21" s="75">
        <v>38990.93040685702</v>
      </c>
      <c r="T21" s="75">
        <v>4222.8559568816245</v>
      </c>
      <c r="U21" s="75">
        <v>303.16261456646674</v>
      </c>
      <c r="V21" s="39"/>
      <c r="W21" s="39"/>
      <c r="X21" s="39"/>
      <c r="Y21" s="39"/>
      <c r="Z21" s="39"/>
      <c r="AA21" s="39"/>
      <c r="AB21" s="39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38" ht="13" x14ac:dyDescent="0.3">
      <c r="A22" s="53" t="s">
        <v>36</v>
      </c>
      <c r="B22" s="80" t="s">
        <v>37</v>
      </c>
      <c r="C22" s="43">
        <f>+SUM(D22:U22)</f>
        <v>1419359.7991428715</v>
      </c>
      <c r="D22" s="75">
        <v>246399.44217882439</v>
      </c>
      <c r="E22" s="75">
        <v>544980.86710812268</v>
      </c>
      <c r="F22" s="75">
        <v>414576.7882517837</v>
      </c>
      <c r="G22" s="75">
        <v>88794.916531946306</v>
      </c>
      <c r="H22" s="75">
        <v>5342.5982814367044</v>
      </c>
      <c r="I22" s="75">
        <v>18432.018802277362</v>
      </c>
      <c r="J22" s="75">
        <v>1742.9663843396359</v>
      </c>
      <c r="K22" s="75">
        <v>20653.192212504156</v>
      </c>
      <c r="L22" s="75">
        <v>9704.719277104623</v>
      </c>
      <c r="M22" s="75">
        <v>5752.4176283894267</v>
      </c>
      <c r="N22" s="75">
        <v>1489.3264647525425</v>
      </c>
      <c r="O22" s="75">
        <v>910</v>
      </c>
      <c r="P22" s="75">
        <v>15476.196394747212</v>
      </c>
      <c r="Q22" s="75">
        <v>1380.1006483381207</v>
      </c>
      <c r="R22" s="75">
        <v>207.29999999999998</v>
      </c>
      <c r="S22" s="75">
        <v>38990.93040685702</v>
      </c>
      <c r="T22" s="75">
        <v>4222.8559568816245</v>
      </c>
      <c r="U22" s="75">
        <v>303.16261456646674</v>
      </c>
      <c r="V22" s="39"/>
      <c r="W22" s="39"/>
      <c r="X22" s="39"/>
      <c r="Y22" s="39"/>
      <c r="Z22" s="39"/>
      <c r="AA22" s="39"/>
      <c r="AB22" s="39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38" ht="13" x14ac:dyDescent="0.3">
      <c r="A23" s="53" t="s">
        <v>38</v>
      </c>
      <c r="B23" s="80" t="s">
        <v>39</v>
      </c>
      <c r="C23" s="43">
        <f>+SUM(D23:U23)</f>
        <v>1412843.8178232939</v>
      </c>
      <c r="D23" s="75">
        <v>246399.44217882439</v>
      </c>
      <c r="E23" s="75">
        <v>544980.86710812268</v>
      </c>
      <c r="F23" s="75">
        <v>414576.7882517837</v>
      </c>
      <c r="G23" s="75">
        <v>88794.916531946306</v>
      </c>
      <c r="H23" s="75">
        <v>5342.5982814367044</v>
      </c>
      <c r="I23" s="75">
        <v>18432.018802277362</v>
      </c>
      <c r="J23" s="75">
        <v>1742.9663843396359</v>
      </c>
      <c r="K23" s="75">
        <f>IF(ISERROR((K$18)/$I$48),0,(K$18)/$I$48)</f>
        <v>14958.719381976522</v>
      </c>
      <c r="L23" s="75">
        <v>9704.719277104623</v>
      </c>
      <c r="M23" s="75">
        <v>5752.4176283894267</v>
      </c>
      <c r="N23" s="75">
        <v>750.54524842979629</v>
      </c>
      <c r="O23" s="75">
        <v>827.27272727272725</v>
      </c>
      <c r="P23" s="75">
        <v>15476.196394747212</v>
      </c>
      <c r="Q23" s="75">
        <v>1380.1006483381207</v>
      </c>
      <c r="R23" s="75">
        <v>207.29999999999998</v>
      </c>
      <c r="S23" s="75">
        <v>38990.93040685702</v>
      </c>
      <c r="T23" s="75">
        <v>4222.8559568816245</v>
      </c>
      <c r="U23" s="75">
        <v>303.16261456646674</v>
      </c>
      <c r="V23" s="39"/>
      <c r="W23" s="39"/>
      <c r="X23" s="39"/>
      <c r="Y23" s="39"/>
      <c r="Z23" s="39"/>
      <c r="AA23" s="39"/>
      <c r="AB23" s="39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38" ht="13" x14ac:dyDescent="0.3">
      <c r="A24" s="35" t="s">
        <v>40</v>
      </c>
      <c r="B24" s="80" t="s">
        <v>41</v>
      </c>
      <c r="C24" s="43">
        <f>+SUM(D24:U24)</f>
        <v>1410835.4748220458</v>
      </c>
      <c r="D24" s="75">
        <v>246399.44217882439</v>
      </c>
      <c r="E24" s="75">
        <v>544980.86710812268</v>
      </c>
      <c r="F24" s="75">
        <v>414576.7882517837</v>
      </c>
      <c r="G24" s="75">
        <v>88794.916531946306</v>
      </c>
      <c r="H24" s="75">
        <v>4854.1268563296362</v>
      </c>
      <c r="I24" s="75">
        <v>18432.018802277362</v>
      </c>
      <c r="J24" s="75">
        <v>1521.6523965733497</v>
      </c>
      <c r="K24" s="75">
        <f>IF(ISERROR((K$18)/$I$49),0,(K$18)/$I$49)</f>
        <v>14958.719381976522</v>
      </c>
      <c r="L24" s="75">
        <v>9704.719277104623</v>
      </c>
      <c r="M24" s="75">
        <v>5752.4176283894267</v>
      </c>
      <c r="N24" s="75">
        <v>380.31581363122478</v>
      </c>
      <c r="O24" s="75">
        <v>0</v>
      </c>
      <c r="P24" s="75">
        <v>15476.196394747212</v>
      </c>
      <c r="Q24" s="75">
        <v>1380.1006483381207</v>
      </c>
      <c r="R24" s="75">
        <v>161.5445945945946</v>
      </c>
      <c r="S24" s="75">
        <v>38990.93040685702</v>
      </c>
      <c r="T24" s="75">
        <v>4222.8559568816245</v>
      </c>
      <c r="U24" s="75">
        <v>247.86259366834904</v>
      </c>
      <c r="V24" s="39"/>
      <c r="W24" s="39"/>
      <c r="X24" s="39"/>
      <c r="Y24" s="39"/>
      <c r="Z24" s="39"/>
      <c r="AA24" s="39"/>
      <c r="AB24" s="39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38" ht="13" x14ac:dyDescent="0.3">
      <c r="A25" s="53" t="s">
        <v>42</v>
      </c>
      <c r="B25" s="80" t="s">
        <v>43</v>
      </c>
      <c r="C25" s="43">
        <f>+SUM(D25:U25)</f>
        <v>1409364.4453977763</v>
      </c>
      <c r="D25" s="75">
        <v>246399.44217882439</v>
      </c>
      <c r="E25" s="75">
        <v>544980.86710812268</v>
      </c>
      <c r="F25" s="75">
        <v>414576.7882517837</v>
      </c>
      <c r="G25" s="75">
        <v>88794.916531946306</v>
      </c>
      <c r="H25" s="75">
        <v>0</v>
      </c>
      <c r="I25" s="75">
        <v>18432.018802277362</v>
      </c>
      <c r="J25" s="75">
        <v>0</v>
      </c>
      <c r="K25" s="75">
        <f>K22</f>
        <v>20653.192212504156</v>
      </c>
      <c r="L25" s="75">
        <v>9704.719277104623</v>
      </c>
      <c r="M25" s="75">
        <v>5752.4176283894267</v>
      </c>
      <c r="N25" s="75">
        <v>0</v>
      </c>
      <c r="O25" s="75">
        <v>0</v>
      </c>
      <c r="P25" s="75">
        <v>15476.196394747212</v>
      </c>
      <c r="Q25" s="75">
        <v>1380.1006483381207</v>
      </c>
      <c r="R25" s="75">
        <v>0</v>
      </c>
      <c r="S25" s="75">
        <v>38990.93040685702</v>
      </c>
      <c r="T25" s="75">
        <v>4222.8559568816245</v>
      </c>
      <c r="U25" s="75">
        <v>0</v>
      </c>
      <c r="V25" s="39"/>
      <c r="W25" s="39"/>
      <c r="X25" s="39"/>
      <c r="Y25" s="39"/>
      <c r="Z25" s="39"/>
      <c r="AA25" s="39"/>
      <c r="AB25" s="39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38" ht="6" customHeight="1" x14ac:dyDescent="0.3">
      <c r="A26" s="81"/>
      <c r="B26" s="82"/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39"/>
      <c r="W26" s="39"/>
      <c r="X26" s="39"/>
      <c r="Y26" s="39"/>
      <c r="Z26" s="39"/>
      <c r="AA26" s="39"/>
      <c r="AB26" s="39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38" ht="13" x14ac:dyDescent="0.3">
      <c r="A27" s="83" t="s">
        <v>44</v>
      </c>
      <c r="B27" s="84" t="s">
        <v>45</v>
      </c>
      <c r="C27" s="43">
        <f>+SUM(D27:U27)</f>
        <v>1190781.8498006959</v>
      </c>
      <c r="D27" s="85">
        <v>123199.7210894122</v>
      </c>
      <c r="E27" s="85">
        <v>408735.65033109201</v>
      </c>
      <c r="F27" s="85">
        <v>621865.18237767555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7738.0981973736061</v>
      </c>
      <c r="Q27" s="85">
        <v>0</v>
      </c>
      <c r="R27" s="85">
        <v>0</v>
      </c>
      <c r="S27" s="85">
        <v>29243.197805142765</v>
      </c>
      <c r="T27" s="85">
        <v>0</v>
      </c>
      <c r="U27" s="85">
        <v>0</v>
      </c>
      <c r="V27" s="39"/>
      <c r="W27" s="39"/>
      <c r="X27" s="39"/>
      <c r="Y27" s="39"/>
      <c r="Z27" s="39"/>
      <c r="AA27" s="39"/>
      <c r="AB27" s="39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38" s="90" customFormat="1" ht="13" x14ac:dyDescent="0.3">
      <c r="A28" s="86" t="s">
        <v>46</v>
      </c>
      <c r="B28" s="87" t="s">
        <v>47</v>
      </c>
      <c r="C28" s="71">
        <f>SUM(D28:U28)</f>
        <v>657822753.08852315</v>
      </c>
      <c r="D28" s="88">
        <v>100585403.80277467</v>
      </c>
      <c r="E28" s="88">
        <v>224705748.47748813</v>
      </c>
      <c r="F28" s="88">
        <v>177166788.97546616</v>
      </c>
      <c r="G28" s="88">
        <v>65666744.186261959</v>
      </c>
      <c r="H28" s="88">
        <v>17531672.343260463</v>
      </c>
      <c r="I28" s="88">
        <v>20301681.767369665</v>
      </c>
      <c r="J28" s="88">
        <v>5074940.4283516584</v>
      </c>
      <c r="K28" s="88">
        <v>0</v>
      </c>
      <c r="L28" s="88">
        <v>0</v>
      </c>
      <c r="M28" s="88">
        <v>0</v>
      </c>
      <c r="N28" s="88">
        <v>13999850.429986257</v>
      </c>
      <c r="O28" s="88">
        <v>7283125.6170850657</v>
      </c>
      <c r="P28" s="88">
        <v>6778815.7797315745</v>
      </c>
      <c r="Q28" s="88">
        <v>1490296.7723594308</v>
      </c>
      <c r="R28" s="88">
        <v>406032.5626220461</v>
      </c>
      <c r="S28" s="88">
        <v>13092281.249336243</v>
      </c>
      <c r="T28" s="88">
        <v>2899251.4026265852</v>
      </c>
      <c r="U28" s="88">
        <v>840119.29380309931</v>
      </c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</row>
    <row r="29" spans="1:38" s="90" customFormat="1" ht="13" x14ac:dyDescent="0.3">
      <c r="A29" s="86" t="s">
        <v>48</v>
      </c>
      <c r="B29" s="87" t="s">
        <v>49</v>
      </c>
      <c r="C29" s="71">
        <f>SUM(D29:U29)</f>
        <v>244661.1005100788</v>
      </c>
      <c r="D29" s="88">
        <v>1898.2011050410601</v>
      </c>
      <c r="E29" s="88">
        <v>17445.039386403772</v>
      </c>
      <c r="F29" s="88">
        <v>174988.50386464721</v>
      </c>
      <c r="G29" s="88">
        <v>33239.461809280852</v>
      </c>
      <c r="H29" s="88">
        <v>9076.686485229955</v>
      </c>
      <c r="I29" s="88">
        <v>3195.0396808366909</v>
      </c>
      <c r="J29" s="88">
        <v>1948.5598629886592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58.698495577331137</v>
      </c>
      <c r="Q29" s="88">
        <v>185.30309388137869</v>
      </c>
      <c r="R29" s="88">
        <v>120.84984383568175</v>
      </c>
      <c r="S29" s="88">
        <v>290.61510065247279</v>
      </c>
      <c r="T29" s="88">
        <v>461.81904608635529</v>
      </c>
      <c r="U29" s="88">
        <v>1752.3227356173854</v>
      </c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</row>
    <row r="30" spans="1:38" s="90" customFormat="1" ht="13" x14ac:dyDescent="0.3">
      <c r="A30" s="83" t="s">
        <v>50</v>
      </c>
      <c r="B30" s="91" t="s">
        <v>51</v>
      </c>
      <c r="C30" s="71">
        <f>SUM(D30:U30)</f>
        <v>15804988.401608359</v>
      </c>
      <c r="D30" s="71">
        <v>2954945.3103295513</v>
      </c>
      <c r="E30" s="71">
        <v>6029826.5296456879</v>
      </c>
      <c r="F30" s="71">
        <v>4345504.2622847753</v>
      </c>
      <c r="G30" s="71">
        <v>1074441.2736975821</v>
      </c>
      <c r="H30" s="71">
        <v>128202.07247770282</v>
      </c>
      <c r="I30" s="71">
        <v>223032.15693222272</v>
      </c>
      <c r="J30" s="71">
        <v>41824.575040146963</v>
      </c>
      <c r="K30" s="71">
        <v>63259.503292516478</v>
      </c>
      <c r="L30" s="71">
        <v>111263.31219916156</v>
      </c>
      <c r="M30" s="71">
        <v>65417.81144167429</v>
      </c>
      <c r="N30" s="71">
        <v>17024.906177872064</v>
      </c>
      <c r="O30" s="71">
        <v>16594.789416858228</v>
      </c>
      <c r="P30" s="71">
        <v>185714.35673696655</v>
      </c>
      <c r="Q30" s="71">
        <v>16699.571961394653</v>
      </c>
      <c r="R30" s="71">
        <v>4974.412865172606</v>
      </c>
      <c r="S30" s="71">
        <v>467891.16488228424</v>
      </c>
      <c r="T30" s="71">
        <v>51097.640610101065</v>
      </c>
      <c r="U30" s="71">
        <v>7274.7516166849791</v>
      </c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</row>
    <row r="31" spans="1:38" ht="12.5" x14ac:dyDescent="0.25">
      <c r="A31" s="72"/>
      <c r="C31" s="12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38" ht="12.5" x14ac:dyDescent="0.25">
      <c r="A32" s="72"/>
      <c r="C32" s="1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ht="18" x14ac:dyDescent="0.4">
      <c r="A33" s="92" t="s">
        <v>52</v>
      </c>
      <c r="C33" s="12"/>
      <c r="D33" s="93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ht="41.25" hidden="1" customHeight="1" x14ac:dyDescent="0.25">
      <c r="A34" s="8"/>
      <c r="C34" s="12"/>
      <c r="D34" s="94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ht="12.5" hidden="1" x14ac:dyDescent="0.25">
      <c r="A35" s="8"/>
      <c r="C35" s="12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ht="4.5" hidden="1" customHeight="1" x14ac:dyDescent="0.25">
      <c r="A36" s="8"/>
      <c r="C36" s="12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ht="3.75" customHeight="1" x14ac:dyDescent="0.25"/>
    <row r="38" spans="1:38" ht="13" x14ac:dyDescent="0.3">
      <c r="A38" s="95" t="s">
        <v>53</v>
      </c>
      <c r="B38" s="96">
        <v>2017</v>
      </c>
      <c r="C38" s="97">
        <f>+SUM(D38:U38)</f>
        <v>28020662.930000544</v>
      </c>
      <c r="D38" s="75">
        <v>3752209.6340729524</v>
      </c>
      <c r="E38" s="75">
        <v>9389383.1104799137</v>
      </c>
      <c r="F38" s="75">
        <v>9078160.2534506973</v>
      </c>
      <c r="G38" s="75">
        <v>2597262.1214986588</v>
      </c>
      <c r="H38" s="75">
        <v>878058.21999999974</v>
      </c>
      <c r="I38" s="75">
        <v>339323.13202379452</v>
      </c>
      <c r="J38" s="75">
        <v>654902.91000000015</v>
      </c>
      <c r="K38" s="75">
        <v>369.86000000000007</v>
      </c>
      <c r="L38" s="75">
        <v>38716.143521857273</v>
      </c>
      <c r="M38" s="75">
        <v>1025.73</v>
      </c>
      <c r="N38" s="75">
        <v>3500.2900000000004</v>
      </c>
      <c r="O38" s="75">
        <v>379383.98</v>
      </c>
      <c r="P38" s="75">
        <v>259231.13560935738</v>
      </c>
      <c r="Q38" s="75">
        <v>34387.318696504881</v>
      </c>
      <c r="R38" s="75">
        <v>67953.579999999987</v>
      </c>
      <c r="S38" s="75">
        <v>423570.95254047826</v>
      </c>
      <c r="T38" s="75">
        <v>62451.268106330237</v>
      </c>
      <c r="U38" s="75">
        <v>60773.290000000008</v>
      </c>
      <c r="V38" s="39"/>
      <c r="W38" s="39"/>
      <c r="X38" s="39"/>
      <c r="Y38" s="39"/>
      <c r="Z38" s="39"/>
      <c r="AA38" s="39"/>
      <c r="AB38" s="39"/>
      <c r="AC38" s="40"/>
    </row>
    <row r="39" spans="1:38" ht="13" x14ac:dyDescent="0.3">
      <c r="A39" s="95" t="s">
        <v>53</v>
      </c>
      <c r="B39" s="96">
        <v>2018</v>
      </c>
      <c r="C39" s="97">
        <f>+SUM(D39:U39)</f>
        <v>28080301.710000146</v>
      </c>
      <c r="D39" s="75">
        <v>2455529.470979624</v>
      </c>
      <c r="E39" s="75">
        <v>13441312.538711945</v>
      </c>
      <c r="F39" s="75">
        <v>4951475.6749047311</v>
      </c>
      <c r="G39" s="75">
        <v>1808713.7037308845</v>
      </c>
      <c r="H39" s="75">
        <v>4503611.8699999992</v>
      </c>
      <c r="I39" s="75">
        <v>211951.19436942326</v>
      </c>
      <c r="J39" s="75">
        <v>41913.289999999994</v>
      </c>
      <c r="K39" s="75">
        <v>76846.879999999946</v>
      </c>
      <c r="L39" s="75">
        <v>38782.75068332153</v>
      </c>
      <c r="M39" s="75">
        <v>17981.520000000004</v>
      </c>
      <c r="N39" s="75">
        <v>848.22</v>
      </c>
      <c r="O39" s="75">
        <v>40000</v>
      </c>
      <c r="P39" s="75">
        <v>154680.35329832535</v>
      </c>
      <c r="Q39" s="75">
        <v>14628.338251411096</v>
      </c>
      <c r="R39" s="75">
        <v>16842.310000000001</v>
      </c>
      <c r="S39" s="75">
        <v>289940.99968595908</v>
      </c>
      <c r="T39" s="75">
        <v>15242.595384522541</v>
      </c>
      <c r="U39" s="75">
        <v>0</v>
      </c>
      <c r="V39" s="39"/>
      <c r="W39" s="39"/>
      <c r="X39" s="39"/>
      <c r="Y39" s="39"/>
      <c r="Z39" s="39"/>
      <c r="AA39" s="39"/>
      <c r="AB39" s="39"/>
      <c r="AC39" s="40"/>
    </row>
    <row r="40" spans="1:38" ht="13" x14ac:dyDescent="0.3">
      <c r="A40" s="95" t="s">
        <v>53</v>
      </c>
      <c r="B40" s="96">
        <v>2019</v>
      </c>
      <c r="C40" s="97">
        <f>+SUM(D40:U40)</f>
        <v>18383609.850000095</v>
      </c>
      <c r="D40" s="75">
        <v>2848368.979126195</v>
      </c>
      <c r="E40" s="75">
        <v>6754998.3363177013</v>
      </c>
      <c r="F40" s="75">
        <v>5437290.0850322312</v>
      </c>
      <c r="G40" s="75">
        <v>1120210.4595466708</v>
      </c>
      <c r="H40" s="75">
        <v>681092.3600000001</v>
      </c>
      <c r="I40" s="75">
        <v>362994.08810292656</v>
      </c>
      <c r="J40" s="75">
        <v>392311.94</v>
      </c>
      <c r="K40" s="75">
        <v>1644.04</v>
      </c>
      <c r="L40" s="75">
        <v>25142.233340243867</v>
      </c>
      <c r="M40" s="75">
        <v>1254.4099999999999</v>
      </c>
      <c r="N40" s="75">
        <v>7594.0800000000008</v>
      </c>
      <c r="O40" s="75">
        <v>59444.260000000009</v>
      </c>
      <c r="P40" s="75">
        <v>203838.63711939642</v>
      </c>
      <c r="Q40" s="75">
        <v>18413.239747142761</v>
      </c>
      <c r="R40" s="75">
        <v>29214.709999999995</v>
      </c>
      <c r="S40" s="75">
        <v>370902.33870215708</v>
      </c>
      <c r="T40" s="75">
        <v>66859.002965426989</v>
      </c>
      <c r="U40" s="75">
        <v>2036.6500000000003</v>
      </c>
      <c r="V40" s="39"/>
      <c r="W40" s="39"/>
      <c r="X40" s="39"/>
      <c r="Y40" s="39"/>
      <c r="Z40" s="39"/>
      <c r="AA40" s="39"/>
      <c r="AB40" s="39"/>
      <c r="AC40" s="40"/>
    </row>
    <row r="41" spans="1:38" s="8" customFormat="1" ht="13" x14ac:dyDescent="0.3">
      <c r="A41" s="95" t="s">
        <v>54</v>
      </c>
      <c r="C41" s="98">
        <f>+SUM(D41:U41)</f>
        <v>24828191.496666934</v>
      </c>
      <c r="D41" s="99">
        <f>SUM(D38:D40)/3</f>
        <v>3018702.6947262571</v>
      </c>
      <c r="E41" s="99">
        <f t="shared" ref="E41:U41" si="1">SUM(E38:E40)/3</f>
        <v>9861897.9951698538</v>
      </c>
      <c r="F41" s="99">
        <f t="shared" si="1"/>
        <v>6488975.3377958871</v>
      </c>
      <c r="G41" s="99">
        <f t="shared" si="1"/>
        <v>1842062.0949254048</v>
      </c>
      <c r="H41" s="99">
        <f t="shared" si="1"/>
        <v>2020920.8166666664</v>
      </c>
      <c r="I41" s="99">
        <f t="shared" si="1"/>
        <v>304756.13816538145</v>
      </c>
      <c r="J41" s="99">
        <f t="shared" si="1"/>
        <v>363042.71333333338</v>
      </c>
      <c r="K41" s="99">
        <f t="shared" si="1"/>
        <v>26286.926666666648</v>
      </c>
      <c r="L41" s="99">
        <f t="shared" si="1"/>
        <v>34213.709181807557</v>
      </c>
      <c r="M41" s="99">
        <f t="shared" si="1"/>
        <v>6753.8866666666681</v>
      </c>
      <c r="N41" s="99">
        <f t="shared" si="1"/>
        <v>3980.8633333333332</v>
      </c>
      <c r="O41" s="99">
        <f t="shared" si="1"/>
        <v>159609.41333333333</v>
      </c>
      <c r="P41" s="99">
        <f t="shared" si="1"/>
        <v>205916.70867569302</v>
      </c>
      <c r="Q41" s="99">
        <f t="shared" si="1"/>
        <v>22476.29889835291</v>
      </c>
      <c r="R41" s="99">
        <f t="shared" si="1"/>
        <v>38003.533333333326</v>
      </c>
      <c r="S41" s="99">
        <f t="shared" si="1"/>
        <v>361471.43030953151</v>
      </c>
      <c r="T41" s="99">
        <f t="shared" si="1"/>
        <v>48184.288818759924</v>
      </c>
      <c r="U41" s="99">
        <f t="shared" si="1"/>
        <v>20936.646666666671</v>
      </c>
      <c r="V41" s="100"/>
      <c r="W41" s="100"/>
      <c r="X41" s="100"/>
      <c r="Y41" s="100"/>
      <c r="Z41" s="100"/>
      <c r="AA41" s="100"/>
      <c r="AB41" s="100"/>
      <c r="AC41" s="101"/>
    </row>
    <row r="42" spans="1:38" ht="12.5" x14ac:dyDescent="0.25">
      <c r="A42" s="40"/>
      <c r="C42" s="12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</row>
    <row r="43" spans="1:38" ht="15.5" x14ac:dyDescent="0.25">
      <c r="A43" s="102" t="s">
        <v>55</v>
      </c>
    </row>
    <row r="44" spans="1:38" ht="13" x14ac:dyDescent="0.3">
      <c r="A44" s="103" t="s">
        <v>56</v>
      </c>
      <c r="B44" s="8" t="s">
        <v>78</v>
      </c>
    </row>
    <row r="45" spans="1:38" ht="15.5" x14ac:dyDescent="0.25">
      <c r="A45" s="104"/>
      <c r="B45" s="105"/>
      <c r="C45" s="106"/>
      <c r="D45" s="48"/>
      <c r="E45" s="48"/>
      <c r="F45" s="107"/>
      <c r="G45" s="107"/>
      <c r="H45" s="107"/>
      <c r="I45" s="107"/>
    </row>
    <row r="46" spans="1:38" ht="31.4" customHeight="1" x14ac:dyDescent="0.2">
      <c r="A46" s="104"/>
      <c r="B46" s="450" t="s">
        <v>57</v>
      </c>
      <c r="C46" s="451"/>
      <c r="D46" s="450" t="s">
        <v>58</v>
      </c>
      <c r="E46" s="451"/>
      <c r="F46" s="107"/>
      <c r="G46" s="107"/>
      <c r="H46" s="107"/>
      <c r="I46" s="107"/>
      <c r="J46" s="452"/>
    </row>
    <row r="47" spans="1:38" ht="26" x14ac:dyDescent="0.3">
      <c r="A47" s="108" t="s">
        <v>59</v>
      </c>
      <c r="B47" s="109" t="s">
        <v>60</v>
      </c>
      <c r="C47" s="110" t="str">
        <f>B44</f>
        <v>4 NCP</v>
      </c>
      <c r="D47" s="109" t="s">
        <v>60</v>
      </c>
      <c r="E47" s="110" t="str">
        <f>B44</f>
        <v>4 NCP</v>
      </c>
      <c r="F47" s="107"/>
      <c r="G47" s="107"/>
      <c r="H47" s="453" t="s">
        <v>55</v>
      </c>
      <c r="I47" s="453"/>
      <c r="J47" s="452"/>
    </row>
    <row r="48" spans="1:38" ht="13" x14ac:dyDescent="0.3">
      <c r="A48" s="108" t="s">
        <v>24</v>
      </c>
      <c r="B48" s="111">
        <f>D23</f>
        <v>246399.44217882439</v>
      </c>
      <c r="C48" s="112">
        <v>1899585.1207905659</v>
      </c>
      <c r="D48" s="111">
        <f>D24</f>
        <v>246399.44217882439</v>
      </c>
      <c r="E48" s="111">
        <v>1899585.1207905659</v>
      </c>
      <c r="F48" s="107"/>
      <c r="G48" s="107"/>
      <c r="H48" s="113" t="s">
        <v>61</v>
      </c>
      <c r="I48" s="114">
        <f>IF(ISERROR(((C48+C49+C50+C51+C52)/(B48+B49+B50+B51+B52))/(C53/B53)),"",((C48+C49+C50+C51+C52)/(B48+B49+B50+B51+B52))/(C53/B53))</f>
        <v>11.045464239343756</v>
      </c>
      <c r="J48" s="452"/>
    </row>
    <row r="49" spans="1:10" ht="13" x14ac:dyDescent="0.3">
      <c r="A49" s="108" t="s">
        <v>62</v>
      </c>
      <c r="B49" s="111">
        <f>E23</f>
        <v>544980.86710812268</v>
      </c>
      <c r="C49" s="112">
        <v>4210620.0036667185</v>
      </c>
      <c r="D49" s="111">
        <f>E24</f>
        <v>544980.86710812268</v>
      </c>
      <c r="E49" s="111">
        <v>4210620.0036667185</v>
      </c>
      <c r="F49" s="107"/>
      <c r="G49" s="107"/>
      <c r="H49" s="113" t="s">
        <v>63</v>
      </c>
      <c r="I49" s="114">
        <f>IF(ISERROR(((E48+E49+E50+E51+E52)/(D48+D49+D50+D51+D52))/(E53/D53)),"",(E48+E49+E50+E51+E52)/(D48+D49+D50+D51+D52)/(E53/D53))</f>
        <v>11.045464239343756</v>
      </c>
      <c r="J49" s="452"/>
    </row>
    <row r="50" spans="1:10" ht="13" x14ac:dyDescent="0.3">
      <c r="A50" s="108" t="s">
        <v>64</v>
      </c>
      <c r="B50" s="111">
        <f>F23</f>
        <v>414576.7882517837</v>
      </c>
      <c r="C50" s="112">
        <v>4017043.9347298066</v>
      </c>
      <c r="D50" s="111">
        <f>F24</f>
        <v>414576.7882517837</v>
      </c>
      <c r="E50" s="111">
        <v>4017043.9347298066</v>
      </c>
      <c r="F50" s="107"/>
      <c r="G50" s="107"/>
      <c r="H50" s="107"/>
      <c r="I50" s="107"/>
      <c r="J50" s="452"/>
    </row>
    <row r="51" spans="1:10" ht="13" x14ac:dyDescent="0.3">
      <c r="A51" s="108" t="s">
        <v>65</v>
      </c>
      <c r="B51" s="111">
        <f>P23</f>
        <v>15476.196394747212</v>
      </c>
      <c r="C51" s="112">
        <v>119470.2483250815</v>
      </c>
      <c r="D51" s="111">
        <f>P24</f>
        <v>15476.196394747212</v>
      </c>
      <c r="E51" s="111">
        <v>119470.2483250815</v>
      </c>
      <c r="F51" s="107"/>
      <c r="G51" s="107"/>
      <c r="H51" s="107"/>
      <c r="I51" s="107"/>
      <c r="J51" s="452"/>
    </row>
    <row r="52" spans="1:10" ht="13" x14ac:dyDescent="0.3">
      <c r="A52" s="108" t="s">
        <v>66</v>
      </c>
      <c r="B52" s="111">
        <f>S23</f>
        <v>38990.93040685702</v>
      </c>
      <c r="C52" s="112">
        <v>315600.88215267658</v>
      </c>
      <c r="D52" s="111">
        <f>S24</f>
        <v>38990.93040685702</v>
      </c>
      <c r="E52" s="111">
        <v>315600.88215267658</v>
      </c>
      <c r="F52" s="107"/>
      <c r="G52" s="107"/>
      <c r="H52" s="107"/>
      <c r="I52" s="107"/>
      <c r="J52" s="452"/>
    </row>
    <row r="53" spans="1:10" ht="13" x14ac:dyDescent="0.3">
      <c r="A53" s="108" t="s">
        <v>67</v>
      </c>
      <c r="B53" s="115">
        <f>K18</f>
        <v>165226</v>
      </c>
      <c r="C53" s="112">
        <v>125353.65529210844</v>
      </c>
      <c r="D53" s="115">
        <f>B53</f>
        <v>165226</v>
      </c>
      <c r="E53" s="111">
        <v>125353.65529210844</v>
      </c>
      <c r="F53" s="107"/>
      <c r="G53" s="107"/>
      <c r="H53" s="107"/>
      <c r="I53" s="107"/>
      <c r="J53" s="452"/>
    </row>
  </sheetData>
  <mergeCells count="9">
    <mergeCell ref="B46:C46"/>
    <mergeCell ref="D46:E46"/>
    <mergeCell ref="J46:J53"/>
    <mergeCell ref="H47:I47"/>
    <mergeCell ref="A1:F1"/>
    <mergeCell ref="A2:E2"/>
    <mergeCell ref="A4:E4"/>
    <mergeCell ref="A12:A13"/>
    <mergeCell ref="B12:U13"/>
  </mergeCells>
  <pageMargins left="0.39370078740157483" right="0.39370078740157483" top="0.39370078740157483" bottom="0.39370078740157483" header="0.51181102362204722" footer="0.51181102362204722"/>
  <pageSetup scale="3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1</xdr:col>
                    <xdr:colOff>69850</xdr:colOff>
                    <xdr:row>13</xdr:row>
                    <xdr:rowOff>0</xdr:rowOff>
                  </from>
                  <to>
                    <xdr:col>1</xdr:col>
                    <xdr:colOff>1117600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FFCC"/>
    <pageSetUpPr fitToPage="1"/>
  </sheetPr>
  <dimension ref="A1:U73"/>
  <sheetViews>
    <sheetView zoomScale="50" zoomScaleNormal="50" workbookViewId="0">
      <selection activeCell="Y27" sqref="Y27"/>
    </sheetView>
  </sheetViews>
  <sheetFormatPr defaultColWidth="8.453125" defaultRowHeight="10" x14ac:dyDescent="0.2"/>
  <cols>
    <col min="1" max="1" width="23.81640625" style="20" customWidth="1"/>
    <col min="2" max="2" width="12.54296875" style="20" customWidth="1"/>
    <col min="3" max="21" width="15.54296875" style="117" customWidth="1"/>
    <col min="22" max="16384" width="8.453125" style="117"/>
  </cols>
  <sheetData>
    <row r="1" spans="1:14" s="1" customFormat="1" ht="41.25" customHeight="1" x14ac:dyDescent="0.2">
      <c r="A1" s="439"/>
      <c r="B1" s="439"/>
      <c r="C1" s="439"/>
      <c r="D1" s="439"/>
      <c r="E1" s="439"/>
      <c r="F1" s="439"/>
    </row>
    <row r="2" spans="1:14" s="1" customFormat="1" ht="42.75" customHeight="1" x14ac:dyDescent="0.4">
      <c r="A2" s="440"/>
      <c r="B2" s="440"/>
      <c r="C2" s="440"/>
      <c r="D2" s="440"/>
      <c r="E2" s="440"/>
    </row>
    <row r="3" spans="1:14" s="1" customFormat="1" ht="64.5" customHeight="1" x14ac:dyDescent="0.2"/>
    <row r="4" spans="1:14" s="1" customFormat="1" ht="17.5" x14ac:dyDescent="0.35">
      <c r="A4" s="441" t="s">
        <v>320</v>
      </c>
      <c r="B4" s="441"/>
      <c r="C4" s="441"/>
      <c r="D4" s="441"/>
      <c r="E4" s="441"/>
    </row>
    <row r="5" spans="1:14" s="1" customFormat="1" ht="21" customHeight="1" x14ac:dyDescent="0.4">
      <c r="A5" s="2" t="s">
        <v>336</v>
      </c>
      <c r="B5" s="3"/>
      <c r="C5" s="3"/>
      <c r="D5" s="4"/>
      <c r="E5" s="5"/>
    </row>
    <row r="6" spans="1:14" s="1" customFormat="1" ht="6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5" x14ac:dyDescent="0.25">
      <c r="A7" s="11"/>
      <c r="B7" s="116"/>
      <c r="C7" s="116"/>
      <c r="D7" s="116"/>
      <c r="E7" s="116"/>
      <c r="F7" s="116"/>
    </row>
    <row r="8" spans="1:14" x14ac:dyDescent="0.2">
      <c r="A8" s="7"/>
    </row>
    <row r="10" spans="1:14" x14ac:dyDescent="0.2">
      <c r="A10" s="7"/>
    </row>
    <row r="12" spans="1:14" ht="3" customHeight="1" x14ac:dyDescent="0.2">
      <c r="A12" s="118"/>
    </row>
    <row r="13" spans="1:14" ht="1.5" customHeight="1" x14ac:dyDescent="0.2"/>
    <row r="14" spans="1:14" ht="13" x14ac:dyDescent="0.3">
      <c r="A14" s="461" t="s">
        <v>68</v>
      </c>
      <c r="B14" s="461"/>
      <c r="C14" s="119" t="str">
        <f>IF(OR(ISERROR(('I8 Demand Data'!$C$50/12)/'I8 Demand Data'!$C$40), (ISERROR(('I8 Demand Data'!$C$45/4)/'I8 Demand Data'!$C$40))),"-", IF(('I8 Demand Data'!$C$50/12)/'I8 Demand Data'!$C$40&gt;=0.83,"12 CP",IF(('I8 Demand Data'!$C$45/4)/'I8 Demand Data'!$C$40&gt;=0.83,"4 CP","1 CP")))</f>
        <v>12 CP</v>
      </c>
    </row>
    <row r="15" spans="1:14" ht="15" customHeight="1" x14ac:dyDescent="0.35">
      <c r="A15" s="461" t="s">
        <v>69</v>
      </c>
      <c r="B15" s="461"/>
      <c r="C15" s="120" t="str">
        <f>IF(ISERROR(('I8 Demand Data'!$C$61/4)/'I8 Demand Data'!$C$55), "-", IF(('I8 Demand Data'!$C$61/4)/'I8 Demand Data'!$C$55&gt;=0.83,"4 NCP","1 NCP"))</f>
        <v>4 NCP</v>
      </c>
      <c r="H15" s="121"/>
      <c r="I15" s="121"/>
      <c r="J15" s="121"/>
    </row>
    <row r="16" spans="1:14" ht="12.65" customHeight="1" x14ac:dyDescent="0.25">
      <c r="A16" s="122"/>
      <c r="C16" s="123"/>
    </row>
    <row r="17" spans="1:21" ht="13" x14ac:dyDescent="0.3">
      <c r="A17" s="459" t="s">
        <v>70</v>
      </c>
      <c r="B17" s="459"/>
      <c r="C17" s="124" t="s">
        <v>71</v>
      </c>
    </row>
    <row r="18" spans="1:21" ht="13" x14ac:dyDescent="0.3">
      <c r="A18" s="459" t="s">
        <v>72</v>
      </c>
      <c r="B18" s="459"/>
      <c r="C18" s="124" t="s">
        <v>73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</row>
    <row r="19" spans="1:21" ht="13" x14ac:dyDescent="0.3">
      <c r="A19" s="459" t="s">
        <v>74</v>
      </c>
      <c r="B19" s="459"/>
      <c r="C19" s="124" t="s">
        <v>75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  <row r="20" spans="1:21" ht="13" x14ac:dyDescent="0.3">
      <c r="A20" s="459" t="s">
        <v>76</v>
      </c>
      <c r="B20" s="459"/>
      <c r="C20" s="124" t="s">
        <v>77</v>
      </c>
    </row>
    <row r="21" spans="1:21" ht="11.5" customHeight="1" x14ac:dyDescent="0.25">
      <c r="A21" s="122"/>
      <c r="C21" s="123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</row>
    <row r="22" spans="1:21" ht="13" hidden="1" x14ac:dyDescent="0.3">
      <c r="A22" s="126" t="s">
        <v>78</v>
      </c>
      <c r="C22" s="127" t="s">
        <v>79</v>
      </c>
      <c r="D22" s="128"/>
      <c r="E22" s="128"/>
      <c r="F22" s="128"/>
      <c r="G22" s="128"/>
      <c r="I22" s="128"/>
      <c r="J22" s="128"/>
      <c r="K22" s="128"/>
      <c r="L22" s="128"/>
      <c r="M22" s="128"/>
      <c r="P22" s="128"/>
    </row>
    <row r="23" spans="1:21" ht="13" hidden="1" x14ac:dyDescent="0.3">
      <c r="A23" s="126" t="s">
        <v>80</v>
      </c>
      <c r="C23" s="127" t="s">
        <v>81</v>
      </c>
      <c r="D23" s="128"/>
      <c r="E23" s="128"/>
      <c r="F23" s="128"/>
      <c r="G23" s="128"/>
      <c r="I23" s="128"/>
      <c r="J23" s="128"/>
      <c r="K23" s="128"/>
      <c r="L23" s="128"/>
      <c r="M23" s="128"/>
      <c r="P23" s="128"/>
    </row>
    <row r="24" spans="1:21" ht="13" x14ac:dyDescent="0.3">
      <c r="A24" s="460" t="s">
        <v>82</v>
      </c>
      <c r="B24" s="460"/>
      <c r="C24" s="129" t="s">
        <v>71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21" ht="13" x14ac:dyDescent="0.3">
      <c r="A25" s="454" t="s">
        <v>83</v>
      </c>
      <c r="B25" s="454"/>
      <c r="C25" s="131" t="s">
        <v>84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21" ht="13" x14ac:dyDescent="0.3">
      <c r="A26" s="454" t="s">
        <v>78</v>
      </c>
      <c r="B26" s="454"/>
      <c r="C26" s="131" t="s">
        <v>79</v>
      </c>
    </row>
    <row r="27" spans="1:21" ht="13" x14ac:dyDescent="0.3">
      <c r="A27" s="454" t="s">
        <v>80</v>
      </c>
      <c r="B27" s="454"/>
      <c r="C27" s="131" t="s">
        <v>81</v>
      </c>
    </row>
    <row r="28" spans="1:21" x14ac:dyDescent="0.2">
      <c r="A28" s="117"/>
      <c r="B28" s="117"/>
    </row>
    <row r="29" spans="1:21" ht="10.5" thickBot="1" x14ac:dyDescent="0.25">
      <c r="S29" s="455"/>
      <c r="T29" s="455"/>
      <c r="U29" s="455"/>
    </row>
    <row r="30" spans="1:21" ht="19.5" customHeight="1" thickBot="1" x14ac:dyDescent="0.35">
      <c r="D30" s="132">
        <v>1</v>
      </c>
      <c r="E30" s="133">
        <v>2</v>
      </c>
      <c r="F30" s="133">
        <v>3</v>
      </c>
      <c r="G30" s="132">
        <v>4</v>
      </c>
      <c r="H30" s="133">
        <v>5</v>
      </c>
      <c r="I30" s="133">
        <v>6</v>
      </c>
      <c r="J30" s="132">
        <v>7</v>
      </c>
      <c r="K30" s="133">
        <v>8</v>
      </c>
      <c r="L30" s="133">
        <v>9</v>
      </c>
      <c r="M30" s="132">
        <v>10</v>
      </c>
      <c r="N30" s="133">
        <v>11</v>
      </c>
      <c r="O30" s="132">
        <v>12</v>
      </c>
      <c r="P30" s="133">
        <v>13</v>
      </c>
      <c r="Q30" s="132">
        <v>14</v>
      </c>
      <c r="R30" s="133">
        <v>15</v>
      </c>
      <c r="S30" s="132">
        <v>16</v>
      </c>
      <c r="T30" s="133">
        <v>17</v>
      </c>
      <c r="U30" s="133">
        <v>18</v>
      </c>
    </row>
    <row r="31" spans="1:21" ht="16" thickBot="1" x14ac:dyDescent="0.4">
      <c r="A31" s="456" t="s">
        <v>85</v>
      </c>
      <c r="B31" s="456"/>
      <c r="C31" s="134" t="s">
        <v>5</v>
      </c>
      <c r="D31" s="135" t="s">
        <v>24</v>
      </c>
      <c r="E31" s="136" t="s">
        <v>62</v>
      </c>
      <c r="F31" s="136" t="s">
        <v>64</v>
      </c>
      <c r="G31" s="136" t="s">
        <v>322</v>
      </c>
      <c r="H31" s="136" t="s">
        <v>323</v>
      </c>
      <c r="I31" s="136" t="s">
        <v>324</v>
      </c>
      <c r="J31" s="136" t="s">
        <v>325</v>
      </c>
      <c r="K31" s="137" t="s">
        <v>326</v>
      </c>
      <c r="L31" s="137" t="s">
        <v>327</v>
      </c>
      <c r="M31" s="137" t="s">
        <v>328</v>
      </c>
      <c r="N31" s="137" t="s">
        <v>329</v>
      </c>
      <c r="O31" s="138" t="s">
        <v>330</v>
      </c>
      <c r="P31" s="139" t="s">
        <v>65</v>
      </c>
      <c r="Q31" s="137" t="s">
        <v>331</v>
      </c>
      <c r="R31" s="137" t="s">
        <v>332</v>
      </c>
      <c r="S31" s="137" t="s">
        <v>66</v>
      </c>
      <c r="T31" s="137" t="s">
        <v>333</v>
      </c>
      <c r="U31" s="137" t="s">
        <v>334</v>
      </c>
    </row>
    <row r="32" spans="1:21" x14ac:dyDescent="0.2">
      <c r="C32" s="140"/>
      <c r="D32" s="141"/>
      <c r="E32" s="141"/>
      <c r="F32" s="141"/>
      <c r="G32" s="141"/>
      <c r="H32" s="141"/>
      <c r="I32" s="141"/>
      <c r="J32" s="141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</row>
    <row r="33" spans="1:21" x14ac:dyDescent="0.2">
      <c r="B33" s="143"/>
      <c r="C33" s="144"/>
      <c r="D33" s="145"/>
      <c r="E33" s="141"/>
      <c r="F33" s="145"/>
      <c r="G33" s="145"/>
      <c r="H33" s="141"/>
      <c r="I33" s="145"/>
      <c r="J33" s="145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</row>
    <row r="34" spans="1:21" ht="10.5" thickBot="1" x14ac:dyDescent="0.25">
      <c r="B34" s="143"/>
      <c r="C34" s="144"/>
      <c r="D34" s="145"/>
      <c r="E34" s="141"/>
      <c r="F34" s="145"/>
      <c r="G34" s="145"/>
      <c r="H34" s="141"/>
      <c r="I34" s="145"/>
      <c r="J34" s="145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1" s="123" customFormat="1" ht="14" thickTop="1" thickBot="1" x14ac:dyDescent="0.35">
      <c r="A35" s="457" t="s">
        <v>86</v>
      </c>
      <c r="B35" s="458"/>
      <c r="C35" s="146"/>
      <c r="D35" s="147"/>
      <c r="E35" s="148"/>
      <c r="F35" s="147"/>
      <c r="G35" s="147"/>
      <c r="H35" s="148"/>
      <c r="I35" s="147"/>
      <c r="J35" s="147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</row>
    <row r="36" spans="1:21" s="123" customFormat="1" ht="13" thickTop="1" x14ac:dyDescent="0.25">
      <c r="A36" s="150"/>
      <c r="B36" s="151"/>
      <c r="C36" s="146"/>
      <c r="D36" s="147"/>
      <c r="E36" s="148"/>
      <c r="F36" s="147"/>
      <c r="G36" s="147"/>
      <c r="H36" s="148"/>
      <c r="I36" s="147"/>
      <c r="J36" s="147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</row>
    <row r="37" spans="1:21" s="123" customFormat="1" ht="13.5" thickBot="1" x14ac:dyDescent="0.35">
      <c r="A37" s="152" t="s">
        <v>87</v>
      </c>
      <c r="B37" s="151"/>
      <c r="C37" s="146"/>
      <c r="D37" s="147"/>
      <c r="E37" s="148"/>
      <c r="F37" s="147"/>
      <c r="G37" s="147"/>
      <c r="H37" s="148"/>
      <c r="I37" s="147"/>
      <c r="J37" s="147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</row>
    <row r="38" spans="1:21" s="123" customFormat="1" ht="12.5" x14ac:dyDescent="0.25">
      <c r="A38" s="153" t="s">
        <v>88</v>
      </c>
      <c r="B38" s="154" t="s">
        <v>89</v>
      </c>
      <c r="C38" s="155">
        <f>SUM(D38:U38)</f>
        <v>6069792.2654246157</v>
      </c>
      <c r="D38" s="156">
        <v>452963.89098888595</v>
      </c>
      <c r="E38" s="157">
        <v>1212032.4433590677</v>
      </c>
      <c r="F38" s="157">
        <v>1192908.2407766434</v>
      </c>
      <c r="G38" s="157">
        <v>353330.88873883721</v>
      </c>
      <c r="H38" s="157">
        <v>289276.45632252202</v>
      </c>
      <c r="I38" s="157">
        <v>94742.781571656786</v>
      </c>
      <c r="J38" s="157">
        <v>129362.55796792994</v>
      </c>
      <c r="K38" s="157">
        <v>15509.738976610166</v>
      </c>
      <c r="L38" s="157">
        <v>2161.5731911618345</v>
      </c>
      <c r="M38" s="157">
        <v>4067.8720345909219</v>
      </c>
      <c r="N38" s="157">
        <v>6083.2607146707278</v>
      </c>
      <c r="O38" s="157">
        <v>2162659.7224764754</v>
      </c>
      <c r="P38" s="157">
        <v>23718.287829981946</v>
      </c>
      <c r="Q38" s="157">
        <v>5595.1664350217425</v>
      </c>
      <c r="R38" s="157">
        <v>12561.403702554067</v>
      </c>
      <c r="S38" s="157">
        <v>71714.596477653642</v>
      </c>
      <c r="T38" s="157">
        <v>16593.346509262756</v>
      </c>
      <c r="U38" s="158">
        <v>24510.037351088824</v>
      </c>
    </row>
    <row r="39" spans="1:21" s="123" customFormat="1" ht="12.5" x14ac:dyDescent="0.25">
      <c r="A39" s="159" t="s">
        <v>90</v>
      </c>
      <c r="B39" s="160" t="s">
        <v>91</v>
      </c>
      <c r="C39" s="161">
        <f>SUM(D39:U39)</f>
        <v>5877160.1706264764</v>
      </c>
      <c r="D39" s="162">
        <v>438393.62391828798</v>
      </c>
      <c r="E39" s="163">
        <v>1173734.0204276473</v>
      </c>
      <c r="F39" s="163">
        <v>1156203.3718296699</v>
      </c>
      <c r="G39" s="163">
        <v>342369.89401518711</v>
      </c>
      <c r="H39" s="163">
        <v>280006.52275516506</v>
      </c>
      <c r="I39" s="163">
        <v>91723.798841163501</v>
      </c>
      <c r="J39" s="163">
        <v>125173.67513849221</v>
      </c>
      <c r="K39" s="163">
        <v>15026.835015799956</v>
      </c>
      <c r="L39" s="163">
        <v>2094.2714617666852</v>
      </c>
      <c r="M39" s="163">
        <v>3941.2166782025588</v>
      </c>
      <c r="N39" s="163">
        <v>5883.7518265653889</v>
      </c>
      <c r="O39" s="163">
        <v>2091580.1167187998</v>
      </c>
      <c r="P39" s="163">
        <v>23318.715408639076</v>
      </c>
      <c r="Q39" s="163">
        <v>5500.9069245425799</v>
      </c>
      <c r="R39" s="163">
        <v>12341.658178537751</v>
      </c>
      <c r="S39" s="163">
        <v>69834.649555703712</v>
      </c>
      <c r="T39" s="163">
        <v>16158.363782912797</v>
      </c>
      <c r="U39" s="164">
        <v>23874.778149392798</v>
      </c>
    </row>
    <row r="40" spans="1:21" s="123" customFormat="1" ht="12.5" x14ac:dyDescent="0.25">
      <c r="A40" s="159" t="s">
        <v>92</v>
      </c>
      <c r="B40" s="160" t="s">
        <v>93</v>
      </c>
      <c r="C40" s="161">
        <f>SUM(D40:U40)</f>
        <v>6069792.2654246157</v>
      </c>
      <c r="D40" s="162">
        <v>452963.89098888595</v>
      </c>
      <c r="E40" s="163">
        <v>1212032.4433590677</v>
      </c>
      <c r="F40" s="163">
        <v>1192908.2407766434</v>
      </c>
      <c r="G40" s="163">
        <v>353330.88873883721</v>
      </c>
      <c r="H40" s="163">
        <v>289276.45632252202</v>
      </c>
      <c r="I40" s="163">
        <v>94742.781571656786</v>
      </c>
      <c r="J40" s="163">
        <v>129362.55796792994</v>
      </c>
      <c r="K40" s="163">
        <v>15509.738976610166</v>
      </c>
      <c r="L40" s="163">
        <v>2161.5731911618345</v>
      </c>
      <c r="M40" s="163">
        <v>4067.8720345909219</v>
      </c>
      <c r="N40" s="163">
        <v>6083.2607146707278</v>
      </c>
      <c r="O40" s="163">
        <v>2162659.7224764754</v>
      </c>
      <c r="P40" s="163">
        <v>23718.287829981946</v>
      </c>
      <c r="Q40" s="163">
        <v>5595.1664350217425</v>
      </c>
      <c r="R40" s="163">
        <v>12561.403702554067</v>
      </c>
      <c r="S40" s="163">
        <v>71714.596477653642</v>
      </c>
      <c r="T40" s="163">
        <v>16593.346509262756</v>
      </c>
      <c r="U40" s="164">
        <v>24510.037351088824</v>
      </c>
    </row>
    <row r="41" spans="1:21" s="123" customFormat="1" ht="12.5" x14ac:dyDescent="0.25">
      <c r="A41" s="150"/>
      <c r="B41" s="151"/>
      <c r="C41" s="165"/>
      <c r="D41" s="166"/>
      <c r="E41" s="148"/>
      <c r="F41" s="147"/>
      <c r="G41" s="147"/>
      <c r="H41" s="148"/>
      <c r="I41" s="147"/>
      <c r="J41" s="14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8"/>
    </row>
    <row r="42" spans="1:21" s="123" customFormat="1" ht="13" x14ac:dyDescent="0.3">
      <c r="A42" s="152" t="s">
        <v>74</v>
      </c>
      <c r="B42" s="151"/>
      <c r="C42" s="165"/>
      <c r="D42" s="166"/>
      <c r="E42" s="148"/>
      <c r="F42" s="147"/>
      <c r="G42" s="147"/>
      <c r="H42" s="148"/>
      <c r="I42" s="147"/>
      <c r="J42" s="14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8"/>
    </row>
    <row r="43" spans="1:21" s="123" customFormat="1" ht="12.5" x14ac:dyDescent="0.25">
      <c r="A43" s="153" t="s">
        <v>88</v>
      </c>
      <c r="B43" s="154" t="s">
        <v>94</v>
      </c>
      <c r="C43" s="155">
        <f>SUM(D43:U43)</f>
        <v>23212133.047418885</v>
      </c>
      <c r="D43" s="162">
        <v>1879619.336860405</v>
      </c>
      <c r="E43" s="163">
        <v>4306751.0663537728</v>
      </c>
      <c r="F43" s="163">
        <v>3930489.0595674734</v>
      </c>
      <c r="G43" s="163">
        <v>1342112.6460840905</v>
      </c>
      <c r="H43" s="163">
        <v>1227420.725815346</v>
      </c>
      <c r="I43" s="163">
        <v>373370.53970020608</v>
      </c>
      <c r="J43" s="163">
        <v>531705.61652856367</v>
      </c>
      <c r="K43" s="163">
        <v>38430.232580488126</v>
      </c>
      <c r="L43" s="163">
        <v>5072.9305043801787</v>
      </c>
      <c r="M43" s="163">
        <v>16422.980964933828</v>
      </c>
      <c r="N43" s="163">
        <v>15428.460990058542</v>
      </c>
      <c r="O43" s="163">
        <v>8832144.4380961172</v>
      </c>
      <c r="P43" s="163">
        <v>111054.74384252861</v>
      </c>
      <c r="Q43" s="163">
        <v>26381.786655648641</v>
      </c>
      <c r="R43" s="163">
        <v>67577.109376863198</v>
      </c>
      <c r="S43" s="163">
        <v>314801.28477457736</v>
      </c>
      <c r="T43" s="163">
        <v>77985.585015486227</v>
      </c>
      <c r="U43" s="164">
        <v>115364.503707943</v>
      </c>
    </row>
    <row r="44" spans="1:21" s="123" customFormat="1" ht="12.5" x14ac:dyDescent="0.25">
      <c r="A44" s="159" t="s">
        <v>90</v>
      </c>
      <c r="B44" s="160" t="s">
        <v>95</v>
      </c>
      <c r="C44" s="161">
        <f>SUM(D44:U44)</f>
        <v>22475124.779385127</v>
      </c>
      <c r="D44" s="162">
        <v>1819158.5445678285</v>
      </c>
      <c r="E44" s="163">
        <v>4170664.1367477984</v>
      </c>
      <c r="F44" s="163">
        <v>3809550.9346577059</v>
      </c>
      <c r="G44" s="163">
        <v>1300477.7647274672</v>
      </c>
      <c r="H44" s="163">
        <v>1188087.7336591522</v>
      </c>
      <c r="I44" s="163">
        <v>361473.07170601015</v>
      </c>
      <c r="J44" s="163">
        <v>514488.48227906734</v>
      </c>
      <c r="K44" s="163">
        <v>37233.686877432629</v>
      </c>
      <c r="L44" s="163">
        <v>4914.9821187126627</v>
      </c>
      <c r="M44" s="163">
        <v>15911.64272976189</v>
      </c>
      <c r="N44" s="163">
        <v>14922.463426962187</v>
      </c>
      <c r="O44" s="163">
        <v>8541860.5168069005</v>
      </c>
      <c r="P44" s="163">
        <v>109183.84939952087</v>
      </c>
      <c r="Q44" s="163">
        <v>25937.343344693316</v>
      </c>
      <c r="R44" s="163">
        <v>66394.93518175256</v>
      </c>
      <c r="S44" s="163">
        <v>306548.99395227234</v>
      </c>
      <c r="T44" s="163">
        <v>75941.248608294554</v>
      </c>
      <c r="U44" s="164">
        <v>112374.44859379565</v>
      </c>
    </row>
    <row r="45" spans="1:21" s="123" customFormat="1" ht="12.5" x14ac:dyDescent="0.25">
      <c r="A45" s="159" t="s">
        <v>92</v>
      </c>
      <c r="B45" s="160" t="s">
        <v>96</v>
      </c>
      <c r="C45" s="161">
        <f>SUM(D45:U45)</f>
        <v>23212133.047418885</v>
      </c>
      <c r="D45" s="162">
        <v>1879619.336860405</v>
      </c>
      <c r="E45" s="163">
        <v>4306751.0663537728</v>
      </c>
      <c r="F45" s="163">
        <v>3930489.0595674734</v>
      </c>
      <c r="G45" s="163">
        <v>1342112.6460840905</v>
      </c>
      <c r="H45" s="163">
        <v>1227420.725815346</v>
      </c>
      <c r="I45" s="163">
        <v>373370.53970020608</v>
      </c>
      <c r="J45" s="163">
        <v>531705.61652856367</v>
      </c>
      <c r="K45" s="163">
        <v>38430.232580488126</v>
      </c>
      <c r="L45" s="163">
        <v>5072.9305043801787</v>
      </c>
      <c r="M45" s="163">
        <v>16422.980964933828</v>
      </c>
      <c r="N45" s="163">
        <v>15428.460990058542</v>
      </c>
      <c r="O45" s="163">
        <v>8832144.4380961172</v>
      </c>
      <c r="P45" s="163">
        <v>111054.74384252861</v>
      </c>
      <c r="Q45" s="163">
        <v>26381.786655648641</v>
      </c>
      <c r="R45" s="163">
        <v>67577.109376863198</v>
      </c>
      <c r="S45" s="163">
        <v>314801.28477457736</v>
      </c>
      <c r="T45" s="163">
        <v>77985.585015486227</v>
      </c>
      <c r="U45" s="164">
        <v>115364.503707943</v>
      </c>
    </row>
    <row r="46" spans="1:21" s="123" customFormat="1" ht="12.5" x14ac:dyDescent="0.25">
      <c r="A46" s="150"/>
      <c r="B46" s="151"/>
      <c r="C46" s="165"/>
      <c r="D46" s="166"/>
      <c r="E46" s="148"/>
      <c r="F46" s="147"/>
      <c r="G46" s="147"/>
      <c r="H46" s="148"/>
      <c r="I46" s="147"/>
      <c r="J46" s="14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8"/>
    </row>
    <row r="47" spans="1:21" s="123" customFormat="1" ht="13" x14ac:dyDescent="0.3">
      <c r="A47" s="152" t="s">
        <v>76</v>
      </c>
      <c r="B47" s="169"/>
      <c r="C47" s="165"/>
      <c r="D47" s="166"/>
      <c r="E47" s="148"/>
      <c r="F47" s="147"/>
      <c r="G47" s="147"/>
      <c r="H47" s="148"/>
      <c r="I47" s="147"/>
      <c r="J47" s="14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8"/>
    </row>
    <row r="48" spans="1:21" s="123" customFormat="1" ht="12.5" x14ac:dyDescent="0.25">
      <c r="A48" s="153" t="s">
        <v>88</v>
      </c>
      <c r="B48" s="154" t="s">
        <v>97</v>
      </c>
      <c r="C48" s="155">
        <f>SUM(D48:U48)</f>
        <v>63979028.641487777</v>
      </c>
      <c r="D48" s="162">
        <v>4661110.7509846203</v>
      </c>
      <c r="E48" s="163">
        <v>11318788.338146633</v>
      </c>
      <c r="F48" s="163">
        <v>10550916.268781345</v>
      </c>
      <c r="G48" s="163">
        <v>3727433.6966982028</v>
      </c>
      <c r="H48" s="163">
        <v>3678759.3354726322</v>
      </c>
      <c r="I48" s="163">
        <v>1024080.2338692922</v>
      </c>
      <c r="J48" s="163">
        <v>1523119.7780350745</v>
      </c>
      <c r="K48" s="163">
        <v>106799.35864925584</v>
      </c>
      <c r="L48" s="163">
        <v>14664.076918934059</v>
      </c>
      <c r="M48" s="163">
        <v>49308.799767421566</v>
      </c>
      <c r="N48" s="163">
        <v>50584.811288089892</v>
      </c>
      <c r="O48" s="163">
        <v>25410676.286090974</v>
      </c>
      <c r="P48" s="163">
        <v>269606.20478073275</v>
      </c>
      <c r="Q48" s="163">
        <v>72239.989997365992</v>
      </c>
      <c r="R48" s="163">
        <v>193910.55350723088</v>
      </c>
      <c r="S48" s="163">
        <v>766910.55277348496</v>
      </c>
      <c r="T48" s="163">
        <v>213024.58861426709</v>
      </c>
      <c r="U48" s="164">
        <v>347095.01711222524</v>
      </c>
    </row>
    <row r="49" spans="1:21" s="123" customFormat="1" ht="12.5" x14ac:dyDescent="0.25">
      <c r="A49" s="159" t="s">
        <v>90</v>
      </c>
      <c r="B49" s="160" t="s">
        <v>98</v>
      </c>
      <c r="C49" s="161">
        <f>SUM(D49:U49)</f>
        <v>61945347.180566147</v>
      </c>
      <c r="D49" s="162">
        <v>4511179.090120405</v>
      </c>
      <c r="E49" s="163">
        <v>10961131.457573226</v>
      </c>
      <c r="F49" s="163">
        <v>10226272.691280384</v>
      </c>
      <c r="G49" s="163">
        <v>3611801.6294648643</v>
      </c>
      <c r="H49" s="163">
        <v>3560872.6084169582</v>
      </c>
      <c r="I49" s="163">
        <v>991447.87402715918</v>
      </c>
      <c r="J49" s="163">
        <v>1473799.7090320338</v>
      </c>
      <c r="K49" s="163">
        <v>103474.10389277716</v>
      </c>
      <c r="L49" s="163">
        <v>14207.503095450762</v>
      </c>
      <c r="M49" s="163">
        <v>47773.544097007325</v>
      </c>
      <c r="N49" s="163">
        <v>48925.812943539815</v>
      </c>
      <c r="O49" s="163">
        <v>24575509.831710901</v>
      </c>
      <c r="P49" s="163">
        <v>265064.25787353981</v>
      </c>
      <c r="Q49" s="163">
        <v>71022.992045070961</v>
      </c>
      <c r="R49" s="163">
        <v>190518.33897438561</v>
      </c>
      <c r="S49" s="163">
        <v>746806.54042578</v>
      </c>
      <c r="T49" s="163">
        <v>207440.30118416453</v>
      </c>
      <c r="U49" s="164">
        <v>338098.8944084961</v>
      </c>
    </row>
    <row r="50" spans="1:21" s="123" customFormat="1" ht="12.5" x14ac:dyDescent="0.25">
      <c r="A50" s="159" t="s">
        <v>92</v>
      </c>
      <c r="B50" s="160" t="s">
        <v>99</v>
      </c>
      <c r="C50" s="161">
        <f>SUM(D50:U50)</f>
        <v>63979028.641487777</v>
      </c>
      <c r="D50" s="162">
        <v>4661110.7509846203</v>
      </c>
      <c r="E50" s="163">
        <v>11318788.338146633</v>
      </c>
      <c r="F50" s="163">
        <v>10550916.268781345</v>
      </c>
      <c r="G50" s="163">
        <v>3727433.6966982028</v>
      </c>
      <c r="H50" s="163">
        <v>3678759.3354726322</v>
      </c>
      <c r="I50" s="163">
        <v>1024080.2338692922</v>
      </c>
      <c r="J50" s="163">
        <v>1523119.7780350745</v>
      </c>
      <c r="K50" s="163">
        <v>106799.35864925584</v>
      </c>
      <c r="L50" s="163">
        <v>14664.076918934059</v>
      </c>
      <c r="M50" s="163">
        <v>49308.799767421566</v>
      </c>
      <c r="N50" s="163">
        <v>50584.811288089892</v>
      </c>
      <c r="O50" s="163">
        <v>25410676.286090974</v>
      </c>
      <c r="P50" s="163">
        <v>269606.20478073275</v>
      </c>
      <c r="Q50" s="163">
        <v>72239.989997365992</v>
      </c>
      <c r="R50" s="163">
        <v>193910.55350723088</v>
      </c>
      <c r="S50" s="163">
        <v>766910.55277348496</v>
      </c>
      <c r="T50" s="163">
        <v>213024.58861426709</v>
      </c>
      <c r="U50" s="164">
        <v>347095.01711222524</v>
      </c>
    </row>
    <row r="51" spans="1:21" s="123" customFormat="1" ht="13" thickBot="1" x14ac:dyDescent="0.3">
      <c r="A51" s="150"/>
      <c r="B51" s="169"/>
      <c r="C51" s="170"/>
      <c r="D51" s="171"/>
      <c r="E51" s="148"/>
      <c r="F51" s="148"/>
      <c r="G51" s="148"/>
      <c r="H51" s="148"/>
      <c r="I51" s="148"/>
      <c r="J51" s="148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8"/>
    </row>
    <row r="52" spans="1:21" s="123" customFormat="1" ht="14" thickTop="1" thickBot="1" x14ac:dyDescent="0.35">
      <c r="A52" s="457" t="s">
        <v>100</v>
      </c>
      <c r="B52" s="458"/>
      <c r="C52" s="170"/>
      <c r="D52" s="171"/>
      <c r="E52" s="148"/>
      <c r="F52" s="148"/>
      <c r="G52" s="148"/>
      <c r="H52" s="148"/>
      <c r="I52" s="148"/>
      <c r="J52" s="148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8"/>
    </row>
    <row r="53" spans="1:21" s="123" customFormat="1" ht="13.5" thickTop="1" x14ac:dyDescent="0.3">
      <c r="A53" s="152"/>
      <c r="B53" s="169"/>
      <c r="C53" s="170"/>
      <c r="D53" s="171"/>
      <c r="E53" s="148"/>
      <c r="F53" s="148"/>
      <c r="G53" s="148"/>
      <c r="H53" s="148"/>
      <c r="I53" s="148"/>
      <c r="J53" s="148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8"/>
    </row>
    <row r="54" spans="1:21" s="123" customFormat="1" ht="13" x14ac:dyDescent="0.3">
      <c r="A54" s="152" t="s">
        <v>83</v>
      </c>
      <c r="B54" s="169"/>
      <c r="C54" s="170"/>
      <c r="D54" s="171"/>
      <c r="E54" s="148"/>
      <c r="F54" s="148"/>
      <c r="G54" s="148"/>
      <c r="H54" s="148"/>
      <c r="I54" s="148"/>
      <c r="J54" s="148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8"/>
    </row>
    <row r="55" spans="1:21" s="123" customFormat="1" ht="25" x14ac:dyDescent="0.25">
      <c r="A55" s="172" t="s">
        <v>101</v>
      </c>
      <c r="B55" s="154" t="s">
        <v>102</v>
      </c>
      <c r="C55" s="155">
        <f>SUM(D55:U55)</f>
        <v>6643499.7994688135</v>
      </c>
      <c r="D55" s="162">
        <v>546179.23167763546</v>
      </c>
      <c r="E55" s="163">
        <v>1212032.4433590677</v>
      </c>
      <c r="F55" s="163">
        <v>1198209.271103414</v>
      </c>
      <c r="G55" s="163">
        <v>400715.1735886907</v>
      </c>
      <c r="H55" s="163">
        <v>396875.10357682232</v>
      </c>
      <c r="I55" s="163">
        <v>115460.41045494948</v>
      </c>
      <c r="J55" s="163">
        <v>155778.53603333043</v>
      </c>
      <c r="K55" s="163">
        <v>37358.427049017053</v>
      </c>
      <c r="L55" s="163">
        <v>4909.5416176774233</v>
      </c>
      <c r="M55" s="163">
        <v>4309.2040041641649</v>
      </c>
      <c r="N55" s="163">
        <v>9391.0311700366528</v>
      </c>
      <c r="O55" s="163">
        <v>2334005.6042338912</v>
      </c>
      <c r="P55" s="163">
        <v>34319.285540235913</v>
      </c>
      <c r="Q55" s="163">
        <v>9355.9506939984331</v>
      </c>
      <c r="R55" s="163">
        <v>22084.298372362562</v>
      </c>
      <c r="S55" s="163">
        <v>93340.779650333643</v>
      </c>
      <c r="T55" s="163">
        <v>26179.633012079499</v>
      </c>
      <c r="U55" s="164">
        <v>42995.874331106694</v>
      </c>
    </row>
    <row r="56" spans="1:21" s="123" customFormat="1" ht="12.5" x14ac:dyDescent="0.25">
      <c r="A56" s="159" t="s">
        <v>103</v>
      </c>
      <c r="B56" s="160" t="s">
        <v>104</v>
      </c>
      <c r="C56" s="161">
        <f>SUM(D56:U56)</f>
        <v>4141041.2897778763</v>
      </c>
      <c r="D56" s="162">
        <v>523208.4185452399</v>
      </c>
      <c r="E56" s="163">
        <v>1151470.577339486</v>
      </c>
      <c r="F56" s="163">
        <v>1125501.5810531541</v>
      </c>
      <c r="G56" s="163">
        <v>377731.79322586086</v>
      </c>
      <c r="H56" s="163">
        <v>374057.59055308421</v>
      </c>
      <c r="I56" s="163">
        <v>110118.92522189968</v>
      </c>
      <c r="J56" s="163">
        <v>148360.51050793374</v>
      </c>
      <c r="K56" s="163">
        <v>35271.55520836683</v>
      </c>
      <c r="L56" s="163">
        <v>4635.2906665067976</v>
      </c>
      <c r="M56" s="163">
        <v>4068.4883958729424</v>
      </c>
      <c r="N56" s="163">
        <v>905.8581238580739</v>
      </c>
      <c r="O56" s="163">
        <v>67686.343019697582</v>
      </c>
      <c r="P56" s="163">
        <v>33249.892654274583</v>
      </c>
      <c r="Q56" s="163">
        <v>9064.4181939457485</v>
      </c>
      <c r="R56" s="163">
        <v>21378.798037137043</v>
      </c>
      <c r="S56" s="163">
        <v>88638.650149151406</v>
      </c>
      <c r="T56" s="163">
        <v>24860.809394177748</v>
      </c>
      <c r="U56" s="164">
        <v>40831.789488230483</v>
      </c>
    </row>
    <row r="57" spans="1:21" s="123" customFormat="1" ht="12.5" x14ac:dyDescent="0.25">
      <c r="A57" s="159" t="s">
        <v>105</v>
      </c>
      <c r="B57" s="160" t="s">
        <v>106</v>
      </c>
      <c r="C57" s="161">
        <f>SUM(D57:U57)</f>
        <v>3950990.725586189</v>
      </c>
      <c r="D57" s="162">
        <v>523208.4185452399</v>
      </c>
      <c r="E57" s="163">
        <v>1151470.577339486</v>
      </c>
      <c r="F57" s="163">
        <v>1125501.5810531541</v>
      </c>
      <c r="G57" s="163">
        <v>377731.79322586086</v>
      </c>
      <c r="H57" s="163">
        <v>313428.58224634937</v>
      </c>
      <c r="I57" s="163">
        <v>110118.92522189968</v>
      </c>
      <c r="J57" s="163">
        <v>115895.93466114729</v>
      </c>
      <c r="K57" s="163">
        <v>35271.55520836683</v>
      </c>
      <c r="L57" s="163">
        <v>4635.2906665067976</v>
      </c>
      <c r="M57" s="163">
        <v>4068.4883958729424</v>
      </c>
      <c r="N57" s="163">
        <v>166.53414074634964</v>
      </c>
      <c r="O57" s="163">
        <v>0</v>
      </c>
      <c r="P57" s="163">
        <v>33249.892654274583</v>
      </c>
      <c r="Q57" s="163">
        <v>9064.4181939457485</v>
      </c>
      <c r="R57" s="163">
        <v>10131.118533601066</v>
      </c>
      <c r="S57" s="163">
        <v>88638.650149151406</v>
      </c>
      <c r="T57" s="163">
        <v>24860.809394177748</v>
      </c>
      <c r="U57" s="164">
        <v>23548.155956409049</v>
      </c>
    </row>
    <row r="58" spans="1:21" s="123" customFormat="1" ht="12.5" x14ac:dyDescent="0.25">
      <c r="A58" s="159" t="s">
        <v>107</v>
      </c>
      <c r="B58" s="160" t="s">
        <v>108</v>
      </c>
      <c r="C58" s="161">
        <f>SUM(D58:U58)</f>
        <v>3398187.6272605397</v>
      </c>
      <c r="D58" s="162">
        <v>516725.85778395028</v>
      </c>
      <c r="E58" s="163">
        <v>1126424.2038653044</v>
      </c>
      <c r="F58" s="163">
        <v>1084352.2815415512</v>
      </c>
      <c r="G58" s="163">
        <v>365616.03429625061</v>
      </c>
      <c r="H58" s="163">
        <v>0</v>
      </c>
      <c r="I58" s="163">
        <v>108210.31907680364</v>
      </c>
      <c r="J58" s="163">
        <v>0</v>
      </c>
      <c r="K58" s="163">
        <v>34211.013781151145</v>
      </c>
      <c r="L58" s="163">
        <v>4495.9172323053326</v>
      </c>
      <c r="M58" s="163">
        <v>3946.1575129708467</v>
      </c>
      <c r="N58" s="163">
        <v>0</v>
      </c>
      <c r="O58" s="163">
        <v>0</v>
      </c>
      <c r="P58" s="163">
        <v>32904.396491117848</v>
      </c>
      <c r="Q58" s="163">
        <v>8970.2307708518056</v>
      </c>
      <c r="R58" s="163">
        <v>0</v>
      </c>
      <c r="S58" s="163">
        <v>87726.296663847403</v>
      </c>
      <c r="T58" s="163">
        <v>24604.918244435619</v>
      </c>
      <c r="U58" s="164">
        <v>0</v>
      </c>
    </row>
    <row r="59" spans="1:21" s="123" customFormat="1" ht="11.25" customHeight="1" x14ac:dyDescent="0.25">
      <c r="A59" s="150"/>
      <c r="B59" s="151"/>
      <c r="C59" s="170"/>
      <c r="D59" s="171"/>
      <c r="E59" s="148"/>
      <c r="F59" s="148"/>
      <c r="G59" s="148"/>
      <c r="H59" s="148"/>
      <c r="I59" s="148"/>
      <c r="J59" s="148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8"/>
    </row>
    <row r="60" spans="1:21" s="123" customFormat="1" ht="13" x14ac:dyDescent="0.3">
      <c r="A60" s="152" t="s">
        <v>78</v>
      </c>
      <c r="B60" s="169"/>
      <c r="C60" s="170"/>
      <c r="D60" s="171"/>
      <c r="E60" s="148"/>
      <c r="F60" s="148"/>
      <c r="G60" s="148"/>
      <c r="H60" s="148"/>
      <c r="I60" s="148"/>
      <c r="J60" s="148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8"/>
    </row>
    <row r="61" spans="1:21" s="123" customFormat="1" ht="25" x14ac:dyDescent="0.25">
      <c r="A61" s="172" t="s">
        <v>101</v>
      </c>
      <c r="B61" s="154" t="s">
        <v>109</v>
      </c>
      <c r="C61" s="155">
        <f>SUM(D61:U61)</f>
        <v>24976548.383859038</v>
      </c>
      <c r="D61" s="162">
        <v>1982984.036580347</v>
      </c>
      <c r="E61" s="163">
        <v>4432078.5537502365</v>
      </c>
      <c r="F61" s="163">
        <v>4276546.0005121725</v>
      </c>
      <c r="G61" s="163">
        <v>1533635.189576955</v>
      </c>
      <c r="H61" s="163">
        <v>1522740.7294374744</v>
      </c>
      <c r="I61" s="163">
        <v>445570.12401610706</v>
      </c>
      <c r="J61" s="163">
        <v>607533.13442979311</v>
      </c>
      <c r="K61" s="163">
        <v>132770.3119097793</v>
      </c>
      <c r="L61" s="163">
        <v>18056.571246067811</v>
      </c>
      <c r="M61" s="163">
        <v>16830.595464482351</v>
      </c>
      <c r="N61" s="163">
        <v>36250.162748330389</v>
      </c>
      <c r="O61" s="163">
        <v>9129742.2985308617</v>
      </c>
      <c r="P61" s="163">
        <v>123312.68580213755</v>
      </c>
      <c r="Q61" s="163">
        <v>34822.445239429602</v>
      </c>
      <c r="R61" s="163">
        <v>85796.25445422843</v>
      </c>
      <c r="S61" s="163">
        <v>332342.97170471883</v>
      </c>
      <c r="T61" s="163">
        <v>97866.185392897722</v>
      </c>
      <c r="U61" s="164">
        <v>167670.13306301361</v>
      </c>
    </row>
    <row r="62" spans="1:21" s="123" customFormat="1" ht="12.5" x14ac:dyDescent="0.25">
      <c r="A62" s="159" t="s">
        <v>103</v>
      </c>
      <c r="B62" s="160" t="s">
        <v>110</v>
      </c>
      <c r="C62" s="161">
        <f>SUM(D62:U62)</f>
        <v>15242257.876051595</v>
      </c>
      <c r="D62" s="162">
        <v>1899585.1207905659</v>
      </c>
      <c r="E62" s="163">
        <v>4210620.0036667185</v>
      </c>
      <c r="F62" s="163">
        <v>4017043.9347298066</v>
      </c>
      <c r="G62" s="163">
        <v>1445672.1594171643</v>
      </c>
      <c r="H62" s="163">
        <v>1435193.9014490806</v>
      </c>
      <c r="I62" s="163">
        <v>424956.94389365427</v>
      </c>
      <c r="J62" s="163">
        <v>578602.98517123156</v>
      </c>
      <c r="K62" s="163">
        <v>125353.65529210844</v>
      </c>
      <c r="L62" s="163">
        <v>17047.916625179405</v>
      </c>
      <c r="M62" s="163">
        <v>15890.42483871914</v>
      </c>
      <c r="N62" s="163">
        <v>3496.6878314199275</v>
      </c>
      <c r="O62" s="163">
        <v>264763.23269268218</v>
      </c>
      <c r="P62" s="163">
        <v>119470.2483250815</v>
      </c>
      <c r="Q62" s="163">
        <v>33737.373839351501</v>
      </c>
      <c r="R62" s="163">
        <v>83055.425415516394</v>
      </c>
      <c r="S62" s="163">
        <v>315600.88215267658</v>
      </c>
      <c r="T62" s="163">
        <v>92936.084324232943</v>
      </c>
      <c r="U62" s="164">
        <v>159230.89559640418</v>
      </c>
    </row>
    <row r="63" spans="1:21" s="123" customFormat="1" ht="12.5" x14ac:dyDescent="0.25">
      <c r="A63" s="159" t="s">
        <v>105</v>
      </c>
      <c r="B63" s="160" t="s">
        <v>111</v>
      </c>
      <c r="C63" s="161">
        <f>SUM(D63:U63)</f>
        <v>14504309.412025111</v>
      </c>
      <c r="D63" s="162">
        <v>1899585.1207905659</v>
      </c>
      <c r="E63" s="163">
        <v>4210620.0036667185</v>
      </c>
      <c r="F63" s="163">
        <v>4017043.9347298066</v>
      </c>
      <c r="G63" s="163">
        <v>1445672.1594171643</v>
      </c>
      <c r="H63" s="163">
        <v>1202570.9439946644</v>
      </c>
      <c r="I63" s="163">
        <v>424956.94389365427</v>
      </c>
      <c r="J63" s="163">
        <v>451991.79710670945</v>
      </c>
      <c r="K63" s="163">
        <v>125353.65529210844</v>
      </c>
      <c r="L63" s="163">
        <v>17047.916625179405</v>
      </c>
      <c r="M63" s="163">
        <v>15890.42483871914</v>
      </c>
      <c r="N63" s="163">
        <v>642.8356583960707</v>
      </c>
      <c r="O63" s="163">
        <v>0</v>
      </c>
      <c r="P63" s="163">
        <v>119470.2483250815</v>
      </c>
      <c r="Q63" s="163">
        <v>33737.373839351501</v>
      </c>
      <c r="R63" s="163">
        <v>39358.824489645711</v>
      </c>
      <c r="S63" s="163">
        <v>315600.88215267658</v>
      </c>
      <c r="T63" s="163">
        <v>92936.084324232943</v>
      </c>
      <c r="U63" s="164">
        <v>91830.262880435606</v>
      </c>
    </row>
    <row r="64" spans="1:21" s="123" customFormat="1" ht="12.5" x14ac:dyDescent="0.25">
      <c r="A64" s="159" t="s">
        <v>107</v>
      </c>
      <c r="B64" s="160" t="s">
        <v>112</v>
      </c>
      <c r="C64" s="161">
        <f>SUM(D64:U64)</f>
        <v>12391632.455721527</v>
      </c>
      <c r="D64" s="162">
        <v>1876049.2304449831</v>
      </c>
      <c r="E64" s="163">
        <v>4119032.1131507773</v>
      </c>
      <c r="F64" s="163">
        <v>3870177.3760291152</v>
      </c>
      <c r="G64" s="163">
        <v>1399302.1802709443</v>
      </c>
      <c r="H64" s="163">
        <v>0</v>
      </c>
      <c r="I64" s="163">
        <v>417591.49392324936</v>
      </c>
      <c r="J64" s="163">
        <v>0</v>
      </c>
      <c r="K64" s="163">
        <v>121584.53471591508</v>
      </c>
      <c r="L64" s="163">
        <v>16535.32165390825</v>
      </c>
      <c r="M64" s="163">
        <v>15412.633209232921</v>
      </c>
      <c r="N64" s="163">
        <v>0</v>
      </c>
      <c r="O64" s="163">
        <v>0</v>
      </c>
      <c r="P64" s="163">
        <v>118228.84544787878</v>
      </c>
      <c r="Q64" s="163">
        <v>33386.812310095498</v>
      </c>
      <c r="R64" s="163">
        <v>0</v>
      </c>
      <c r="S64" s="163">
        <v>312352.41701571317</v>
      </c>
      <c r="T64" s="163">
        <v>91979.497549715903</v>
      </c>
      <c r="U64" s="164">
        <v>0</v>
      </c>
    </row>
    <row r="65" spans="1:21" s="123" customFormat="1" ht="12.5" x14ac:dyDescent="0.25">
      <c r="A65" s="150"/>
      <c r="B65" s="151"/>
      <c r="C65" s="170"/>
      <c r="D65" s="171"/>
      <c r="E65" s="148"/>
      <c r="F65" s="148"/>
      <c r="G65" s="148"/>
      <c r="H65" s="148"/>
      <c r="I65" s="148"/>
      <c r="J65" s="148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8"/>
    </row>
    <row r="66" spans="1:21" s="123" customFormat="1" ht="13" x14ac:dyDescent="0.3">
      <c r="A66" s="152" t="s">
        <v>80</v>
      </c>
      <c r="B66" s="169"/>
      <c r="C66" s="170"/>
      <c r="D66" s="171"/>
      <c r="E66" s="148"/>
      <c r="F66" s="148"/>
      <c r="G66" s="148"/>
      <c r="H66" s="148"/>
      <c r="I66" s="148"/>
      <c r="J66" s="148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8"/>
    </row>
    <row r="67" spans="1:21" s="123" customFormat="1" ht="25" x14ac:dyDescent="0.25">
      <c r="A67" s="172" t="s">
        <v>101</v>
      </c>
      <c r="B67" s="154" t="s">
        <v>113</v>
      </c>
      <c r="C67" s="155">
        <f>SUM(D67:U67)</f>
        <v>68138178.108620346</v>
      </c>
      <c r="D67" s="162">
        <v>5075332.0206837384</v>
      </c>
      <c r="E67" s="163">
        <v>11850553.713343909</v>
      </c>
      <c r="F67" s="163">
        <v>10995529.529494995</v>
      </c>
      <c r="G67" s="163">
        <v>4213772.2858709702</v>
      </c>
      <c r="H67" s="163">
        <v>4384867.2911451282</v>
      </c>
      <c r="I67" s="163">
        <v>1223023.7477695816</v>
      </c>
      <c r="J67" s="163">
        <v>1749310.8010929285</v>
      </c>
      <c r="K67" s="163">
        <v>310623.67831899627</v>
      </c>
      <c r="L67" s="163">
        <v>42263.76443938812</v>
      </c>
      <c r="M67" s="163">
        <v>49504.45725627106</v>
      </c>
      <c r="N67" s="163">
        <v>93104.295581456739</v>
      </c>
      <c r="O67" s="163">
        <v>25982366.90262685</v>
      </c>
      <c r="P67" s="163">
        <v>302473.42709106294</v>
      </c>
      <c r="Q67" s="163">
        <v>92852.15543139154</v>
      </c>
      <c r="R67" s="163">
        <v>243288.06425707057</v>
      </c>
      <c r="S67" s="163">
        <v>819851.68222372211</v>
      </c>
      <c r="T67" s="163">
        <v>252336.17093507448</v>
      </c>
      <c r="U67" s="164">
        <v>457124.12105781038</v>
      </c>
    </row>
    <row r="68" spans="1:21" s="123" customFormat="1" ht="12.5" x14ac:dyDescent="0.25">
      <c r="A68" s="153" t="s">
        <v>103</v>
      </c>
      <c r="B68" s="154" t="s">
        <v>114</v>
      </c>
      <c r="C68" s="161">
        <f>SUM(D68:U68)</f>
        <v>40599119.612919822</v>
      </c>
      <c r="D68" s="162">
        <v>4861877.3584222486</v>
      </c>
      <c r="E68" s="163">
        <v>11258414.740350451</v>
      </c>
      <c r="F68" s="163">
        <v>10328317.57224416</v>
      </c>
      <c r="G68" s="163">
        <v>3972087.5741561837</v>
      </c>
      <c r="H68" s="163">
        <v>4132768.4176674159</v>
      </c>
      <c r="I68" s="163">
        <v>1166443.632883108</v>
      </c>
      <c r="J68" s="163">
        <v>1666010.28675517</v>
      </c>
      <c r="K68" s="163">
        <v>293271.98932864936</v>
      </c>
      <c r="L68" s="163">
        <v>39902.876499092628</v>
      </c>
      <c r="M68" s="163">
        <v>46739.098380233932</v>
      </c>
      <c r="N68" s="163">
        <v>8980.8329875042673</v>
      </c>
      <c r="O68" s="163">
        <v>753490.64948457736</v>
      </c>
      <c r="P68" s="163">
        <v>293048.3203025111</v>
      </c>
      <c r="Q68" s="163">
        <v>89958.871585255183</v>
      </c>
      <c r="R68" s="163">
        <v>235516.03509880987</v>
      </c>
      <c r="S68" s="163">
        <v>778550.88319440675</v>
      </c>
      <c r="T68" s="163">
        <v>239624.49916616469</v>
      </c>
      <c r="U68" s="164">
        <v>434115.97441387502</v>
      </c>
    </row>
    <row r="69" spans="1:21" s="123" customFormat="1" ht="12.5" x14ac:dyDescent="0.25">
      <c r="A69" s="153" t="s">
        <v>105</v>
      </c>
      <c r="B69" s="154" t="s">
        <v>115</v>
      </c>
      <c r="C69" s="161">
        <f>SUM(D69:U69)</f>
        <v>38496216.036106169</v>
      </c>
      <c r="D69" s="162">
        <v>4861877.3584222486</v>
      </c>
      <c r="E69" s="163">
        <v>11258414.740350451</v>
      </c>
      <c r="F69" s="163">
        <v>10328317.57224416</v>
      </c>
      <c r="G69" s="163">
        <v>3972087.5741561837</v>
      </c>
      <c r="H69" s="163">
        <v>3462909.9331648527</v>
      </c>
      <c r="I69" s="163">
        <v>1166443.632883108</v>
      </c>
      <c r="J69" s="163">
        <v>1301450.2220134318</v>
      </c>
      <c r="K69" s="163">
        <v>293271.98932864936</v>
      </c>
      <c r="L69" s="163">
        <v>39902.876499092628</v>
      </c>
      <c r="M69" s="163">
        <v>46739.098380233932</v>
      </c>
      <c r="N69" s="163">
        <v>1651.048067428738</v>
      </c>
      <c r="O69" s="163">
        <v>0</v>
      </c>
      <c r="P69" s="163">
        <v>293048.3203025111</v>
      </c>
      <c r="Q69" s="163">
        <v>89958.871585255183</v>
      </c>
      <c r="R69" s="163">
        <v>111607.81181453736</v>
      </c>
      <c r="S69" s="163">
        <v>778550.88319440675</v>
      </c>
      <c r="T69" s="163">
        <v>239624.49916616469</v>
      </c>
      <c r="U69" s="164">
        <v>250359.60453344867</v>
      </c>
    </row>
    <row r="70" spans="1:21" s="123" customFormat="1" ht="13" thickBot="1" x14ac:dyDescent="0.3">
      <c r="A70" s="173" t="s">
        <v>107</v>
      </c>
      <c r="B70" s="174" t="s">
        <v>116</v>
      </c>
      <c r="C70" s="175">
        <f>SUM(D70:U70)</f>
        <v>32511992.647932656</v>
      </c>
      <c r="D70" s="176">
        <v>4801638.6193791283</v>
      </c>
      <c r="E70" s="177">
        <v>11013525.755895825</v>
      </c>
      <c r="F70" s="177">
        <v>9950705.4565565567</v>
      </c>
      <c r="G70" s="177">
        <v>3844682.742583002</v>
      </c>
      <c r="H70" s="177">
        <v>0</v>
      </c>
      <c r="I70" s="177">
        <v>1146226.5677315667</v>
      </c>
      <c r="J70" s="177">
        <v>0</v>
      </c>
      <c r="K70" s="177">
        <v>284453.91787453869</v>
      </c>
      <c r="L70" s="177">
        <v>38703.08098845066</v>
      </c>
      <c r="M70" s="177">
        <v>45333.752066182285</v>
      </c>
      <c r="N70" s="177">
        <v>0</v>
      </c>
      <c r="O70" s="177">
        <v>0</v>
      </c>
      <c r="P70" s="177">
        <v>290003.28580159438</v>
      </c>
      <c r="Q70" s="177">
        <v>89024.118342657282</v>
      </c>
      <c r="R70" s="177">
        <v>0</v>
      </c>
      <c r="S70" s="177">
        <v>770537.29532304709</v>
      </c>
      <c r="T70" s="177">
        <v>237158.05539010759</v>
      </c>
      <c r="U70" s="178">
        <v>0</v>
      </c>
    </row>
    <row r="71" spans="1:21" x14ac:dyDescent="0.2"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</row>
    <row r="72" spans="1:21" x14ac:dyDescent="0.2"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</row>
    <row r="73" spans="1:21" x14ac:dyDescent="0.2"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</row>
  </sheetData>
  <mergeCells count="17">
    <mergeCell ref="A26:B26"/>
    <mergeCell ref="A1:F1"/>
    <mergeCell ref="A2:E2"/>
    <mergeCell ref="A4:E4"/>
    <mergeCell ref="A14:B14"/>
    <mergeCell ref="A15:B15"/>
    <mergeCell ref="A17:B17"/>
    <mergeCell ref="A18:B18"/>
    <mergeCell ref="A19:B19"/>
    <mergeCell ref="A20:B20"/>
    <mergeCell ref="A24:B24"/>
    <mergeCell ref="A25:B25"/>
    <mergeCell ref="A27:B27"/>
    <mergeCell ref="S29:U29"/>
    <mergeCell ref="A31:B31"/>
    <mergeCell ref="A35:B35"/>
    <mergeCell ref="A52:B52"/>
  </mergeCells>
  <pageMargins left="0.39370078740157483" right="0.39370078740157483" top="0.39370078740157483" bottom="0.39370078740157483" header="0.51181102362204722" footer="0.51181102362204722"/>
  <pageSetup scale="4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9"/>
    <pageSetUpPr fitToPage="1"/>
  </sheetPr>
  <dimension ref="A1:V114"/>
  <sheetViews>
    <sheetView zoomScaleNormal="100" workbookViewId="0">
      <selection activeCell="G3" sqref="G3"/>
    </sheetView>
  </sheetViews>
  <sheetFormatPr defaultColWidth="9.1796875" defaultRowHeight="10.5" x14ac:dyDescent="0.25"/>
  <cols>
    <col min="1" max="1" width="10.54296875" style="186" customWidth="1"/>
    <col min="2" max="2" width="49.1796875" style="181" customWidth="1"/>
    <col min="3" max="3" width="36.453125" style="182" customWidth="1"/>
    <col min="4" max="4" width="17.54296875" style="183" customWidth="1"/>
    <col min="5" max="5" width="18.81640625" style="183" bestFit="1" customWidth="1"/>
    <col min="6" max="6" width="19.1796875" style="183" bestFit="1" customWidth="1"/>
    <col min="7" max="8" width="17.453125" style="183" bestFit="1" customWidth="1"/>
    <col min="9" max="11" width="15.54296875" style="183" customWidth="1"/>
    <col min="12" max="14" width="15.54296875" style="181" customWidth="1"/>
    <col min="15" max="15" width="17.1796875" style="181" customWidth="1"/>
    <col min="16" max="21" width="15.54296875" style="181" customWidth="1"/>
    <col min="22" max="16384" width="9.1796875" style="181"/>
  </cols>
  <sheetData>
    <row r="1" spans="1:21" s="1" customFormat="1" ht="86.25" customHeight="1" x14ac:dyDescent="0.2">
      <c r="A1" s="439"/>
      <c r="B1" s="439"/>
      <c r="C1" s="439"/>
      <c r="D1" s="439"/>
      <c r="E1" s="439"/>
      <c r="F1" s="439"/>
    </row>
    <row r="2" spans="1:21" s="1" customFormat="1" ht="18.75" customHeight="1" x14ac:dyDescent="0.4">
      <c r="A2" s="440"/>
      <c r="B2" s="440"/>
      <c r="C2" s="440"/>
      <c r="D2" s="440"/>
      <c r="E2" s="440"/>
    </row>
    <row r="3" spans="1:21" s="1" customFormat="1" ht="42" customHeight="1" x14ac:dyDescent="0.2"/>
    <row r="4" spans="1:21" s="1" customFormat="1" ht="17.5" x14ac:dyDescent="0.35">
      <c r="A4" s="441" t="s">
        <v>320</v>
      </c>
      <c r="B4" s="441"/>
      <c r="C4" s="441"/>
      <c r="D4" s="441"/>
      <c r="E4" s="441"/>
    </row>
    <row r="5" spans="1:21" s="1" customFormat="1" ht="21" customHeight="1" x14ac:dyDescent="0.4">
      <c r="A5" s="2" t="s">
        <v>337</v>
      </c>
      <c r="B5" s="3"/>
      <c r="C5" s="128"/>
      <c r="D5" s="128"/>
      <c r="E5" s="5"/>
    </row>
    <row r="6" spans="1:21" s="1" customFormat="1" ht="6" customHeight="1" x14ac:dyDescent="0.2">
      <c r="A6" s="6"/>
      <c r="B6" s="6"/>
      <c r="C6" s="180"/>
      <c r="D6" s="180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1" ht="12" customHeight="1" x14ac:dyDescent="0.35">
      <c r="A7" s="8"/>
      <c r="E7" s="184"/>
      <c r="F7" s="184"/>
    </row>
    <row r="8" spans="1:21" ht="12" customHeight="1" x14ac:dyDescent="0.25">
      <c r="A8" s="185"/>
    </row>
    <row r="9" spans="1:21" ht="12" customHeight="1" x14ac:dyDescent="0.25">
      <c r="A9" s="8"/>
    </row>
    <row r="10" spans="1:21" ht="12" customHeight="1" x14ac:dyDescent="0.3">
      <c r="B10" s="187"/>
      <c r="C10" s="188"/>
      <c r="D10" s="189"/>
      <c r="E10" s="189"/>
      <c r="F10" s="189"/>
    </row>
    <row r="11" spans="1:21" ht="12" customHeight="1" x14ac:dyDescent="0.25"/>
    <row r="12" spans="1:21" ht="12" customHeight="1" x14ac:dyDescent="0.25"/>
    <row r="13" spans="1:21" ht="12" customHeight="1" x14ac:dyDescent="0.25">
      <c r="A13" s="190"/>
      <c r="B13" s="191"/>
    </row>
    <row r="14" spans="1:21" x14ac:dyDescent="0.25">
      <c r="B14" s="192"/>
      <c r="C14" s="192"/>
      <c r="D14" s="192"/>
      <c r="E14" s="192"/>
      <c r="F14" s="192"/>
      <c r="G14" s="192"/>
      <c r="H14" s="192"/>
      <c r="I14" s="192"/>
      <c r="J14" s="192"/>
      <c r="K14" s="192"/>
    </row>
    <row r="15" spans="1:21" ht="16" customHeight="1" thickBot="1" x14ac:dyDescent="0.3">
      <c r="A15" s="193"/>
      <c r="B15" s="194"/>
      <c r="C15" s="468"/>
      <c r="D15" s="468"/>
      <c r="E15" s="468"/>
      <c r="F15" s="468"/>
      <c r="G15" s="468"/>
      <c r="H15" s="468"/>
      <c r="I15" s="468"/>
      <c r="J15" s="468"/>
      <c r="K15" s="468"/>
    </row>
    <row r="16" spans="1:21" s="199" customFormat="1" ht="16" customHeight="1" x14ac:dyDescent="0.3">
      <c r="A16" s="195"/>
      <c r="B16" s="196"/>
      <c r="C16" s="197"/>
      <c r="D16" s="198">
        <v>1</v>
      </c>
      <c r="E16" s="198">
        <v>2</v>
      </c>
      <c r="F16" s="198">
        <v>3</v>
      </c>
      <c r="G16" s="198">
        <v>4</v>
      </c>
      <c r="H16" s="198">
        <v>5</v>
      </c>
      <c r="I16" s="198">
        <v>6</v>
      </c>
      <c r="J16" s="198">
        <v>7</v>
      </c>
      <c r="K16" s="198">
        <v>8</v>
      </c>
      <c r="L16" s="198">
        <v>9</v>
      </c>
      <c r="M16" s="198">
        <v>10</v>
      </c>
      <c r="N16" s="198">
        <v>11</v>
      </c>
      <c r="O16" s="198">
        <v>12</v>
      </c>
      <c r="P16" s="198">
        <v>13</v>
      </c>
      <c r="Q16" s="198">
        <v>14</v>
      </c>
      <c r="R16" s="198">
        <v>15</v>
      </c>
      <c r="S16" s="198">
        <v>16</v>
      </c>
      <c r="T16" s="198">
        <v>17</v>
      </c>
      <c r="U16" s="198">
        <v>18</v>
      </c>
    </row>
    <row r="17" spans="1:21" ht="26.5" thickBot="1" x14ac:dyDescent="0.35">
      <c r="A17" s="200" t="s">
        <v>117</v>
      </c>
      <c r="B17" s="201"/>
      <c r="C17" s="202" t="s">
        <v>5</v>
      </c>
      <c r="D17" s="203" t="s">
        <v>24</v>
      </c>
      <c r="E17" s="203" t="s">
        <v>62</v>
      </c>
      <c r="F17" s="203" t="s">
        <v>64</v>
      </c>
      <c r="G17" s="203" t="s">
        <v>322</v>
      </c>
      <c r="H17" s="203" t="s">
        <v>323</v>
      </c>
      <c r="I17" s="203" t="s">
        <v>324</v>
      </c>
      <c r="J17" s="203" t="s">
        <v>325</v>
      </c>
      <c r="K17" s="203" t="s">
        <v>326</v>
      </c>
      <c r="L17" s="203" t="s">
        <v>327</v>
      </c>
      <c r="M17" s="203" t="s">
        <v>328</v>
      </c>
      <c r="N17" s="203" t="s">
        <v>329</v>
      </c>
      <c r="O17" s="203" t="s">
        <v>330</v>
      </c>
      <c r="P17" s="203" t="s">
        <v>65</v>
      </c>
      <c r="Q17" s="203" t="s">
        <v>331</v>
      </c>
      <c r="R17" s="203" t="s">
        <v>332</v>
      </c>
      <c r="S17" s="203" t="s">
        <v>66</v>
      </c>
      <c r="T17" s="203" t="s">
        <v>333</v>
      </c>
      <c r="U17" s="203" t="s">
        <v>334</v>
      </c>
    </row>
    <row r="18" spans="1:21" ht="13" x14ac:dyDescent="0.3">
      <c r="A18" s="204" t="s">
        <v>118</v>
      </c>
      <c r="B18" s="205" t="s">
        <v>119</v>
      </c>
      <c r="C18" s="206">
        <f>SUM(D18:U18)</f>
        <v>1665661703.5202253</v>
      </c>
      <c r="D18" s="207">
        <v>111411971.77557725</v>
      </c>
      <c r="E18" s="207">
        <v>421222732.24718231</v>
      </c>
      <c r="F18" s="207">
        <v>650481900.10767841</v>
      </c>
      <c r="G18" s="207">
        <v>171351141.81424558</v>
      </c>
      <c r="H18" s="207">
        <v>142142637.73477501</v>
      </c>
      <c r="I18" s="207">
        <v>23612494.58175981</v>
      </c>
      <c r="J18" s="207">
        <v>27728011.157537896</v>
      </c>
      <c r="K18" s="207">
        <v>9591155.1408041641</v>
      </c>
      <c r="L18" s="207">
        <v>2659281.3751204461</v>
      </c>
      <c r="M18" s="207">
        <v>3536636.1294668103</v>
      </c>
      <c r="N18" s="207">
        <v>5828157.9107498452</v>
      </c>
      <c r="O18" s="207">
        <v>63299377.468524322</v>
      </c>
      <c r="P18" s="207">
        <v>5772002.2073849197</v>
      </c>
      <c r="Q18" s="207">
        <v>1049890.7421351676</v>
      </c>
      <c r="R18" s="207">
        <v>1106428.472293162</v>
      </c>
      <c r="S18" s="207">
        <v>17662891.474306233</v>
      </c>
      <c r="T18" s="207">
        <v>4116063.8468360719</v>
      </c>
      <c r="U18" s="207">
        <v>3088929.3338477653</v>
      </c>
    </row>
    <row r="19" spans="1:21" s="210" customFormat="1" ht="13" x14ac:dyDescent="0.3">
      <c r="A19" s="204" t="s">
        <v>120</v>
      </c>
      <c r="B19" s="205" t="s">
        <v>121</v>
      </c>
      <c r="C19" s="208">
        <f>SUM(D19:U19)</f>
        <v>46419183.495439753</v>
      </c>
      <c r="D19" s="209">
        <v>4630635.193101367</v>
      </c>
      <c r="E19" s="209">
        <v>12774105.617574647</v>
      </c>
      <c r="F19" s="209">
        <v>15923711.348450653</v>
      </c>
      <c r="G19" s="209">
        <v>3849329.7625379832</v>
      </c>
      <c r="H19" s="209">
        <v>2277034.429535199</v>
      </c>
      <c r="I19" s="209">
        <v>626750.16128312354</v>
      </c>
      <c r="J19" s="209">
        <v>469593.13713400881</v>
      </c>
      <c r="K19" s="209">
        <v>266105.17045039631</v>
      </c>
      <c r="L19" s="209">
        <v>2746090.6855762345</v>
      </c>
      <c r="M19" s="209">
        <v>93359.735843750386</v>
      </c>
      <c r="N19" s="209">
        <v>82285.300068563636</v>
      </c>
      <c r="O19" s="209">
        <v>1343653.3749426857</v>
      </c>
      <c r="P19" s="209">
        <v>276181.69249853317</v>
      </c>
      <c r="Q19" s="209">
        <v>35500.750428101957</v>
      </c>
      <c r="R19" s="209">
        <v>42968.174006348774</v>
      </c>
      <c r="S19" s="209">
        <v>766139.11826590786</v>
      </c>
      <c r="T19" s="209">
        <v>121284.01815374567</v>
      </c>
      <c r="U19" s="209">
        <v>94455.825588507927</v>
      </c>
    </row>
    <row r="20" spans="1:21" ht="13.5" thickBot="1" x14ac:dyDescent="0.35">
      <c r="A20" s="204"/>
      <c r="B20" s="205"/>
      <c r="C20" s="469" t="s">
        <v>341</v>
      </c>
      <c r="D20" s="470"/>
      <c r="E20" s="470"/>
      <c r="F20" s="471"/>
      <c r="G20" s="209"/>
      <c r="H20" s="209"/>
      <c r="I20" s="209"/>
      <c r="J20" s="209"/>
      <c r="K20" s="209"/>
      <c r="L20" s="211"/>
      <c r="M20" s="211"/>
      <c r="N20" s="211"/>
      <c r="O20" s="211"/>
      <c r="P20" s="211"/>
      <c r="Q20" s="211"/>
      <c r="R20" s="211"/>
      <c r="S20" s="211"/>
      <c r="T20" s="211"/>
      <c r="U20" s="211"/>
    </row>
    <row r="21" spans="1:21" s="215" customFormat="1" ht="13.5" thickBot="1" x14ac:dyDescent="0.35">
      <c r="A21" s="204"/>
      <c r="B21" s="212" t="s">
        <v>122</v>
      </c>
      <c r="C21" s="213">
        <f t="shared" ref="C21:U21" si="0">C18+C19</f>
        <v>1712080887.0156651</v>
      </c>
      <c r="D21" s="214">
        <f t="shared" si="0"/>
        <v>116042606.96867861</v>
      </c>
      <c r="E21" s="214">
        <f t="shared" si="0"/>
        <v>433996837.86475694</v>
      </c>
      <c r="F21" s="214">
        <f t="shared" si="0"/>
        <v>666405611.45612907</v>
      </c>
      <c r="G21" s="214">
        <f t="shared" si="0"/>
        <v>175200471.57678357</v>
      </c>
      <c r="H21" s="214">
        <f t="shared" si="0"/>
        <v>144419672.16431022</v>
      </c>
      <c r="I21" s="214">
        <f t="shared" si="0"/>
        <v>24239244.743042935</v>
      </c>
      <c r="J21" s="214">
        <f t="shared" si="0"/>
        <v>28197604.294671904</v>
      </c>
      <c r="K21" s="214">
        <f t="shared" si="0"/>
        <v>9857260.3112545609</v>
      </c>
      <c r="L21" s="214">
        <f t="shared" si="0"/>
        <v>5405372.0606966801</v>
      </c>
      <c r="M21" s="214">
        <f t="shared" si="0"/>
        <v>3629995.8653105604</v>
      </c>
      <c r="N21" s="214">
        <f t="shared" si="0"/>
        <v>5910443.210818409</v>
      </c>
      <c r="O21" s="214">
        <f t="shared" si="0"/>
        <v>64643030.843467005</v>
      </c>
      <c r="P21" s="214">
        <f t="shared" si="0"/>
        <v>6048183.8998834528</v>
      </c>
      <c r="Q21" s="214">
        <f t="shared" si="0"/>
        <v>1085391.4925632696</v>
      </c>
      <c r="R21" s="214">
        <f t="shared" si="0"/>
        <v>1149396.6462995107</v>
      </c>
      <c r="S21" s="214">
        <f t="shared" si="0"/>
        <v>18429030.592572141</v>
      </c>
      <c r="T21" s="214">
        <f t="shared" si="0"/>
        <v>4237347.8649898171</v>
      </c>
      <c r="U21" s="214">
        <f t="shared" si="0"/>
        <v>3183385.1594362734</v>
      </c>
    </row>
    <row r="22" spans="1:21" ht="14" thickTop="1" thickBot="1" x14ac:dyDescent="0.35">
      <c r="A22" s="204"/>
      <c r="B22" s="205" t="s">
        <v>123</v>
      </c>
      <c r="C22" s="216">
        <f>(C40-C19)/C18</f>
        <v>0.95214849841186266</v>
      </c>
      <c r="D22" s="209"/>
      <c r="E22" s="209"/>
      <c r="F22" s="209"/>
      <c r="G22" s="209"/>
      <c r="H22" s="209"/>
      <c r="I22" s="209"/>
      <c r="J22" s="209"/>
      <c r="K22" s="209"/>
      <c r="L22" s="217"/>
      <c r="M22" s="217"/>
      <c r="N22" s="217"/>
      <c r="O22" s="217"/>
      <c r="P22" s="217"/>
      <c r="Q22" s="217"/>
      <c r="R22" s="217"/>
      <c r="S22" s="217"/>
      <c r="T22" s="217"/>
      <c r="U22" s="217"/>
    </row>
    <row r="23" spans="1:21" ht="13" x14ac:dyDescent="0.3">
      <c r="A23" s="204"/>
      <c r="B23" s="205" t="s">
        <v>124</v>
      </c>
      <c r="C23" s="206">
        <f>SUM(D23:U23)</f>
        <v>1585957289.8689272</v>
      </c>
      <c r="D23" s="207">
        <f>($C$40-$C$19)/$C$18*D18</f>
        <v>106080741.6312207</v>
      </c>
      <c r="E23" s="207">
        <f t="shared" ref="E23:U23" si="1">($C$40-$C$19)/$C$18*E18</f>
        <v>401066592.00609672</v>
      </c>
      <c r="F23" s="207">
        <f t="shared" si="1"/>
        <v>619355364.43162119</v>
      </c>
      <c r="G23" s="207">
        <f t="shared" si="1"/>
        <v>163151732.37959206</v>
      </c>
      <c r="H23" s="207">
        <f t="shared" si="1"/>
        <v>135340899.07946739</v>
      </c>
      <c r="I23" s="207">
        <f t="shared" si="1"/>
        <v>22482601.259780847</v>
      </c>
      <c r="J23" s="207">
        <f t="shared" si="1"/>
        <v>26401184.187597081</v>
      </c>
      <c r="K23" s="207">
        <f t="shared" si="1"/>
        <v>9132203.9653519019</v>
      </c>
      <c r="L23" s="207">
        <f t="shared" si="1"/>
        <v>2532030.7681755661</v>
      </c>
      <c r="M23" s="207">
        <f t="shared" si="1"/>
        <v>3367402.7801009654</v>
      </c>
      <c r="N23" s="207">
        <f t="shared" si="1"/>
        <v>5549271.8032276835</v>
      </c>
      <c r="O23" s="207">
        <f t="shared" si="1"/>
        <v>60270407.207061127</v>
      </c>
      <c r="P23" s="207">
        <f t="shared" si="1"/>
        <v>5495803.2345915083</v>
      </c>
      <c r="Q23" s="207">
        <f t="shared" si="1"/>
        <v>999651.89362051594</v>
      </c>
      <c r="R23" s="207">
        <f t="shared" si="1"/>
        <v>1053484.2084940653</v>
      </c>
      <c r="S23" s="207">
        <f t="shared" si="1"/>
        <v>16817695.59487237</v>
      </c>
      <c r="T23" s="207">
        <f t="shared" si="1"/>
        <v>3919104.0111323209</v>
      </c>
      <c r="U23" s="207">
        <f t="shared" si="1"/>
        <v>2941119.426923505</v>
      </c>
    </row>
    <row r="24" spans="1:21" s="210" customFormat="1" ht="13.5" thickBot="1" x14ac:dyDescent="0.35">
      <c r="A24" s="204"/>
      <c r="B24" s="205" t="s">
        <v>121</v>
      </c>
      <c r="C24" s="218">
        <f>SUM(D24:U24)</f>
        <v>46419183.495439753</v>
      </c>
      <c r="D24" s="211">
        <f>D19</f>
        <v>4630635.193101367</v>
      </c>
      <c r="E24" s="211">
        <f t="shared" ref="E24:U24" si="2">E19</f>
        <v>12774105.617574647</v>
      </c>
      <c r="F24" s="211">
        <f t="shared" si="2"/>
        <v>15923711.348450653</v>
      </c>
      <c r="G24" s="211">
        <f t="shared" si="2"/>
        <v>3849329.7625379832</v>
      </c>
      <c r="H24" s="211">
        <f t="shared" si="2"/>
        <v>2277034.429535199</v>
      </c>
      <c r="I24" s="211">
        <f t="shared" si="2"/>
        <v>626750.16128312354</v>
      </c>
      <c r="J24" s="211">
        <f t="shared" si="2"/>
        <v>469593.13713400881</v>
      </c>
      <c r="K24" s="211">
        <f t="shared" si="2"/>
        <v>266105.17045039631</v>
      </c>
      <c r="L24" s="211">
        <f t="shared" si="2"/>
        <v>2746090.6855762345</v>
      </c>
      <c r="M24" s="211">
        <f t="shared" si="2"/>
        <v>93359.735843750386</v>
      </c>
      <c r="N24" s="211">
        <f t="shared" si="2"/>
        <v>82285.300068563636</v>
      </c>
      <c r="O24" s="211">
        <f t="shared" si="2"/>
        <v>1343653.3749426857</v>
      </c>
      <c r="P24" s="211">
        <f t="shared" si="2"/>
        <v>276181.69249853317</v>
      </c>
      <c r="Q24" s="211">
        <f t="shared" si="2"/>
        <v>35500.750428101957</v>
      </c>
      <c r="R24" s="211">
        <f t="shared" si="2"/>
        <v>42968.174006348774</v>
      </c>
      <c r="S24" s="211">
        <f t="shared" si="2"/>
        <v>766139.11826590786</v>
      </c>
      <c r="T24" s="211">
        <f t="shared" si="2"/>
        <v>121284.01815374567</v>
      </c>
      <c r="U24" s="211">
        <f t="shared" si="2"/>
        <v>94455.825588507927</v>
      </c>
    </row>
    <row r="25" spans="1:21" s="215" customFormat="1" ht="13.5" thickBot="1" x14ac:dyDescent="0.35">
      <c r="A25" s="204"/>
      <c r="B25" s="212" t="s">
        <v>125</v>
      </c>
      <c r="C25" s="213">
        <f t="shared" ref="C25:U25" si="3">C23+C24</f>
        <v>1632376473.364367</v>
      </c>
      <c r="D25" s="214">
        <f t="shared" si="3"/>
        <v>110711376.82432206</v>
      </c>
      <c r="E25" s="214">
        <f t="shared" si="3"/>
        <v>413840697.62367135</v>
      </c>
      <c r="F25" s="214">
        <f t="shared" si="3"/>
        <v>635279075.78007185</v>
      </c>
      <c r="G25" s="214">
        <f t="shared" si="3"/>
        <v>167001062.14213005</v>
      </c>
      <c r="H25" s="214">
        <f t="shared" si="3"/>
        <v>137617933.5090026</v>
      </c>
      <c r="I25" s="214">
        <f t="shared" si="3"/>
        <v>23109351.421063971</v>
      </c>
      <c r="J25" s="214">
        <f t="shared" si="3"/>
        <v>26870777.324731089</v>
      </c>
      <c r="K25" s="214">
        <f t="shared" si="3"/>
        <v>9398309.1358022988</v>
      </c>
      <c r="L25" s="214">
        <f t="shared" si="3"/>
        <v>5278121.4537518006</v>
      </c>
      <c r="M25" s="214">
        <f t="shared" si="3"/>
        <v>3460762.5159447156</v>
      </c>
      <c r="N25" s="214">
        <f t="shared" si="3"/>
        <v>5631557.1032962473</v>
      </c>
      <c r="O25" s="214">
        <f t="shared" si="3"/>
        <v>61614060.58200381</v>
      </c>
      <c r="P25" s="214">
        <f t="shared" si="3"/>
        <v>5771984.9270900413</v>
      </c>
      <c r="Q25" s="214">
        <f t="shared" si="3"/>
        <v>1035152.6440486179</v>
      </c>
      <c r="R25" s="214">
        <f t="shared" si="3"/>
        <v>1096452.382500414</v>
      </c>
      <c r="S25" s="214">
        <f t="shared" si="3"/>
        <v>17583834.713138279</v>
      </c>
      <c r="T25" s="214">
        <f t="shared" si="3"/>
        <v>4040388.0292860665</v>
      </c>
      <c r="U25" s="214">
        <f t="shared" si="3"/>
        <v>3035575.2525120131</v>
      </c>
    </row>
    <row r="26" spans="1:21" ht="13.5" thickTop="1" x14ac:dyDescent="0.3">
      <c r="A26" s="204"/>
      <c r="B26" s="205"/>
      <c r="C26" s="219"/>
      <c r="D26" s="209"/>
      <c r="E26" s="209"/>
      <c r="F26" s="209"/>
      <c r="G26" s="209"/>
      <c r="H26" s="209"/>
      <c r="I26" s="209"/>
      <c r="J26" s="209"/>
      <c r="K26" s="209"/>
      <c r="L26" s="217"/>
      <c r="M26" s="217"/>
      <c r="N26" s="217"/>
      <c r="O26" s="217"/>
      <c r="P26" s="217"/>
      <c r="Q26" s="217"/>
      <c r="R26" s="217"/>
      <c r="S26" s="217"/>
      <c r="T26" s="217"/>
      <c r="U26" s="217"/>
    </row>
    <row r="27" spans="1:21" ht="13" x14ac:dyDescent="0.3">
      <c r="A27" s="204"/>
      <c r="B27" s="220" t="s">
        <v>126</v>
      </c>
      <c r="C27" s="219"/>
      <c r="D27" s="209"/>
      <c r="E27" s="209"/>
      <c r="F27" s="209"/>
      <c r="G27" s="209"/>
      <c r="H27" s="209"/>
      <c r="I27" s="209"/>
      <c r="J27" s="209"/>
      <c r="K27" s="209"/>
      <c r="L27" s="217"/>
      <c r="M27" s="217"/>
      <c r="N27" s="217"/>
      <c r="O27" s="217"/>
      <c r="P27" s="217"/>
      <c r="Q27" s="217"/>
      <c r="R27" s="217"/>
      <c r="S27" s="217"/>
      <c r="T27" s="217"/>
      <c r="U27" s="217"/>
    </row>
    <row r="28" spans="1:21" ht="13" x14ac:dyDescent="0.3">
      <c r="A28" s="204" t="s">
        <v>127</v>
      </c>
      <c r="B28" s="205" t="s">
        <v>128</v>
      </c>
      <c r="C28" s="219">
        <f t="shared" ref="C28:C33" si="4">SUM(D28:U28)</f>
        <v>283988124.25606441</v>
      </c>
      <c r="D28" s="209">
        <v>14875562.113652</v>
      </c>
      <c r="E28" s="209">
        <v>61732569.977154255</v>
      </c>
      <c r="F28" s="209">
        <v>131818404.65842687</v>
      </c>
      <c r="G28" s="209">
        <v>26989795.595596727</v>
      </c>
      <c r="H28" s="209">
        <v>20270683.001299765</v>
      </c>
      <c r="I28" s="209">
        <v>3183458.4638506132</v>
      </c>
      <c r="J28" s="209">
        <v>3722130.7317439578</v>
      </c>
      <c r="K28" s="209">
        <v>2076240.0957011776</v>
      </c>
      <c r="L28" s="209">
        <v>883466.8827318236</v>
      </c>
      <c r="M28" s="209">
        <v>587671.87249177066</v>
      </c>
      <c r="N28" s="209">
        <v>127039.29222475743</v>
      </c>
      <c r="O28" s="209">
        <v>12027793.498297051</v>
      </c>
      <c r="P28" s="209">
        <v>847592.33838607545</v>
      </c>
      <c r="Q28" s="209">
        <v>165467.63378548503</v>
      </c>
      <c r="R28" s="209">
        <v>162198.81211638931</v>
      </c>
      <c r="S28" s="209">
        <v>3405244.3177609704</v>
      </c>
      <c r="T28" s="209">
        <v>607274.49695156596</v>
      </c>
      <c r="U28" s="209">
        <v>505530.47389317397</v>
      </c>
    </row>
    <row r="29" spans="1:21" ht="13" x14ac:dyDescent="0.3">
      <c r="A29" s="204" t="s">
        <v>129</v>
      </c>
      <c r="B29" s="205" t="s">
        <v>130</v>
      </c>
      <c r="C29" s="219">
        <f t="shared" si="4"/>
        <v>133296169.96093604</v>
      </c>
      <c r="D29" s="209">
        <v>20765804.058256488</v>
      </c>
      <c r="E29" s="209">
        <v>46987679.539516613</v>
      </c>
      <c r="F29" s="209">
        <v>41772789.425700516</v>
      </c>
      <c r="G29" s="209">
        <v>10418234.502418088</v>
      </c>
      <c r="H29" s="209">
        <v>2942982.2204695893</v>
      </c>
      <c r="I29" s="209">
        <v>2131996.9485008828</v>
      </c>
      <c r="J29" s="209">
        <v>684239.50305306294</v>
      </c>
      <c r="K29" s="209">
        <v>640285.98171907116</v>
      </c>
      <c r="L29" s="209">
        <v>619252.58597239712</v>
      </c>
      <c r="M29" s="209">
        <v>355479.01236480096</v>
      </c>
      <c r="N29" s="209">
        <v>504082.39594221034</v>
      </c>
      <c r="O29" s="209">
        <v>405323.79903181334</v>
      </c>
      <c r="P29" s="209">
        <v>1275724.0517756497</v>
      </c>
      <c r="Q29" s="209">
        <v>144170.56824313605</v>
      </c>
      <c r="R29" s="209">
        <v>62853.381193811663</v>
      </c>
      <c r="S29" s="209">
        <v>3049633.9421173665</v>
      </c>
      <c r="T29" s="209">
        <v>389620.29109562648</v>
      </c>
      <c r="U29" s="209">
        <v>146017.75356489027</v>
      </c>
    </row>
    <row r="30" spans="1:21" ht="13" x14ac:dyDescent="0.3">
      <c r="A30" s="204" t="s">
        <v>131</v>
      </c>
      <c r="B30" s="205" t="s">
        <v>132</v>
      </c>
      <c r="C30" s="219">
        <f t="shared" si="4"/>
        <v>173919618.40140516</v>
      </c>
      <c r="D30" s="209">
        <v>14401957.458494365</v>
      </c>
      <c r="E30" s="209">
        <v>44466850.319093421</v>
      </c>
      <c r="F30" s="209">
        <v>72210112.60018529</v>
      </c>
      <c r="G30" s="209">
        <v>15786084.604343014</v>
      </c>
      <c r="H30" s="209">
        <v>10391659.000598235</v>
      </c>
      <c r="I30" s="209">
        <v>2241431.4059103741</v>
      </c>
      <c r="J30" s="209">
        <v>1969480.9116413391</v>
      </c>
      <c r="K30" s="209">
        <v>1121671.2739168382</v>
      </c>
      <c r="L30" s="209">
        <v>608500.84961719182</v>
      </c>
      <c r="M30" s="209">
        <v>384273.55588984158</v>
      </c>
      <c r="N30" s="209">
        <v>357786.83514146495</v>
      </c>
      <c r="O30" s="209">
        <v>5549015.4998067012</v>
      </c>
      <c r="P30" s="209">
        <v>855300.46338896966</v>
      </c>
      <c r="Q30" s="209">
        <v>129177.75612465167</v>
      </c>
      <c r="R30" s="209">
        <v>106848.82493827236</v>
      </c>
      <c r="S30" s="209">
        <v>2629301.8906196053</v>
      </c>
      <c r="T30" s="209">
        <v>418427.54173624649</v>
      </c>
      <c r="U30" s="209">
        <v>291737.60995936103</v>
      </c>
    </row>
    <row r="31" spans="1:21" ht="13" x14ac:dyDescent="0.3">
      <c r="A31" s="204" t="s">
        <v>133</v>
      </c>
      <c r="B31" s="205" t="s">
        <v>134</v>
      </c>
      <c r="C31" s="219">
        <f t="shared" si="4"/>
        <v>460090135.59314609</v>
      </c>
      <c r="D31" s="221">
        <v>27099774.417620204</v>
      </c>
      <c r="E31" s="221">
        <v>96443011.245377302</v>
      </c>
      <c r="F31" s="221">
        <v>184157706.4752399</v>
      </c>
      <c r="G31" s="221">
        <v>48987009.14689558</v>
      </c>
      <c r="H31" s="221">
        <v>49757381.724098869</v>
      </c>
      <c r="I31" s="221">
        <v>7615309.145416813</v>
      </c>
      <c r="J31" s="221">
        <v>9148488.2210442219</v>
      </c>
      <c r="K31" s="221">
        <v>2448679.2373266174</v>
      </c>
      <c r="L31" s="221">
        <v>1330473.1361475252</v>
      </c>
      <c r="M31" s="221">
        <v>675423.73749791947</v>
      </c>
      <c r="N31" s="221">
        <v>1330968.0637716469</v>
      </c>
      <c r="O31" s="221">
        <v>20178136.88298713</v>
      </c>
      <c r="P31" s="221">
        <v>1558175.5936873225</v>
      </c>
      <c r="Q31" s="221">
        <v>440589.41308846528</v>
      </c>
      <c r="R31" s="221">
        <v>555848.22016552137</v>
      </c>
      <c r="S31" s="221">
        <v>5456399.2092745006</v>
      </c>
      <c r="T31" s="221">
        <v>1407739.1999931571</v>
      </c>
      <c r="U31" s="221">
        <v>1499022.5235134282</v>
      </c>
    </row>
    <row r="32" spans="1:21" ht="13" x14ac:dyDescent="0.3">
      <c r="A32" s="204" t="s">
        <v>135</v>
      </c>
      <c r="B32" s="205" t="s">
        <v>136</v>
      </c>
      <c r="C32" s="219">
        <f t="shared" si="4"/>
        <v>37177143.152483247</v>
      </c>
      <c r="D32" s="209">
        <v>1881282.981400717</v>
      </c>
      <c r="E32" s="209">
        <v>7366299.1510957656</v>
      </c>
      <c r="F32" s="209">
        <v>15455336.344225824</v>
      </c>
      <c r="G32" s="209">
        <v>4031624.8936575283</v>
      </c>
      <c r="H32" s="209">
        <v>4103279.6704541487</v>
      </c>
      <c r="I32" s="209">
        <v>568965.00363824959</v>
      </c>
      <c r="J32" s="209">
        <v>749226.87270594144</v>
      </c>
      <c r="K32" s="209">
        <v>216254.90641323518</v>
      </c>
      <c r="L32" s="209">
        <v>82748.91542940303</v>
      </c>
      <c r="M32" s="209">
        <v>59210.790668600217</v>
      </c>
      <c r="N32" s="209">
        <v>53810.086659024986</v>
      </c>
      <c r="O32" s="209">
        <v>1841346.4713772116</v>
      </c>
      <c r="P32" s="209">
        <v>103640.22059254507</v>
      </c>
      <c r="Q32" s="209">
        <v>28799.997860238876</v>
      </c>
      <c r="R32" s="209">
        <v>31669.663226644538</v>
      </c>
      <c r="S32" s="209">
        <v>404111.80856000987</v>
      </c>
      <c r="T32" s="209">
        <v>100452.32609202842</v>
      </c>
      <c r="U32" s="209">
        <v>99083.048426142617</v>
      </c>
    </row>
    <row r="33" spans="1:21" s="210" customFormat="1" ht="13.5" thickBot="1" x14ac:dyDescent="0.35">
      <c r="A33" s="204" t="s">
        <v>137</v>
      </c>
      <c r="B33" s="205" t="s">
        <v>138</v>
      </c>
      <c r="C33" s="218">
        <f t="shared" si="4"/>
        <v>219449797.63829783</v>
      </c>
      <c r="D33" s="211">
        <v>11104865.370516902</v>
      </c>
      <c r="E33" s="211">
        <v>43481901.000861436</v>
      </c>
      <c r="F33" s="211">
        <v>91229990.945273563</v>
      </c>
      <c r="G33" s="211">
        <v>23797935.829492915</v>
      </c>
      <c r="H33" s="211">
        <v>24220900.719595972</v>
      </c>
      <c r="I33" s="211">
        <v>3358495.1484726234</v>
      </c>
      <c r="J33" s="211">
        <v>4422547.6101304796</v>
      </c>
      <c r="K33" s="211">
        <v>1276512.7017970874</v>
      </c>
      <c r="L33" s="211">
        <v>488451.53785191168</v>
      </c>
      <c r="M33" s="211">
        <v>349510.34233409096</v>
      </c>
      <c r="N33" s="211">
        <v>317630.98578577954</v>
      </c>
      <c r="O33" s="211">
        <v>10869127.5407678</v>
      </c>
      <c r="P33" s="211">
        <v>611769.0469904592</v>
      </c>
      <c r="Q33" s="211">
        <v>170001.05888961171</v>
      </c>
      <c r="R33" s="211">
        <v>186940.16261160627</v>
      </c>
      <c r="S33" s="211">
        <v>2385397.2385131256</v>
      </c>
      <c r="T33" s="211">
        <v>592951.49556749861</v>
      </c>
      <c r="U33" s="211">
        <v>584868.90284495347</v>
      </c>
    </row>
    <row r="34" spans="1:21" s="215" customFormat="1" ht="13.5" thickBot="1" x14ac:dyDescent="0.35">
      <c r="A34" s="204"/>
      <c r="B34" s="212" t="s">
        <v>139</v>
      </c>
      <c r="C34" s="213">
        <f>SUM(C28:C33)</f>
        <v>1307920989.0023327</v>
      </c>
      <c r="D34" s="214">
        <f t="shared" ref="D34:U34" si="5">SUM(D28:D33)</f>
        <v>90129246.39994067</v>
      </c>
      <c r="E34" s="214">
        <f t="shared" si="5"/>
        <v>300478311.2330988</v>
      </c>
      <c r="F34" s="214">
        <f t="shared" si="5"/>
        <v>536644340.44905198</v>
      </c>
      <c r="G34" s="214">
        <f t="shared" si="5"/>
        <v>130010684.57240386</v>
      </c>
      <c r="H34" s="214">
        <f t="shared" si="5"/>
        <v>111686886.33651657</v>
      </c>
      <c r="I34" s="214">
        <f t="shared" si="5"/>
        <v>19099656.115789555</v>
      </c>
      <c r="J34" s="214">
        <f t="shared" si="5"/>
        <v>20696113.850319002</v>
      </c>
      <c r="K34" s="214">
        <f t="shared" si="5"/>
        <v>7779644.1968740271</v>
      </c>
      <c r="L34" s="214">
        <f t="shared" si="5"/>
        <v>4012893.9077502522</v>
      </c>
      <c r="M34" s="214">
        <f t="shared" si="5"/>
        <v>2411569.3112470238</v>
      </c>
      <c r="N34" s="214">
        <f t="shared" si="5"/>
        <v>2691317.6595248841</v>
      </c>
      <c r="O34" s="214">
        <f t="shared" si="5"/>
        <v>50870743.692267701</v>
      </c>
      <c r="P34" s="214">
        <f t="shared" si="5"/>
        <v>5252201.7148210211</v>
      </c>
      <c r="Q34" s="214">
        <f t="shared" si="5"/>
        <v>1078206.4279915886</v>
      </c>
      <c r="R34" s="214">
        <f t="shared" si="5"/>
        <v>1106359.0642522455</v>
      </c>
      <c r="S34" s="214">
        <f t="shared" si="5"/>
        <v>17330088.406845581</v>
      </c>
      <c r="T34" s="214">
        <f t="shared" si="5"/>
        <v>3516465.3514361233</v>
      </c>
      <c r="U34" s="214">
        <f t="shared" si="5"/>
        <v>3126260.3122019493</v>
      </c>
    </row>
    <row r="35" spans="1:21" s="215" customFormat="1" ht="13.5" thickTop="1" x14ac:dyDescent="0.3">
      <c r="A35" s="204"/>
      <c r="B35" s="220"/>
      <c r="C35" s="219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</row>
    <row r="36" spans="1:21" s="215" customFormat="1" ht="13" x14ac:dyDescent="0.3">
      <c r="A36" s="204"/>
      <c r="B36" s="220" t="s">
        <v>140</v>
      </c>
      <c r="C36" s="219">
        <f>SUM(D36:U36)</f>
        <v>11805407.381171068</v>
      </c>
      <c r="D36" s="222">
        <v>0</v>
      </c>
      <c r="E36" s="222">
        <v>0</v>
      </c>
      <c r="F36" s="222">
        <v>0</v>
      </c>
      <c r="G36" s="222">
        <v>0</v>
      </c>
      <c r="H36" s="222">
        <v>2148541.0133081605</v>
      </c>
      <c r="I36" s="222">
        <v>0</v>
      </c>
      <c r="J36" s="222">
        <v>671220.52397494216</v>
      </c>
      <c r="K36" s="222">
        <v>0</v>
      </c>
      <c r="L36" s="222">
        <v>0</v>
      </c>
      <c r="M36" s="222">
        <v>0</v>
      </c>
      <c r="N36" s="222">
        <v>3719560.9002702474</v>
      </c>
      <c r="O36" s="222">
        <v>5007622.2934134677</v>
      </c>
      <c r="P36" s="222">
        <v>0</v>
      </c>
      <c r="Q36" s="222">
        <v>0</v>
      </c>
      <c r="R36" s="222">
        <v>120708.15919824797</v>
      </c>
      <c r="S36" s="222">
        <v>0</v>
      </c>
      <c r="T36" s="222">
        <v>0</v>
      </c>
      <c r="U36" s="222">
        <v>137754.49100600227</v>
      </c>
    </row>
    <row r="37" spans="1:21" ht="13" x14ac:dyDescent="0.3">
      <c r="A37" s="204"/>
      <c r="B37" s="205"/>
      <c r="C37" s="219"/>
      <c r="D37" s="209"/>
      <c r="E37" s="209"/>
      <c r="F37" s="209"/>
      <c r="G37" s="209"/>
      <c r="H37" s="209"/>
      <c r="I37" s="209"/>
      <c r="J37" s="209"/>
      <c r="K37" s="209"/>
      <c r="L37" s="217"/>
      <c r="M37" s="217"/>
      <c r="N37" s="217"/>
      <c r="O37" s="217"/>
      <c r="P37" s="217"/>
      <c r="Q37" s="217"/>
      <c r="R37" s="217"/>
      <c r="S37" s="217"/>
      <c r="T37" s="217"/>
      <c r="U37" s="217"/>
    </row>
    <row r="38" spans="1:21" ht="13" x14ac:dyDescent="0.3">
      <c r="A38" s="204" t="s">
        <v>141</v>
      </c>
      <c r="B38" s="205" t="s">
        <v>142</v>
      </c>
      <c r="C38" s="219">
        <f>SUM(D38:U38)</f>
        <v>312650076.98086345</v>
      </c>
      <c r="D38" s="209">
        <v>15821099.177665953</v>
      </c>
      <c r="E38" s="209">
        <v>61948654.505485453</v>
      </c>
      <c r="F38" s="209">
        <v>129975347.43238002</v>
      </c>
      <c r="G38" s="209">
        <v>33904913.785065725</v>
      </c>
      <c r="H38" s="209">
        <v>34507511.768176578</v>
      </c>
      <c r="I38" s="209">
        <v>4784847.2771914406</v>
      </c>
      <c r="J38" s="209">
        <v>6300802.5782636711</v>
      </c>
      <c r="K38" s="209">
        <v>1818647.3570675969</v>
      </c>
      <c r="L38" s="209">
        <v>695896.79532322322</v>
      </c>
      <c r="M38" s="209">
        <v>497947.3055448886</v>
      </c>
      <c r="N38" s="209">
        <v>452528.79349249689</v>
      </c>
      <c r="O38" s="209">
        <v>15485243.545026736</v>
      </c>
      <c r="P38" s="209">
        <v>871587.22265641601</v>
      </c>
      <c r="Q38" s="209">
        <v>242200.47008778667</v>
      </c>
      <c r="R38" s="209">
        <v>266333.60732310754</v>
      </c>
      <c r="S38" s="209">
        <v>3398474.9053189075</v>
      </c>
      <c r="T38" s="209">
        <v>844777.86140707461</v>
      </c>
      <c r="U38" s="209">
        <v>833262.59338630468</v>
      </c>
    </row>
    <row r="39" spans="1:21" ht="13" x14ac:dyDescent="0.3">
      <c r="A39" s="204"/>
      <c r="B39" s="205"/>
      <c r="C39" s="219"/>
      <c r="D39" s="209"/>
      <c r="E39" s="209"/>
      <c r="F39" s="209"/>
      <c r="G39" s="209"/>
      <c r="H39" s="209"/>
      <c r="I39" s="209"/>
      <c r="J39" s="209"/>
      <c r="K39" s="209"/>
      <c r="L39" s="217"/>
      <c r="M39" s="217"/>
      <c r="N39" s="217"/>
      <c r="O39" s="217"/>
      <c r="P39" s="217"/>
      <c r="Q39" s="217"/>
      <c r="R39" s="217"/>
      <c r="S39" s="217"/>
      <c r="T39" s="217"/>
      <c r="U39" s="217"/>
    </row>
    <row r="40" spans="1:21" ht="13" x14ac:dyDescent="0.3">
      <c r="A40" s="204"/>
      <c r="B40" s="220" t="s">
        <v>143</v>
      </c>
      <c r="C40" s="219">
        <f>SUM(D40:U40)</f>
        <v>1632376473.3643675</v>
      </c>
      <c r="D40" s="223">
        <f>D34+D36+D38</f>
        <v>105950345.57760662</v>
      </c>
      <c r="E40" s="223">
        <f t="shared" ref="E40:N40" si="6">E34+E36+E38</f>
        <v>362426965.73858428</v>
      </c>
      <c r="F40" s="223">
        <f t="shared" si="6"/>
        <v>666619687.88143206</v>
      </c>
      <c r="G40" s="223">
        <f t="shared" si="6"/>
        <v>163915598.35746959</v>
      </c>
      <c r="H40" s="223">
        <f t="shared" si="6"/>
        <v>148342939.11800131</v>
      </c>
      <c r="I40" s="223">
        <f t="shared" si="6"/>
        <v>23884503.392980997</v>
      </c>
      <c r="J40" s="223">
        <f>J34+J36+J38</f>
        <v>27668136.952557616</v>
      </c>
      <c r="K40" s="223">
        <f>K34+K36+K38</f>
        <v>9598291.5539416242</v>
      </c>
      <c r="L40" s="223">
        <f t="shared" si="6"/>
        <v>4708790.7030734755</v>
      </c>
      <c r="M40" s="223">
        <f t="shared" si="6"/>
        <v>2909516.6167919124</v>
      </c>
      <c r="N40" s="223">
        <f t="shared" si="6"/>
        <v>6863407.3532876289</v>
      </c>
      <c r="O40" s="223">
        <f>O34+O36+O38</f>
        <v>71363609.530707911</v>
      </c>
      <c r="P40" s="223">
        <f t="shared" ref="P40:U40" si="7">P34+P36+P38</f>
        <v>6123788.9374774368</v>
      </c>
      <c r="Q40" s="223">
        <f t="shared" si="7"/>
        <v>1320406.8980793753</v>
      </c>
      <c r="R40" s="223">
        <f t="shared" si="7"/>
        <v>1493400.8307736011</v>
      </c>
      <c r="S40" s="223">
        <f t="shared" si="7"/>
        <v>20728563.312164489</v>
      </c>
      <c r="T40" s="223">
        <f t="shared" si="7"/>
        <v>4361243.2128431983</v>
      </c>
      <c r="U40" s="223">
        <f t="shared" si="7"/>
        <v>4097277.3965942562</v>
      </c>
    </row>
    <row r="41" spans="1:21" ht="16.5" customHeight="1" x14ac:dyDescent="0.3">
      <c r="A41" s="224"/>
      <c r="B41" s="205"/>
      <c r="C41" s="465" t="s">
        <v>339</v>
      </c>
      <c r="D41" s="466"/>
      <c r="E41" s="467"/>
      <c r="F41" s="209"/>
      <c r="G41" s="209"/>
      <c r="H41" s="209"/>
      <c r="I41" s="209"/>
      <c r="J41" s="209"/>
      <c r="K41" s="209"/>
      <c r="L41" s="217"/>
      <c r="M41" s="217"/>
      <c r="N41" s="217"/>
      <c r="O41" s="217"/>
      <c r="P41" s="217"/>
      <c r="Q41" s="217"/>
      <c r="R41" s="217"/>
      <c r="S41" s="217"/>
      <c r="T41" s="217"/>
      <c r="U41" s="217"/>
    </row>
    <row r="42" spans="1:21" ht="13" x14ac:dyDescent="0.3">
      <c r="A42" s="204"/>
      <c r="B42" s="205"/>
      <c r="C42" s="219"/>
      <c r="D42" s="209"/>
      <c r="E42" s="209"/>
      <c r="F42" s="209"/>
      <c r="G42" s="209"/>
      <c r="H42" s="209"/>
      <c r="I42" s="209"/>
      <c r="J42" s="209"/>
      <c r="K42" s="209"/>
      <c r="L42" s="217"/>
      <c r="M42" s="217"/>
      <c r="N42" s="217"/>
      <c r="O42" s="217"/>
      <c r="P42" s="217"/>
      <c r="Q42" s="217"/>
      <c r="R42" s="217"/>
      <c r="S42" s="217"/>
      <c r="T42" s="217"/>
      <c r="U42" s="217"/>
    </row>
    <row r="43" spans="1:21" ht="13" x14ac:dyDescent="0.3">
      <c r="A43" s="204"/>
      <c r="B43" s="205"/>
      <c r="C43" s="21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</row>
    <row r="44" spans="1:21" ht="13" x14ac:dyDescent="0.3">
      <c r="A44" s="204"/>
      <c r="B44" s="220" t="s">
        <v>144</v>
      </c>
      <c r="C44" s="219"/>
      <c r="D44" s="209"/>
      <c r="E44" s="209"/>
      <c r="F44" s="209"/>
      <c r="G44" s="209"/>
      <c r="H44" s="209"/>
      <c r="I44" s="209"/>
      <c r="J44" s="209"/>
      <c r="K44" s="209"/>
      <c r="L44" s="217"/>
      <c r="M44" s="217"/>
      <c r="N44" s="217"/>
      <c r="O44" s="217"/>
      <c r="P44" s="217"/>
      <c r="Q44" s="217"/>
      <c r="R44" s="217"/>
      <c r="S44" s="217"/>
      <c r="T44" s="217"/>
      <c r="U44" s="217"/>
    </row>
    <row r="45" spans="1:21" ht="13" x14ac:dyDescent="0.3">
      <c r="A45" s="204"/>
      <c r="B45" s="220"/>
      <c r="C45" s="219"/>
      <c r="D45" s="209"/>
      <c r="E45" s="209"/>
      <c r="F45" s="209"/>
      <c r="G45" s="209"/>
      <c r="H45" s="209"/>
      <c r="I45" s="209"/>
      <c r="J45" s="209"/>
      <c r="K45" s="209"/>
      <c r="L45" s="217"/>
      <c r="M45" s="217"/>
      <c r="N45" s="217"/>
      <c r="O45" s="217"/>
      <c r="P45" s="217"/>
      <c r="Q45" s="217"/>
      <c r="R45" s="217"/>
      <c r="S45" s="217"/>
      <c r="T45" s="217"/>
      <c r="U45" s="217"/>
    </row>
    <row r="46" spans="1:21" ht="13" x14ac:dyDescent="0.3">
      <c r="A46" s="204"/>
      <c r="B46" s="225" t="s">
        <v>145</v>
      </c>
      <c r="C46" s="219"/>
      <c r="D46" s="209"/>
      <c r="E46" s="209"/>
      <c r="F46" s="209"/>
      <c r="G46" s="209"/>
      <c r="H46" s="209"/>
      <c r="I46" s="209"/>
      <c r="J46" s="209"/>
      <c r="K46" s="209"/>
      <c r="L46" s="217"/>
      <c r="M46" s="217"/>
      <c r="N46" s="217"/>
      <c r="O46" s="217"/>
      <c r="P46" s="217"/>
      <c r="Q46" s="217"/>
      <c r="R46" s="217"/>
      <c r="S46" s="217"/>
      <c r="T46" s="217"/>
      <c r="U46" s="217"/>
    </row>
    <row r="47" spans="1:21" ht="13" x14ac:dyDescent="0.3">
      <c r="A47" s="204" t="s">
        <v>146</v>
      </c>
      <c r="B47" s="205" t="s">
        <v>147</v>
      </c>
      <c r="C47" s="219">
        <f>SUM(D47:U47)</f>
        <v>14036315731.560179</v>
      </c>
      <c r="D47" s="209">
        <v>713562108.36906791</v>
      </c>
      <c r="E47" s="209">
        <v>2754055258.1004629</v>
      </c>
      <c r="F47" s="209">
        <v>5676132623.6294918</v>
      </c>
      <c r="G47" s="209">
        <v>1445217257.9860804</v>
      </c>
      <c r="H47" s="209">
        <v>1495781663.9040761</v>
      </c>
      <c r="I47" s="209">
        <v>205969444.1457487</v>
      </c>
      <c r="J47" s="209">
        <v>273142539.51286304</v>
      </c>
      <c r="K47" s="209">
        <v>77456817.904978648</v>
      </c>
      <c r="L47" s="209">
        <v>29826549.204555169</v>
      </c>
      <c r="M47" s="209">
        <v>21182866.524350289</v>
      </c>
      <c r="N47" s="209">
        <v>20441064.660972796</v>
      </c>
      <c r="O47" s="209">
        <v>655338203.90868843</v>
      </c>
      <c r="P47" s="209">
        <v>102771602.91597641</v>
      </c>
      <c r="Q47" s="209">
        <v>31019551.083206262</v>
      </c>
      <c r="R47" s="209">
        <v>58600971.144214474</v>
      </c>
      <c r="S47" s="209">
        <v>274787090.30368519</v>
      </c>
      <c r="T47" s="209">
        <v>83488986.788413376</v>
      </c>
      <c r="U47" s="209">
        <v>117541131.47334832</v>
      </c>
    </row>
    <row r="48" spans="1:21" ht="13" x14ac:dyDescent="0.3">
      <c r="A48" s="204" t="s">
        <v>148</v>
      </c>
      <c r="B48" s="205" t="s">
        <v>149</v>
      </c>
      <c r="C48" s="219">
        <f>SUM(D48:U48)</f>
        <v>1224610202.7125676</v>
      </c>
      <c r="D48" s="209">
        <v>60932005.692283586</v>
      </c>
      <c r="E48" s="209">
        <v>239607927.08421263</v>
      </c>
      <c r="F48" s="209">
        <v>503813404.10995144</v>
      </c>
      <c r="G48" s="209">
        <v>130660535.5081484</v>
      </c>
      <c r="H48" s="209">
        <v>133079499.43446343</v>
      </c>
      <c r="I48" s="209">
        <v>18359771.900423963</v>
      </c>
      <c r="J48" s="209">
        <v>24271077.330122415</v>
      </c>
      <c r="K48" s="209">
        <v>7053663.7269212119</v>
      </c>
      <c r="L48" s="209">
        <v>18644445.824909825</v>
      </c>
      <c r="M48" s="209">
        <v>1936574.0673803161</v>
      </c>
      <c r="N48" s="209">
        <v>1651093.3907372972</v>
      </c>
      <c r="O48" s="209">
        <v>59641194.20227956</v>
      </c>
      <c r="P48" s="209">
        <v>3368234.675061319</v>
      </c>
      <c r="Q48" s="209">
        <v>933417.8296801066</v>
      </c>
      <c r="R48" s="209">
        <v>1025686.4568865612</v>
      </c>
      <c r="S48" s="209">
        <v>13161873.767796878</v>
      </c>
      <c r="T48" s="209">
        <v>3258840.7380789951</v>
      </c>
      <c r="U48" s="209">
        <v>3210956.9732292667</v>
      </c>
    </row>
    <row r="49" spans="1:22" ht="13" x14ac:dyDescent="0.3">
      <c r="A49" s="204" t="s">
        <v>150</v>
      </c>
      <c r="B49" s="205" t="s">
        <v>151</v>
      </c>
      <c r="C49" s="226">
        <f>IF(ISERROR(SUM(D49:U49)), "-", SUM(D49:U49))</f>
        <v>-5168281642.9376688</v>
      </c>
      <c r="D49" s="221">
        <v>-276710746.62848508</v>
      </c>
      <c r="E49" s="221">
        <v>-1038715409.5095092</v>
      </c>
      <c r="F49" s="221">
        <v>-2080368096.6827598</v>
      </c>
      <c r="G49" s="221">
        <v>-521328389.65034759</v>
      </c>
      <c r="H49" s="221">
        <v>-553767825.19898367</v>
      </c>
      <c r="I49" s="221">
        <v>-76226826.978216395</v>
      </c>
      <c r="J49" s="221">
        <v>-101397870.81877649</v>
      </c>
      <c r="K49" s="221">
        <v>-27446279.88412689</v>
      </c>
      <c r="L49" s="221">
        <v>-20860584.076754771</v>
      </c>
      <c r="M49" s="221">
        <v>-7435698.3050034558</v>
      </c>
      <c r="N49" s="221">
        <v>-8849100.3719798215</v>
      </c>
      <c r="O49" s="221">
        <v>-231687786.52211756</v>
      </c>
      <c r="P49" s="221">
        <v>-34056844.632464133</v>
      </c>
      <c r="Q49" s="221">
        <v>-10099746.083649168</v>
      </c>
      <c r="R49" s="221">
        <v>-18934933.997231159</v>
      </c>
      <c r="S49" s="221">
        <v>-94067294.481384903</v>
      </c>
      <c r="T49" s="221">
        <v>-27451819.595102172</v>
      </c>
      <c r="U49" s="221">
        <v>-38876389.520775586</v>
      </c>
    </row>
    <row r="50" spans="1:22" s="210" customFormat="1" ht="13.5" thickBot="1" x14ac:dyDescent="0.35">
      <c r="A50" s="204" t="s">
        <v>152</v>
      </c>
      <c r="B50" s="205" t="s">
        <v>153</v>
      </c>
      <c r="C50" s="227">
        <f>IF(ISERROR(SUM(D50:U50)), "-", SUM(D50:U50))</f>
        <v>-1252826824.8200028</v>
      </c>
      <c r="D50" s="228">
        <v>-62613210.881164707</v>
      </c>
      <c r="E50" s="228">
        <v>-250641419.30105358</v>
      </c>
      <c r="F50" s="228">
        <v>-523359434.76890385</v>
      </c>
      <c r="G50" s="228">
        <v>-121942199.90655456</v>
      </c>
      <c r="H50" s="228">
        <v>-125876162.89286953</v>
      </c>
      <c r="I50" s="228">
        <v>-16516266.934455534</v>
      </c>
      <c r="J50" s="228">
        <v>-22706174.971446987</v>
      </c>
      <c r="K50" s="228">
        <v>-7023368.856693144</v>
      </c>
      <c r="L50" s="228">
        <v>-3373019.2349267728</v>
      </c>
      <c r="M50" s="228">
        <v>-1980630.6525367277</v>
      </c>
      <c r="N50" s="228">
        <v>-828744.70760765392</v>
      </c>
      <c r="O50" s="228">
        <v>-57358437.984865427</v>
      </c>
      <c r="P50" s="228">
        <v>-9132180.6845446844</v>
      </c>
      <c r="Q50" s="228">
        <v>-2603815.3027245211</v>
      </c>
      <c r="R50" s="228">
        <v>-4873009.197518535</v>
      </c>
      <c r="S50" s="228">
        <v>-25094776.460021924</v>
      </c>
      <c r="T50" s="228">
        <v>-7087266.6812598612</v>
      </c>
      <c r="U50" s="228">
        <v>-9816705.4008545633</v>
      </c>
    </row>
    <row r="51" spans="1:22" s="215" customFormat="1" ht="13.5" thickBot="1" x14ac:dyDescent="0.35">
      <c r="A51" s="204"/>
      <c r="B51" s="212" t="s">
        <v>154</v>
      </c>
      <c r="C51" s="213">
        <f t="shared" ref="C51:U51" si="8">SUM(C47:C50)</f>
        <v>8839817466.5150757</v>
      </c>
      <c r="D51" s="214">
        <f t="shared" si="8"/>
        <v>435170156.55170172</v>
      </c>
      <c r="E51" s="214">
        <f t="shared" si="8"/>
        <v>1704306356.3741131</v>
      </c>
      <c r="F51" s="214">
        <f t="shared" si="8"/>
        <v>3576218496.2877793</v>
      </c>
      <c r="G51" s="214">
        <f t="shared" si="8"/>
        <v>932607203.93732667</v>
      </c>
      <c r="H51" s="214">
        <f t="shared" si="8"/>
        <v>949217175.24668646</v>
      </c>
      <c r="I51" s="214">
        <f t="shared" si="8"/>
        <v>131586122.13350074</v>
      </c>
      <c r="J51" s="214">
        <f t="shared" si="8"/>
        <v>173309571.05276197</v>
      </c>
      <c r="K51" s="214">
        <f t="shared" si="8"/>
        <v>50040832.891079836</v>
      </c>
      <c r="L51" s="214">
        <f t="shared" si="8"/>
        <v>24237391.717783447</v>
      </c>
      <c r="M51" s="214">
        <f t="shared" si="8"/>
        <v>13703111.634190422</v>
      </c>
      <c r="N51" s="214">
        <f t="shared" si="8"/>
        <v>12414312.972122621</v>
      </c>
      <c r="O51" s="214">
        <f t="shared" si="8"/>
        <v>425933173.60398501</v>
      </c>
      <c r="P51" s="214">
        <f t="shared" si="8"/>
        <v>62950812.274028897</v>
      </c>
      <c r="Q51" s="214">
        <f t="shared" si="8"/>
        <v>19249407.526512679</v>
      </c>
      <c r="R51" s="214">
        <f t="shared" si="8"/>
        <v>35818714.406351335</v>
      </c>
      <c r="S51" s="214">
        <f t="shared" si="8"/>
        <v>168786893.13007525</v>
      </c>
      <c r="T51" s="214">
        <f t="shared" si="8"/>
        <v>52208741.250130333</v>
      </c>
      <c r="U51" s="214">
        <f t="shared" si="8"/>
        <v>72058993.524947435</v>
      </c>
    </row>
    <row r="52" spans="1:22" s="215" customFormat="1" ht="13.5" thickTop="1" x14ac:dyDescent="0.3">
      <c r="A52" s="204"/>
      <c r="B52" s="220"/>
      <c r="C52" s="219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</row>
    <row r="53" spans="1:22" s="215" customFormat="1" ht="13" x14ac:dyDescent="0.3">
      <c r="A53" s="204"/>
      <c r="B53" s="220" t="s">
        <v>155</v>
      </c>
      <c r="C53" s="219">
        <f>SUM(D53:U53)</f>
        <v>0</v>
      </c>
      <c r="D53" s="222">
        <v>0</v>
      </c>
      <c r="E53" s="222">
        <v>0</v>
      </c>
      <c r="F53" s="222">
        <v>0</v>
      </c>
      <c r="G53" s="222">
        <v>0</v>
      </c>
      <c r="H53" s="222">
        <v>0</v>
      </c>
      <c r="I53" s="222">
        <v>0</v>
      </c>
      <c r="J53" s="222">
        <v>0</v>
      </c>
      <c r="K53" s="222">
        <v>0</v>
      </c>
      <c r="L53" s="222">
        <v>0</v>
      </c>
      <c r="M53" s="222">
        <v>0</v>
      </c>
      <c r="N53" s="222">
        <v>0</v>
      </c>
      <c r="O53" s="222">
        <v>0</v>
      </c>
      <c r="P53" s="222">
        <v>0</v>
      </c>
      <c r="Q53" s="222">
        <v>0</v>
      </c>
      <c r="R53" s="222">
        <v>0</v>
      </c>
      <c r="S53" s="222">
        <v>0</v>
      </c>
      <c r="T53" s="222">
        <v>0</v>
      </c>
      <c r="U53" s="222">
        <v>0</v>
      </c>
    </row>
    <row r="54" spans="1:22" ht="13" x14ac:dyDescent="0.3">
      <c r="A54" s="204"/>
      <c r="B54" s="205"/>
      <c r="C54" s="219"/>
      <c r="D54" s="209"/>
      <c r="E54" s="209"/>
      <c r="F54" s="209"/>
      <c r="G54" s="209"/>
      <c r="H54" s="209"/>
      <c r="I54" s="209"/>
      <c r="J54" s="209"/>
      <c r="K54" s="209"/>
      <c r="L54" s="217"/>
      <c r="M54" s="217"/>
      <c r="N54" s="217"/>
      <c r="O54" s="217"/>
      <c r="P54" s="217"/>
      <c r="Q54" s="217"/>
      <c r="R54" s="217"/>
      <c r="S54" s="217"/>
      <c r="T54" s="217"/>
      <c r="U54" s="217"/>
    </row>
    <row r="55" spans="1:22" ht="13" x14ac:dyDescent="0.3">
      <c r="A55" s="204"/>
      <c r="B55" s="220"/>
      <c r="C55" s="219"/>
      <c r="D55" s="209"/>
      <c r="E55" s="209"/>
      <c r="F55" s="209"/>
      <c r="G55" s="209"/>
      <c r="H55" s="209"/>
      <c r="I55" s="209"/>
      <c r="J55" s="209"/>
      <c r="K55" s="209"/>
      <c r="L55" s="217"/>
      <c r="M55" s="217"/>
      <c r="N55" s="217"/>
      <c r="O55" s="217"/>
      <c r="P55" s="217"/>
      <c r="Q55" s="217"/>
      <c r="R55" s="217"/>
      <c r="S55" s="217"/>
      <c r="T55" s="217"/>
      <c r="U55" s="217"/>
    </row>
    <row r="56" spans="1:22" ht="13" x14ac:dyDescent="0.3">
      <c r="A56" s="204" t="s">
        <v>156</v>
      </c>
      <c r="B56" s="205" t="s">
        <v>157</v>
      </c>
      <c r="C56" s="219">
        <f>SUM(D56:U56)</f>
        <v>3422780408.7295103</v>
      </c>
      <c r="D56" s="209">
        <v>288712474.23910761</v>
      </c>
      <c r="E56" s="209">
        <v>724791022.30479527</v>
      </c>
      <c r="F56" s="209">
        <v>688418423.31857276</v>
      </c>
      <c r="G56" s="209">
        <v>284422296.78287077</v>
      </c>
      <c r="H56" s="209">
        <v>310278496.93735594</v>
      </c>
      <c r="I56" s="209">
        <v>78029130.204190403</v>
      </c>
      <c r="J56" s="209">
        <v>125682050.35572289</v>
      </c>
      <c r="K56" s="209">
        <v>11882550.780620098</v>
      </c>
      <c r="L56" s="209">
        <v>1622996.8330679138</v>
      </c>
      <c r="M56" s="209">
        <v>4652353.3206137856</v>
      </c>
      <c r="N56" s="209">
        <v>4301816.749801646</v>
      </c>
      <c r="O56" s="209">
        <v>764950983.09780359</v>
      </c>
      <c r="P56" s="209">
        <v>16707632.289765885</v>
      </c>
      <c r="Q56" s="209">
        <v>5788408.5937318252</v>
      </c>
      <c r="R56" s="209">
        <v>16403293.565606322</v>
      </c>
      <c r="S56" s="209">
        <v>47538941.725283958</v>
      </c>
      <c r="T56" s="209">
        <v>16598540.934946839</v>
      </c>
      <c r="U56" s="209">
        <v>31998996.695653178</v>
      </c>
    </row>
    <row r="57" spans="1:22" ht="13" x14ac:dyDescent="0.3">
      <c r="A57" s="204"/>
      <c r="B57" s="205" t="s">
        <v>158</v>
      </c>
      <c r="C57" s="219">
        <f>SUM(D57:U57)</f>
        <v>591203912.61840558</v>
      </c>
      <c r="D57" s="209">
        <f>SUM(D28:D30)</f>
        <v>50043323.630402856</v>
      </c>
      <c r="E57" s="209">
        <f t="shared" ref="E57:U57" si="9">SUM(E28:E30)</f>
        <v>153187099.83576429</v>
      </c>
      <c r="F57" s="209">
        <f t="shared" si="9"/>
        <v>245801306.68431264</v>
      </c>
      <c r="G57" s="209">
        <f t="shared" si="9"/>
        <v>53194114.702357829</v>
      </c>
      <c r="H57" s="209">
        <f t="shared" si="9"/>
        <v>33605324.222367592</v>
      </c>
      <c r="I57" s="209">
        <f t="shared" si="9"/>
        <v>7556886.8182618711</v>
      </c>
      <c r="J57" s="209">
        <f t="shared" si="9"/>
        <v>6375851.1464383593</v>
      </c>
      <c r="K57" s="209">
        <f t="shared" si="9"/>
        <v>3838197.3513370869</v>
      </c>
      <c r="L57" s="209">
        <f t="shared" si="9"/>
        <v>2111220.3183214124</v>
      </c>
      <c r="M57" s="209">
        <f t="shared" si="9"/>
        <v>1327424.4407464133</v>
      </c>
      <c r="N57" s="209">
        <f t="shared" si="9"/>
        <v>988908.52330843278</v>
      </c>
      <c r="O57" s="209">
        <f t="shared" si="9"/>
        <v>17982132.797135565</v>
      </c>
      <c r="P57" s="209">
        <f t="shared" si="9"/>
        <v>2978616.8535506949</v>
      </c>
      <c r="Q57" s="209">
        <f t="shared" si="9"/>
        <v>438815.95815327275</v>
      </c>
      <c r="R57" s="209">
        <f t="shared" si="9"/>
        <v>331901.01824847329</v>
      </c>
      <c r="S57" s="209">
        <f t="shared" si="9"/>
        <v>9084180.1504979432</v>
      </c>
      <c r="T57" s="209">
        <f t="shared" si="9"/>
        <v>1415322.3297834389</v>
      </c>
      <c r="U57" s="209">
        <f t="shared" si="9"/>
        <v>943285.83741742524</v>
      </c>
    </row>
    <row r="58" spans="1:22" ht="13" x14ac:dyDescent="0.3">
      <c r="A58" s="204"/>
      <c r="B58" s="229" t="s">
        <v>159</v>
      </c>
      <c r="C58" s="219">
        <f>SUM(D58:U58)</f>
        <v>11805407.381171068</v>
      </c>
      <c r="D58" s="209">
        <v>0</v>
      </c>
      <c r="E58" s="209">
        <v>0</v>
      </c>
      <c r="F58" s="209">
        <v>0</v>
      </c>
      <c r="G58" s="209">
        <v>0</v>
      </c>
      <c r="H58" s="209">
        <v>2148541.0133081605</v>
      </c>
      <c r="I58" s="209">
        <v>0</v>
      </c>
      <c r="J58" s="209">
        <v>671220.52397494216</v>
      </c>
      <c r="K58" s="209">
        <v>0</v>
      </c>
      <c r="L58" s="209">
        <v>0</v>
      </c>
      <c r="M58" s="209">
        <v>0</v>
      </c>
      <c r="N58" s="209">
        <v>3719560.9002702474</v>
      </c>
      <c r="O58" s="209">
        <v>5007622.2934134677</v>
      </c>
      <c r="P58" s="209">
        <v>0</v>
      </c>
      <c r="Q58" s="209">
        <v>0</v>
      </c>
      <c r="R58" s="209">
        <v>120708.15919824797</v>
      </c>
      <c r="S58" s="209">
        <v>0</v>
      </c>
      <c r="T58" s="209">
        <v>0</v>
      </c>
      <c r="U58" s="209">
        <v>137754.49100600227</v>
      </c>
    </row>
    <row r="59" spans="1:22" ht="17.25" customHeight="1" x14ac:dyDescent="0.3">
      <c r="A59" s="204"/>
      <c r="B59" s="230" t="s">
        <v>160</v>
      </c>
      <c r="C59" s="231">
        <f>SUM(D59:U59)</f>
        <v>4025789728.7290878</v>
      </c>
      <c r="D59" s="232">
        <f t="shared" ref="D59:U59" si="10">SUM(D56:D58)</f>
        <v>338755797.86951047</v>
      </c>
      <c r="E59" s="232">
        <f t="shared" si="10"/>
        <v>877978122.14055955</v>
      </c>
      <c r="F59" s="232">
        <f t="shared" si="10"/>
        <v>934219730.00288534</v>
      </c>
      <c r="G59" s="232">
        <f t="shared" si="10"/>
        <v>337616411.4852286</v>
      </c>
      <c r="H59" s="232">
        <f t="shared" si="10"/>
        <v>346032362.17303169</v>
      </c>
      <c r="I59" s="232">
        <f t="shared" si="10"/>
        <v>85586017.02245228</v>
      </c>
      <c r="J59" s="232">
        <f t="shared" si="10"/>
        <v>132729122.02613619</v>
      </c>
      <c r="K59" s="232">
        <f t="shared" si="10"/>
        <v>15720748.131957185</v>
      </c>
      <c r="L59" s="232">
        <f t="shared" si="10"/>
        <v>3734217.151389326</v>
      </c>
      <c r="M59" s="232">
        <f t="shared" si="10"/>
        <v>5979777.7613601992</v>
      </c>
      <c r="N59" s="232">
        <f t="shared" si="10"/>
        <v>9010286.1733803265</v>
      </c>
      <c r="O59" s="232">
        <f t="shared" si="10"/>
        <v>787940738.1883527</v>
      </c>
      <c r="P59" s="232">
        <f t="shared" si="10"/>
        <v>19686249.143316582</v>
      </c>
      <c r="Q59" s="232">
        <f t="shared" si="10"/>
        <v>6227224.5518850982</v>
      </c>
      <c r="R59" s="232">
        <f t="shared" si="10"/>
        <v>16855902.743053041</v>
      </c>
      <c r="S59" s="232">
        <f t="shared" si="10"/>
        <v>56623121.875781901</v>
      </c>
      <c r="T59" s="232">
        <f t="shared" si="10"/>
        <v>18013863.264730278</v>
      </c>
      <c r="U59" s="232">
        <f t="shared" si="10"/>
        <v>33080037.024076603</v>
      </c>
    </row>
    <row r="60" spans="1:22" ht="13" x14ac:dyDescent="0.3">
      <c r="A60" s="204"/>
      <c r="B60" s="220"/>
      <c r="C60" s="21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</row>
    <row r="61" spans="1:22" s="215" customFormat="1" ht="15" customHeight="1" x14ac:dyDescent="0.3">
      <c r="A61" s="204"/>
      <c r="B61" s="220" t="s">
        <v>161</v>
      </c>
      <c r="C61" s="219">
        <f>SUM(D61:U61)</f>
        <v>249454888.03926441</v>
      </c>
      <c r="D61" s="222">
        <v>20990736.06034258</v>
      </c>
      <c r="E61" s="222">
        <v>54403222.45261395</v>
      </c>
      <c r="F61" s="222">
        <v>57888189.362913504</v>
      </c>
      <c r="G61" s="222">
        <v>20920134.880927719</v>
      </c>
      <c r="H61" s="222">
        <v>21441622.63315383</v>
      </c>
      <c r="I61" s="222">
        <v>5303270.0992066981</v>
      </c>
      <c r="J61" s="222">
        <v>8224455.4498955989</v>
      </c>
      <c r="K61" s="222">
        <v>974123.76934770541</v>
      </c>
      <c r="L61" s="222">
        <v>231387.82305657055</v>
      </c>
      <c r="M61" s="222">
        <v>370532.21665173897</v>
      </c>
      <c r="N61" s="222">
        <v>558315.28222709522</v>
      </c>
      <c r="O61" s="222">
        <v>48824126.909480214</v>
      </c>
      <c r="P61" s="222">
        <v>1219842.9145253487</v>
      </c>
      <c r="Q61" s="222">
        <v>385865.06202753331</v>
      </c>
      <c r="R61" s="222">
        <v>1044462.730271918</v>
      </c>
      <c r="S61" s="222">
        <v>3508607.1254933453</v>
      </c>
      <c r="T61" s="222">
        <v>1116214.8414732334</v>
      </c>
      <c r="U61" s="222">
        <v>2049778.4256558379</v>
      </c>
      <c r="V61" s="233"/>
    </row>
    <row r="62" spans="1:22" ht="13" x14ac:dyDescent="0.3">
      <c r="A62" s="204"/>
      <c r="B62" s="234"/>
      <c r="C62" s="219"/>
      <c r="D62" s="209"/>
      <c r="E62" s="209"/>
      <c r="F62" s="209"/>
      <c r="G62" s="209"/>
      <c r="H62" s="209"/>
      <c r="I62" s="209"/>
      <c r="J62" s="209"/>
      <c r="K62" s="209"/>
      <c r="L62" s="217"/>
      <c r="M62" s="217"/>
      <c r="N62" s="217"/>
      <c r="O62" s="217"/>
      <c r="P62" s="217"/>
      <c r="Q62" s="217"/>
      <c r="R62" s="217"/>
      <c r="S62" s="217"/>
      <c r="T62" s="217"/>
      <c r="U62" s="217"/>
    </row>
    <row r="63" spans="1:22" s="215" customFormat="1" ht="13.5" thickBot="1" x14ac:dyDescent="0.35">
      <c r="A63" s="204"/>
      <c r="B63" s="212" t="s">
        <v>162</v>
      </c>
      <c r="C63" s="235">
        <f>SUM(D63:U63)</f>
        <v>9089272354.5543442</v>
      </c>
      <c r="D63" s="236">
        <f>D51+D53+D61</f>
        <v>456160892.61204433</v>
      </c>
      <c r="E63" s="236">
        <f t="shared" ref="E63:U63" si="11">E51+E53+E61</f>
        <v>1758709578.8267269</v>
      </c>
      <c r="F63" s="236">
        <f t="shared" si="11"/>
        <v>3634106685.6506929</v>
      </c>
      <c r="G63" s="236">
        <f t="shared" si="11"/>
        <v>953527338.81825435</v>
      </c>
      <c r="H63" s="236">
        <f t="shared" si="11"/>
        <v>970658797.87984025</v>
      </c>
      <c r="I63" s="236">
        <f t="shared" si="11"/>
        <v>136889392.23270744</v>
      </c>
      <c r="J63" s="236">
        <f t="shared" si="11"/>
        <v>181534026.50265756</v>
      </c>
      <c r="K63" s="236">
        <f t="shared" si="11"/>
        <v>51014956.660427541</v>
      </c>
      <c r="L63" s="236">
        <f t="shared" si="11"/>
        <v>24468779.540840019</v>
      </c>
      <c r="M63" s="236">
        <f t="shared" si="11"/>
        <v>14073643.850842161</v>
      </c>
      <c r="N63" s="236">
        <f t="shared" si="11"/>
        <v>12972628.254349716</v>
      </c>
      <c r="O63" s="236">
        <f t="shared" si="11"/>
        <v>474757300.51346523</v>
      </c>
      <c r="P63" s="236">
        <f t="shared" si="11"/>
        <v>64170655.188554242</v>
      </c>
      <c r="Q63" s="236">
        <f t="shared" si="11"/>
        <v>19635272.588540211</v>
      </c>
      <c r="R63" s="236">
        <f t="shared" si="11"/>
        <v>36863177.136623256</v>
      </c>
      <c r="S63" s="236">
        <f t="shared" si="11"/>
        <v>172295500.25556859</v>
      </c>
      <c r="T63" s="236">
        <f t="shared" si="11"/>
        <v>53324956.09160357</v>
      </c>
      <c r="U63" s="236">
        <f t="shared" si="11"/>
        <v>74108771.950603276</v>
      </c>
    </row>
    <row r="64" spans="1:22" s="215" customFormat="1" ht="15" customHeight="1" thickTop="1" x14ac:dyDescent="0.3">
      <c r="A64" s="224"/>
      <c r="B64" s="220"/>
      <c r="C64" s="462" t="s">
        <v>340</v>
      </c>
      <c r="D64" s="463"/>
      <c r="E64" s="464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</row>
    <row r="65" spans="1:22" ht="13" x14ac:dyDescent="0.3">
      <c r="A65" s="204"/>
      <c r="B65" s="220" t="s">
        <v>163</v>
      </c>
      <c r="C65" s="219">
        <f>SUM(D65:U65)</f>
        <v>3635708941.8217373</v>
      </c>
      <c r="D65" s="222">
        <v>182464357.04481775</v>
      </c>
      <c r="E65" s="222">
        <v>703483831.53069079</v>
      </c>
      <c r="F65" s="222">
        <v>1453642674.2602773</v>
      </c>
      <c r="G65" s="222">
        <v>381410935.52730179</v>
      </c>
      <c r="H65" s="222">
        <v>388263519.15193611</v>
      </c>
      <c r="I65" s="222">
        <v>54755756.893082976</v>
      </c>
      <c r="J65" s="222">
        <v>72613610.601063028</v>
      </c>
      <c r="K65" s="222">
        <v>20405982.664171018</v>
      </c>
      <c r="L65" s="222">
        <v>9787511.8163360078</v>
      </c>
      <c r="M65" s="222">
        <v>5629457.540336865</v>
      </c>
      <c r="N65" s="222">
        <v>5189051.3017398864</v>
      </c>
      <c r="O65" s="222">
        <v>189902920.2053861</v>
      </c>
      <c r="P65" s="222">
        <v>25668262.075421698</v>
      </c>
      <c r="Q65" s="222">
        <v>7854109.0354160853</v>
      </c>
      <c r="R65" s="222">
        <v>14745270.854649303</v>
      </c>
      <c r="S65" s="222">
        <v>68918200.102227435</v>
      </c>
      <c r="T65" s="222">
        <v>21329982.436641429</v>
      </c>
      <c r="U65" s="222">
        <v>29643508.780241311</v>
      </c>
    </row>
    <row r="66" spans="1:22" ht="13" x14ac:dyDescent="0.3">
      <c r="A66" s="204"/>
      <c r="B66" s="220"/>
      <c r="C66" s="219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</row>
    <row r="67" spans="1:22" s="215" customFormat="1" ht="13" x14ac:dyDescent="0.3">
      <c r="A67" s="204"/>
      <c r="B67" s="220" t="s">
        <v>164</v>
      </c>
      <c r="C67" s="219">
        <f>SUM(D67:U67)</f>
        <v>312650076.98086327</v>
      </c>
      <c r="D67" s="222">
        <f t="shared" ref="D67:K67" si="12">D25-(D34 +D36)</f>
        <v>20582130.42438139</v>
      </c>
      <c r="E67" s="222">
        <f t="shared" si="12"/>
        <v>113362386.39057255</v>
      </c>
      <c r="F67" s="222">
        <f t="shared" si="12"/>
        <v>98634735.331019878</v>
      </c>
      <c r="G67" s="222">
        <f t="shared" si="12"/>
        <v>36990377.569726184</v>
      </c>
      <c r="H67" s="222">
        <f t="shared" si="12"/>
        <v>23782506.159177855</v>
      </c>
      <c r="I67" s="222">
        <f t="shared" si="12"/>
        <v>4009695.3052744158</v>
      </c>
      <c r="J67" s="222">
        <f t="shared" si="12"/>
        <v>5503442.9504371434</v>
      </c>
      <c r="K67" s="222">
        <f t="shared" si="12"/>
        <v>1618664.9389282716</v>
      </c>
      <c r="L67" s="222">
        <f>L25-(L34 +L36)</f>
        <v>1265227.5460015484</v>
      </c>
      <c r="M67" s="222">
        <f>M25-(M34 +M36)</f>
        <v>1049193.2046976918</v>
      </c>
      <c r="N67" s="222">
        <f>N25-(N34 +N36)</f>
        <v>-779321.4564988846</v>
      </c>
      <c r="O67" s="222">
        <f>O25-(O34 +O36)</f>
        <v>5735694.5963226408</v>
      </c>
      <c r="P67" s="222">
        <f t="shared" ref="P67:U67" si="13">P25-(P34 +P36)</f>
        <v>519783.21226902027</v>
      </c>
      <c r="Q67" s="222">
        <f t="shared" si="13"/>
        <v>-43053.78394297068</v>
      </c>
      <c r="R67" s="222">
        <f t="shared" si="13"/>
        <v>-130614.8409500795</v>
      </c>
      <c r="S67" s="222">
        <f t="shared" si="13"/>
        <v>253746.30629269779</v>
      </c>
      <c r="T67" s="222">
        <f t="shared" si="13"/>
        <v>523922.67784994328</v>
      </c>
      <c r="U67" s="222">
        <f t="shared" si="13"/>
        <v>-228439.55069593852</v>
      </c>
    </row>
    <row r="68" spans="1:22" s="215" customFormat="1" ht="13" x14ac:dyDescent="0.3">
      <c r="A68" s="204"/>
      <c r="B68" s="220"/>
      <c r="C68" s="219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2" s="215" customFormat="1" ht="13" x14ac:dyDescent="0.3">
      <c r="A69" s="204"/>
      <c r="B69" s="220" t="s">
        <v>165</v>
      </c>
      <c r="C69" s="219">
        <f>SUM(D69:U69)</f>
        <v>0</v>
      </c>
      <c r="D69" s="222">
        <v>0</v>
      </c>
      <c r="E69" s="222">
        <v>0</v>
      </c>
      <c r="F69" s="222">
        <v>0</v>
      </c>
      <c r="G69" s="222">
        <v>0</v>
      </c>
      <c r="H69" s="222">
        <v>0</v>
      </c>
      <c r="I69" s="222">
        <v>0</v>
      </c>
      <c r="J69" s="222">
        <v>0</v>
      </c>
      <c r="K69" s="222">
        <v>0</v>
      </c>
      <c r="L69" s="222">
        <v>0</v>
      </c>
      <c r="M69" s="222">
        <v>0</v>
      </c>
      <c r="N69" s="222">
        <v>0</v>
      </c>
      <c r="O69" s="222">
        <v>0</v>
      </c>
      <c r="P69" s="222">
        <v>0</v>
      </c>
      <c r="Q69" s="222">
        <v>0</v>
      </c>
      <c r="R69" s="222">
        <v>0</v>
      </c>
      <c r="S69" s="222">
        <v>0</v>
      </c>
      <c r="T69" s="222">
        <v>0</v>
      </c>
      <c r="U69" s="222">
        <v>0</v>
      </c>
    </row>
    <row r="70" spans="1:22" ht="13" x14ac:dyDescent="0.3">
      <c r="A70" s="204"/>
      <c r="B70" s="205"/>
      <c r="C70" s="219"/>
      <c r="D70" s="209"/>
      <c r="E70" s="209"/>
      <c r="F70" s="209"/>
      <c r="G70" s="209"/>
      <c r="H70" s="209"/>
      <c r="I70" s="209"/>
      <c r="J70" s="209"/>
      <c r="K70" s="209"/>
      <c r="L70" s="217"/>
      <c r="M70" s="217"/>
      <c r="N70" s="217"/>
      <c r="O70" s="217"/>
      <c r="P70" s="217"/>
      <c r="Q70" s="217"/>
      <c r="R70" s="217"/>
      <c r="S70" s="217"/>
      <c r="T70" s="217"/>
      <c r="U70" s="217"/>
    </row>
    <row r="71" spans="1:22" ht="13" x14ac:dyDescent="0.3">
      <c r="A71" s="204"/>
      <c r="B71" s="212" t="s">
        <v>166</v>
      </c>
      <c r="C71" s="231">
        <f>SUM(D71:U71)</f>
        <v>312650076.98086327</v>
      </c>
      <c r="D71" s="232">
        <f>SUM(D67:D69)</f>
        <v>20582130.42438139</v>
      </c>
      <c r="E71" s="232">
        <f t="shared" ref="E71:U71" si="14">SUM(E67:E69)</f>
        <v>113362386.39057255</v>
      </c>
      <c r="F71" s="232">
        <f t="shared" si="14"/>
        <v>98634735.331019878</v>
      </c>
      <c r="G71" s="232">
        <f t="shared" si="14"/>
        <v>36990377.569726184</v>
      </c>
      <c r="H71" s="232">
        <f t="shared" si="14"/>
        <v>23782506.159177855</v>
      </c>
      <c r="I71" s="232">
        <f t="shared" si="14"/>
        <v>4009695.3052744158</v>
      </c>
      <c r="J71" s="232">
        <f t="shared" si="14"/>
        <v>5503442.9504371434</v>
      </c>
      <c r="K71" s="232">
        <f t="shared" si="14"/>
        <v>1618664.9389282716</v>
      </c>
      <c r="L71" s="232">
        <f t="shared" si="14"/>
        <v>1265227.5460015484</v>
      </c>
      <c r="M71" s="232">
        <f t="shared" si="14"/>
        <v>1049193.2046976918</v>
      </c>
      <c r="N71" s="232">
        <f t="shared" si="14"/>
        <v>-779321.4564988846</v>
      </c>
      <c r="O71" s="232">
        <f t="shared" si="14"/>
        <v>5735694.5963226408</v>
      </c>
      <c r="P71" s="232">
        <f t="shared" si="14"/>
        <v>519783.21226902027</v>
      </c>
      <c r="Q71" s="232">
        <f t="shared" si="14"/>
        <v>-43053.78394297068</v>
      </c>
      <c r="R71" s="232">
        <f t="shared" si="14"/>
        <v>-130614.8409500795</v>
      </c>
      <c r="S71" s="232">
        <f t="shared" si="14"/>
        <v>253746.30629269779</v>
      </c>
      <c r="T71" s="232">
        <f t="shared" si="14"/>
        <v>523922.67784994328</v>
      </c>
      <c r="U71" s="232">
        <f t="shared" si="14"/>
        <v>-228439.55069593852</v>
      </c>
    </row>
    <row r="72" spans="1:22" ht="13" x14ac:dyDescent="0.3">
      <c r="A72" s="204"/>
      <c r="B72" s="205"/>
      <c r="C72" s="219"/>
      <c r="D72" s="209"/>
      <c r="E72" s="209"/>
      <c r="F72" s="209"/>
      <c r="G72" s="209"/>
      <c r="H72" s="209"/>
      <c r="I72" s="209"/>
      <c r="J72" s="209"/>
      <c r="K72" s="209"/>
      <c r="L72" s="217"/>
      <c r="M72" s="217"/>
      <c r="N72" s="217"/>
      <c r="O72" s="217"/>
      <c r="P72" s="217"/>
      <c r="Q72" s="217"/>
      <c r="R72" s="217"/>
      <c r="S72" s="217"/>
      <c r="T72" s="217"/>
      <c r="U72" s="217"/>
    </row>
    <row r="73" spans="1:22" ht="13" x14ac:dyDescent="0.3">
      <c r="A73" s="204"/>
      <c r="B73" s="220" t="s">
        <v>167</v>
      </c>
      <c r="C73" s="219"/>
      <c r="D73" s="209"/>
      <c r="E73" s="209"/>
      <c r="F73" s="209"/>
      <c r="G73" s="209"/>
      <c r="H73" s="209"/>
      <c r="I73" s="209"/>
      <c r="J73" s="209"/>
      <c r="K73" s="209"/>
      <c r="L73" s="217"/>
      <c r="M73" s="217"/>
      <c r="N73" s="217"/>
      <c r="O73" s="217"/>
      <c r="P73" s="217"/>
      <c r="Q73" s="217"/>
      <c r="R73" s="217"/>
      <c r="S73" s="217"/>
      <c r="T73" s="217"/>
      <c r="U73" s="217"/>
    </row>
    <row r="74" spans="1:22" ht="13" x14ac:dyDescent="0.3">
      <c r="A74" s="204"/>
      <c r="B74" s="205"/>
      <c r="C74" s="219"/>
      <c r="D74" s="209"/>
      <c r="E74" s="209"/>
      <c r="F74" s="209"/>
      <c r="G74" s="209"/>
      <c r="H74" s="209"/>
      <c r="I74" s="209"/>
      <c r="J74" s="209"/>
      <c r="K74" s="237"/>
      <c r="L74" s="237"/>
      <c r="M74" s="217"/>
      <c r="N74" s="217"/>
      <c r="O74" s="217"/>
      <c r="P74" s="238"/>
      <c r="Q74" s="238"/>
      <c r="R74" s="238"/>
      <c r="S74" s="238"/>
      <c r="T74" s="238"/>
      <c r="U74" s="238"/>
    </row>
    <row r="75" spans="1:22" s="243" customFormat="1" ht="13" x14ac:dyDescent="0.3">
      <c r="A75" s="239"/>
      <c r="B75" s="240" t="s">
        <v>168</v>
      </c>
      <c r="C75" s="241">
        <f t="shared" ref="C75:U75" si="15">IF(ISERROR(C25/C$40),"0.00%", (C25/C$40))</f>
        <v>0.99999999999999967</v>
      </c>
      <c r="D75" s="242">
        <f t="shared" si="15"/>
        <v>1.0449364390532174</v>
      </c>
      <c r="E75" s="242">
        <f t="shared" si="15"/>
        <v>1.1418595654998016</v>
      </c>
      <c r="F75" s="242">
        <f t="shared" si="15"/>
        <v>0.95298576884075681</v>
      </c>
      <c r="G75" s="242">
        <f t="shared" si="15"/>
        <v>1.018823490964732</v>
      </c>
      <c r="H75" s="242">
        <f t="shared" si="15"/>
        <v>0.92770127332809971</v>
      </c>
      <c r="I75" s="242">
        <f t="shared" si="15"/>
        <v>0.9675458200171404</v>
      </c>
      <c r="J75" s="242">
        <f t="shared" si="15"/>
        <v>0.9711813039962266</v>
      </c>
      <c r="K75" s="242">
        <f t="shared" si="15"/>
        <v>0.97916479021131619</v>
      </c>
      <c r="L75" s="242">
        <f t="shared" si="15"/>
        <v>1.1209080603872916</v>
      </c>
      <c r="M75" s="242">
        <f t="shared" si="15"/>
        <v>1.1894630523748708</v>
      </c>
      <c r="N75" s="242">
        <f t="shared" si="15"/>
        <v>0.82051914062753173</v>
      </c>
      <c r="O75" s="242">
        <f t="shared" si="15"/>
        <v>0.86338206527363437</v>
      </c>
      <c r="P75" s="242">
        <f t="shared" si="15"/>
        <v>0.9425512515243033</v>
      </c>
      <c r="Q75" s="242">
        <f t="shared" si="15"/>
        <v>0.78396488654695784</v>
      </c>
      <c r="R75" s="242">
        <f t="shared" si="15"/>
        <v>0.7341983209775218</v>
      </c>
      <c r="S75" s="242">
        <f t="shared" si="15"/>
        <v>0.84829008399338812</v>
      </c>
      <c r="T75" s="242">
        <f t="shared" si="15"/>
        <v>0.92643033926375351</v>
      </c>
      <c r="U75" s="242">
        <f t="shared" si="15"/>
        <v>0.74087618647330233</v>
      </c>
    </row>
    <row r="76" spans="1:22" ht="13" x14ac:dyDescent="0.3">
      <c r="A76" s="204"/>
      <c r="B76" s="205"/>
      <c r="C76" s="219"/>
      <c r="D76" s="209"/>
      <c r="E76" s="209"/>
      <c r="F76" s="209"/>
      <c r="G76" s="209"/>
      <c r="H76" s="209"/>
      <c r="I76" s="209"/>
      <c r="J76" s="209"/>
      <c r="K76" s="209"/>
      <c r="L76" s="217"/>
      <c r="M76" s="217"/>
      <c r="N76" s="217"/>
      <c r="O76" s="217"/>
      <c r="P76" s="217"/>
      <c r="Q76" s="217"/>
      <c r="R76" s="217"/>
      <c r="S76" s="217"/>
      <c r="T76" s="217"/>
      <c r="U76" s="217"/>
    </row>
    <row r="77" spans="1:22" ht="13" x14ac:dyDescent="0.3">
      <c r="A77" s="204"/>
      <c r="B77" s="205" t="s">
        <v>169</v>
      </c>
      <c r="C77" s="219">
        <f>SUM(D77:U77)</f>
        <v>79704413.651297554</v>
      </c>
      <c r="D77" s="209">
        <f t="shared" ref="D77:U77" si="16">D21-D40</f>
        <v>10092261.39107199</v>
      </c>
      <c r="E77" s="209">
        <f t="shared" si="16"/>
        <v>71569872.126172662</v>
      </c>
      <c r="F77" s="209">
        <f t="shared" si="16"/>
        <v>-214076.42530298233</v>
      </c>
      <c r="G77" s="209">
        <f t="shared" si="16"/>
        <v>11284873.219313979</v>
      </c>
      <c r="H77" s="209">
        <f t="shared" si="16"/>
        <v>-3923266.9536910951</v>
      </c>
      <c r="I77" s="209">
        <f t="shared" si="16"/>
        <v>354741.35006193817</v>
      </c>
      <c r="J77" s="209">
        <f t="shared" si="16"/>
        <v>529467.34211428836</v>
      </c>
      <c r="K77" s="209">
        <f t="shared" si="16"/>
        <v>258968.75731293671</v>
      </c>
      <c r="L77" s="209">
        <f t="shared" si="16"/>
        <v>696581.35762320459</v>
      </c>
      <c r="M77" s="209">
        <f t="shared" si="16"/>
        <v>720479.24851864809</v>
      </c>
      <c r="N77" s="209">
        <f t="shared" si="16"/>
        <v>-952964.14246921986</v>
      </c>
      <c r="O77" s="209">
        <f t="shared" si="16"/>
        <v>-6720578.6872409061</v>
      </c>
      <c r="P77" s="209">
        <f t="shared" si="16"/>
        <v>-75605.037593984045</v>
      </c>
      <c r="Q77" s="209">
        <f t="shared" si="16"/>
        <v>-235015.4055161057</v>
      </c>
      <c r="R77" s="209">
        <f t="shared" si="16"/>
        <v>-344004.18447409035</v>
      </c>
      <c r="S77" s="209">
        <f t="shared" si="16"/>
        <v>-2299532.7195923477</v>
      </c>
      <c r="T77" s="209">
        <f t="shared" si="16"/>
        <v>-123895.34785338119</v>
      </c>
      <c r="U77" s="209">
        <f t="shared" si="16"/>
        <v>-913892.23715798277</v>
      </c>
    </row>
    <row r="78" spans="1:22" s="215" customFormat="1" ht="15" customHeight="1" x14ac:dyDescent="0.3">
      <c r="A78" s="224"/>
      <c r="B78" s="220"/>
      <c r="C78" s="465" t="s">
        <v>342</v>
      </c>
      <c r="D78" s="466"/>
      <c r="E78" s="46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</row>
    <row r="79" spans="1:22" ht="13" x14ac:dyDescent="0.3">
      <c r="A79" s="204"/>
      <c r="B79" s="205" t="s">
        <v>170</v>
      </c>
      <c r="C79" s="219">
        <f>SUM(D79:U79)</f>
        <v>-1.0244548320770264E-7</v>
      </c>
      <c r="D79" s="209">
        <f t="shared" ref="D79:U79" si="17">D25-D40</f>
        <v>4761031.2467154413</v>
      </c>
      <c r="E79" s="209">
        <f t="shared" si="17"/>
        <v>51413731.885087073</v>
      </c>
      <c r="F79" s="209">
        <f t="shared" si="17"/>
        <v>-31340612.101360202</v>
      </c>
      <c r="G79" s="209">
        <f t="shared" si="17"/>
        <v>3085463.7846604586</v>
      </c>
      <c r="H79" s="209">
        <f t="shared" si="17"/>
        <v>-10725005.608998716</v>
      </c>
      <c r="I79" s="209">
        <f t="shared" si="17"/>
        <v>-775151.97191702574</v>
      </c>
      <c r="J79" s="209">
        <f t="shared" si="17"/>
        <v>-797359.62782652676</v>
      </c>
      <c r="K79" s="209">
        <f t="shared" si="17"/>
        <v>-199982.41813932545</v>
      </c>
      <c r="L79" s="209">
        <f t="shared" si="17"/>
        <v>569330.75067832507</v>
      </c>
      <c r="M79" s="209">
        <f t="shared" si="17"/>
        <v>551245.89915280323</v>
      </c>
      <c r="N79" s="209">
        <f t="shared" si="17"/>
        <v>-1231850.2499913815</v>
      </c>
      <c r="O79" s="209">
        <f t="shared" si="17"/>
        <v>-9749548.9487041011</v>
      </c>
      <c r="P79" s="209">
        <f t="shared" si="17"/>
        <v>-351804.01038739551</v>
      </c>
      <c r="Q79" s="209">
        <f t="shared" si="17"/>
        <v>-285254.25403075735</v>
      </c>
      <c r="R79" s="209">
        <f t="shared" si="17"/>
        <v>-396948.44827318704</v>
      </c>
      <c r="S79" s="209">
        <f t="shared" si="17"/>
        <v>-3144728.5990262106</v>
      </c>
      <c r="T79" s="209">
        <f t="shared" si="17"/>
        <v>-320855.18355713179</v>
      </c>
      <c r="U79" s="209">
        <f t="shared" si="17"/>
        <v>-1061702.1440822431</v>
      </c>
      <c r="V79" s="244"/>
    </row>
    <row r="80" spans="1:22" ht="13" x14ac:dyDescent="0.3">
      <c r="A80" s="204"/>
      <c r="B80" s="205"/>
      <c r="C80" s="219"/>
      <c r="D80" s="209"/>
      <c r="E80" s="209"/>
      <c r="F80" s="209"/>
      <c r="G80" s="209"/>
      <c r="H80" s="209"/>
      <c r="I80" s="209"/>
      <c r="J80" s="209"/>
      <c r="K80" s="209"/>
      <c r="L80" s="217"/>
      <c r="M80" s="217"/>
      <c r="N80" s="217"/>
      <c r="O80" s="217"/>
      <c r="P80" s="217"/>
      <c r="Q80" s="217"/>
      <c r="R80" s="217"/>
      <c r="S80" s="217"/>
      <c r="T80" s="217"/>
      <c r="U80" s="217"/>
    </row>
    <row r="81" spans="1:21" ht="13.5" thickBot="1" x14ac:dyDescent="0.35">
      <c r="A81" s="204"/>
      <c r="B81" s="205" t="s">
        <v>171</v>
      </c>
      <c r="C81" s="245">
        <f>IF(ISERROR(C71/C65),"0.00%", (C71/C65))</f>
        <v>8.5994253661076714E-2</v>
      </c>
      <c r="D81" s="245">
        <f t="shared" ref="D81:U81" si="18">IF(ISERROR(D71/D65),"0.00%", (D71/D65))</f>
        <v>0.11280082728335765</v>
      </c>
      <c r="E81" s="245">
        <f t="shared" si="18"/>
        <v>0.16114426701735349</v>
      </c>
      <c r="F81" s="245">
        <f t="shared" si="18"/>
        <v>6.7853494588147434E-2</v>
      </c>
      <c r="G81" s="245">
        <f t="shared" si="18"/>
        <v>9.6983002122335252E-2</v>
      </c>
      <c r="H81" s="245">
        <f t="shared" si="18"/>
        <v>6.1253517227487016E-2</v>
      </c>
      <c r="I81" s="245">
        <f t="shared" si="18"/>
        <v>7.32287440223649E-2</v>
      </c>
      <c r="J81" s="245">
        <f t="shared" si="18"/>
        <v>7.57907905264881E-2</v>
      </c>
      <c r="K81" s="245">
        <f t="shared" si="18"/>
        <v>7.9323057633011521E-2</v>
      </c>
      <c r="L81" s="245">
        <f t="shared" si="18"/>
        <v>0.12926958043512138</v>
      </c>
      <c r="M81" s="245">
        <f t="shared" si="18"/>
        <v>0.18637554279073726</v>
      </c>
      <c r="N81" s="245">
        <f t="shared" si="18"/>
        <v>-0.15018572975710964</v>
      </c>
      <c r="O81" s="245">
        <f t="shared" si="18"/>
        <v>3.020329855970252E-2</v>
      </c>
      <c r="P81" s="245">
        <f t="shared" si="18"/>
        <v>2.0250035266966195E-2</v>
      </c>
      <c r="Q81" s="245">
        <f t="shared" si="18"/>
        <v>-5.4816891067886522E-3</v>
      </c>
      <c r="R81" s="245">
        <f t="shared" si="18"/>
        <v>-8.8580835331957004E-3</v>
      </c>
      <c r="S81" s="245">
        <f t="shared" si="18"/>
        <v>3.6818475513915329E-3</v>
      </c>
      <c r="T81" s="245">
        <f t="shared" si="18"/>
        <v>2.4562733673419705E-2</v>
      </c>
      <c r="U81" s="245">
        <f t="shared" si="18"/>
        <v>-7.7062250757644257E-3</v>
      </c>
    </row>
    <row r="82" spans="1:21" ht="13" x14ac:dyDescent="0.3">
      <c r="A82" s="246"/>
      <c r="B82" s="187"/>
    </row>
    <row r="83" spans="1:21" ht="13.5" thickBot="1" x14ac:dyDescent="0.35">
      <c r="A83" s="246"/>
      <c r="B83" s="187"/>
    </row>
    <row r="84" spans="1:21" ht="13" x14ac:dyDescent="0.3">
      <c r="A84" s="246"/>
      <c r="B84" s="247" t="s">
        <v>172</v>
      </c>
      <c r="C84" s="248">
        <v>16058730017.789421</v>
      </c>
      <c r="E84" s="249"/>
      <c r="F84" s="250"/>
    </row>
    <row r="85" spans="1:21" ht="25" x14ac:dyDescent="0.3">
      <c r="A85" s="246"/>
      <c r="B85" s="251" t="s">
        <v>173</v>
      </c>
      <c r="C85" s="252">
        <v>-5690790164.4173174</v>
      </c>
    </row>
    <row r="86" spans="1:21" ht="13" x14ac:dyDescent="0.3">
      <c r="A86" s="246"/>
      <c r="B86" s="253" t="s">
        <v>174</v>
      </c>
      <c r="C86" s="252">
        <v>-1245390035.7500029</v>
      </c>
    </row>
    <row r="87" spans="1:21" ht="13" x14ac:dyDescent="0.3">
      <c r="A87" s="254"/>
      <c r="B87" s="253" t="s">
        <v>154</v>
      </c>
      <c r="C87" s="252">
        <f>SUM(C84:C86)</f>
        <v>9122549817.6221008</v>
      </c>
    </row>
    <row r="88" spans="1:21" ht="13.5" thickBot="1" x14ac:dyDescent="0.35">
      <c r="A88" s="254"/>
      <c r="B88" s="253" t="s">
        <v>175</v>
      </c>
      <c r="C88" s="252">
        <f>C61</f>
        <v>249454888.03926441</v>
      </c>
    </row>
    <row r="89" spans="1:21" ht="13.5" thickBot="1" x14ac:dyDescent="0.35">
      <c r="A89" s="254"/>
      <c r="B89" s="255" t="s">
        <v>162</v>
      </c>
      <c r="C89" s="256">
        <f>C87+C88</f>
        <v>9372004705.6613655</v>
      </c>
    </row>
    <row r="90" spans="1:21" ht="13.5" thickBot="1" x14ac:dyDescent="0.35">
      <c r="A90" s="254"/>
      <c r="B90" s="257" t="s">
        <v>176</v>
      </c>
      <c r="C90" s="258">
        <v>9372004706</v>
      </c>
    </row>
    <row r="91" spans="1:21" ht="13.5" thickBot="1" x14ac:dyDescent="0.35">
      <c r="A91" s="254"/>
      <c r="B91" s="257"/>
      <c r="C91" s="259" t="str">
        <f>IF(ROUND(C89/1000000,-1)=ROUND(C90/1000000,-1),"Rate Base Input Equals Output","Rate Base Input Does Not Equal Output")</f>
        <v>Rate Base Input Equals Output</v>
      </c>
    </row>
    <row r="92" spans="1:21" ht="13" x14ac:dyDescent="0.3">
      <c r="A92" s="254"/>
    </row>
    <row r="93" spans="1:21" ht="13" x14ac:dyDescent="0.3">
      <c r="A93" s="254"/>
    </row>
    <row r="94" spans="1:21" ht="13" x14ac:dyDescent="0.3">
      <c r="A94" s="254"/>
    </row>
    <row r="95" spans="1:21" ht="13" x14ac:dyDescent="0.3">
      <c r="A95" s="254"/>
    </row>
    <row r="96" spans="1:21" ht="13" x14ac:dyDescent="0.3">
      <c r="A96" s="254"/>
    </row>
    <row r="97" spans="1:1" ht="13" x14ac:dyDescent="0.3">
      <c r="A97" s="254"/>
    </row>
    <row r="98" spans="1:1" ht="13" x14ac:dyDescent="0.3">
      <c r="A98" s="254"/>
    </row>
    <row r="99" spans="1:1" ht="13" x14ac:dyDescent="0.3">
      <c r="A99" s="254"/>
    </row>
    <row r="100" spans="1:1" ht="13" x14ac:dyDescent="0.3">
      <c r="A100" s="254"/>
    </row>
    <row r="101" spans="1:1" ht="13" x14ac:dyDescent="0.3">
      <c r="A101" s="254"/>
    </row>
    <row r="102" spans="1:1" ht="13" x14ac:dyDescent="0.3">
      <c r="A102" s="254"/>
    </row>
    <row r="103" spans="1:1" ht="13" x14ac:dyDescent="0.3">
      <c r="A103" s="254"/>
    </row>
    <row r="104" spans="1:1" ht="13" x14ac:dyDescent="0.3">
      <c r="A104" s="254"/>
    </row>
    <row r="105" spans="1:1" ht="13" x14ac:dyDescent="0.3">
      <c r="A105" s="254"/>
    </row>
    <row r="106" spans="1:1" ht="13" x14ac:dyDescent="0.3">
      <c r="A106" s="254"/>
    </row>
    <row r="107" spans="1:1" ht="13" x14ac:dyDescent="0.3">
      <c r="A107" s="254"/>
    </row>
    <row r="108" spans="1:1" ht="13" x14ac:dyDescent="0.3">
      <c r="A108" s="254"/>
    </row>
    <row r="109" spans="1:1" ht="13" x14ac:dyDescent="0.3">
      <c r="A109" s="254"/>
    </row>
    <row r="110" spans="1:1" ht="13" x14ac:dyDescent="0.3">
      <c r="A110" s="254"/>
    </row>
    <row r="111" spans="1:1" ht="13" x14ac:dyDescent="0.3">
      <c r="A111" s="254"/>
    </row>
    <row r="112" spans="1:1" ht="13" x14ac:dyDescent="0.3">
      <c r="A112" s="254"/>
    </row>
    <row r="113" spans="1:1" ht="13" x14ac:dyDescent="0.3">
      <c r="A113" s="254"/>
    </row>
    <row r="114" spans="1:1" ht="13" x14ac:dyDescent="0.3">
      <c r="A114" s="254"/>
    </row>
  </sheetData>
  <mergeCells count="8">
    <mergeCell ref="C64:E64"/>
    <mergeCell ref="C78:E78"/>
    <mergeCell ref="A1:F1"/>
    <mergeCell ref="A2:E2"/>
    <mergeCell ref="A4:E4"/>
    <mergeCell ref="C15:K15"/>
    <mergeCell ref="C20:F20"/>
    <mergeCell ref="C41:E41"/>
  </mergeCells>
  <conditionalFormatting sqref="C41 C64 C78 C20">
    <cfRule type="cellIs" dxfId="1" priority="1" stopIfTrue="1" operator="equal">
      <formula>"Error"</formula>
    </cfRule>
  </conditionalFormatting>
  <pageMargins left="0.25" right="0.25" top="0.75" bottom="0.75" header="0.3" footer="0.3"/>
  <pageSetup paperSize="17" scale="43" orientation="landscape" r:id="rId1"/>
  <headerFooter alignWithMargins="0">
    <oddFooter>&amp;F</oddFooter>
  </headerFooter>
  <rowBreaks count="1" manualBreakCount="1">
    <brk id="43" max="16383" man="1"/>
  </rowBreaks>
  <colBreaks count="2" manualBreakCount="2">
    <brk id="8" max="1048575" man="1"/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indexed="9"/>
    <pageSetUpPr fitToPage="1"/>
  </sheetPr>
  <dimension ref="A1:AI808"/>
  <sheetViews>
    <sheetView zoomScale="80" zoomScaleNormal="80" workbookViewId="0">
      <selection activeCell="N2" sqref="N2"/>
    </sheetView>
  </sheetViews>
  <sheetFormatPr defaultColWidth="9.1796875" defaultRowHeight="10" x14ac:dyDescent="0.2"/>
  <cols>
    <col min="1" max="1" width="14.1796875" style="260" customWidth="1"/>
    <col min="2" max="2" width="43.54296875" style="1" customWidth="1"/>
    <col min="3" max="3" width="18.453125" style="261" bestFit="1" customWidth="1"/>
    <col min="4" max="4" width="15.54296875" style="262" customWidth="1"/>
    <col min="5" max="5" width="16.81640625" style="263" bestFit="1" customWidth="1"/>
    <col min="6" max="6" width="18" style="263" bestFit="1" customWidth="1"/>
    <col min="7" max="7" width="15.54296875" style="262" customWidth="1"/>
    <col min="8" max="12" width="15.54296875" style="263" customWidth="1"/>
    <col min="13" max="13" width="13.54296875" style="263" bestFit="1" customWidth="1"/>
    <col min="14" max="21" width="15.54296875" style="263" customWidth="1"/>
    <col min="22" max="22" width="9.1796875" style="261"/>
    <col min="23" max="23" width="9.1796875" style="264"/>
    <col min="24" max="24" width="11.453125" style="264" bestFit="1" customWidth="1"/>
    <col min="25" max="28" width="9.1796875" style="264"/>
    <col min="29" max="16384" width="9.1796875" style="1"/>
  </cols>
  <sheetData>
    <row r="1" spans="1:28" ht="92.25" customHeight="1" x14ac:dyDescent="0.2">
      <c r="A1" s="439"/>
      <c r="B1" s="439"/>
      <c r="C1" s="439"/>
      <c r="D1" s="439"/>
      <c r="E1" s="439"/>
      <c r="F1" s="43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customHeight="1" x14ac:dyDescent="0.4">
      <c r="A2" s="440"/>
      <c r="B2" s="440"/>
      <c r="C2" s="440"/>
      <c r="D2" s="440"/>
      <c r="E2" s="44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1.25" customHeight="1" x14ac:dyDescent="0.2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7.5" x14ac:dyDescent="0.35">
      <c r="A4" s="441" t="s">
        <v>320</v>
      </c>
      <c r="B4" s="441"/>
      <c r="C4" s="441"/>
      <c r="D4" s="441"/>
      <c r="E4" s="44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4">
      <c r="A5" s="2" t="s">
        <v>338</v>
      </c>
      <c r="B5" s="3"/>
      <c r="C5" s="128"/>
      <c r="D5" s="128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" customHeight="1" x14ac:dyDescent="0.2">
      <c r="A6" s="6"/>
      <c r="B6" s="6"/>
      <c r="C6" s="180"/>
      <c r="D6" s="180"/>
      <c r="E6" s="6"/>
      <c r="F6" s="6"/>
      <c r="G6" s="6"/>
      <c r="H6" s="6"/>
      <c r="I6" s="6"/>
      <c r="J6" s="6"/>
      <c r="K6" s="6"/>
      <c r="L6" s="6"/>
      <c r="M6" s="6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">
      <c r="A7" s="7"/>
    </row>
    <row r="8" spans="1:28" x14ac:dyDescent="0.2">
      <c r="A8" s="7"/>
    </row>
    <row r="9" spans="1:28" ht="12.5" x14ac:dyDescent="0.25">
      <c r="A9" s="11"/>
      <c r="B9" s="265"/>
    </row>
    <row r="11" spans="1:28" x14ac:dyDescent="0.2">
      <c r="A11" s="7"/>
      <c r="C11" s="263"/>
    </row>
    <row r="12" spans="1:28" ht="13" x14ac:dyDescent="0.3">
      <c r="A12" s="266"/>
      <c r="B12" s="265"/>
      <c r="C12" s="267"/>
      <c r="D12" s="268">
        <v>1</v>
      </c>
      <c r="E12" s="268">
        <v>2</v>
      </c>
      <c r="F12" s="268">
        <v>3</v>
      </c>
      <c r="G12" s="268">
        <v>4</v>
      </c>
      <c r="H12" s="268">
        <v>5</v>
      </c>
      <c r="I12" s="268">
        <v>6</v>
      </c>
      <c r="J12" s="268">
        <v>7</v>
      </c>
      <c r="K12" s="268">
        <v>8</v>
      </c>
      <c r="L12" s="268">
        <v>9</v>
      </c>
      <c r="M12" s="268">
        <v>10</v>
      </c>
      <c r="N12" s="268">
        <v>11</v>
      </c>
      <c r="O12" s="268">
        <v>12</v>
      </c>
      <c r="P12" s="268">
        <v>13</v>
      </c>
      <c r="Q12" s="268">
        <v>14</v>
      </c>
      <c r="R12" s="268">
        <v>15</v>
      </c>
      <c r="S12" s="268">
        <v>16</v>
      </c>
      <c r="T12" s="268">
        <v>17</v>
      </c>
      <c r="U12" s="268">
        <v>18</v>
      </c>
    </row>
    <row r="13" spans="1:28" ht="20" x14ac:dyDescent="0.25">
      <c r="A13" s="265"/>
      <c r="B13" s="269" t="s">
        <v>177</v>
      </c>
      <c r="C13" s="270"/>
      <c r="D13" s="271" t="s">
        <v>24</v>
      </c>
      <c r="E13" s="271" t="s">
        <v>62</v>
      </c>
      <c r="F13" s="271" t="s">
        <v>64</v>
      </c>
      <c r="G13" s="271" t="s">
        <v>322</v>
      </c>
      <c r="H13" s="271" t="s">
        <v>323</v>
      </c>
      <c r="I13" s="271" t="s">
        <v>324</v>
      </c>
      <c r="J13" s="271" t="s">
        <v>325</v>
      </c>
      <c r="K13" s="271" t="s">
        <v>326</v>
      </c>
      <c r="L13" s="271" t="s">
        <v>327</v>
      </c>
      <c r="M13" s="271" t="s">
        <v>328</v>
      </c>
      <c r="N13" s="271" t="s">
        <v>329</v>
      </c>
      <c r="O13" s="271" t="s">
        <v>330</v>
      </c>
      <c r="P13" s="271" t="s">
        <v>65</v>
      </c>
      <c r="Q13" s="271" t="s">
        <v>331</v>
      </c>
      <c r="R13" s="271" t="s">
        <v>332</v>
      </c>
      <c r="S13" s="271" t="s">
        <v>66</v>
      </c>
      <c r="T13" s="271" t="s">
        <v>333</v>
      </c>
      <c r="U13" s="271" t="s">
        <v>334</v>
      </c>
    </row>
    <row r="14" spans="1:28" ht="13" x14ac:dyDescent="0.25">
      <c r="A14" s="265"/>
      <c r="B14" s="272" t="s">
        <v>178</v>
      </c>
      <c r="C14" s="270"/>
      <c r="D14" s="273">
        <v>9.2507104605139929</v>
      </c>
      <c r="E14" s="273">
        <v>9.0398778697993301</v>
      </c>
      <c r="F14" s="273">
        <v>10.493815392756115</v>
      </c>
      <c r="G14" s="273">
        <v>14.059165155948994</v>
      </c>
      <c r="H14" s="273">
        <v>42.276516037955581</v>
      </c>
      <c r="I14" s="273">
        <v>17.609526477458495</v>
      </c>
      <c r="J14" s="273">
        <v>38.710376755486685</v>
      </c>
      <c r="K14" s="273">
        <v>2.3108370856033917</v>
      </c>
      <c r="L14" s="273">
        <v>4.5845442009918296</v>
      </c>
      <c r="M14" s="273">
        <v>4.5541296958432174</v>
      </c>
      <c r="N14" s="273">
        <v>113.82632359844688</v>
      </c>
      <c r="O14" s="273">
        <v>53.615223785210837</v>
      </c>
      <c r="P14" s="273">
        <v>8.4764159456364325</v>
      </c>
      <c r="Q14" s="273">
        <v>14.549607911420964</v>
      </c>
      <c r="R14" s="273">
        <v>16.142615312952877</v>
      </c>
      <c r="S14" s="273">
        <v>7.8041539821479882</v>
      </c>
      <c r="T14" s="273">
        <v>11.011362233852999</v>
      </c>
      <c r="U14" s="273">
        <v>41.363548133391497</v>
      </c>
      <c r="V14" s="273"/>
    </row>
    <row r="15" spans="1:28" ht="13" x14ac:dyDescent="0.25">
      <c r="A15" s="265"/>
      <c r="B15" s="274"/>
      <c r="C15" s="270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</row>
    <row r="16" spans="1:28" s="276" customFormat="1" ht="12.5" x14ac:dyDescent="0.25">
      <c r="A16" s="275"/>
      <c r="B16" s="272" t="s">
        <v>179</v>
      </c>
      <c r="C16" s="273"/>
      <c r="D16" s="273">
        <v>11.97584633647755</v>
      </c>
      <c r="E16" s="273">
        <v>11.736638970573788</v>
      </c>
      <c r="F16" s="273">
        <v>13.816532943533604</v>
      </c>
      <c r="G16" s="273">
        <v>18.118617841024243</v>
      </c>
      <c r="H16" s="273">
        <v>55.21890733894648</v>
      </c>
      <c r="I16" s="273">
        <v>22.014674228029609</v>
      </c>
      <c r="J16" s="273">
        <v>49.919731630134002</v>
      </c>
      <c r="K16" s="273">
        <v>3.3035756033326553</v>
      </c>
      <c r="L16" s="273">
        <v>6.4957885329203142</v>
      </c>
      <c r="M16" s="273">
        <v>6.4667846626182905</v>
      </c>
      <c r="N16" s="273">
        <v>137.0254568289154</v>
      </c>
      <c r="O16" s="273">
        <v>72.029172047658889</v>
      </c>
      <c r="P16" s="273">
        <v>10.882168095701941</v>
      </c>
      <c r="Q16" s="273">
        <v>17.873108375100653</v>
      </c>
      <c r="R16" s="273">
        <v>22.876502207873386</v>
      </c>
      <c r="S16" s="273">
        <v>10.210227931745605</v>
      </c>
      <c r="T16" s="273">
        <v>14.005848174367893</v>
      </c>
      <c r="U16" s="273">
        <v>57.761667968868693</v>
      </c>
      <c r="V16" s="273"/>
    </row>
    <row r="17" spans="1:35" s="276" customFormat="1" ht="39" customHeight="1" x14ac:dyDescent="0.25">
      <c r="A17" s="275"/>
      <c r="B17" s="277" t="s">
        <v>180</v>
      </c>
      <c r="C17" s="278"/>
      <c r="D17" s="278">
        <v>22.082590990745974</v>
      </c>
      <c r="E17" s="278">
        <v>29.282265230424056</v>
      </c>
      <c r="F17" s="278">
        <v>53.402513040744203</v>
      </c>
      <c r="G17" s="278">
        <v>20.406624827558325</v>
      </c>
      <c r="H17" s="278">
        <v>53.512918916458624</v>
      </c>
      <c r="I17" s="278">
        <v>13.034017206860463</v>
      </c>
      <c r="J17" s="278">
        <v>51.192747617262903</v>
      </c>
      <c r="K17" s="278">
        <v>15.094728806791714</v>
      </c>
      <c r="L17" s="278">
        <v>16.038368405356575</v>
      </c>
      <c r="M17" s="278">
        <v>35.154676276115516</v>
      </c>
      <c r="N17" s="278">
        <v>142.21728814527549</v>
      </c>
      <c r="O17" s="278">
        <v>53.925085345806401</v>
      </c>
      <c r="P17" s="278">
        <v>21.309556170466909</v>
      </c>
      <c r="Q17" s="278">
        <v>7.0437268547800977</v>
      </c>
      <c r="R17" s="278">
        <v>32.255128275423196</v>
      </c>
      <c r="S17" s="278">
        <v>23.721515368657005</v>
      </c>
      <c r="T17" s="278">
        <v>5.0603917396829896</v>
      </c>
      <c r="U17" s="278">
        <v>52.937823412743192</v>
      </c>
      <c r="V17" s="278"/>
    </row>
    <row r="18" spans="1:35" s="276" customFormat="1" ht="26.25" customHeight="1" x14ac:dyDescent="0.25">
      <c r="A18" s="275"/>
      <c r="B18" s="279" t="s">
        <v>181</v>
      </c>
      <c r="C18" s="280"/>
      <c r="D18" s="278">
        <v>37.68</v>
      </c>
      <c r="E18" s="278">
        <v>55.79</v>
      </c>
      <c r="F18" s="278">
        <v>114.12</v>
      </c>
      <c r="G18" s="278">
        <v>33.799999999999997</v>
      </c>
      <c r="H18" s="278">
        <v>112.58</v>
      </c>
      <c r="I18" s="278">
        <v>26.69</v>
      </c>
      <c r="J18" s="278">
        <v>103.78</v>
      </c>
      <c r="K18" s="278">
        <v>11.04</v>
      </c>
      <c r="L18" s="278">
        <v>3.18</v>
      </c>
      <c r="M18" s="278">
        <v>38.94</v>
      </c>
      <c r="N18" s="278">
        <v>202.25</v>
      </c>
      <c r="O18" s="278">
        <v>1164.5</v>
      </c>
      <c r="P18" s="278">
        <v>31.08</v>
      </c>
      <c r="Q18" s="278">
        <v>26.08</v>
      </c>
      <c r="R18" s="278">
        <v>144.9</v>
      </c>
      <c r="S18" s="278">
        <v>37.75</v>
      </c>
      <c r="T18" s="278">
        <v>39.54</v>
      </c>
      <c r="U18" s="278">
        <v>168.45</v>
      </c>
      <c r="V18" s="281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</row>
    <row r="19" spans="1:35" ht="12.5" x14ac:dyDescent="0.25">
      <c r="A19" s="265"/>
      <c r="B19" s="265"/>
      <c r="C19" s="283"/>
      <c r="D19" s="284"/>
      <c r="E19" s="267"/>
      <c r="F19" s="267"/>
      <c r="G19" s="284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</row>
    <row r="20" spans="1:35" ht="4.5" customHeight="1" x14ac:dyDescent="0.25">
      <c r="A20" s="285"/>
      <c r="B20" s="286"/>
      <c r="C20" s="287"/>
      <c r="D20" s="288"/>
      <c r="E20" s="289"/>
      <c r="F20" s="289"/>
      <c r="G20" s="288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35" ht="12.5" x14ac:dyDescent="0.25">
      <c r="A21" s="266"/>
      <c r="B21" s="187"/>
      <c r="C21" s="283"/>
      <c r="D21" s="284"/>
      <c r="E21" s="267"/>
      <c r="F21" s="267"/>
      <c r="G21" s="284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</row>
    <row r="22" spans="1:35" s="294" customFormat="1" ht="13" x14ac:dyDescent="0.3">
      <c r="A22" s="290"/>
      <c r="B22" s="291"/>
      <c r="C22" s="292"/>
      <c r="D22" s="268">
        <v>1</v>
      </c>
      <c r="E22" s="268">
        <v>2</v>
      </c>
      <c r="F22" s="268">
        <v>3</v>
      </c>
      <c r="G22" s="268">
        <v>4</v>
      </c>
      <c r="H22" s="268">
        <v>5</v>
      </c>
      <c r="I22" s="268">
        <v>6</v>
      </c>
      <c r="J22" s="268">
        <v>7</v>
      </c>
      <c r="K22" s="268">
        <v>8</v>
      </c>
      <c r="L22" s="268">
        <v>9</v>
      </c>
      <c r="M22" s="268">
        <v>10</v>
      </c>
      <c r="N22" s="268">
        <v>11</v>
      </c>
      <c r="O22" s="268">
        <v>12</v>
      </c>
      <c r="P22" s="268">
        <v>13</v>
      </c>
      <c r="Q22" s="268">
        <v>14</v>
      </c>
      <c r="R22" s="268">
        <v>15</v>
      </c>
      <c r="S22" s="268">
        <v>16</v>
      </c>
      <c r="T22" s="268">
        <v>17</v>
      </c>
      <c r="U22" s="268">
        <v>18</v>
      </c>
      <c r="V22" s="293"/>
    </row>
    <row r="23" spans="1:35" ht="18" x14ac:dyDescent="0.4">
      <c r="A23" s="478" t="s">
        <v>182</v>
      </c>
      <c r="B23" s="479"/>
      <c r="C23" s="295" t="s">
        <v>5</v>
      </c>
      <c r="D23" s="296" t="s">
        <v>24</v>
      </c>
      <c r="E23" s="296" t="s">
        <v>62</v>
      </c>
      <c r="F23" s="296" t="s">
        <v>64</v>
      </c>
      <c r="G23" s="296" t="s">
        <v>322</v>
      </c>
      <c r="H23" s="296" t="s">
        <v>323</v>
      </c>
      <c r="I23" s="296" t="s">
        <v>324</v>
      </c>
      <c r="J23" s="296" t="s">
        <v>325</v>
      </c>
      <c r="K23" s="296" t="s">
        <v>326</v>
      </c>
      <c r="L23" s="296" t="s">
        <v>327</v>
      </c>
      <c r="M23" s="296" t="s">
        <v>328</v>
      </c>
      <c r="N23" s="296" t="s">
        <v>329</v>
      </c>
      <c r="O23" s="296" t="s">
        <v>330</v>
      </c>
      <c r="P23" s="271" t="s">
        <v>65</v>
      </c>
      <c r="Q23" s="271" t="s">
        <v>331</v>
      </c>
      <c r="R23" s="271" t="s">
        <v>332</v>
      </c>
      <c r="S23" s="271" t="s">
        <v>66</v>
      </c>
      <c r="T23" s="271" t="s">
        <v>333</v>
      </c>
      <c r="U23" s="271" t="s">
        <v>334</v>
      </c>
    </row>
    <row r="24" spans="1:35" ht="12.5" x14ac:dyDescent="0.25">
      <c r="A24" s="266"/>
      <c r="B24" s="265"/>
      <c r="C24" s="297"/>
      <c r="D24" s="284"/>
      <c r="E24" s="267"/>
      <c r="F24" s="267"/>
      <c r="G24" s="284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</row>
    <row r="25" spans="1:35" ht="13" x14ac:dyDescent="0.3">
      <c r="A25" s="298"/>
      <c r="B25" s="299"/>
      <c r="C25" s="297"/>
      <c r="D25" s="284"/>
      <c r="E25" s="267"/>
      <c r="F25" s="267"/>
      <c r="G25" s="284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</row>
    <row r="26" spans="1:35" ht="13.5" customHeight="1" x14ac:dyDescent="0.3">
      <c r="A26" s="300"/>
      <c r="B26" s="301" t="s">
        <v>183</v>
      </c>
      <c r="C26" s="302">
        <f>SUM(D26:U26)</f>
        <v>1224610202.7125676</v>
      </c>
      <c r="D26" s="303">
        <v>60932005.692283586</v>
      </c>
      <c r="E26" s="303">
        <v>239607927.08421263</v>
      </c>
      <c r="F26" s="303">
        <v>503813404.10995144</v>
      </c>
      <c r="G26" s="303">
        <v>130660535.5081484</v>
      </c>
      <c r="H26" s="303">
        <v>133079499.43446343</v>
      </c>
      <c r="I26" s="303">
        <v>18359771.900423963</v>
      </c>
      <c r="J26" s="303">
        <v>24271077.330122415</v>
      </c>
      <c r="K26" s="303">
        <v>7053663.7269212119</v>
      </c>
      <c r="L26" s="303">
        <v>18644445.824909825</v>
      </c>
      <c r="M26" s="303">
        <v>1936574.0673803161</v>
      </c>
      <c r="N26" s="303">
        <v>1651093.3907372972</v>
      </c>
      <c r="O26" s="303">
        <v>59641194.20227956</v>
      </c>
      <c r="P26" s="304">
        <v>3368234.675061319</v>
      </c>
      <c r="Q26" s="304">
        <v>933417.8296801066</v>
      </c>
      <c r="R26" s="304">
        <v>1025686.4568865612</v>
      </c>
      <c r="S26" s="304">
        <v>13161873.767796878</v>
      </c>
      <c r="T26" s="304">
        <v>3258840.7380789951</v>
      </c>
      <c r="U26" s="304">
        <v>3210956.9732292667</v>
      </c>
      <c r="V26" s="183"/>
    </row>
    <row r="27" spans="1:35" s="264" customFormat="1" ht="14.25" customHeight="1" x14ac:dyDescent="0.3">
      <c r="A27" s="300"/>
      <c r="B27" s="301" t="s">
        <v>184</v>
      </c>
      <c r="C27" s="302">
        <f>SUM(D27:U27)</f>
        <v>-787354171.07502067</v>
      </c>
      <c r="D27" s="300">
        <v>-39145342.305488519</v>
      </c>
      <c r="E27" s="300">
        <v>-153934442.46999183</v>
      </c>
      <c r="F27" s="300">
        <v>-323671409.43261373</v>
      </c>
      <c r="G27" s="300">
        <v>-83941950.214395121</v>
      </c>
      <c r="H27" s="300">
        <v>-85495996.726476714</v>
      </c>
      <c r="I27" s="300">
        <v>-11795107.473112473</v>
      </c>
      <c r="J27" s="300">
        <v>-15592784.439244954</v>
      </c>
      <c r="K27" s="300">
        <v>-4531577.0909065334</v>
      </c>
      <c r="L27" s="300">
        <v>-12589877.241126705</v>
      </c>
      <c r="M27" s="300">
        <v>-1244138.5099052303</v>
      </c>
      <c r="N27" s="300">
        <v>-1060733.4392559852</v>
      </c>
      <c r="O27" s="300">
        <v>-38316069.461865969</v>
      </c>
      <c r="P27" s="300">
        <v>-2163898.8873328492</v>
      </c>
      <c r="Q27" s="300">
        <v>-599667.77790643531</v>
      </c>
      <c r="R27" s="300">
        <v>-658945.11425893928</v>
      </c>
      <c r="S27" s="300">
        <v>-8455754.0518855229</v>
      </c>
      <c r="T27" s="300">
        <v>-2093619.5150938288</v>
      </c>
      <c r="U27" s="300">
        <v>-2062856.9241595282</v>
      </c>
      <c r="V27" s="183"/>
    </row>
    <row r="28" spans="1:35" ht="13" x14ac:dyDescent="0.3">
      <c r="A28" s="300"/>
      <c r="B28" s="301" t="s">
        <v>185</v>
      </c>
      <c r="C28" s="302">
        <f>SUM(D28:U28)</f>
        <v>437256031.6375463</v>
      </c>
      <c r="D28" s="300">
        <f>D26+D27</f>
        <v>21786663.386795066</v>
      </c>
      <c r="E28" s="300">
        <f t="shared" ref="E28:U28" si="0">E26+E27</f>
        <v>85673484.614220798</v>
      </c>
      <c r="F28" s="300">
        <f t="shared" si="0"/>
        <v>180141994.67733771</v>
      </c>
      <c r="G28" s="300">
        <f t="shared" si="0"/>
        <v>46718585.293753281</v>
      </c>
      <c r="H28" s="300">
        <f t="shared" si="0"/>
        <v>47583502.707986712</v>
      </c>
      <c r="I28" s="300">
        <f t="shared" si="0"/>
        <v>6564664.4273114894</v>
      </c>
      <c r="J28" s="300">
        <f t="shared" si="0"/>
        <v>8678292.8908774611</v>
      </c>
      <c r="K28" s="300">
        <f t="shared" si="0"/>
        <v>2522086.6360146785</v>
      </c>
      <c r="L28" s="300">
        <f t="shared" si="0"/>
        <v>6054568.5837831199</v>
      </c>
      <c r="M28" s="300">
        <f t="shared" si="0"/>
        <v>692435.55747508584</v>
      </c>
      <c r="N28" s="300">
        <f t="shared" si="0"/>
        <v>590359.95148131205</v>
      </c>
      <c r="O28" s="300">
        <f t="shared" si="0"/>
        <v>21325124.740413591</v>
      </c>
      <c r="P28" s="300">
        <f t="shared" si="0"/>
        <v>1204335.7877284698</v>
      </c>
      <c r="Q28" s="300">
        <f t="shared" si="0"/>
        <v>333750.05177367129</v>
      </c>
      <c r="R28" s="300">
        <f t="shared" si="0"/>
        <v>366741.34262762195</v>
      </c>
      <c r="S28" s="300">
        <f t="shared" si="0"/>
        <v>4706119.7159113549</v>
      </c>
      <c r="T28" s="300">
        <f t="shared" si="0"/>
        <v>1165221.2229851664</v>
      </c>
      <c r="U28" s="300">
        <f t="shared" si="0"/>
        <v>1148100.0490697385</v>
      </c>
      <c r="V28" s="183"/>
    </row>
    <row r="29" spans="1:35" s="264" customFormat="1" ht="13" x14ac:dyDescent="0.3">
      <c r="A29" s="300"/>
      <c r="B29" s="301"/>
      <c r="C29" s="302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183"/>
    </row>
    <row r="30" spans="1:35" s="264" customFormat="1" ht="13" x14ac:dyDescent="0.3">
      <c r="A30" s="300"/>
      <c r="B30" s="301" t="s">
        <v>186</v>
      </c>
      <c r="C30" s="302">
        <f>SUM(D30:U30)</f>
        <v>113771563.65376899</v>
      </c>
      <c r="D30" s="300">
        <v>5717506.0908599496</v>
      </c>
      <c r="E30" s="300">
        <v>22483418.475354806</v>
      </c>
      <c r="F30" s="300">
        <v>47274928.404668063</v>
      </c>
      <c r="G30" s="300">
        <v>12260426.997522386</v>
      </c>
      <c r="H30" s="300">
        <v>12487408.545645429</v>
      </c>
      <c r="I30" s="300">
        <v>1722774.5332658077</v>
      </c>
      <c r="J30" s="300">
        <v>2277457.1572043551</v>
      </c>
      <c r="K30" s="300">
        <v>661874.90241532004</v>
      </c>
      <c r="L30" s="300">
        <v>610729.99936477572</v>
      </c>
      <c r="M30" s="300">
        <v>181716.88097000541</v>
      </c>
      <c r="N30" s="300">
        <v>154929.02967601811</v>
      </c>
      <c r="O30" s="300">
        <v>5596383.8256005179</v>
      </c>
      <c r="P30" s="300">
        <v>316055.61069767311</v>
      </c>
      <c r="Q30" s="300">
        <v>87586.516574968729</v>
      </c>
      <c r="R30" s="300">
        <v>96244.469518654601</v>
      </c>
      <c r="S30" s="300">
        <v>1235033.9132860431</v>
      </c>
      <c r="T30" s="300">
        <v>305790.7179882772</v>
      </c>
      <c r="U30" s="300">
        <v>301297.58315591601</v>
      </c>
      <c r="V30" s="183"/>
    </row>
    <row r="31" spans="1:35" s="264" customFormat="1" ht="13" x14ac:dyDescent="0.3">
      <c r="A31" s="300"/>
      <c r="B31" s="301"/>
      <c r="C31" s="302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183"/>
    </row>
    <row r="32" spans="1:35" s="264" customFormat="1" ht="13" x14ac:dyDescent="0.3">
      <c r="A32" s="300"/>
      <c r="B32" s="305" t="s">
        <v>187</v>
      </c>
      <c r="C32" s="306">
        <f>SUM(D32:U32)</f>
        <v>8402561434.8775311</v>
      </c>
      <c r="D32" s="307">
        <v>413383493.16490662</v>
      </c>
      <c r="E32" s="307">
        <v>1618632871.759892</v>
      </c>
      <c r="F32" s="307">
        <v>3396076501.6104417</v>
      </c>
      <c r="G32" s="307">
        <v>885888618.64357328</v>
      </c>
      <c r="H32" s="307">
        <v>901633672.53869963</v>
      </c>
      <c r="I32" s="307">
        <v>125021457.70618927</v>
      </c>
      <c r="J32" s="307">
        <v>164631278.16188455</v>
      </c>
      <c r="K32" s="307">
        <v>47518746.255065158</v>
      </c>
      <c r="L32" s="307">
        <v>18182823.134000327</v>
      </c>
      <c r="M32" s="307">
        <v>13010676.076715339</v>
      </c>
      <c r="N32" s="307">
        <v>11823953.020641305</v>
      </c>
      <c r="O32" s="307">
        <v>404608048.86357135</v>
      </c>
      <c r="P32" s="307">
        <v>61746476.486300439</v>
      </c>
      <c r="Q32" s="307">
        <v>18915657.474739008</v>
      </c>
      <c r="R32" s="307">
        <v>35451973.063723698</v>
      </c>
      <c r="S32" s="307">
        <v>164080773.41416389</v>
      </c>
      <c r="T32" s="307">
        <v>51043520.027145177</v>
      </c>
      <c r="U32" s="307">
        <v>70910893.475877702</v>
      </c>
      <c r="V32" s="183"/>
    </row>
    <row r="33" spans="1:24" ht="13" x14ac:dyDescent="0.3">
      <c r="A33" s="300"/>
      <c r="B33" s="301"/>
      <c r="C33" s="302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183"/>
    </row>
    <row r="34" spans="1:24" ht="13" x14ac:dyDescent="0.3">
      <c r="A34" s="300"/>
      <c r="B34" s="305" t="s">
        <v>188</v>
      </c>
      <c r="C34" s="306">
        <f>SUM(D34:U34)</f>
        <v>173919618.40140516</v>
      </c>
      <c r="D34" s="308">
        <v>14401957.458494365</v>
      </c>
      <c r="E34" s="308">
        <v>44466850.319093421</v>
      </c>
      <c r="F34" s="308">
        <v>72210112.60018529</v>
      </c>
      <c r="G34" s="308">
        <v>15786084.604343014</v>
      </c>
      <c r="H34" s="308">
        <v>10391659.000598235</v>
      </c>
      <c r="I34" s="308">
        <v>2241431.4059103741</v>
      </c>
      <c r="J34" s="308">
        <v>1969480.9116413391</v>
      </c>
      <c r="K34" s="308">
        <v>1121671.2739168382</v>
      </c>
      <c r="L34" s="308">
        <v>608500.84961719182</v>
      </c>
      <c r="M34" s="308">
        <v>384273.55588984158</v>
      </c>
      <c r="N34" s="308">
        <v>357786.83514146495</v>
      </c>
      <c r="O34" s="308">
        <v>5549015.4998067012</v>
      </c>
      <c r="P34" s="308">
        <v>855300.46338896966</v>
      </c>
      <c r="Q34" s="308">
        <v>129177.75612465167</v>
      </c>
      <c r="R34" s="308">
        <v>106848.82493827236</v>
      </c>
      <c r="S34" s="308">
        <v>2629301.8906196053</v>
      </c>
      <c r="T34" s="308">
        <v>418427.54173624649</v>
      </c>
      <c r="U34" s="308">
        <v>291737.60995936103</v>
      </c>
      <c r="V34" s="183"/>
    </row>
    <row r="35" spans="1:24" ht="13" x14ac:dyDescent="0.3">
      <c r="A35" s="300"/>
      <c r="B35" s="301"/>
      <c r="C35" s="309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183"/>
    </row>
    <row r="36" spans="1:24" ht="13" x14ac:dyDescent="0.3">
      <c r="A36" s="300"/>
      <c r="B36" s="305" t="s">
        <v>189</v>
      </c>
      <c r="C36" s="306">
        <f>SUM(D36:U36)</f>
        <v>417284294.21700048</v>
      </c>
      <c r="D36" s="308">
        <v>35641366.171908483</v>
      </c>
      <c r="E36" s="308">
        <v>108720249.51667087</v>
      </c>
      <c r="F36" s="308">
        <v>173591194.08412737</v>
      </c>
      <c r="G36" s="308">
        <v>37408030.098014817</v>
      </c>
      <c r="H36" s="308">
        <v>23213665.221769359</v>
      </c>
      <c r="I36" s="308">
        <v>5315455.4123514965</v>
      </c>
      <c r="J36" s="308">
        <v>4406370.2347970214</v>
      </c>
      <c r="K36" s="308">
        <v>2716526.0774202491</v>
      </c>
      <c r="L36" s="308">
        <v>1502719.4687042206</v>
      </c>
      <c r="M36" s="308">
        <v>943150.88485657144</v>
      </c>
      <c r="N36" s="308">
        <v>631121.68816696771</v>
      </c>
      <c r="O36" s="308">
        <v>12433117.297328865</v>
      </c>
      <c r="P36" s="308">
        <v>2123316.3901617252</v>
      </c>
      <c r="Q36" s="308">
        <v>309638.2020286211</v>
      </c>
      <c r="R36" s="308">
        <v>225052.19331020096</v>
      </c>
      <c r="S36" s="308">
        <v>6454878.2598783355</v>
      </c>
      <c r="T36" s="308">
        <v>996894.78804719227</v>
      </c>
      <c r="U36" s="308">
        <v>651548.22745806444</v>
      </c>
      <c r="V36" s="183"/>
    </row>
    <row r="37" spans="1:24" ht="13" x14ac:dyDescent="0.3">
      <c r="A37" s="300"/>
      <c r="B37" s="301"/>
      <c r="C37" s="302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183"/>
    </row>
    <row r="38" spans="1:24" ht="4.5" customHeight="1" x14ac:dyDescent="0.3">
      <c r="A38" s="310"/>
      <c r="B38" s="311"/>
      <c r="C38" s="312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183"/>
    </row>
    <row r="39" spans="1:24" ht="29.25" customHeight="1" x14ac:dyDescent="0.25">
      <c r="A39" s="472" t="s">
        <v>190</v>
      </c>
      <c r="B39" s="472"/>
      <c r="C39" s="313"/>
      <c r="D39" s="284"/>
      <c r="E39" s="267"/>
      <c r="F39" s="267"/>
      <c r="G39" s="284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</row>
    <row r="40" spans="1:24" ht="15.5" x14ac:dyDescent="0.35">
      <c r="A40" s="314" t="s">
        <v>191</v>
      </c>
      <c r="B40" s="314"/>
      <c r="C40" s="315"/>
      <c r="D40" s="284"/>
      <c r="E40" s="267"/>
      <c r="F40" s="267"/>
      <c r="G40" s="284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</row>
    <row r="41" spans="1:24" ht="15.5" x14ac:dyDescent="0.35">
      <c r="A41" s="477"/>
      <c r="B41" s="477"/>
      <c r="C41" s="313"/>
      <c r="D41" s="284"/>
      <c r="E41" s="267"/>
      <c r="F41" s="267"/>
      <c r="G41" s="284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</row>
    <row r="42" spans="1:24" ht="13" x14ac:dyDescent="0.3">
      <c r="A42" s="299"/>
      <c r="B42" s="299"/>
      <c r="C42" s="292"/>
      <c r="D42" s="268">
        <v>1</v>
      </c>
      <c r="E42" s="268">
        <v>2</v>
      </c>
      <c r="F42" s="268">
        <v>3</v>
      </c>
      <c r="G42" s="268">
        <v>4</v>
      </c>
      <c r="H42" s="268">
        <v>5</v>
      </c>
      <c r="I42" s="268">
        <v>6</v>
      </c>
      <c r="J42" s="268">
        <v>7</v>
      </c>
      <c r="K42" s="268">
        <v>8</v>
      </c>
      <c r="L42" s="268">
        <v>9</v>
      </c>
      <c r="M42" s="268">
        <v>10</v>
      </c>
      <c r="N42" s="268">
        <v>11</v>
      </c>
      <c r="O42" s="268">
        <v>12</v>
      </c>
      <c r="P42" s="268">
        <v>13</v>
      </c>
      <c r="Q42" s="268">
        <v>14</v>
      </c>
      <c r="R42" s="268">
        <v>15</v>
      </c>
      <c r="S42" s="268">
        <v>16</v>
      </c>
      <c r="T42" s="268">
        <v>17</v>
      </c>
      <c r="U42" s="268">
        <v>18</v>
      </c>
    </row>
    <row r="43" spans="1:24" ht="26" x14ac:dyDescent="0.2">
      <c r="A43" s="316" t="s">
        <v>192</v>
      </c>
      <c r="B43" s="316" t="s">
        <v>193</v>
      </c>
      <c r="C43" s="295" t="s">
        <v>5</v>
      </c>
      <c r="D43" s="296" t="s">
        <v>24</v>
      </c>
      <c r="E43" s="296" t="s">
        <v>62</v>
      </c>
      <c r="F43" s="296" t="s">
        <v>64</v>
      </c>
      <c r="G43" s="296" t="s">
        <v>322</v>
      </c>
      <c r="H43" s="296" t="s">
        <v>323</v>
      </c>
      <c r="I43" s="296" t="s">
        <v>324</v>
      </c>
      <c r="J43" s="296" t="s">
        <v>325</v>
      </c>
      <c r="K43" s="296" t="s">
        <v>326</v>
      </c>
      <c r="L43" s="296" t="s">
        <v>327</v>
      </c>
      <c r="M43" s="296" t="s">
        <v>328</v>
      </c>
      <c r="N43" s="296" t="s">
        <v>329</v>
      </c>
      <c r="O43" s="296" t="s">
        <v>330</v>
      </c>
      <c r="P43" s="271" t="s">
        <v>65</v>
      </c>
      <c r="Q43" s="271" t="s">
        <v>331</v>
      </c>
      <c r="R43" s="271" t="s">
        <v>332</v>
      </c>
      <c r="S43" s="271" t="s">
        <v>66</v>
      </c>
      <c r="T43" s="271" t="s">
        <v>333</v>
      </c>
      <c r="U43" s="271" t="s">
        <v>334</v>
      </c>
    </row>
    <row r="44" spans="1:24" ht="13" x14ac:dyDescent="0.3">
      <c r="A44" s="317"/>
      <c r="B44" s="318" t="s">
        <v>194</v>
      </c>
      <c r="C44" s="319"/>
      <c r="D44" s="320"/>
      <c r="E44" s="321"/>
      <c r="F44" s="321"/>
      <c r="G44" s="320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</row>
    <row r="45" spans="1:24" ht="12.5" x14ac:dyDescent="0.25">
      <c r="A45" s="322">
        <v>1860</v>
      </c>
      <c r="B45" s="323" t="s">
        <v>195</v>
      </c>
      <c r="C45" s="324">
        <f>SUM(D45:U45)</f>
        <v>688090726.53126025</v>
      </c>
      <c r="D45" s="57">
        <f>D92</f>
        <v>105213575.0187066</v>
      </c>
      <c r="E45" s="57">
        <f t="shared" ref="E45:U45" si="1">E92</f>
        <v>235044988.94220915</v>
      </c>
      <c r="F45" s="57">
        <f t="shared" si="1"/>
        <v>185318650.00256997</v>
      </c>
      <c r="G45" s="57">
        <f t="shared" si="1"/>
        <v>68688225.671614796</v>
      </c>
      <c r="H45" s="57">
        <f t="shared" si="1"/>
        <v>18338345.85888629</v>
      </c>
      <c r="I45" s="57">
        <f t="shared" si="1"/>
        <v>21235809.937446747</v>
      </c>
      <c r="J45" s="57">
        <f t="shared" si="1"/>
        <v>5308450.3843202246</v>
      </c>
      <c r="K45" s="57">
        <f t="shared" si="1"/>
        <v>0</v>
      </c>
      <c r="L45" s="57">
        <f t="shared" si="1"/>
        <v>0</v>
      </c>
      <c r="M45" s="57">
        <f t="shared" si="1"/>
        <v>0</v>
      </c>
      <c r="N45" s="57">
        <f t="shared" si="1"/>
        <v>14644016.505160149</v>
      </c>
      <c r="O45" s="57">
        <f t="shared" si="1"/>
        <v>7618239.3718511397</v>
      </c>
      <c r="P45" s="57">
        <f t="shared" si="1"/>
        <v>7090725.0516909054</v>
      </c>
      <c r="Q45" s="57">
        <f t="shared" si="1"/>
        <v>1558868.8351465357</v>
      </c>
      <c r="R45" s="57">
        <f t="shared" si="1"/>
        <v>424715.07666496927</v>
      </c>
      <c r="S45" s="57">
        <f t="shared" si="1"/>
        <v>13694687.930010043</v>
      </c>
      <c r="T45" s="57">
        <f t="shared" si="1"/>
        <v>3032652.7847565091</v>
      </c>
      <c r="U45" s="57">
        <f t="shared" si="1"/>
        <v>878775.16022634774</v>
      </c>
      <c r="X45" s="323" t="s">
        <v>47</v>
      </c>
    </row>
    <row r="46" spans="1:24" ht="12.5" x14ac:dyDescent="0.25">
      <c r="A46" s="266"/>
      <c r="B46" s="265"/>
      <c r="C46" s="319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X46" s="187"/>
    </row>
    <row r="47" spans="1:24" ht="13" x14ac:dyDescent="0.25">
      <c r="A47" s="322"/>
      <c r="B47" s="318" t="s">
        <v>196</v>
      </c>
      <c r="C47" s="319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X47" s="318"/>
    </row>
    <row r="48" spans="1:24" ht="25" x14ac:dyDescent="0.3">
      <c r="A48" s="322"/>
      <c r="B48" s="323" t="s">
        <v>197</v>
      </c>
      <c r="C48" s="324">
        <f>SUM(D48:U48)</f>
        <v>-303481139.95424384</v>
      </c>
      <c r="D48" s="325">
        <f>D95</f>
        <v>-46404252.308852784</v>
      </c>
      <c r="E48" s="325">
        <f t="shared" ref="E48:U48" si="2">E95</f>
        <v>-103666156.85159016</v>
      </c>
      <c r="F48" s="325">
        <f t="shared" si="2"/>
        <v>-81734447.201573238</v>
      </c>
      <c r="G48" s="325">
        <f t="shared" si="2"/>
        <v>-30294814.65814957</v>
      </c>
      <c r="H48" s="325">
        <f t="shared" si="2"/>
        <v>-8088093.4614327513</v>
      </c>
      <c r="I48" s="325">
        <f t="shared" si="2"/>
        <v>-9366014.624490384</v>
      </c>
      <c r="J48" s="325">
        <f t="shared" si="2"/>
        <v>-2341282.2058296646</v>
      </c>
      <c r="K48" s="325">
        <f t="shared" si="2"/>
        <v>0</v>
      </c>
      <c r="L48" s="325">
        <f t="shared" si="2"/>
        <v>0</v>
      </c>
      <c r="M48" s="325">
        <f t="shared" si="2"/>
        <v>0</v>
      </c>
      <c r="N48" s="325">
        <f t="shared" si="2"/>
        <v>-6458716.3452970358</v>
      </c>
      <c r="O48" s="325">
        <f t="shared" si="2"/>
        <v>-3360010.3589081741</v>
      </c>
      <c r="P48" s="326">
        <f t="shared" si="2"/>
        <v>-3127351.1454473999</v>
      </c>
      <c r="Q48" s="326">
        <f t="shared" si="2"/>
        <v>-687536.2112701314</v>
      </c>
      <c r="R48" s="326">
        <f t="shared" si="2"/>
        <v>-187319.79759675375</v>
      </c>
      <c r="S48" s="326">
        <f t="shared" si="2"/>
        <v>-6040016.7362642959</v>
      </c>
      <c r="T48" s="326">
        <f t="shared" si="2"/>
        <v>-1337545.8914305032</v>
      </c>
      <c r="U48" s="326">
        <f t="shared" si="2"/>
        <v>-387582.1561109926</v>
      </c>
      <c r="X48" s="323"/>
    </row>
    <row r="49" spans="1:28" ht="13" x14ac:dyDescent="0.3">
      <c r="A49" s="322"/>
      <c r="B49" s="327" t="s">
        <v>198</v>
      </c>
      <c r="C49" s="328">
        <f>SUM(D49:U49)</f>
        <v>384609586.57701653</v>
      </c>
      <c r="D49" s="329">
        <f t="shared" ref="D49:U49" si="3">D45+D48</f>
        <v>58809322.709853821</v>
      </c>
      <c r="E49" s="329">
        <f t="shared" si="3"/>
        <v>131378832.090619</v>
      </c>
      <c r="F49" s="329">
        <f t="shared" si="3"/>
        <v>103584202.80099674</v>
      </c>
      <c r="G49" s="329">
        <f t="shared" si="3"/>
        <v>38393411.013465226</v>
      </c>
      <c r="H49" s="329">
        <f t="shared" si="3"/>
        <v>10250252.397453539</v>
      </c>
      <c r="I49" s="329">
        <f t="shared" si="3"/>
        <v>11869795.312956363</v>
      </c>
      <c r="J49" s="329">
        <f t="shared" si="3"/>
        <v>2967168.17849056</v>
      </c>
      <c r="K49" s="329">
        <f t="shared" si="3"/>
        <v>0</v>
      </c>
      <c r="L49" s="329">
        <f t="shared" si="3"/>
        <v>0</v>
      </c>
      <c r="M49" s="329">
        <f t="shared" si="3"/>
        <v>0</v>
      </c>
      <c r="N49" s="329">
        <f t="shared" si="3"/>
        <v>8185300.1598631134</v>
      </c>
      <c r="O49" s="329">
        <f t="shared" si="3"/>
        <v>4258229.0129429661</v>
      </c>
      <c r="P49" s="329">
        <f t="shared" si="3"/>
        <v>3963373.9062435054</v>
      </c>
      <c r="Q49" s="329">
        <f t="shared" si="3"/>
        <v>871332.62387640425</v>
      </c>
      <c r="R49" s="329">
        <f t="shared" si="3"/>
        <v>237395.27906821552</v>
      </c>
      <c r="S49" s="329">
        <f t="shared" si="3"/>
        <v>7654671.1937457472</v>
      </c>
      <c r="T49" s="329">
        <f t="shared" si="3"/>
        <v>1695106.8933260059</v>
      </c>
      <c r="U49" s="329">
        <f t="shared" si="3"/>
        <v>491193.00411535514</v>
      </c>
      <c r="V49" s="58"/>
      <c r="W49" s="58"/>
      <c r="X49" s="327"/>
      <c r="Y49" s="58"/>
      <c r="Z49" s="58"/>
      <c r="AA49" s="58"/>
      <c r="AB49" s="58"/>
    </row>
    <row r="50" spans="1:28" ht="12.5" x14ac:dyDescent="0.25">
      <c r="A50" s="266"/>
      <c r="B50" s="265"/>
      <c r="C50" s="319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X50" s="187"/>
    </row>
    <row r="51" spans="1:28" ht="13" x14ac:dyDescent="0.25">
      <c r="A51" s="330"/>
      <c r="B51" s="318" t="s">
        <v>199</v>
      </c>
      <c r="C51" s="319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X51" s="318"/>
    </row>
    <row r="52" spans="1:28" ht="12.5" x14ac:dyDescent="0.25">
      <c r="A52" s="322">
        <v>4082</v>
      </c>
      <c r="B52" s="331" t="s">
        <v>200</v>
      </c>
      <c r="C52" s="324">
        <f>SUM(D52:U52)</f>
        <v>0</v>
      </c>
      <c r="D52" s="325">
        <f t="shared" ref="D52:U56" si="4">D101</f>
        <v>0</v>
      </c>
      <c r="E52" s="325">
        <f t="shared" si="4"/>
        <v>0</v>
      </c>
      <c r="F52" s="325">
        <f t="shared" si="4"/>
        <v>0</v>
      </c>
      <c r="G52" s="325">
        <f t="shared" si="4"/>
        <v>0</v>
      </c>
      <c r="H52" s="325">
        <f t="shared" si="4"/>
        <v>0</v>
      </c>
      <c r="I52" s="325">
        <f t="shared" si="4"/>
        <v>0</v>
      </c>
      <c r="J52" s="325">
        <f t="shared" si="4"/>
        <v>0</v>
      </c>
      <c r="K52" s="325">
        <f t="shared" si="4"/>
        <v>0</v>
      </c>
      <c r="L52" s="325">
        <f t="shared" si="4"/>
        <v>0</v>
      </c>
      <c r="M52" s="325">
        <f t="shared" si="4"/>
        <v>0</v>
      </c>
      <c r="N52" s="325">
        <f t="shared" si="4"/>
        <v>0</v>
      </c>
      <c r="O52" s="325">
        <f t="shared" si="4"/>
        <v>0</v>
      </c>
      <c r="P52" s="325">
        <f t="shared" si="4"/>
        <v>0</v>
      </c>
      <c r="Q52" s="325">
        <f t="shared" si="4"/>
        <v>0</v>
      </c>
      <c r="R52" s="325">
        <f t="shared" si="4"/>
        <v>0</v>
      </c>
      <c r="S52" s="325">
        <f t="shared" si="4"/>
        <v>0</v>
      </c>
      <c r="T52" s="325">
        <f t="shared" si="4"/>
        <v>0</v>
      </c>
      <c r="U52" s="325">
        <f t="shared" si="4"/>
        <v>0</v>
      </c>
      <c r="X52" s="323" t="s">
        <v>51</v>
      </c>
    </row>
    <row r="53" spans="1:28" ht="12.5" x14ac:dyDescent="0.25">
      <c r="A53" s="322">
        <v>4084</v>
      </c>
      <c r="B53" s="331" t="s">
        <v>201</v>
      </c>
      <c r="C53" s="324">
        <f>SUM(D53:U53)</f>
        <v>0</v>
      </c>
      <c r="D53" s="325">
        <f t="shared" si="4"/>
        <v>0</v>
      </c>
      <c r="E53" s="325">
        <f t="shared" si="4"/>
        <v>0</v>
      </c>
      <c r="F53" s="325">
        <f t="shared" si="4"/>
        <v>0</v>
      </c>
      <c r="G53" s="325">
        <f t="shared" si="4"/>
        <v>0</v>
      </c>
      <c r="H53" s="325">
        <f t="shared" si="4"/>
        <v>0</v>
      </c>
      <c r="I53" s="325">
        <f t="shared" si="4"/>
        <v>0</v>
      </c>
      <c r="J53" s="325">
        <f t="shared" si="4"/>
        <v>0</v>
      </c>
      <c r="K53" s="325">
        <f t="shared" si="4"/>
        <v>0</v>
      </c>
      <c r="L53" s="325">
        <f t="shared" si="4"/>
        <v>0</v>
      </c>
      <c r="M53" s="325">
        <f t="shared" si="4"/>
        <v>0</v>
      </c>
      <c r="N53" s="325">
        <f t="shared" si="4"/>
        <v>0</v>
      </c>
      <c r="O53" s="325">
        <f t="shared" si="4"/>
        <v>0</v>
      </c>
      <c r="P53" s="325">
        <f t="shared" si="4"/>
        <v>0</v>
      </c>
      <c r="Q53" s="325">
        <f t="shared" si="4"/>
        <v>0</v>
      </c>
      <c r="R53" s="325">
        <f t="shared" si="4"/>
        <v>0</v>
      </c>
      <c r="S53" s="325">
        <f t="shared" si="4"/>
        <v>0</v>
      </c>
      <c r="T53" s="325">
        <f t="shared" si="4"/>
        <v>0</v>
      </c>
      <c r="U53" s="325">
        <f t="shared" si="4"/>
        <v>0</v>
      </c>
      <c r="X53" s="323" t="s">
        <v>51</v>
      </c>
    </row>
    <row r="54" spans="1:28" ht="12.5" x14ac:dyDescent="0.25">
      <c r="A54" s="322">
        <v>4090</v>
      </c>
      <c r="B54" s="331" t="s">
        <v>202</v>
      </c>
      <c r="C54" s="324">
        <f>SUM(D54:U54)</f>
        <v>0</v>
      </c>
      <c r="D54" s="325">
        <f t="shared" si="4"/>
        <v>0</v>
      </c>
      <c r="E54" s="325">
        <f t="shared" si="4"/>
        <v>0</v>
      </c>
      <c r="F54" s="325">
        <f t="shared" si="4"/>
        <v>0</v>
      </c>
      <c r="G54" s="325">
        <f t="shared" si="4"/>
        <v>0</v>
      </c>
      <c r="H54" s="325">
        <f t="shared" si="4"/>
        <v>0</v>
      </c>
      <c r="I54" s="325">
        <f t="shared" si="4"/>
        <v>0</v>
      </c>
      <c r="J54" s="325">
        <f t="shared" si="4"/>
        <v>0</v>
      </c>
      <c r="K54" s="325">
        <f t="shared" si="4"/>
        <v>0</v>
      </c>
      <c r="L54" s="325">
        <f t="shared" si="4"/>
        <v>0</v>
      </c>
      <c r="M54" s="325">
        <f t="shared" si="4"/>
        <v>0</v>
      </c>
      <c r="N54" s="325">
        <f t="shared" si="4"/>
        <v>0</v>
      </c>
      <c r="O54" s="325">
        <f t="shared" si="4"/>
        <v>0</v>
      </c>
      <c r="P54" s="325">
        <f t="shared" si="4"/>
        <v>0</v>
      </c>
      <c r="Q54" s="325">
        <f t="shared" si="4"/>
        <v>0</v>
      </c>
      <c r="R54" s="325">
        <f t="shared" si="4"/>
        <v>0</v>
      </c>
      <c r="S54" s="325">
        <f t="shared" si="4"/>
        <v>0</v>
      </c>
      <c r="T54" s="325">
        <f t="shared" si="4"/>
        <v>0</v>
      </c>
      <c r="U54" s="325">
        <f t="shared" si="4"/>
        <v>0</v>
      </c>
      <c r="X54" s="323" t="s">
        <v>51</v>
      </c>
    </row>
    <row r="55" spans="1:28" ht="12.5" x14ac:dyDescent="0.25">
      <c r="A55" s="322">
        <v>4220</v>
      </c>
      <c r="B55" s="331" t="s">
        <v>203</v>
      </c>
      <c r="C55" s="324">
        <f>SUM(D55:U55)</f>
        <v>-174999.99999999997</v>
      </c>
      <c r="D55" s="325">
        <f t="shared" si="4"/>
        <v>-7134.8769417929198</v>
      </c>
      <c r="E55" s="325">
        <f t="shared" si="4"/>
        <v>-29983.451412562583</v>
      </c>
      <c r="F55" s="325">
        <f t="shared" si="4"/>
        <v>-57622.618121743602</v>
      </c>
      <c r="G55" s="325">
        <f t="shared" si="4"/>
        <v>-22325.988933392357</v>
      </c>
      <c r="H55" s="325">
        <f t="shared" si="4"/>
        <v>-40775.641466024776</v>
      </c>
      <c r="I55" s="325">
        <f t="shared" si="4"/>
        <v>-3883.5501630176691</v>
      </c>
      <c r="J55" s="325">
        <f t="shared" si="4"/>
        <v>-7011.5516097101736</v>
      </c>
      <c r="K55" s="325">
        <f t="shared" si="4"/>
        <v>-1175.1688639763647</v>
      </c>
      <c r="L55" s="325">
        <f t="shared" si="4"/>
        <v>-762.41044683449661</v>
      </c>
      <c r="M55" s="325">
        <f t="shared" si="4"/>
        <v>-451.91449326986424</v>
      </c>
      <c r="N55" s="325">
        <f t="shared" si="4"/>
        <v>-29.877912088902285</v>
      </c>
      <c r="O55" s="325">
        <f t="shared" si="4"/>
        <v>0</v>
      </c>
      <c r="P55" s="325">
        <f t="shared" si="4"/>
        <v>-430.37248331556782</v>
      </c>
      <c r="Q55" s="325">
        <f t="shared" si="4"/>
        <v>-195.22051970352044</v>
      </c>
      <c r="R55" s="325">
        <f t="shared" si="4"/>
        <v>-186.13012074607462</v>
      </c>
      <c r="S55" s="325">
        <f t="shared" si="4"/>
        <v>-1627.649376273532</v>
      </c>
      <c r="T55" s="325">
        <f t="shared" si="4"/>
        <v>-657.82059216634218</v>
      </c>
      <c r="U55" s="325">
        <f t="shared" si="4"/>
        <v>-745.75654338122501</v>
      </c>
      <c r="X55" s="323" t="s">
        <v>204</v>
      </c>
    </row>
    <row r="56" spans="1:28" s="210" customFormat="1" ht="12.5" x14ac:dyDescent="0.25">
      <c r="A56" s="332">
        <v>4225</v>
      </c>
      <c r="B56" s="333" t="s">
        <v>205</v>
      </c>
      <c r="C56" s="334">
        <f>SUM(D56:U56)</f>
        <v>-10962171.953630852</v>
      </c>
      <c r="D56" s="335">
        <f t="shared" si="4"/>
        <v>-1337786.551428355</v>
      </c>
      <c r="E56" s="335">
        <f t="shared" si="4"/>
        <v>-3575626.6430005645</v>
      </c>
      <c r="F56" s="335">
        <f t="shared" si="4"/>
        <v>-2995412.694316952</v>
      </c>
      <c r="G56" s="335">
        <f t="shared" si="4"/>
        <v>-1032676.7198163163</v>
      </c>
      <c r="H56" s="335">
        <f t="shared" si="4"/>
        <v>-670817.04724170407</v>
      </c>
      <c r="I56" s="335">
        <f t="shared" si="4"/>
        <v>-202349.76900200962</v>
      </c>
      <c r="J56" s="335">
        <f t="shared" si="4"/>
        <v>-161862.792883224</v>
      </c>
      <c r="K56" s="335">
        <f t="shared" si="4"/>
        <v>-21980.971018440599</v>
      </c>
      <c r="L56" s="335">
        <f t="shared" si="4"/>
        <v>-15000.843507107047</v>
      </c>
      <c r="M56" s="335">
        <f t="shared" si="4"/>
        <v>-9228.7300109289445</v>
      </c>
      <c r="N56" s="335">
        <f t="shared" si="4"/>
        <v>-31047.909330412709</v>
      </c>
      <c r="O56" s="335">
        <f t="shared" si="4"/>
        <v>-516365.48274520959</v>
      </c>
      <c r="P56" s="335">
        <f t="shared" si="4"/>
        <v>-76900.705714878393</v>
      </c>
      <c r="Q56" s="335">
        <f t="shared" si="4"/>
        <v>-9632.8993293822932</v>
      </c>
      <c r="R56" s="335">
        <f t="shared" si="4"/>
        <v>-26534.619701587751</v>
      </c>
      <c r="S56" s="335">
        <f t="shared" si="4"/>
        <v>-191210.09631570481</v>
      </c>
      <c r="T56" s="335">
        <f t="shared" si="4"/>
        <v>-38748.264169252972</v>
      </c>
      <c r="U56" s="335">
        <f t="shared" si="4"/>
        <v>-48989.214098817902</v>
      </c>
      <c r="V56" s="336"/>
      <c r="W56" s="337"/>
      <c r="X56" s="323" t="s">
        <v>28</v>
      </c>
      <c r="Y56" s="337"/>
      <c r="Z56" s="337"/>
      <c r="AA56" s="337"/>
      <c r="AB56" s="337"/>
    </row>
    <row r="57" spans="1:28" s="181" customFormat="1" ht="13" x14ac:dyDescent="0.3">
      <c r="A57" s="322"/>
      <c r="B57" s="331"/>
      <c r="C57" s="319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263"/>
      <c r="W57" s="183"/>
      <c r="X57" s="331"/>
      <c r="Y57" s="183"/>
      <c r="Z57" s="183"/>
      <c r="AA57" s="183"/>
      <c r="AB57" s="183"/>
    </row>
    <row r="58" spans="1:28" ht="13" x14ac:dyDescent="0.3">
      <c r="A58" s="266"/>
      <c r="B58" s="339" t="s">
        <v>206</v>
      </c>
      <c r="C58" s="340">
        <f t="shared" ref="C58:U58" si="5">+SUM(C52:C56)</f>
        <v>-11137171.953630852</v>
      </c>
      <c r="D58" s="341">
        <f t="shared" si="5"/>
        <v>-1344921.4283701479</v>
      </c>
      <c r="E58" s="341">
        <f t="shared" si="5"/>
        <v>-3605610.0944131273</v>
      </c>
      <c r="F58" s="341">
        <f t="shared" si="5"/>
        <v>-3053035.3124386957</v>
      </c>
      <c r="G58" s="341">
        <f t="shared" si="5"/>
        <v>-1055002.7087497087</v>
      </c>
      <c r="H58" s="341">
        <f t="shared" si="5"/>
        <v>-711592.68870772887</v>
      </c>
      <c r="I58" s="341">
        <f t="shared" si="5"/>
        <v>-206233.31916502729</v>
      </c>
      <c r="J58" s="341">
        <f t="shared" si="5"/>
        <v>-168874.34449293418</v>
      </c>
      <c r="K58" s="341">
        <f t="shared" si="5"/>
        <v>-23156.139882416963</v>
      </c>
      <c r="L58" s="341">
        <f t="shared" si="5"/>
        <v>-15763.253953941543</v>
      </c>
      <c r="M58" s="341">
        <f t="shared" si="5"/>
        <v>-9680.6445041988081</v>
      </c>
      <c r="N58" s="341">
        <f t="shared" si="5"/>
        <v>-31077.78724250161</v>
      </c>
      <c r="O58" s="341">
        <f t="shared" si="5"/>
        <v>-516365.48274520959</v>
      </c>
      <c r="P58" s="341">
        <f t="shared" si="5"/>
        <v>-77331.078198193965</v>
      </c>
      <c r="Q58" s="341">
        <f t="shared" si="5"/>
        <v>-9828.1198490858133</v>
      </c>
      <c r="R58" s="341">
        <f t="shared" si="5"/>
        <v>-26720.749822333826</v>
      </c>
      <c r="S58" s="341">
        <f t="shared" si="5"/>
        <v>-192837.74569197834</v>
      </c>
      <c r="T58" s="341">
        <f t="shared" si="5"/>
        <v>-39406.084761419312</v>
      </c>
      <c r="U58" s="341">
        <f t="shared" si="5"/>
        <v>-49734.970642199129</v>
      </c>
      <c r="X58" s="342"/>
    </row>
    <row r="59" spans="1:28" ht="12.5" x14ac:dyDescent="0.25">
      <c r="A59" s="266"/>
      <c r="B59" s="265"/>
      <c r="C59" s="319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X59" s="187"/>
    </row>
    <row r="60" spans="1:28" ht="13" x14ac:dyDescent="0.25">
      <c r="A60" s="330"/>
      <c r="B60" s="318" t="s">
        <v>207</v>
      </c>
      <c r="C60" s="319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X60" s="318"/>
    </row>
    <row r="61" spans="1:28" ht="12.5" x14ac:dyDescent="0.25">
      <c r="A61" s="322">
        <v>5065</v>
      </c>
      <c r="B61" s="323" t="s">
        <v>208</v>
      </c>
      <c r="C61" s="319">
        <f>SUM(D61:U61)</f>
        <v>11562101.457821086</v>
      </c>
      <c r="D61" s="325">
        <f t="shared" ref="D61:U63" si="6">D110</f>
        <v>1767920.9764078832</v>
      </c>
      <c r="E61" s="325">
        <f t="shared" si="6"/>
        <v>3949499.5420183069</v>
      </c>
      <c r="F61" s="325">
        <f t="shared" si="6"/>
        <v>3113939.7040817505</v>
      </c>
      <c r="G61" s="325">
        <f t="shared" si="6"/>
        <v>1154179.5341095051</v>
      </c>
      <c r="H61" s="325">
        <f t="shared" si="6"/>
        <v>308142.2365011684</v>
      </c>
      <c r="I61" s="325">
        <f t="shared" si="6"/>
        <v>356828.8011575315</v>
      </c>
      <c r="J61" s="325">
        <f t="shared" si="6"/>
        <v>89198.763419944706</v>
      </c>
      <c r="K61" s="325">
        <f t="shared" si="6"/>
        <v>0</v>
      </c>
      <c r="L61" s="325">
        <f t="shared" si="6"/>
        <v>0</v>
      </c>
      <c r="M61" s="325">
        <f t="shared" si="6"/>
        <v>0</v>
      </c>
      <c r="N61" s="325">
        <f t="shared" si="6"/>
        <v>246065.81378622327</v>
      </c>
      <c r="O61" s="325">
        <f t="shared" si="6"/>
        <v>128010.52702940095</v>
      </c>
      <c r="P61" s="325">
        <f t="shared" si="6"/>
        <v>119146.6172934091</v>
      </c>
      <c r="Q61" s="325">
        <f t="shared" si="6"/>
        <v>26193.928992851765</v>
      </c>
      <c r="R61" s="325">
        <f t="shared" si="6"/>
        <v>7136.5571685895156</v>
      </c>
      <c r="S61" s="325">
        <f t="shared" si="6"/>
        <v>230114.08986454413</v>
      </c>
      <c r="T61" s="325">
        <f t="shared" si="6"/>
        <v>50958.162683660921</v>
      </c>
      <c r="U61" s="325">
        <f t="shared" si="6"/>
        <v>14766.203306314164</v>
      </c>
      <c r="X61" s="323" t="s">
        <v>47</v>
      </c>
    </row>
    <row r="62" spans="1:28" ht="12.5" x14ac:dyDescent="0.25">
      <c r="A62" s="322">
        <v>5070</v>
      </c>
      <c r="B62" s="331" t="s">
        <v>209</v>
      </c>
      <c r="C62" s="319">
        <f>SUM(D62:U62)</f>
        <v>22889214.345598221</v>
      </c>
      <c r="D62" s="325">
        <f t="shared" si="6"/>
        <v>3973544.7277517528</v>
      </c>
      <c r="E62" s="325">
        <f t="shared" si="6"/>
        <v>8788598.8380259555</v>
      </c>
      <c r="F62" s="325">
        <f t="shared" si="6"/>
        <v>6685645.8628285909</v>
      </c>
      <c r="G62" s="325">
        <f t="shared" si="6"/>
        <v>1431945.5000251397</v>
      </c>
      <c r="H62" s="325">
        <f t="shared" si="6"/>
        <v>86157.066939670287</v>
      </c>
      <c r="I62" s="325">
        <f t="shared" si="6"/>
        <v>297242.7635629797</v>
      </c>
      <c r="J62" s="325">
        <f t="shared" si="6"/>
        <v>28107.835090450117</v>
      </c>
      <c r="K62" s="325">
        <f t="shared" si="6"/>
        <v>333062.37344352336</v>
      </c>
      <c r="L62" s="325">
        <f t="shared" si="6"/>
        <v>156502.5301066364</v>
      </c>
      <c r="M62" s="325">
        <f t="shared" si="6"/>
        <v>92765.992231931377</v>
      </c>
      <c r="N62" s="325">
        <f t="shared" si="6"/>
        <v>24017.527270308114</v>
      </c>
      <c r="O62" s="325">
        <f t="shared" si="6"/>
        <v>14675.056364899709</v>
      </c>
      <c r="P62" s="325">
        <f t="shared" si="6"/>
        <v>249575.8839639264</v>
      </c>
      <c r="Q62" s="325">
        <f t="shared" si="6"/>
        <v>22256.104179776434</v>
      </c>
      <c r="R62" s="325">
        <f t="shared" si="6"/>
        <v>3343.0100927952853</v>
      </c>
      <c r="S62" s="325">
        <f t="shared" si="6"/>
        <v>628784.7268577019</v>
      </c>
      <c r="T62" s="325">
        <f t="shared" si="6"/>
        <v>68099.614492406967</v>
      </c>
      <c r="U62" s="325">
        <f t="shared" si="6"/>
        <v>4888.9323697728196</v>
      </c>
      <c r="X62" s="323" t="s">
        <v>210</v>
      </c>
    </row>
    <row r="63" spans="1:28" s="210" customFormat="1" ht="12.5" x14ac:dyDescent="0.25">
      <c r="A63" s="332">
        <v>5075</v>
      </c>
      <c r="B63" s="333" t="s">
        <v>211</v>
      </c>
      <c r="C63" s="334">
        <f>SUM(D63:U63)</f>
        <v>3682917.4896790884</v>
      </c>
      <c r="D63" s="335">
        <f t="shared" si="6"/>
        <v>639350.79434796527</v>
      </c>
      <c r="E63" s="335">
        <f t="shared" si="6"/>
        <v>1414102.0255928389</v>
      </c>
      <c r="F63" s="335">
        <f t="shared" si="6"/>
        <v>1075732.9502988029</v>
      </c>
      <c r="G63" s="335">
        <f t="shared" si="6"/>
        <v>230402.71486312663</v>
      </c>
      <c r="H63" s="335">
        <f t="shared" si="6"/>
        <v>13862.83355560366</v>
      </c>
      <c r="I63" s="335">
        <f t="shared" si="6"/>
        <v>47826.917782224693</v>
      </c>
      <c r="J63" s="335">
        <f t="shared" si="6"/>
        <v>4522.6033488362982</v>
      </c>
      <c r="K63" s="335">
        <f t="shared" si="6"/>
        <v>53590.360149039945</v>
      </c>
      <c r="L63" s="335">
        <f t="shared" si="6"/>
        <v>25181.550428339753</v>
      </c>
      <c r="M63" s="335">
        <f t="shared" si="6"/>
        <v>14926.222022300057</v>
      </c>
      <c r="N63" s="335">
        <f t="shared" si="6"/>
        <v>3864.4651540725658</v>
      </c>
      <c r="O63" s="335">
        <f t="shared" si="6"/>
        <v>2361.2440747102028</v>
      </c>
      <c r="P63" s="335">
        <f t="shared" si="6"/>
        <v>40157.227512250836</v>
      </c>
      <c r="Q63" s="335">
        <f t="shared" si="6"/>
        <v>3581.0488773539523</v>
      </c>
      <c r="R63" s="335">
        <f t="shared" si="6"/>
        <v>537.89658976640112</v>
      </c>
      <c r="S63" s="335">
        <f t="shared" si="6"/>
        <v>101172.64108860331</v>
      </c>
      <c r="T63" s="335">
        <f t="shared" si="6"/>
        <v>10957.355611583978</v>
      </c>
      <c r="U63" s="335">
        <f t="shared" si="6"/>
        <v>786.63838166892606</v>
      </c>
      <c r="V63" s="336"/>
      <c r="W63" s="337"/>
      <c r="X63" s="323" t="s">
        <v>210</v>
      </c>
      <c r="Y63" s="337"/>
      <c r="Z63" s="337"/>
      <c r="AA63" s="337"/>
      <c r="AB63" s="337"/>
    </row>
    <row r="64" spans="1:28" ht="12.5" x14ac:dyDescent="0.25">
      <c r="A64" s="322"/>
      <c r="B64" s="331"/>
      <c r="C64" s="319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X64" s="331"/>
    </row>
    <row r="65" spans="1:28" ht="13" x14ac:dyDescent="0.3">
      <c r="A65" s="266"/>
      <c r="B65" s="339" t="s">
        <v>206</v>
      </c>
      <c r="C65" s="340">
        <f t="shared" ref="C65:U65" si="7">+SUM(C61:C64)</f>
        <v>38134233.293098398</v>
      </c>
      <c r="D65" s="341">
        <f t="shared" si="7"/>
        <v>6380816.4985076012</v>
      </c>
      <c r="E65" s="341">
        <f t="shared" si="7"/>
        <v>14152200.405637102</v>
      </c>
      <c r="F65" s="341">
        <f t="shared" si="7"/>
        <v>10875318.517209144</v>
      </c>
      <c r="G65" s="341">
        <f t="shared" si="7"/>
        <v>2816527.7489977716</v>
      </c>
      <c r="H65" s="341">
        <f t="shared" si="7"/>
        <v>408162.13699644234</v>
      </c>
      <c r="I65" s="341">
        <f t="shared" si="7"/>
        <v>701898.48250273592</v>
      </c>
      <c r="J65" s="341">
        <f t="shared" si="7"/>
        <v>121829.20185923112</v>
      </c>
      <c r="K65" s="341">
        <f t="shared" si="7"/>
        <v>386652.73359256331</v>
      </c>
      <c r="L65" s="341">
        <f t="shared" si="7"/>
        <v>181684.08053497615</v>
      </c>
      <c r="M65" s="341">
        <f t="shared" si="7"/>
        <v>107692.21425423144</v>
      </c>
      <c r="N65" s="341">
        <f t="shared" si="7"/>
        <v>273947.80621060397</v>
      </c>
      <c r="O65" s="341">
        <f t="shared" si="7"/>
        <v>145046.82746901087</v>
      </c>
      <c r="P65" s="341">
        <f t="shared" si="7"/>
        <v>408879.72876958636</v>
      </c>
      <c r="Q65" s="341">
        <f t="shared" si="7"/>
        <v>52031.082049982157</v>
      </c>
      <c r="R65" s="341">
        <f t="shared" si="7"/>
        <v>11017.463851151202</v>
      </c>
      <c r="S65" s="341">
        <f t="shared" si="7"/>
        <v>960071.4578108493</v>
      </c>
      <c r="T65" s="341">
        <f t="shared" si="7"/>
        <v>130015.13278765186</v>
      </c>
      <c r="U65" s="341">
        <f t="shared" si="7"/>
        <v>20441.774057755909</v>
      </c>
      <c r="X65" s="342"/>
    </row>
    <row r="66" spans="1:28" ht="12.5" x14ac:dyDescent="0.25">
      <c r="A66" s="266"/>
      <c r="B66" s="265"/>
      <c r="C66" s="319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X66" s="187"/>
    </row>
    <row r="67" spans="1:28" ht="13" x14ac:dyDescent="0.25">
      <c r="A67" s="322"/>
      <c r="B67" s="318" t="s">
        <v>212</v>
      </c>
      <c r="C67" s="319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X67" s="318"/>
    </row>
    <row r="68" spans="1:28" ht="12.5" x14ac:dyDescent="0.25">
      <c r="A68" s="322">
        <v>5175</v>
      </c>
      <c r="B68" s="323" t="s">
        <v>213</v>
      </c>
      <c r="C68" s="319">
        <f>SUM(D68:U68)</f>
        <v>7543725.942152746</v>
      </c>
      <c r="D68" s="325">
        <f>D117</f>
        <v>1178805.2265250101</v>
      </c>
      <c r="E68" s="325">
        <f t="shared" ref="E68:U68" si="8">E117</f>
        <v>2633426.9259867552</v>
      </c>
      <c r="F68" s="325">
        <f t="shared" si="8"/>
        <v>2076296.6485717087</v>
      </c>
      <c r="G68" s="325">
        <f t="shared" si="8"/>
        <v>769577.87441433023</v>
      </c>
      <c r="H68" s="325">
        <f t="shared" si="8"/>
        <v>205461.49050096388</v>
      </c>
      <c r="I68" s="325">
        <f t="shared" si="8"/>
        <v>237924.46686944354</v>
      </c>
      <c r="J68" s="325">
        <f t="shared" si="8"/>
        <v>59475.491225089499</v>
      </c>
      <c r="K68" s="325">
        <f t="shared" si="8"/>
        <v>0</v>
      </c>
      <c r="L68" s="325">
        <f t="shared" si="8"/>
        <v>0</v>
      </c>
      <c r="M68" s="325">
        <f t="shared" si="8"/>
        <v>0</v>
      </c>
      <c r="N68" s="325">
        <f t="shared" si="8"/>
        <v>164070.49366521474</v>
      </c>
      <c r="O68" s="325">
        <f t="shared" si="8"/>
        <v>85354.198703542264</v>
      </c>
      <c r="P68" s="325">
        <f t="shared" si="8"/>
        <v>28155.210619964353</v>
      </c>
      <c r="Q68" s="325">
        <f t="shared" si="8"/>
        <v>5606.51568436038</v>
      </c>
      <c r="R68" s="325">
        <f t="shared" si="8"/>
        <v>809.50538672690584</v>
      </c>
      <c r="S68" s="325">
        <f t="shared" si="8"/>
        <v>81627.645343948316</v>
      </c>
      <c r="T68" s="325">
        <f t="shared" si="8"/>
        <v>14296.031527299538</v>
      </c>
      <c r="U68" s="325">
        <f t="shared" si="8"/>
        <v>2838.2171283879156</v>
      </c>
      <c r="X68" s="323">
        <v>1860</v>
      </c>
    </row>
    <row r="69" spans="1:28" ht="12.5" x14ac:dyDescent="0.25">
      <c r="A69" s="266"/>
      <c r="B69" s="265"/>
      <c r="C69" s="319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X69" s="187"/>
    </row>
    <row r="70" spans="1:28" ht="13" x14ac:dyDescent="0.25">
      <c r="A70" s="322"/>
      <c r="B70" s="318" t="s">
        <v>214</v>
      </c>
      <c r="C70" s="319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0"/>
      <c r="U70" s="320"/>
      <c r="X70" s="318"/>
    </row>
    <row r="71" spans="1:28" ht="12.5" x14ac:dyDescent="0.25">
      <c r="A71" s="322">
        <v>5310</v>
      </c>
      <c r="B71" s="323" t="s">
        <v>215</v>
      </c>
      <c r="C71" s="319">
        <f>SUM(D71:U71)</f>
        <v>11289223.297461346</v>
      </c>
      <c r="D71" s="343">
        <f>D120</f>
        <v>87587.344672365012</v>
      </c>
      <c r="E71" s="343">
        <f t="shared" ref="E71:U75" si="9">E120</f>
        <v>804954.05544866063</v>
      </c>
      <c r="F71" s="343">
        <f t="shared" si="9"/>
        <v>8074370.1818479327</v>
      </c>
      <c r="G71" s="343">
        <f t="shared" si="9"/>
        <v>1533744.8653262795</v>
      </c>
      <c r="H71" s="343">
        <f t="shared" si="9"/>
        <v>418819.09432754049</v>
      </c>
      <c r="I71" s="343">
        <f t="shared" si="9"/>
        <v>147426.44550366176</v>
      </c>
      <c r="J71" s="343">
        <f t="shared" si="9"/>
        <v>89911.013053926261</v>
      </c>
      <c r="K71" s="343">
        <f t="shared" si="9"/>
        <v>0</v>
      </c>
      <c r="L71" s="343">
        <f t="shared" si="9"/>
        <v>0</v>
      </c>
      <c r="M71" s="343">
        <f t="shared" si="9"/>
        <v>0</v>
      </c>
      <c r="N71" s="343">
        <f t="shared" si="9"/>
        <v>0</v>
      </c>
      <c r="O71" s="343">
        <f t="shared" si="9"/>
        <v>0</v>
      </c>
      <c r="P71" s="343">
        <f t="shared" si="9"/>
        <v>2708.4829685471</v>
      </c>
      <c r="Q71" s="343">
        <f t="shared" si="9"/>
        <v>8550.3089791388829</v>
      </c>
      <c r="R71" s="343">
        <f t="shared" si="9"/>
        <v>5576.2884646557932</v>
      </c>
      <c r="S71" s="343">
        <f t="shared" si="9"/>
        <v>13409.646069767503</v>
      </c>
      <c r="T71" s="343">
        <f t="shared" si="9"/>
        <v>21309.38806136321</v>
      </c>
      <c r="U71" s="343">
        <f t="shared" si="9"/>
        <v>80856.182737509007</v>
      </c>
      <c r="X71" s="323" t="s">
        <v>49</v>
      </c>
    </row>
    <row r="72" spans="1:28" ht="12.5" x14ac:dyDescent="0.25">
      <c r="A72" s="322">
        <v>5315</v>
      </c>
      <c r="B72" s="323" t="s">
        <v>216</v>
      </c>
      <c r="C72" s="319">
        <f>SUM(D72:U72)</f>
        <v>48977060.53750436</v>
      </c>
      <c r="D72" s="343">
        <f>D121</f>
        <v>9156889.6902383994</v>
      </c>
      <c r="E72" s="343">
        <f t="shared" si="9"/>
        <v>18685441.043604549</v>
      </c>
      <c r="F72" s="343">
        <f t="shared" si="9"/>
        <v>13466003.258708278</v>
      </c>
      <c r="G72" s="343">
        <f t="shared" si="9"/>
        <v>3329516.8568756883</v>
      </c>
      <c r="H72" s="343">
        <f t="shared" si="9"/>
        <v>397277.14473583607</v>
      </c>
      <c r="I72" s="343">
        <f t="shared" si="9"/>
        <v>691139.98532058683</v>
      </c>
      <c r="J72" s="343">
        <f t="shared" si="9"/>
        <v>129607.48161562819</v>
      </c>
      <c r="K72" s="343">
        <f t="shared" si="9"/>
        <v>196030.80012477253</v>
      </c>
      <c r="L72" s="343">
        <f t="shared" si="9"/>
        <v>344786.71155665279</v>
      </c>
      <c r="M72" s="343">
        <f t="shared" si="9"/>
        <v>202719.04222871069</v>
      </c>
      <c r="N72" s="343">
        <f t="shared" si="9"/>
        <v>52757.385157847973</v>
      </c>
      <c r="O72" s="343">
        <f t="shared" si="9"/>
        <v>51424.524031532543</v>
      </c>
      <c r="P72" s="343">
        <f t="shared" si="9"/>
        <v>575498.25798445288</v>
      </c>
      <c r="Q72" s="343">
        <f t="shared" si="9"/>
        <v>51749.227909613975</v>
      </c>
      <c r="R72" s="343">
        <f t="shared" si="9"/>
        <v>15414.88761936115</v>
      </c>
      <c r="S72" s="343">
        <f t="shared" si="9"/>
        <v>1449917.7933639663</v>
      </c>
      <c r="T72" s="343">
        <f t="shared" si="9"/>
        <v>158343.18721992159</v>
      </c>
      <c r="U72" s="343">
        <f t="shared" si="9"/>
        <v>22543.259208556607</v>
      </c>
      <c r="X72" s="323" t="s">
        <v>51</v>
      </c>
    </row>
    <row r="73" spans="1:28" ht="12.5" x14ac:dyDescent="0.25">
      <c r="A73" s="322">
        <v>5320</v>
      </c>
      <c r="B73" s="323" t="s">
        <v>217</v>
      </c>
      <c r="C73" s="319">
        <f>SUM(D73:U73)</f>
        <v>3294577.9928866299</v>
      </c>
      <c r="D73" s="343">
        <f>D122</f>
        <v>615963.61491822451</v>
      </c>
      <c r="E73" s="343">
        <f t="shared" si="9"/>
        <v>1256928.083760761</v>
      </c>
      <c r="F73" s="343">
        <f t="shared" si="9"/>
        <v>905828.10608463199</v>
      </c>
      <c r="G73" s="343">
        <f t="shared" si="9"/>
        <v>223969.19789026305</v>
      </c>
      <c r="H73" s="343">
        <f t="shared" si="9"/>
        <v>26723.950432289774</v>
      </c>
      <c r="I73" s="343">
        <f t="shared" si="9"/>
        <v>46491.450500537125</v>
      </c>
      <c r="J73" s="343">
        <f t="shared" si="9"/>
        <v>8718.4071881432919</v>
      </c>
      <c r="K73" s="343">
        <f t="shared" si="9"/>
        <v>13186.55617407827</v>
      </c>
      <c r="L73" s="343">
        <f t="shared" si="9"/>
        <v>23193.035671556048</v>
      </c>
      <c r="M73" s="343">
        <f t="shared" si="9"/>
        <v>13636.459353340306</v>
      </c>
      <c r="N73" s="343">
        <f t="shared" si="9"/>
        <v>3548.8720269398673</v>
      </c>
      <c r="O73" s="343">
        <f t="shared" si="9"/>
        <v>3459.213421745088</v>
      </c>
      <c r="P73" s="343">
        <f t="shared" si="9"/>
        <v>38712.48855876689</v>
      </c>
      <c r="Q73" s="343">
        <f t="shared" si="9"/>
        <v>3481.0555298502254</v>
      </c>
      <c r="R73" s="343">
        <f t="shared" si="9"/>
        <v>1036.9252249158278</v>
      </c>
      <c r="S73" s="343">
        <f t="shared" si="9"/>
        <v>97532.746985780512</v>
      </c>
      <c r="T73" s="343">
        <f t="shared" si="9"/>
        <v>10651.39422850433</v>
      </c>
      <c r="U73" s="343">
        <f t="shared" si="9"/>
        <v>1516.4349363019969</v>
      </c>
      <c r="X73" s="323" t="s">
        <v>51</v>
      </c>
    </row>
    <row r="74" spans="1:28" ht="12.5" x14ac:dyDescent="0.25">
      <c r="A74" s="322">
        <v>5325</v>
      </c>
      <c r="B74" s="323" t="s">
        <v>218</v>
      </c>
      <c r="C74" s="319">
        <f>SUM(D74:U74)</f>
        <v>0</v>
      </c>
      <c r="D74" s="343">
        <f>D123</f>
        <v>0</v>
      </c>
      <c r="E74" s="343">
        <f t="shared" si="9"/>
        <v>0</v>
      </c>
      <c r="F74" s="343">
        <f t="shared" si="9"/>
        <v>0</v>
      </c>
      <c r="G74" s="343">
        <f t="shared" si="9"/>
        <v>0</v>
      </c>
      <c r="H74" s="343">
        <f t="shared" si="9"/>
        <v>0</v>
      </c>
      <c r="I74" s="343">
        <f t="shared" si="9"/>
        <v>0</v>
      </c>
      <c r="J74" s="343">
        <f t="shared" si="9"/>
        <v>0</v>
      </c>
      <c r="K74" s="343">
        <f t="shared" si="9"/>
        <v>0</v>
      </c>
      <c r="L74" s="343">
        <f t="shared" si="9"/>
        <v>0</v>
      </c>
      <c r="M74" s="343">
        <f t="shared" si="9"/>
        <v>0</v>
      </c>
      <c r="N74" s="343">
        <f t="shared" si="9"/>
        <v>0</v>
      </c>
      <c r="O74" s="343">
        <f t="shared" si="9"/>
        <v>0</v>
      </c>
      <c r="P74" s="343">
        <f t="shared" si="9"/>
        <v>0</v>
      </c>
      <c r="Q74" s="343">
        <f t="shared" si="9"/>
        <v>0</v>
      </c>
      <c r="R74" s="343">
        <f t="shared" si="9"/>
        <v>0</v>
      </c>
      <c r="S74" s="343">
        <f t="shared" si="9"/>
        <v>0</v>
      </c>
      <c r="T74" s="343">
        <f t="shared" si="9"/>
        <v>0</v>
      </c>
      <c r="U74" s="343">
        <f t="shared" si="9"/>
        <v>0</v>
      </c>
      <c r="X74" s="323" t="s">
        <v>51</v>
      </c>
    </row>
    <row r="75" spans="1:28" s="210" customFormat="1" ht="12.5" x14ac:dyDescent="0.25">
      <c r="A75" s="332">
        <v>5330</v>
      </c>
      <c r="B75" s="344" t="s">
        <v>219</v>
      </c>
      <c r="C75" s="334">
        <f>SUM(D75:U75)</f>
        <v>0</v>
      </c>
      <c r="D75" s="335">
        <f>D124</f>
        <v>0</v>
      </c>
      <c r="E75" s="335">
        <f t="shared" si="9"/>
        <v>0</v>
      </c>
      <c r="F75" s="335">
        <f t="shared" si="9"/>
        <v>0</v>
      </c>
      <c r="G75" s="335">
        <f t="shared" si="9"/>
        <v>0</v>
      </c>
      <c r="H75" s="335">
        <f t="shared" si="9"/>
        <v>0</v>
      </c>
      <c r="I75" s="335">
        <f t="shared" si="9"/>
        <v>0</v>
      </c>
      <c r="J75" s="335">
        <f t="shared" si="9"/>
        <v>0</v>
      </c>
      <c r="K75" s="335">
        <f t="shared" si="9"/>
        <v>0</v>
      </c>
      <c r="L75" s="335">
        <f t="shared" si="9"/>
        <v>0</v>
      </c>
      <c r="M75" s="335">
        <f t="shared" si="9"/>
        <v>0</v>
      </c>
      <c r="N75" s="335">
        <f t="shared" si="9"/>
        <v>0</v>
      </c>
      <c r="O75" s="335">
        <f t="shared" si="9"/>
        <v>0</v>
      </c>
      <c r="P75" s="335">
        <f t="shared" si="9"/>
        <v>0</v>
      </c>
      <c r="Q75" s="335">
        <f t="shared" si="9"/>
        <v>0</v>
      </c>
      <c r="R75" s="335">
        <f t="shared" si="9"/>
        <v>0</v>
      </c>
      <c r="S75" s="335">
        <f t="shared" si="9"/>
        <v>0</v>
      </c>
      <c r="T75" s="335">
        <f t="shared" si="9"/>
        <v>0</v>
      </c>
      <c r="U75" s="335">
        <f t="shared" si="9"/>
        <v>0</v>
      </c>
      <c r="V75" s="336"/>
      <c r="W75" s="337"/>
      <c r="X75" s="323" t="s">
        <v>51</v>
      </c>
      <c r="Y75" s="337"/>
      <c r="Z75" s="337"/>
      <c r="AA75" s="337"/>
      <c r="AB75" s="337"/>
    </row>
    <row r="76" spans="1:28" ht="12.5" x14ac:dyDescent="0.25">
      <c r="A76" s="266"/>
      <c r="B76" s="265"/>
      <c r="C76" s="319"/>
      <c r="D76" s="320" t="s">
        <v>220</v>
      </c>
      <c r="E76" s="320" t="s">
        <v>220</v>
      </c>
      <c r="F76" s="320" t="s">
        <v>220</v>
      </c>
      <c r="G76" s="320" t="s">
        <v>220</v>
      </c>
      <c r="H76" s="320" t="s">
        <v>220</v>
      </c>
      <c r="I76" s="320" t="s">
        <v>220</v>
      </c>
      <c r="J76" s="320" t="s">
        <v>220</v>
      </c>
      <c r="K76" s="320" t="s">
        <v>220</v>
      </c>
      <c r="L76" s="320" t="s">
        <v>220</v>
      </c>
      <c r="M76" s="320" t="s">
        <v>220</v>
      </c>
      <c r="N76" s="320" t="s">
        <v>220</v>
      </c>
      <c r="O76" s="320" t="s">
        <v>220</v>
      </c>
      <c r="P76" s="320" t="s">
        <v>220</v>
      </c>
      <c r="Q76" s="320" t="s">
        <v>220</v>
      </c>
      <c r="R76" s="320" t="s">
        <v>220</v>
      </c>
      <c r="S76" s="320" t="s">
        <v>220</v>
      </c>
      <c r="T76" s="320" t="s">
        <v>220</v>
      </c>
      <c r="U76" s="320" t="s">
        <v>220</v>
      </c>
      <c r="X76" s="323"/>
    </row>
    <row r="77" spans="1:28" ht="13" thickBot="1" x14ac:dyDescent="0.3">
      <c r="A77" s="266"/>
      <c r="B77" s="339" t="s">
        <v>206</v>
      </c>
      <c r="C77" s="340">
        <f t="shared" ref="C77:U77" si="10">+SUM(C71:C76)</f>
        <v>63560861.827852339</v>
      </c>
      <c r="D77" s="341">
        <f t="shared" si="10"/>
        <v>9860440.6498289891</v>
      </c>
      <c r="E77" s="341">
        <f t="shared" si="10"/>
        <v>20747323.182813972</v>
      </c>
      <c r="F77" s="341">
        <f t="shared" si="10"/>
        <v>22446201.546640843</v>
      </c>
      <c r="G77" s="341">
        <f t="shared" si="10"/>
        <v>5087230.9200922307</v>
      </c>
      <c r="H77" s="341">
        <f t="shared" si="10"/>
        <v>842820.1894956663</v>
      </c>
      <c r="I77" s="341">
        <f t="shared" si="10"/>
        <v>885057.88132478576</v>
      </c>
      <c r="J77" s="341">
        <f t="shared" si="10"/>
        <v>228236.90185769775</v>
      </c>
      <c r="K77" s="341">
        <f t="shared" si="10"/>
        <v>209217.35629885079</v>
      </c>
      <c r="L77" s="341">
        <f t="shared" si="10"/>
        <v>367979.74722820881</v>
      </c>
      <c r="M77" s="341">
        <f t="shared" si="10"/>
        <v>216355.50158205099</v>
      </c>
      <c r="N77" s="341">
        <f t="shared" si="10"/>
        <v>56306.257184787843</v>
      </c>
      <c r="O77" s="341">
        <f t="shared" si="10"/>
        <v>54883.73745327763</v>
      </c>
      <c r="P77" s="341">
        <f t="shared" si="10"/>
        <v>616919.22951176693</v>
      </c>
      <c r="Q77" s="341">
        <f t="shared" si="10"/>
        <v>63780.592418603082</v>
      </c>
      <c r="R77" s="341">
        <f t="shared" si="10"/>
        <v>22028.101308932772</v>
      </c>
      <c r="S77" s="341">
        <f t="shared" si="10"/>
        <v>1560860.1864195142</v>
      </c>
      <c r="T77" s="341">
        <f t="shared" si="10"/>
        <v>190303.96950978914</v>
      </c>
      <c r="U77" s="341">
        <f t="shared" si="10"/>
        <v>104915.87688236761</v>
      </c>
      <c r="X77" s="323"/>
    </row>
    <row r="78" spans="1:28" ht="20.25" customHeight="1" thickTop="1" x14ac:dyDescent="0.25">
      <c r="A78" s="266"/>
      <c r="B78" s="345" t="s">
        <v>221</v>
      </c>
      <c r="C78" s="346">
        <f>C77+C68+C65</f>
        <v>109238821.06310347</v>
      </c>
      <c r="D78" s="347">
        <f t="shared" ref="D78:U78" si="11">+D77+D68+D65</f>
        <v>17420062.374861602</v>
      </c>
      <c r="E78" s="347">
        <f t="shared" si="11"/>
        <v>37532950.514437832</v>
      </c>
      <c r="F78" s="347">
        <f t="shared" si="11"/>
        <v>35397816.712421693</v>
      </c>
      <c r="G78" s="347">
        <f t="shared" si="11"/>
        <v>8673336.5435043331</v>
      </c>
      <c r="H78" s="347">
        <f t="shared" si="11"/>
        <v>1456443.8169930726</v>
      </c>
      <c r="I78" s="347">
        <f t="shared" si="11"/>
        <v>1824880.8306969653</v>
      </c>
      <c r="J78" s="347">
        <f t="shared" si="11"/>
        <v>409541.59494201839</v>
      </c>
      <c r="K78" s="347">
        <f t="shared" si="11"/>
        <v>595870.08989141416</v>
      </c>
      <c r="L78" s="347">
        <f t="shared" si="11"/>
        <v>549663.82776318491</v>
      </c>
      <c r="M78" s="347">
        <f t="shared" si="11"/>
        <v>324047.71583628241</v>
      </c>
      <c r="N78" s="347">
        <f t="shared" si="11"/>
        <v>494324.55706060654</v>
      </c>
      <c r="O78" s="347">
        <f t="shared" si="11"/>
        <v>285284.76362583076</v>
      </c>
      <c r="P78" s="347">
        <f t="shared" si="11"/>
        <v>1053954.1689013178</v>
      </c>
      <c r="Q78" s="347">
        <f t="shared" si="11"/>
        <v>121418.19015294562</v>
      </c>
      <c r="R78" s="347">
        <f t="shared" si="11"/>
        <v>33855.070546810879</v>
      </c>
      <c r="S78" s="347">
        <f t="shared" si="11"/>
        <v>2602559.289574312</v>
      </c>
      <c r="T78" s="347">
        <f t="shared" si="11"/>
        <v>334615.13382474054</v>
      </c>
      <c r="U78" s="347">
        <f t="shared" si="11"/>
        <v>128195.86806851142</v>
      </c>
      <c r="X78" s="323"/>
    </row>
    <row r="79" spans="1:28" ht="12.5" x14ac:dyDescent="0.25">
      <c r="A79" s="266"/>
      <c r="B79" s="265"/>
      <c r="C79" s="348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X79" s="323"/>
    </row>
    <row r="80" spans="1:28" ht="13" x14ac:dyDescent="0.25">
      <c r="A80" s="322"/>
      <c r="B80" s="327" t="s">
        <v>222</v>
      </c>
      <c r="C80" s="319">
        <f>SUM(D80:U80)</f>
        <v>48292622.898894981</v>
      </c>
      <c r="D80" s="325">
        <f>D129</f>
        <v>7384258.0728228446</v>
      </c>
      <c r="E80" s="325">
        <f t="shared" ref="E80:U80" si="12">E129</f>
        <v>16496282.50693387</v>
      </c>
      <c r="F80" s="325">
        <f t="shared" si="12"/>
        <v>13006313.463664787</v>
      </c>
      <c r="G80" s="325">
        <f t="shared" si="12"/>
        <v>4820780.8244641293</v>
      </c>
      <c r="H80" s="325">
        <f t="shared" si="12"/>
        <v>1287049.4936287657</v>
      </c>
      <c r="I80" s="325">
        <f t="shared" si="12"/>
        <v>1490403.6949190476</v>
      </c>
      <c r="J80" s="325">
        <f t="shared" si="12"/>
        <v>372565.68458610703</v>
      </c>
      <c r="K80" s="325">
        <f t="shared" si="12"/>
        <v>0</v>
      </c>
      <c r="L80" s="325">
        <f t="shared" si="12"/>
        <v>0</v>
      </c>
      <c r="M80" s="325">
        <f t="shared" si="12"/>
        <v>0</v>
      </c>
      <c r="N80" s="325">
        <f t="shared" si="12"/>
        <v>1027768.4897367451</v>
      </c>
      <c r="O80" s="325">
        <f t="shared" si="12"/>
        <v>534674.78481067368</v>
      </c>
      <c r="P80" s="325">
        <f t="shared" si="12"/>
        <v>497651.97785367887</v>
      </c>
      <c r="Q80" s="325">
        <f t="shared" si="12"/>
        <v>109406.88764122044</v>
      </c>
      <c r="R80" s="325">
        <f t="shared" si="12"/>
        <v>29807.995146588892</v>
      </c>
      <c r="S80" s="325">
        <f t="shared" si="12"/>
        <v>961141.27748236433</v>
      </c>
      <c r="T80" s="325">
        <f t="shared" si="12"/>
        <v>212842.21930416659</v>
      </c>
      <c r="U80" s="325">
        <f t="shared" si="12"/>
        <v>61675.525899997767</v>
      </c>
      <c r="X80" s="323"/>
    </row>
    <row r="81" spans="1:28" ht="13" x14ac:dyDescent="0.25">
      <c r="A81" s="322"/>
      <c r="B81" s="349" t="s">
        <v>223</v>
      </c>
      <c r="C81" s="319">
        <f>SUM(D81:U81)</f>
        <v>1628364.1480496998</v>
      </c>
      <c r="D81" s="343">
        <v>254238.43132635899</v>
      </c>
      <c r="E81" s="343">
        <v>567841.44216888852</v>
      </c>
      <c r="F81" s="343">
        <v>447659.64269233402</v>
      </c>
      <c r="G81" s="343">
        <v>165973.23175375519</v>
      </c>
      <c r="H81" s="343">
        <v>44309.830643934962</v>
      </c>
      <c r="I81" s="343">
        <v>51323.787219519472</v>
      </c>
      <c r="J81" s="343">
        <v>12827.232343020896</v>
      </c>
      <c r="K81" s="343">
        <v>0</v>
      </c>
      <c r="L81" s="343">
        <v>0</v>
      </c>
      <c r="M81" s="343">
        <v>0</v>
      </c>
      <c r="N81" s="343">
        <v>35479.346454486571</v>
      </c>
      <c r="O81" s="343">
        <v>18408.697545095933</v>
      </c>
      <c r="P81" s="343">
        <v>6525.173085070418</v>
      </c>
      <c r="Q81" s="343">
        <v>1303.6441598856313</v>
      </c>
      <c r="R81" s="343">
        <v>209.89666056670535</v>
      </c>
      <c r="S81" s="343">
        <v>18326.914860936067</v>
      </c>
      <c r="T81" s="343">
        <v>3261.4735833878026</v>
      </c>
      <c r="U81" s="343">
        <v>675.40355245864782</v>
      </c>
      <c r="X81" s="323"/>
    </row>
    <row r="82" spans="1:28" ht="13" x14ac:dyDescent="0.25">
      <c r="A82" s="322"/>
      <c r="B82" s="349" t="s">
        <v>224</v>
      </c>
      <c r="C82" s="319">
        <f>SUM(D82:U82)</f>
        <v>9611932.2914433479</v>
      </c>
      <c r="D82" s="343">
        <v>1500722.4217743871</v>
      </c>
      <c r="E82" s="343">
        <v>3351862.9729965744</v>
      </c>
      <c r="F82" s="343">
        <v>2642452.0463214642</v>
      </c>
      <c r="G82" s="343">
        <v>979709.2792296228</v>
      </c>
      <c r="H82" s="343">
        <v>261552.7322343291</v>
      </c>
      <c r="I82" s="343">
        <v>302954.82020119362</v>
      </c>
      <c r="J82" s="343">
        <v>75716.779269182225</v>
      </c>
      <c r="K82" s="343">
        <v>0</v>
      </c>
      <c r="L82" s="343">
        <v>0</v>
      </c>
      <c r="M82" s="343">
        <v>0</v>
      </c>
      <c r="N82" s="343">
        <v>209428.01785069579</v>
      </c>
      <c r="O82" s="343">
        <v>108663.1356929881</v>
      </c>
      <c r="P82" s="343">
        <v>38516.889455448196</v>
      </c>
      <c r="Q82" s="343">
        <v>7695.1702799181176</v>
      </c>
      <c r="R82" s="343">
        <v>1238.9811529464243</v>
      </c>
      <c r="S82" s="343">
        <v>108180.38763955139</v>
      </c>
      <c r="T82" s="343">
        <v>19251.87513579294</v>
      </c>
      <c r="U82" s="343">
        <v>3986.7822092547608</v>
      </c>
      <c r="X82" s="323"/>
    </row>
    <row r="83" spans="1:28" ht="13" x14ac:dyDescent="0.25">
      <c r="A83" s="330"/>
      <c r="B83" s="349" t="s">
        <v>225</v>
      </c>
      <c r="C83" s="319">
        <f>SUM(D83:U83)</f>
        <v>13694117.758120708</v>
      </c>
      <c r="D83" s="343">
        <v>2138078.8943265178</v>
      </c>
      <c r="E83" s="343">
        <v>4775398.4182931744</v>
      </c>
      <c r="F83" s="343">
        <v>3764700.8317699442</v>
      </c>
      <c r="G83" s="343">
        <v>1395791.5881739324</v>
      </c>
      <c r="H83" s="343">
        <v>372634.11836178001</v>
      </c>
      <c r="I83" s="343">
        <v>431619.66370889341</v>
      </c>
      <c r="J83" s="343">
        <v>107873.67827183423</v>
      </c>
      <c r="K83" s="343">
        <v>0</v>
      </c>
      <c r="L83" s="343">
        <v>0</v>
      </c>
      <c r="M83" s="343">
        <v>0</v>
      </c>
      <c r="N83" s="343">
        <v>298372.04958781274</v>
      </c>
      <c r="O83" s="343">
        <v>154812.34480512346</v>
      </c>
      <c r="P83" s="343">
        <v>54875.003681514863</v>
      </c>
      <c r="Q83" s="343">
        <v>10963.307354526267</v>
      </c>
      <c r="R83" s="343">
        <v>1765.1761679224994</v>
      </c>
      <c r="S83" s="343">
        <v>154124.5737627545</v>
      </c>
      <c r="T83" s="343">
        <v>27428.142144621394</v>
      </c>
      <c r="U83" s="343">
        <v>5679.9677103548502</v>
      </c>
      <c r="X83" s="323"/>
    </row>
    <row r="84" spans="1:28" ht="12.5" x14ac:dyDescent="0.25">
      <c r="A84" s="330"/>
      <c r="B84" s="187"/>
      <c r="C84" s="319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X84" s="323"/>
    </row>
    <row r="85" spans="1:28" s="356" customFormat="1" ht="13.5" thickBot="1" x14ac:dyDescent="0.35">
      <c r="A85" s="350"/>
      <c r="B85" s="351" t="s">
        <v>226</v>
      </c>
      <c r="C85" s="352">
        <f t="shared" ref="C85:U85" si="13">SUM(C78:C83) +C58</f>
        <v>171328686.20598137</v>
      </c>
      <c r="D85" s="353">
        <f t="shared" si="13"/>
        <v>27352438.766741563</v>
      </c>
      <c r="E85" s="353">
        <f t="shared" si="13"/>
        <v>59118725.760417216</v>
      </c>
      <c r="F85" s="353">
        <f t="shared" si="13"/>
        <v>52205907.384431526</v>
      </c>
      <c r="G85" s="353">
        <f t="shared" si="13"/>
        <v>14980588.758376066</v>
      </c>
      <c r="H85" s="353">
        <f t="shared" si="13"/>
        <v>2710397.3031541533</v>
      </c>
      <c r="I85" s="353">
        <f t="shared" si="13"/>
        <v>3894949.477580592</v>
      </c>
      <c r="J85" s="353">
        <f t="shared" si="13"/>
        <v>809650.6249192286</v>
      </c>
      <c r="K85" s="353">
        <f t="shared" si="13"/>
        <v>572713.95000899723</v>
      </c>
      <c r="L85" s="353">
        <f t="shared" si="13"/>
        <v>533900.57380924339</v>
      </c>
      <c r="M85" s="353">
        <f t="shared" si="13"/>
        <v>314367.07133208361</v>
      </c>
      <c r="N85" s="353">
        <f t="shared" si="13"/>
        <v>2034294.6734478453</v>
      </c>
      <c r="O85" s="353">
        <f t="shared" si="13"/>
        <v>585478.24373450235</v>
      </c>
      <c r="P85" s="353">
        <f t="shared" si="13"/>
        <v>1574192.134778836</v>
      </c>
      <c r="Q85" s="353">
        <f t="shared" si="13"/>
        <v>240959.07973941026</v>
      </c>
      <c r="R85" s="353">
        <f t="shared" si="13"/>
        <v>40156.369852501572</v>
      </c>
      <c r="S85" s="353">
        <f t="shared" si="13"/>
        <v>3651494.6976279397</v>
      </c>
      <c r="T85" s="353">
        <f t="shared" si="13"/>
        <v>557992.75923128985</v>
      </c>
      <c r="U85" s="353">
        <f t="shared" si="13"/>
        <v>150478.57679837834</v>
      </c>
      <c r="V85" s="354"/>
      <c r="W85" s="355"/>
      <c r="X85" s="323"/>
      <c r="Y85" s="355"/>
      <c r="Z85" s="355"/>
      <c r="AA85" s="355"/>
      <c r="AB85" s="355"/>
    </row>
    <row r="86" spans="1:28" ht="27" customHeight="1" thickTop="1" x14ac:dyDescent="0.25">
      <c r="A86" s="472" t="s">
        <v>227</v>
      </c>
      <c r="B86" s="472"/>
      <c r="C86" s="313"/>
      <c r="D86" s="284"/>
      <c r="E86" s="267"/>
      <c r="F86" s="267"/>
      <c r="G86" s="284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X86" s="323"/>
    </row>
    <row r="87" spans="1:28" ht="15.5" x14ac:dyDescent="0.35">
      <c r="A87" s="314" t="s">
        <v>228</v>
      </c>
      <c r="B87" s="101"/>
      <c r="C87" s="315"/>
      <c r="D87" s="284"/>
      <c r="E87" s="267"/>
      <c r="F87" s="267"/>
      <c r="G87" s="284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X87" s="323"/>
    </row>
    <row r="88" spans="1:28" ht="13" x14ac:dyDescent="0.3">
      <c r="A88" s="473"/>
      <c r="B88" s="473"/>
      <c r="C88" s="313"/>
      <c r="D88" s="284"/>
      <c r="E88" s="267"/>
      <c r="F88" s="267"/>
      <c r="G88" s="284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X88" s="323"/>
    </row>
    <row r="89" spans="1:28" ht="13" x14ac:dyDescent="0.3">
      <c r="A89" s="299"/>
      <c r="B89" s="299"/>
      <c r="C89" s="292"/>
      <c r="D89" s="268">
        <v>1</v>
      </c>
      <c r="E89" s="268">
        <v>2</v>
      </c>
      <c r="F89" s="268">
        <v>3</v>
      </c>
      <c r="G89" s="268">
        <v>4</v>
      </c>
      <c r="H89" s="268">
        <v>5</v>
      </c>
      <c r="I89" s="268">
        <v>6</v>
      </c>
      <c r="J89" s="268">
        <v>7</v>
      </c>
      <c r="K89" s="268">
        <v>8</v>
      </c>
      <c r="L89" s="268">
        <v>9</v>
      </c>
      <c r="M89" s="268">
        <v>10</v>
      </c>
      <c r="N89" s="268">
        <v>11</v>
      </c>
      <c r="O89" s="268">
        <v>12</v>
      </c>
      <c r="P89" s="268">
        <v>13</v>
      </c>
      <c r="Q89" s="268">
        <v>14</v>
      </c>
      <c r="R89" s="268">
        <v>15</v>
      </c>
      <c r="S89" s="268">
        <v>16</v>
      </c>
      <c r="T89" s="268">
        <v>17</v>
      </c>
      <c r="U89" s="268">
        <v>18</v>
      </c>
      <c r="X89" s="323"/>
    </row>
    <row r="90" spans="1:28" ht="26" x14ac:dyDescent="0.2">
      <c r="A90" s="316" t="s">
        <v>192</v>
      </c>
      <c r="B90" s="316" t="s">
        <v>193</v>
      </c>
      <c r="C90" s="295" t="s">
        <v>5</v>
      </c>
      <c r="D90" s="296" t="s">
        <v>24</v>
      </c>
      <c r="E90" s="296" t="s">
        <v>62</v>
      </c>
      <c r="F90" s="296" t="s">
        <v>64</v>
      </c>
      <c r="G90" s="296" t="s">
        <v>322</v>
      </c>
      <c r="H90" s="296" t="s">
        <v>323</v>
      </c>
      <c r="I90" s="296" t="s">
        <v>324</v>
      </c>
      <c r="J90" s="296" t="s">
        <v>325</v>
      </c>
      <c r="K90" s="296" t="s">
        <v>326</v>
      </c>
      <c r="L90" s="296" t="s">
        <v>327</v>
      </c>
      <c r="M90" s="296" t="s">
        <v>328</v>
      </c>
      <c r="N90" s="296" t="s">
        <v>329</v>
      </c>
      <c r="O90" s="296" t="s">
        <v>330</v>
      </c>
      <c r="P90" s="271" t="s">
        <v>65</v>
      </c>
      <c r="Q90" s="271" t="s">
        <v>331</v>
      </c>
      <c r="R90" s="271" t="s">
        <v>332</v>
      </c>
      <c r="S90" s="271" t="s">
        <v>66</v>
      </c>
      <c r="T90" s="271" t="s">
        <v>333</v>
      </c>
      <c r="U90" s="271" t="s">
        <v>334</v>
      </c>
      <c r="X90" s="323"/>
    </row>
    <row r="91" spans="1:28" ht="13" x14ac:dyDescent="0.3">
      <c r="A91" s="317"/>
      <c r="B91" s="318" t="s">
        <v>194</v>
      </c>
      <c r="C91" s="319"/>
      <c r="D91" s="320"/>
      <c r="E91" s="321"/>
      <c r="F91" s="321"/>
      <c r="G91" s="320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X91" s="323"/>
    </row>
    <row r="92" spans="1:28" ht="12.5" x14ac:dyDescent="0.25">
      <c r="A92" s="322">
        <v>1860</v>
      </c>
      <c r="B92" s="323" t="s">
        <v>195</v>
      </c>
      <c r="C92" s="324">
        <f>SUM(D92:U92)</f>
        <v>688090726.53126025</v>
      </c>
      <c r="D92" s="357">
        <v>105213575.0187066</v>
      </c>
      <c r="E92" s="357">
        <v>235044988.94220915</v>
      </c>
      <c r="F92" s="357">
        <v>185318650.00256997</v>
      </c>
      <c r="G92" s="357">
        <v>68688225.671614796</v>
      </c>
      <c r="H92" s="357">
        <v>18338345.85888629</v>
      </c>
      <c r="I92" s="357">
        <v>21235809.937446747</v>
      </c>
      <c r="J92" s="357">
        <v>5308450.3843202246</v>
      </c>
      <c r="K92" s="357">
        <v>0</v>
      </c>
      <c r="L92" s="357">
        <v>0</v>
      </c>
      <c r="M92" s="357">
        <v>0</v>
      </c>
      <c r="N92" s="357">
        <v>14644016.505160149</v>
      </c>
      <c r="O92" s="357">
        <v>7618239.3718511397</v>
      </c>
      <c r="P92" s="358">
        <v>7090725.0516909054</v>
      </c>
      <c r="Q92" s="358">
        <v>1558868.8351465357</v>
      </c>
      <c r="R92" s="358">
        <v>424715.07666496927</v>
      </c>
      <c r="S92" s="358">
        <v>13694687.930010043</v>
      </c>
      <c r="T92" s="358">
        <v>3032652.7847565091</v>
      </c>
      <c r="U92" s="358">
        <v>878775.16022634774</v>
      </c>
      <c r="X92" s="323" t="s">
        <v>47</v>
      </c>
    </row>
    <row r="93" spans="1:28" ht="12.5" x14ac:dyDescent="0.25">
      <c r="A93" s="266"/>
      <c r="B93" s="265"/>
      <c r="C93" s="31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20"/>
      <c r="Q93" s="320"/>
      <c r="R93" s="320"/>
      <c r="S93" s="320"/>
      <c r="T93" s="320"/>
      <c r="U93" s="320"/>
      <c r="X93" s="323"/>
    </row>
    <row r="94" spans="1:28" ht="13" x14ac:dyDescent="0.25">
      <c r="A94" s="322"/>
      <c r="B94" s="318" t="s">
        <v>196</v>
      </c>
      <c r="C94" s="31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20"/>
      <c r="Q94" s="320"/>
      <c r="R94" s="320"/>
      <c r="S94" s="320"/>
      <c r="T94" s="320"/>
      <c r="U94" s="320"/>
      <c r="X94" s="323"/>
    </row>
    <row r="95" spans="1:28" ht="25" x14ac:dyDescent="0.3">
      <c r="A95" s="322"/>
      <c r="B95" s="323" t="s">
        <v>197</v>
      </c>
      <c r="C95" s="324">
        <f>SUM(D95:U95)</f>
        <v>-303481139.95424384</v>
      </c>
      <c r="D95" s="360">
        <v>-46404252.308852784</v>
      </c>
      <c r="E95" s="360">
        <v>-103666156.85159016</v>
      </c>
      <c r="F95" s="360">
        <v>-81734447.201573238</v>
      </c>
      <c r="G95" s="360">
        <v>-30294814.65814957</v>
      </c>
      <c r="H95" s="360">
        <v>-8088093.4614327513</v>
      </c>
      <c r="I95" s="360">
        <v>-9366014.624490384</v>
      </c>
      <c r="J95" s="360">
        <v>-2341282.2058296646</v>
      </c>
      <c r="K95" s="360">
        <v>0</v>
      </c>
      <c r="L95" s="360">
        <v>0</v>
      </c>
      <c r="M95" s="360">
        <v>0</v>
      </c>
      <c r="N95" s="360">
        <v>-6458716.3452970358</v>
      </c>
      <c r="O95" s="360">
        <v>-3360010.3589081741</v>
      </c>
      <c r="P95" s="361">
        <v>-3127351.1454473999</v>
      </c>
      <c r="Q95" s="361">
        <v>-687536.2112701314</v>
      </c>
      <c r="R95" s="361">
        <v>-187319.79759675375</v>
      </c>
      <c r="S95" s="361">
        <v>-6040016.7362642959</v>
      </c>
      <c r="T95" s="361">
        <v>-1337545.8914305032</v>
      </c>
      <c r="U95" s="361">
        <v>-387582.1561109926</v>
      </c>
      <c r="X95" s="323"/>
    </row>
    <row r="96" spans="1:28" ht="13" x14ac:dyDescent="0.25">
      <c r="A96" s="322"/>
      <c r="B96" s="327" t="s">
        <v>198</v>
      </c>
      <c r="C96" s="324">
        <f>SUM(D96:U96)</f>
        <v>384609586.57701653</v>
      </c>
      <c r="D96" s="57">
        <f>D92+D95</f>
        <v>58809322.709853821</v>
      </c>
      <c r="E96" s="57">
        <f t="shared" ref="E96:U96" si="14">E92+E95</f>
        <v>131378832.090619</v>
      </c>
      <c r="F96" s="57">
        <f t="shared" si="14"/>
        <v>103584202.80099674</v>
      </c>
      <c r="G96" s="57">
        <f t="shared" si="14"/>
        <v>38393411.013465226</v>
      </c>
      <c r="H96" s="57">
        <f t="shared" si="14"/>
        <v>10250252.397453539</v>
      </c>
      <c r="I96" s="57">
        <f t="shared" si="14"/>
        <v>11869795.312956363</v>
      </c>
      <c r="J96" s="57">
        <f t="shared" si="14"/>
        <v>2967168.17849056</v>
      </c>
      <c r="K96" s="57">
        <f t="shared" si="14"/>
        <v>0</v>
      </c>
      <c r="L96" s="57">
        <f t="shared" si="14"/>
        <v>0</v>
      </c>
      <c r="M96" s="57">
        <f t="shared" si="14"/>
        <v>0</v>
      </c>
      <c r="N96" s="57">
        <f t="shared" si="14"/>
        <v>8185300.1598631134</v>
      </c>
      <c r="O96" s="57">
        <f t="shared" si="14"/>
        <v>4258229.0129429661</v>
      </c>
      <c r="P96" s="57">
        <f t="shared" si="14"/>
        <v>3963373.9062435054</v>
      </c>
      <c r="Q96" s="57">
        <f t="shared" si="14"/>
        <v>871332.62387640425</v>
      </c>
      <c r="R96" s="57">
        <f t="shared" si="14"/>
        <v>237395.27906821552</v>
      </c>
      <c r="S96" s="57">
        <f t="shared" si="14"/>
        <v>7654671.1937457472</v>
      </c>
      <c r="T96" s="57">
        <f t="shared" si="14"/>
        <v>1695106.8933260059</v>
      </c>
      <c r="U96" s="57">
        <f t="shared" si="14"/>
        <v>491193.00411535514</v>
      </c>
      <c r="V96" s="58"/>
      <c r="W96" s="58"/>
      <c r="X96" s="323"/>
      <c r="Y96" s="58"/>
      <c r="Z96" s="58"/>
      <c r="AA96" s="58"/>
      <c r="AB96" s="58"/>
    </row>
    <row r="97" spans="1:28" ht="13" x14ac:dyDescent="0.25">
      <c r="A97" s="322"/>
      <c r="B97" s="327" t="s">
        <v>229</v>
      </c>
      <c r="C97" s="324">
        <f>SUM(D97:U97)</f>
        <v>19887607.343162652</v>
      </c>
      <c r="D97" s="57">
        <f t="shared" ref="D97:U97" si="15">IF(ISERROR(D96/D32*D28),0,D96/D32*D28)</f>
        <v>3099443.8313816967</v>
      </c>
      <c r="E97" s="57">
        <f t="shared" si="15"/>
        <v>6953820.4407723239</v>
      </c>
      <c r="F97" s="57">
        <f t="shared" si="15"/>
        <v>5494536.0921006324</v>
      </c>
      <c r="G97" s="57">
        <f t="shared" si="15"/>
        <v>2024730.6595913833</v>
      </c>
      <c r="H97" s="57">
        <f t="shared" si="15"/>
        <v>540954.63331405586</v>
      </c>
      <c r="I97" s="57">
        <f t="shared" si="15"/>
        <v>623262.79408415291</v>
      </c>
      <c r="J97" s="57">
        <f t="shared" si="15"/>
        <v>156409.85599414536</v>
      </c>
      <c r="K97" s="57">
        <f t="shared" si="15"/>
        <v>0</v>
      </c>
      <c r="L97" s="57">
        <f t="shared" si="15"/>
        <v>0</v>
      </c>
      <c r="M97" s="57">
        <f t="shared" si="15"/>
        <v>0</v>
      </c>
      <c r="N97" s="57">
        <f t="shared" si="15"/>
        <v>408685.09852846758</v>
      </c>
      <c r="O97" s="57">
        <f t="shared" si="15"/>
        <v>224432.6704061096</v>
      </c>
      <c r="P97" s="57">
        <f t="shared" si="15"/>
        <v>77303.731436355913</v>
      </c>
      <c r="Q97" s="57">
        <f t="shared" si="15"/>
        <v>15373.89375543507</v>
      </c>
      <c r="R97" s="57">
        <f t="shared" si="15"/>
        <v>2455.7917615034917</v>
      </c>
      <c r="S97" s="57">
        <f t="shared" si="15"/>
        <v>219549.17857911496</v>
      </c>
      <c r="T97" s="57">
        <f t="shared" si="15"/>
        <v>38695.89178570576</v>
      </c>
      <c r="U97" s="57">
        <f t="shared" si="15"/>
        <v>7952.7796715661298</v>
      </c>
      <c r="X97" s="323"/>
    </row>
    <row r="98" spans="1:28" ht="13" x14ac:dyDescent="0.25">
      <c r="A98" s="322"/>
      <c r="B98" s="327" t="s">
        <v>230</v>
      </c>
      <c r="C98" s="324">
        <f>SUM(D98:U98)</f>
        <v>404497193.92017919</v>
      </c>
      <c r="D98" s="57">
        <f>SUM(D96:D97)</f>
        <v>61908766.541235514</v>
      </c>
      <c r="E98" s="57">
        <f t="shared" ref="E98:U98" si="16">SUM(E96:E97)</f>
        <v>138332652.53139132</v>
      </c>
      <c r="F98" s="57">
        <f t="shared" si="16"/>
        <v>109078738.89309737</v>
      </c>
      <c r="G98" s="57">
        <f t="shared" si="16"/>
        <v>40418141.67305661</v>
      </c>
      <c r="H98" s="57">
        <f t="shared" si="16"/>
        <v>10791207.030767595</v>
      </c>
      <c r="I98" s="57">
        <f t="shared" si="16"/>
        <v>12493058.107040515</v>
      </c>
      <c r="J98" s="57">
        <f t="shared" si="16"/>
        <v>3123578.0344847054</v>
      </c>
      <c r="K98" s="57">
        <f t="shared" si="16"/>
        <v>0</v>
      </c>
      <c r="L98" s="57">
        <f t="shared" si="16"/>
        <v>0</v>
      </c>
      <c r="M98" s="57">
        <f t="shared" si="16"/>
        <v>0</v>
      </c>
      <c r="N98" s="57">
        <f t="shared" si="16"/>
        <v>8593985.2583915815</v>
      </c>
      <c r="O98" s="57">
        <f t="shared" si="16"/>
        <v>4482661.6833490757</v>
      </c>
      <c r="P98" s="57">
        <f t="shared" si="16"/>
        <v>4040677.6376798614</v>
      </c>
      <c r="Q98" s="57">
        <f t="shared" si="16"/>
        <v>886706.51763183926</v>
      </c>
      <c r="R98" s="57">
        <f t="shared" si="16"/>
        <v>239851.07082971901</v>
      </c>
      <c r="S98" s="57">
        <f t="shared" si="16"/>
        <v>7874220.3723248625</v>
      </c>
      <c r="T98" s="57">
        <f t="shared" si="16"/>
        <v>1733802.7851117116</v>
      </c>
      <c r="U98" s="57">
        <f t="shared" si="16"/>
        <v>499145.7837869213</v>
      </c>
      <c r="X98" s="323"/>
    </row>
    <row r="99" spans="1:28" ht="12.5" x14ac:dyDescent="0.25">
      <c r="A99" s="266"/>
      <c r="B99" s="265"/>
      <c r="C99" s="319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X99" s="323"/>
    </row>
    <row r="100" spans="1:28" ht="13" x14ac:dyDescent="0.25">
      <c r="A100" s="330"/>
      <c r="B100" s="318" t="s">
        <v>199</v>
      </c>
      <c r="C100" s="319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X100" s="323"/>
    </row>
    <row r="101" spans="1:28" ht="12.5" x14ac:dyDescent="0.25">
      <c r="A101" s="322">
        <v>4082</v>
      </c>
      <c r="B101" s="331" t="s">
        <v>200</v>
      </c>
      <c r="C101" s="324">
        <f>SUM(D101:U101)</f>
        <v>0</v>
      </c>
      <c r="D101" s="325">
        <v>0</v>
      </c>
      <c r="E101" s="325">
        <v>0</v>
      </c>
      <c r="F101" s="325">
        <v>0</v>
      </c>
      <c r="G101" s="325">
        <v>0</v>
      </c>
      <c r="H101" s="325">
        <v>0</v>
      </c>
      <c r="I101" s="325">
        <v>0</v>
      </c>
      <c r="J101" s="325">
        <v>0</v>
      </c>
      <c r="K101" s="325">
        <v>0</v>
      </c>
      <c r="L101" s="325">
        <v>0</v>
      </c>
      <c r="M101" s="325">
        <v>0</v>
      </c>
      <c r="N101" s="325">
        <v>0</v>
      </c>
      <c r="O101" s="325">
        <v>0</v>
      </c>
      <c r="P101" s="325">
        <v>0</v>
      </c>
      <c r="Q101" s="325">
        <v>0</v>
      </c>
      <c r="R101" s="325">
        <v>0</v>
      </c>
      <c r="S101" s="325">
        <v>0</v>
      </c>
      <c r="T101" s="325">
        <v>0</v>
      </c>
      <c r="U101" s="325">
        <v>0</v>
      </c>
      <c r="X101" s="323" t="s">
        <v>51</v>
      </c>
    </row>
    <row r="102" spans="1:28" ht="12.5" x14ac:dyDescent="0.25">
      <c r="A102" s="322">
        <v>4084</v>
      </c>
      <c r="B102" s="331" t="s">
        <v>201</v>
      </c>
      <c r="C102" s="324">
        <f>SUM(D102:U102)</f>
        <v>0</v>
      </c>
      <c r="D102" s="325">
        <v>0</v>
      </c>
      <c r="E102" s="325">
        <v>0</v>
      </c>
      <c r="F102" s="325">
        <v>0</v>
      </c>
      <c r="G102" s="325">
        <v>0</v>
      </c>
      <c r="H102" s="325">
        <v>0</v>
      </c>
      <c r="I102" s="325">
        <v>0</v>
      </c>
      <c r="J102" s="325">
        <v>0</v>
      </c>
      <c r="K102" s="325">
        <v>0</v>
      </c>
      <c r="L102" s="325">
        <v>0</v>
      </c>
      <c r="M102" s="325">
        <v>0</v>
      </c>
      <c r="N102" s="325">
        <v>0</v>
      </c>
      <c r="O102" s="325">
        <v>0</v>
      </c>
      <c r="P102" s="325">
        <v>0</v>
      </c>
      <c r="Q102" s="325">
        <v>0</v>
      </c>
      <c r="R102" s="325">
        <v>0</v>
      </c>
      <c r="S102" s="325">
        <v>0</v>
      </c>
      <c r="T102" s="325">
        <v>0</v>
      </c>
      <c r="U102" s="325">
        <v>0</v>
      </c>
      <c r="X102" s="323" t="s">
        <v>51</v>
      </c>
    </row>
    <row r="103" spans="1:28" ht="12.5" x14ac:dyDescent="0.25">
      <c r="A103" s="322">
        <v>4090</v>
      </c>
      <c r="B103" s="331" t="s">
        <v>202</v>
      </c>
      <c r="C103" s="324">
        <f>SUM(D103:U103)</f>
        <v>0</v>
      </c>
      <c r="D103" s="325">
        <v>0</v>
      </c>
      <c r="E103" s="325">
        <v>0</v>
      </c>
      <c r="F103" s="325">
        <v>0</v>
      </c>
      <c r="G103" s="325">
        <v>0</v>
      </c>
      <c r="H103" s="325">
        <v>0</v>
      </c>
      <c r="I103" s="325">
        <v>0</v>
      </c>
      <c r="J103" s="325">
        <v>0</v>
      </c>
      <c r="K103" s="325">
        <v>0</v>
      </c>
      <c r="L103" s="325">
        <v>0</v>
      </c>
      <c r="M103" s="325">
        <v>0</v>
      </c>
      <c r="N103" s="325">
        <v>0</v>
      </c>
      <c r="O103" s="325">
        <v>0</v>
      </c>
      <c r="P103" s="325">
        <v>0</v>
      </c>
      <c r="Q103" s="325">
        <v>0</v>
      </c>
      <c r="R103" s="325">
        <v>0</v>
      </c>
      <c r="S103" s="325">
        <v>0</v>
      </c>
      <c r="T103" s="325">
        <v>0</v>
      </c>
      <c r="U103" s="325">
        <v>0</v>
      </c>
      <c r="X103" s="323" t="s">
        <v>51</v>
      </c>
    </row>
    <row r="104" spans="1:28" ht="12.5" x14ac:dyDescent="0.25">
      <c r="A104" s="322">
        <v>4220</v>
      </c>
      <c r="B104" s="331" t="s">
        <v>203</v>
      </c>
      <c r="C104" s="324">
        <f>SUM(D104:U104)</f>
        <v>-174999.99999999997</v>
      </c>
      <c r="D104" s="325">
        <v>-7134.8769417929198</v>
      </c>
      <c r="E104" s="325">
        <v>-29983.451412562583</v>
      </c>
      <c r="F104" s="325">
        <v>-57622.618121743602</v>
      </c>
      <c r="G104" s="325">
        <v>-22325.988933392357</v>
      </c>
      <c r="H104" s="325">
        <v>-40775.641466024776</v>
      </c>
      <c r="I104" s="325">
        <v>-3883.5501630176691</v>
      </c>
      <c r="J104" s="325">
        <v>-7011.5516097101736</v>
      </c>
      <c r="K104" s="325">
        <v>-1175.1688639763647</v>
      </c>
      <c r="L104" s="325">
        <v>-762.41044683449661</v>
      </c>
      <c r="M104" s="325">
        <v>-451.91449326986424</v>
      </c>
      <c r="N104" s="325">
        <v>-29.877912088902285</v>
      </c>
      <c r="O104" s="325">
        <v>0</v>
      </c>
      <c r="P104" s="325">
        <v>-430.37248331556782</v>
      </c>
      <c r="Q104" s="325">
        <v>-195.22051970352044</v>
      </c>
      <c r="R104" s="325">
        <v>-186.13012074607462</v>
      </c>
      <c r="S104" s="325">
        <v>-1627.649376273532</v>
      </c>
      <c r="T104" s="325">
        <v>-657.82059216634218</v>
      </c>
      <c r="U104" s="325">
        <v>-745.75654338122501</v>
      </c>
      <c r="X104" s="323" t="s">
        <v>204</v>
      </c>
    </row>
    <row r="105" spans="1:28" s="210" customFormat="1" ht="12.5" x14ac:dyDescent="0.25">
      <c r="A105" s="332">
        <v>4225</v>
      </c>
      <c r="B105" s="333" t="s">
        <v>205</v>
      </c>
      <c r="C105" s="334">
        <f>SUM(D105:U105)</f>
        <v>-10962171.953630852</v>
      </c>
      <c r="D105" s="335">
        <v>-1337786.551428355</v>
      </c>
      <c r="E105" s="335">
        <v>-3575626.6430005645</v>
      </c>
      <c r="F105" s="335">
        <v>-2995412.694316952</v>
      </c>
      <c r="G105" s="335">
        <v>-1032676.7198163163</v>
      </c>
      <c r="H105" s="335">
        <v>-670817.04724170407</v>
      </c>
      <c r="I105" s="335">
        <v>-202349.76900200962</v>
      </c>
      <c r="J105" s="335">
        <v>-161862.792883224</v>
      </c>
      <c r="K105" s="335">
        <v>-21980.971018440599</v>
      </c>
      <c r="L105" s="335">
        <v>-15000.843507107047</v>
      </c>
      <c r="M105" s="335">
        <v>-9228.7300109289445</v>
      </c>
      <c r="N105" s="335">
        <v>-31047.909330412709</v>
      </c>
      <c r="O105" s="335">
        <v>-516365.48274520959</v>
      </c>
      <c r="P105" s="335">
        <v>-76900.705714878393</v>
      </c>
      <c r="Q105" s="335">
        <v>-9632.8993293822932</v>
      </c>
      <c r="R105" s="335">
        <v>-26534.619701587751</v>
      </c>
      <c r="S105" s="335">
        <v>-191210.09631570481</v>
      </c>
      <c r="T105" s="335">
        <v>-38748.264169252972</v>
      </c>
      <c r="U105" s="335">
        <v>-48989.214098817902</v>
      </c>
      <c r="V105" s="336"/>
      <c r="W105" s="337"/>
      <c r="X105" s="323" t="s">
        <v>28</v>
      </c>
      <c r="Y105" s="337"/>
      <c r="Z105" s="337"/>
      <c r="AA105" s="337"/>
      <c r="AB105" s="337"/>
    </row>
    <row r="106" spans="1:28" s="181" customFormat="1" ht="13" x14ac:dyDescent="0.3">
      <c r="A106" s="322"/>
      <c r="B106" s="331"/>
      <c r="C106" s="319"/>
      <c r="D106" s="338"/>
      <c r="E106" s="338"/>
      <c r="F106" s="338"/>
      <c r="G106" s="338"/>
      <c r="H106" s="338"/>
      <c r="I106" s="338"/>
      <c r="J106" s="338"/>
      <c r="K106" s="338"/>
      <c r="L106" s="338"/>
      <c r="M106" s="338"/>
      <c r="N106" s="338"/>
      <c r="O106" s="338"/>
      <c r="P106" s="338"/>
      <c r="Q106" s="338"/>
      <c r="R106" s="338"/>
      <c r="S106" s="338"/>
      <c r="T106" s="338"/>
      <c r="U106" s="338"/>
      <c r="V106" s="263"/>
      <c r="W106" s="183"/>
      <c r="X106" s="323"/>
      <c r="Y106" s="183"/>
      <c r="Z106" s="183"/>
      <c r="AA106" s="183"/>
      <c r="AB106" s="183"/>
    </row>
    <row r="107" spans="1:28" ht="13" x14ac:dyDescent="0.3">
      <c r="A107" s="266"/>
      <c r="B107" s="362" t="s">
        <v>206</v>
      </c>
      <c r="C107" s="340">
        <f t="shared" ref="C107:U107" si="17">+SUM(C101:C105)</f>
        <v>-11137171.953630852</v>
      </c>
      <c r="D107" s="341">
        <f t="shared" si="17"/>
        <v>-1344921.4283701479</v>
      </c>
      <c r="E107" s="341">
        <f t="shared" si="17"/>
        <v>-3605610.0944131273</v>
      </c>
      <c r="F107" s="341">
        <f t="shared" si="17"/>
        <v>-3053035.3124386957</v>
      </c>
      <c r="G107" s="341">
        <f t="shared" si="17"/>
        <v>-1055002.7087497087</v>
      </c>
      <c r="H107" s="341">
        <f t="shared" si="17"/>
        <v>-711592.68870772887</v>
      </c>
      <c r="I107" s="341">
        <f t="shared" si="17"/>
        <v>-206233.31916502729</v>
      </c>
      <c r="J107" s="341">
        <f t="shared" si="17"/>
        <v>-168874.34449293418</v>
      </c>
      <c r="K107" s="341">
        <f t="shared" si="17"/>
        <v>-23156.139882416963</v>
      </c>
      <c r="L107" s="341">
        <f t="shared" si="17"/>
        <v>-15763.253953941543</v>
      </c>
      <c r="M107" s="341">
        <f t="shared" si="17"/>
        <v>-9680.6445041988081</v>
      </c>
      <c r="N107" s="341">
        <f t="shared" si="17"/>
        <v>-31077.78724250161</v>
      </c>
      <c r="O107" s="341">
        <f t="shared" si="17"/>
        <v>-516365.48274520959</v>
      </c>
      <c r="P107" s="341">
        <f t="shared" si="17"/>
        <v>-77331.078198193965</v>
      </c>
      <c r="Q107" s="341">
        <f t="shared" si="17"/>
        <v>-9828.1198490858133</v>
      </c>
      <c r="R107" s="341">
        <f t="shared" si="17"/>
        <v>-26720.749822333826</v>
      </c>
      <c r="S107" s="341">
        <f t="shared" si="17"/>
        <v>-192837.74569197834</v>
      </c>
      <c r="T107" s="341">
        <f t="shared" si="17"/>
        <v>-39406.084761419312</v>
      </c>
      <c r="U107" s="341">
        <f t="shared" si="17"/>
        <v>-49734.970642199129</v>
      </c>
      <c r="X107" s="323"/>
    </row>
    <row r="108" spans="1:28" ht="12.5" x14ac:dyDescent="0.25">
      <c r="A108" s="266"/>
      <c r="B108" s="265"/>
      <c r="C108" s="319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X108" s="323"/>
    </row>
    <row r="109" spans="1:28" ht="13" x14ac:dyDescent="0.25">
      <c r="A109" s="330"/>
      <c r="B109" s="318" t="s">
        <v>207</v>
      </c>
      <c r="C109" s="319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X109" s="323"/>
    </row>
    <row r="110" spans="1:28" ht="12.5" x14ac:dyDescent="0.25">
      <c r="A110" s="322">
        <v>5065</v>
      </c>
      <c r="B110" s="323" t="s">
        <v>208</v>
      </c>
      <c r="C110" s="319">
        <f>SUM(D110:U110)</f>
        <v>11562101.457821086</v>
      </c>
      <c r="D110" s="325">
        <v>1767920.9764078832</v>
      </c>
      <c r="E110" s="325">
        <v>3949499.5420183069</v>
      </c>
      <c r="F110" s="325">
        <v>3113939.7040817505</v>
      </c>
      <c r="G110" s="325">
        <v>1154179.5341095051</v>
      </c>
      <c r="H110" s="325">
        <v>308142.2365011684</v>
      </c>
      <c r="I110" s="325">
        <v>356828.8011575315</v>
      </c>
      <c r="J110" s="325">
        <v>89198.763419944706</v>
      </c>
      <c r="K110" s="325">
        <v>0</v>
      </c>
      <c r="L110" s="325">
        <v>0</v>
      </c>
      <c r="M110" s="325">
        <v>0</v>
      </c>
      <c r="N110" s="325">
        <v>246065.81378622327</v>
      </c>
      <c r="O110" s="325">
        <v>128010.52702940095</v>
      </c>
      <c r="P110" s="325">
        <v>119146.6172934091</v>
      </c>
      <c r="Q110" s="325">
        <v>26193.928992851765</v>
      </c>
      <c r="R110" s="325">
        <v>7136.5571685895156</v>
      </c>
      <c r="S110" s="325">
        <v>230114.08986454413</v>
      </c>
      <c r="T110" s="325">
        <v>50958.162683660921</v>
      </c>
      <c r="U110" s="325">
        <v>14766.203306314164</v>
      </c>
      <c r="X110" s="323" t="s">
        <v>47</v>
      </c>
    </row>
    <row r="111" spans="1:28" ht="12.5" x14ac:dyDescent="0.25">
      <c r="A111" s="322">
        <v>5070</v>
      </c>
      <c r="B111" s="331" t="s">
        <v>209</v>
      </c>
      <c r="C111" s="319">
        <f>SUM(D111:U111)</f>
        <v>22889214.345598221</v>
      </c>
      <c r="D111" s="325">
        <v>3973544.7277517528</v>
      </c>
      <c r="E111" s="325">
        <v>8788598.8380259555</v>
      </c>
      <c r="F111" s="325">
        <v>6685645.8628285909</v>
      </c>
      <c r="G111" s="325">
        <v>1431945.5000251397</v>
      </c>
      <c r="H111" s="325">
        <v>86157.066939670287</v>
      </c>
      <c r="I111" s="325">
        <v>297242.7635629797</v>
      </c>
      <c r="J111" s="325">
        <v>28107.835090450117</v>
      </c>
      <c r="K111" s="325">
        <v>333062.37344352336</v>
      </c>
      <c r="L111" s="325">
        <v>156502.5301066364</v>
      </c>
      <c r="M111" s="325">
        <v>92765.992231931377</v>
      </c>
      <c r="N111" s="325">
        <v>24017.527270308114</v>
      </c>
      <c r="O111" s="325">
        <v>14675.056364899709</v>
      </c>
      <c r="P111" s="325">
        <v>249575.8839639264</v>
      </c>
      <c r="Q111" s="325">
        <v>22256.104179776434</v>
      </c>
      <c r="R111" s="325">
        <v>3343.0100927952853</v>
      </c>
      <c r="S111" s="325">
        <v>628784.7268577019</v>
      </c>
      <c r="T111" s="325">
        <v>68099.614492406967</v>
      </c>
      <c r="U111" s="325">
        <v>4888.9323697728196</v>
      </c>
      <c r="X111" s="323" t="s">
        <v>210</v>
      </c>
    </row>
    <row r="112" spans="1:28" s="210" customFormat="1" ht="12.5" x14ac:dyDescent="0.25">
      <c r="A112" s="332">
        <v>5075</v>
      </c>
      <c r="B112" s="333" t="s">
        <v>211</v>
      </c>
      <c r="C112" s="334">
        <f>SUM(D112:U112)</f>
        <v>3682917.4896790884</v>
      </c>
      <c r="D112" s="335">
        <v>639350.79434796527</v>
      </c>
      <c r="E112" s="335">
        <v>1414102.0255928389</v>
      </c>
      <c r="F112" s="335">
        <v>1075732.9502988029</v>
      </c>
      <c r="G112" s="335">
        <v>230402.71486312663</v>
      </c>
      <c r="H112" s="335">
        <v>13862.83355560366</v>
      </c>
      <c r="I112" s="335">
        <v>47826.917782224693</v>
      </c>
      <c r="J112" s="335">
        <v>4522.6033488362982</v>
      </c>
      <c r="K112" s="335">
        <v>53590.360149039945</v>
      </c>
      <c r="L112" s="335">
        <v>25181.550428339753</v>
      </c>
      <c r="M112" s="335">
        <v>14926.222022300057</v>
      </c>
      <c r="N112" s="335">
        <v>3864.4651540725658</v>
      </c>
      <c r="O112" s="335">
        <v>2361.2440747102028</v>
      </c>
      <c r="P112" s="335">
        <v>40157.227512250836</v>
      </c>
      <c r="Q112" s="335">
        <v>3581.0488773539523</v>
      </c>
      <c r="R112" s="335">
        <v>537.89658976640112</v>
      </c>
      <c r="S112" s="335">
        <v>101172.64108860331</v>
      </c>
      <c r="T112" s="335">
        <v>10957.355611583978</v>
      </c>
      <c r="U112" s="335">
        <v>786.63838166892606</v>
      </c>
      <c r="V112" s="336"/>
      <c r="W112" s="337"/>
      <c r="X112" s="323" t="s">
        <v>210</v>
      </c>
      <c r="Y112" s="337"/>
      <c r="Z112" s="337"/>
      <c r="AA112" s="337"/>
      <c r="AB112" s="337"/>
    </row>
    <row r="113" spans="1:28" ht="12.5" x14ac:dyDescent="0.25">
      <c r="A113" s="322"/>
      <c r="B113" s="331"/>
      <c r="C113" s="319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X113" s="323"/>
    </row>
    <row r="114" spans="1:28" ht="13" x14ac:dyDescent="0.3">
      <c r="A114" s="266"/>
      <c r="B114" s="362" t="s">
        <v>206</v>
      </c>
      <c r="C114" s="340">
        <f>+SUM(C110:C113)</f>
        <v>38134233.293098398</v>
      </c>
      <c r="D114" s="341">
        <f>+SUM(D110:D113)</f>
        <v>6380816.4985076012</v>
      </c>
      <c r="E114" s="341">
        <f t="shared" ref="E114:U114" si="18">+SUM(E110:E113)</f>
        <v>14152200.405637102</v>
      </c>
      <c r="F114" s="341">
        <f t="shared" si="18"/>
        <v>10875318.517209144</v>
      </c>
      <c r="G114" s="341">
        <f t="shared" si="18"/>
        <v>2816527.7489977716</v>
      </c>
      <c r="H114" s="341">
        <f t="shared" si="18"/>
        <v>408162.13699644234</v>
      </c>
      <c r="I114" s="341">
        <f t="shared" si="18"/>
        <v>701898.48250273592</v>
      </c>
      <c r="J114" s="341">
        <f t="shared" si="18"/>
        <v>121829.20185923112</v>
      </c>
      <c r="K114" s="341">
        <f t="shared" si="18"/>
        <v>386652.73359256331</v>
      </c>
      <c r="L114" s="341">
        <f t="shared" si="18"/>
        <v>181684.08053497615</v>
      </c>
      <c r="M114" s="341">
        <f t="shared" si="18"/>
        <v>107692.21425423144</v>
      </c>
      <c r="N114" s="341">
        <f t="shared" si="18"/>
        <v>273947.80621060397</v>
      </c>
      <c r="O114" s="341">
        <f t="shared" si="18"/>
        <v>145046.82746901087</v>
      </c>
      <c r="P114" s="341">
        <f t="shared" si="18"/>
        <v>408879.72876958636</v>
      </c>
      <c r="Q114" s="341">
        <f t="shared" si="18"/>
        <v>52031.082049982157</v>
      </c>
      <c r="R114" s="341">
        <f t="shared" si="18"/>
        <v>11017.463851151202</v>
      </c>
      <c r="S114" s="341">
        <f t="shared" si="18"/>
        <v>960071.4578108493</v>
      </c>
      <c r="T114" s="341">
        <f t="shared" si="18"/>
        <v>130015.13278765186</v>
      </c>
      <c r="U114" s="341">
        <f t="shared" si="18"/>
        <v>20441.774057755909</v>
      </c>
      <c r="X114" s="323"/>
    </row>
    <row r="115" spans="1:28" ht="12.5" x14ac:dyDescent="0.25">
      <c r="A115" s="266"/>
      <c r="B115" s="265"/>
      <c r="C115" s="319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X115" s="323"/>
    </row>
    <row r="116" spans="1:28" ht="13" x14ac:dyDescent="0.25">
      <c r="A116" s="322"/>
      <c r="B116" s="318" t="s">
        <v>212</v>
      </c>
      <c r="C116" s="319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X116" s="323"/>
    </row>
    <row r="117" spans="1:28" ht="12.5" x14ac:dyDescent="0.25">
      <c r="A117" s="322">
        <v>5175</v>
      </c>
      <c r="B117" s="323" t="s">
        <v>213</v>
      </c>
      <c r="C117" s="319">
        <f>SUM(D117:U117)</f>
        <v>7543725.942152746</v>
      </c>
      <c r="D117" s="325">
        <v>1178805.2265250101</v>
      </c>
      <c r="E117" s="325">
        <v>2633426.9259867552</v>
      </c>
      <c r="F117" s="325">
        <v>2076296.6485717087</v>
      </c>
      <c r="G117" s="325">
        <v>769577.87441433023</v>
      </c>
      <c r="H117" s="325">
        <v>205461.49050096388</v>
      </c>
      <c r="I117" s="325">
        <v>237924.46686944354</v>
      </c>
      <c r="J117" s="325">
        <v>59475.491225089499</v>
      </c>
      <c r="K117" s="325">
        <v>0</v>
      </c>
      <c r="L117" s="325">
        <v>0</v>
      </c>
      <c r="M117" s="325">
        <v>0</v>
      </c>
      <c r="N117" s="325">
        <v>164070.49366521474</v>
      </c>
      <c r="O117" s="325">
        <v>85354.198703542264</v>
      </c>
      <c r="P117" s="325">
        <v>28155.210619964353</v>
      </c>
      <c r="Q117" s="325">
        <v>5606.51568436038</v>
      </c>
      <c r="R117" s="325">
        <v>809.50538672690584</v>
      </c>
      <c r="S117" s="325">
        <v>81627.645343948316</v>
      </c>
      <c r="T117" s="325">
        <v>14296.031527299538</v>
      </c>
      <c r="U117" s="325">
        <v>2838.2171283879156</v>
      </c>
      <c r="X117" s="323">
        <v>1860</v>
      </c>
    </row>
    <row r="118" spans="1:28" ht="12.5" x14ac:dyDescent="0.25">
      <c r="A118" s="266"/>
      <c r="B118" s="265"/>
      <c r="C118" s="319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X118" s="323"/>
    </row>
    <row r="119" spans="1:28" ht="13" x14ac:dyDescent="0.25">
      <c r="A119" s="322"/>
      <c r="B119" s="318" t="s">
        <v>214</v>
      </c>
      <c r="C119" s="319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X119" s="323"/>
    </row>
    <row r="120" spans="1:28" ht="12.5" x14ac:dyDescent="0.25">
      <c r="A120" s="322">
        <v>5310</v>
      </c>
      <c r="B120" s="323" t="s">
        <v>215</v>
      </c>
      <c r="C120" s="319">
        <f>SUM(D120:U120)</f>
        <v>11289223.297461346</v>
      </c>
      <c r="D120" s="343">
        <v>87587.344672365012</v>
      </c>
      <c r="E120" s="343">
        <v>804954.05544866063</v>
      </c>
      <c r="F120" s="343">
        <v>8074370.1818479327</v>
      </c>
      <c r="G120" s="343">
        <v>1533744.8653262795</v>
      </c>
      <c r="H120" s="343">
        <v>418819.09432754049</v>
      </c>
      <c r="I120" s="343">
        <v>147426.44550366176</v>
      </c>
      <c r="J120" s="343">
        <v>89911.013053926261</v>
      </c>
      <c r="K120" s="343">
        <v>0</v>
      </c>
      <c r="L120" s="343">
        <v>0</v>
      </c>
      <c r="M120" s="343">
        <v>0</v>
      </c>
      <c r="N120" s="343">
        <v>0</v>
      </c>
      <c r="O120" s="343">
        <v>0</v>
      </c>
      <c r="P120" s="343">
        <v>2708.4829685471</v>
      </c>
      <c r="Q120" s="343">
        <v>8550.3089791388829</v>
      </c>
      <c r="R120" s="343">
        <v>5576.2884646557932</v>
      </c>
      <c r="S120" s="343">
        <v>13409.646069767503</v>
      </c>
      <c r="T120" s="343">
        <v>21309.38806136321</v>
      </c>
      <c r="U120" s="343">
        <v>80856.182737509007</v>
      </c>
      <c r="X120" s="323" t="s">
        <v>49</v>
      </c>
    </row>
    <row r="121" spans="1:28" ht="12.5" x14ac:dyDescent="0.25">
      <c r="A121" s="322">
        <v>5315</v>
      </c>
      <c r="B121" s="323" t="s">
        <v>216</v>
      </c>
      <c r="C121" s="319">
        <f>SUM(D121:U121)</f>
        <v>48977060.53750436</v>
      </c>
      <c r="D121" s="343">
        <v>9156889.6902383994</v>
      </c>
      <c r="E121" s="343">
        <v>18685441.043604549</v>
      </c>
      <c r="F121" s="343">
        <v>13466003.258708278</v>
      </c>
      <c r="G121" s="343">
        <v>3329516.8568756883</v>
      </c>
      <c r="H121" s="343">
        <v>397277.14473583607</v>
      </c>
      <c r="I121" s="343">
        <v>691139.98532058683</v>
      </c>
      <c r="J121" s="343">
        <v>129607.48161562819</v>
      </c>
      <c r="K121" s="343">
        <v>196030.80012477253</v>
      </c>
      <c r="L121" s="343">
        <v>344786.71155665279</v>
      </c>
      <c r="M121" s="343">
        <v>202719.04222871069</v>
      </c>
      <c r="N121" s="343">
        <v>52757.385157847973</v>
      </c>
      <c r="O121" s="343">
        <v>51424.524031532543</v>
      </c>
      <c r="P121" s="343">
        <v>575498.25798445288</v>
      </c>
      <c r="Q121" s="343">
        <v>51749.227909613975</v>
      </c>
      <c r="R121" s="343">
        <v>15414.88761936115</v>
      </c>
      <c r="S121" s="343">
        <v>1449917.7933639663</v>
      </c>
      <c r="T121" s="343">
        <v>158343.18721992159</v>
      </c>
      <c r="U121" s="343">
        <v>22543.259208556607</v>
      </c>
      <c r="X121" s="323" t="s">
        <v>51</v>
      </c>
    </row>
    <row r="122" spans="1:28" ht="12.5" x14ac:dyDescent="0.25">
      <c r="A122" s="322">
        <v>5320</v>
      </c>
      <c r="B122" s="323" t="s">
        <v>217</v>
      </c>
      <c r="C122" s="319">
        <f>SUM(D122:U122)</f>
        <v>3294577.9928866299</v>
      </c>
      <c r="D122" s="343">
        <v>615963.61491822451</v>
      </c>
      <c r="E122" s="343">
        <v>1256928.083760761</v>
      </c>
      <c r="F122" s="343">
        <v>905828.10608463199</v>
      </c>
      <c r="G122" s="343">
        <v>223969.19789026305</v>
      </c>
      <c r="H122" s="343">
        <v>26723.950432289774</v>
      </c>
      <c r="I122" s="343">
        <v>46491.450500537125</v>
      </c>
      <c r="J122" s="343">
        <v>8718.4071881432919</v>
      </c>
      <c r="K122" s="343">
        <v>13186.55617407827</v>
      </c>
      <c r="L122" s="343">
        <v>23193.035671556048</v>
      </c>
      <c r="M122" s="343">
        <v>13636.459353340306</v>
      </c>
      <c r="N122" s="343">
        <v>3548.8720269398673</v>
      </c>
      <c r="O122" s="343">
        <v>3459.213421745088</v>
      </c>
      <c r="P122" s="343">
        <v>38712.48855876689</v>
      </c>
      <c r="Q122" s="343">
        <v>3481.0555298502254</v>
      </c>
      <c r="R122" s="343">
        <v>1036.9252249158278</v>
      </c>
      <c r="S122" s="343">
        <v>97532.746985780512</v>
      </c>
      <c r="T122" s="343">
        <v>10651.39422850433</v>
      </c>
      <c r="U122" s="343">
        <v>1516.4349363019969</v>
      </c>
      <c r="X122" s="323" t="s">
        <v>51</v>
      </c>
    </row>
    <row r="123" spans="1:28" ht="12.5" x14ac:dyDescent="0.25">
      <c r="A123" s="322">
        <v>5325</v>
      </c>
      <c r="B123" s="323" t="s">
        <v>218</v>
      </c>
      <c r="C123" s="319">
        <f>SUM(D123:U123)</f>
        <v>0</v>
      </c>
      <c r="D123" s="343">
        <v>0</v>
      </c>
      <c r="E123" s="343">
        <v>0</v>
      </c>
      <c r="F123" s="343">
        <v>0</v>
      </c>
      <c r="G123" s="343">
        <v>0</v>
      </c>
      <c r="H123" s="343">
        <v>0</v>
      </c>
      <c r="I123" s="343">
        <v>0</v>
      </c>
      <c r="J123" s="343">
        <v>0</v>
      </c>
      <c r="K123" s="343">
        <v>0</v>
      </c>
      <c r="L123" s="343">
        <v>0</v>
      </c>
      <c r="M123" s="343">
        <v>0</v>
      </c>
      <c r="N123" s="343">
        <v>0</v>
      </c>
      <c r="O123" s="343">
        <v>0</v>
      </c>
      <c r="P123" s="343">
        <v>0</v>
      </c>
      <c r="Q123" s="343">
        <v>0</v>
      </c>
      <c r="R123" s="343">
        <v>0</v>
      </c>
      <c r="S123" s="343">
        <v>0</v>
      </c>
      <c r="T123" s="343">
        <v>0</v>
      </c>
      <c r="U123" s="343">
        <v>0</v>
      </c>
      <c r="X123" s="323" t="s">
        <v>51</v>
      </c>
    </row>
    <row r="124" spans="1:28" s="210" customFormat="1" ht="12.5" x14ac:dyDescent="0.25">
      <c r="A124" s="332">
        <v>5330</v>
      </c>
      <c r="B124" s="344" t="s">
        <v>219</v>
      </c>
      <c r="C124" s="334">
        <f>SUM(D124:U124)</f>
        <v>0</v>
      </c>
      <c r="D124" s="335">
        <v>0</v>
      </c>
      <c r="E124" s="335">
        <v>0</v>
      </c>
      <c r="F124" s="335">
        <v>0</v>
      </c>
      <c r="G124" s="335">
        <v>0</v>
      </c>
      <c r="H124" s="335">
        <v>0</v>
      </c>
      <c r="I124" s="335">
        <v>0</v>
      </c>
      <c r="J124" s="335">
        <v>0</v>
      </c>
      <c r="K124" s="335">
        <v>0</v>
      </c>
      <c r="L124" s="335">
        <v>0</v>
      </c>
      <c r="M124" s="335">
        <v>0</v>
      </c>
      <c r="N124" s="335">
        <v>0</v>
      </c>
      <c r="O124" s="335">
        <v>0</v>
      </c>
      <c r="P124" s="335">
        <v>0</v>
      </c>
      <c r="Q124" s="335">
        <v>0</v>
      </c>
      <c r="R124" s="335">
        <v>0</v>
      </c>
      <c r="S124" s="335">
        <v>0</v>
      </c>
      <c r="T124" s="335">
        <v>0</v>
      </c>
      <c r="U124" s="335">
        <v>0</v>
      </c>
      <c r="V124" s="336"/>
      <c r="W124" s="337"/>
      <c r="X124" s="323" t="s">
        <v>51</v>
      </c>
      <c r="Y124" s="337"/>
      <c r="Z124" s="337"/>
      <c r="AA124" s="337"/>
      <c r="AB124" s="337"/>
    </row>
    <row r="125" spans="1:28" ht="12.5" x14ac:dyDescent="0.25">
      <c r="A125" s="266"/>
      <c r="B125" s="265"/>
      <c r="C125" s="319"/>
      <c r="D125" s="320" t="s">
        <v>220</v>
      </c>
      <c r="E125" s="320" t="s">
        <v>220</v>
      </c>
      <c r="F125" s="320" t="s">
        <v>220</v>
      </c>
      <c r="G125" s="320" t="s">
        <v>220</v>
      </c>
      <c r="H125" s="320" t="s">
        <v>220</v>
      </c>
      <c r="I125" s="320" t="s">
        <v>220</v>
      </c>
      <c r="J125" s="320" t="s">
        <v>220</v>
      </c>
      <c r="K125" s="320" t="s">
        <v>220</v>
      </c>
      <c r="L125" s="320" t="s">
        <v>220</v>
      </c>
      <c r="M125" s="320" t="s">
        <v>220</v>
      </c>
      <c r="N125" s="320" t="s">
        <v>220</v>
      </c>
      <c r="O125" s="320" t="s">
        <v>220</v>
      </c>
      <c r="P125" s="320" t="s">
        <v>220</v>
      </c>
      <c r="Q125" s="320" t="s">
        <v>220</v>
      </c>
      <c r="R125" s="320" t="s">
        <v>220</v>
      </c>
      <c r="S125" s="320" t="s">
        <v>220</v>
      </c>
      <c r="T125" s="320" t="s">
        <v>220</v>
      </c>
      <c r="U125" s="320" t="s">
        <v>220</v>
      </c>
      <c r="X125" s="323"/>
    </row>
    <row r="126" spans="1:28" ht="13.5" thickBot="1" x14ac:dyDescent="0.35">
      <c r="A126" s="322"/>
      <c r="B126" s="362" t="s">
        <v>206</v>
      </c>
      <c r="C126" s="340">
        <f>+SUM(C120:C125)</f>
        <v>63560861.827852339</v>
      </c>
      <c r="D126" s="341">
        <f>+SUM(D120:D125)</f>
        <v>9860440.6498289891</v>
      </c>
      <c r="E126" s="341">
        <f t="shared" ref="E126:U126" si="19">+SUM(E120:E125)</f>
        <v>20747323.182813972</v>
      </c>
      <c r="F126" s="341">
        <f t="shared" si="19"/>
        <v>22446201.546640843</v>
      </c>
      <c r="G126" s="341">
        <f t="shared" si="19"/>
        <v>5087230.9200922307</v>
      </c>
      <c r="H126" s="341">
        <f t="shared" si="19"/>
        <v>842820.1894956663</v>
      </c>
      <c r="I126" s="341">
        <f t="shared" si="19"/>
        <v>885057.88132478576</v>
      </c>
      <c r="J126" s="341">
        <f t="shared" si="19"/>
        <v>228236.90185769775</v>
      </c>
      <c r="K126" s="341">
        <f t="shared" si="19"/>
        <v>209217.35629885079</v>
      </c>
      <c r="L126" s="341">
        <f t="shared" si="19"/>
        <v>367979.74722820881</v>
      </c>
      <c r="M126" s="341">
        <f t="shared" si="19"/>
        <v>216355.50158205099</v>
      </c>
      <c r="N126" s="341">
        <f t="shared" si="19"/>
        <v>56306.257184787843</v>
      </c>
      <c r="O126" s="341">
        <f t="shared" si="19"/>
        <v>54883.73745327763</v>
      </c>
      <c r="P126" s="341">
        <f t="shared" si="19"/>
        <v>616919.22951176693</v>
      </c>
      <c r="Q126" s="341">
        <f t="shared" si="19"/>
        <v>63780.592418603082</v>
      </c>
      <c r="R126" s="341">
        <f t="shared" si="19"/>
        <v>22028.101308932772</v>
      </c>
      <c r="S126" s="341">
        <f t="shared" si="19"/>
        <v>1560860.1864195142</v>
      </c>
      <c r="T126" s="341">
        <f t="shared" si="19"/>
        <v>190303.96950978914</v>
      </c>
      <c r="U126" s="341">
        <f t="shared" si="19"/>
        <v>104915.87688236761</v>
      </c>
      <c r="X126" s="323"/>
    </row>
    <row r="127" spans="1:28" ht="23.25" customHeight="1" thickTop="1" x14ac:dyDescent="0.25">
      <c r="A127" s="322"/>
      <c r="B127" s="345" t="s">
        <v>221</v>
      </c>
      <c r="C127" s="346">
        <f>SUM(C126,C117,C114)</f>
        <v>109238821.06310347</v>
      </c>
      <c r="D127" s="347">
        <f t="shared" ref="D127:U127" si="20">+D126+D117+D114</f>
        <v>17420062.374861602</v>
      </c>
      <c r="E127" s="347">
        <f t="shared" si="20"/>
        <v>37532950.514437832</v>
      </c>
      <c r="F127" s="347">
        <f t="shared" si="20"/>
        <v>35397816.712421693</v>
      </c>
      <c r="G127" s="347">
        <f t="shared" si="20"/>
        <v>8673336.5435043331</v>
      </c>
      <c r="H127" s="347">
        <f t="shared" si="20"/>
        <v>1456443.8169930726</v>
      </c>
      <c r="I127" s="347">
        <f t="shared" si="20"/>
        <v>1824880.8306969653</v>
      </c>
      <c r="J127" s="347">
        <f t="shared" si="20"/>
        <v>409541.59494201839</v>
      </c>
      <c r="K127" s="347">
        <f t="shared" si="20"/>
        <v>595870.08989141416</v>
      </c>
      <c r="L127" s="347">
        <f t="shared" si="20"/>
        <v>549663.82776318491</v>
      </c>
      <c r="M127" s="347">
        <f t="shared" si="20"/>
        <v>324047.71583628241</v>
      </c>
      <c r="N127" s="347">
        <f t="shared" si="20"/>
        <v>494324.55706060654</v>
      </c>
      <c r="O127" s="347">
        <f t="shared" si="20"/>
        <v>285284.76362583076</v>
      </c>
      <c r="P127" s="347">
        <f t="shared" si="20"/>
        <v>1053954.1689013178</v>
      </c>
      <c r="Q127" s="347">
        <f t="shared" si="20"/>
        <v>121418.19015294562</v>
      </c>
      <c r="R127" s="347">
        <f t="shared" si="20"/>
        <v>33855.070546810879</v>
      </c>
      <c r="S127" s="347">
        <f t="shared" si="20"/>
        <v>2602559.289574312</v>
      </c>
      <c r="T127" s="347">
        <f t="shared" si="20"/>
        <v>334615.13382474054</v>
      </c>
      <c r="U127" s="347">
        <f t="shared" si="20"/>
        <v>128195.86806851142</v>
      </c>
      <c r="X127" s="323"/>
    </row>
    <row r="128" spans="1:28" ht="12.5" x14ac:dyDescent="0.25">
      <c r="A128" s="322"/>
      <c r="B128" s="265"/>
      <c r="C128" s="348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X128" s="323"/>
    </row>
    <row r="129" spans="1:28" ht="13" x14ac:dyDescent="0.25">
      <c r="A129" s="322"/>
      <c r="B129" s="327" t="s">
        <v>222</v>
      </c>
      <c r="C129" s="319">
        <f t="shared" ref="C129:C134" si="21">SUM(D129:U129)</f>
        <v>48292622.898894981</v>
      </c>
      <c r="D129" s="360">
        <v>7384258.0728228446</v>
      </c>
      <c r="E129" s="360">
        <v>16496282.50693387</v>
      </c>
      <c r="F129" s="360">
        <v>13006313.463664787</v>
      </c>
      <c r="G129" s="360">
        <v>4820780.8244641293</v>
      </c>
      <c r="H129" s="360">
        <v>1287049.4936287657</v>
      </c>
      <c r="I129" s="360">
        <v>1490403.6949190476</v>
      </c>
      <c r="J129" s="360">
        <v>372565.68458610703</v>
      </c>
      <c r="K129" s="360">
        <v>0</v>
      </c>
      <c r="L129" s="360">
        <v>0</v>
      </c>
      <c r="M129" s="360">
        <v>0</v>
      </c>
      <c r="N129" s="360">
        <v>1027768.4897367451</v>
      </c>
      <c r="O129" s="360">
        <v>534674.78481067368</v>
      </c>
      <c r="P129" s="363">
        <v>497651.97785367887</v>
      </c>
      <c r="Q129" s="363">
        <v>109406.88764122044</v>
      </c>
      <c r="R129" s="363">
        <v>29807.995146588892</v>
      </c>
      <c r="S129" s="363">
        <v>961141.27748236433</v>
      </c>
      <c r="T129" s="363">
        <v>212842.21930416659</v>
      </c>
      <c r="U129" s="363">
        <v>61675.525899997767</v>
      </c>
      <c r="X129" s="323"/>
    </row>
    <row r="130" spans="1:28" ht="30" customHeight="1" x14ac:dyDescent="0.25">
      <c r="A130" s="322"/>
      <c r="B130" s="364" t="s">
        <v>231</v>
      </c>
      <c r="C130" s="365">
        <f t="shared" si="21"/>
        <v>5219134.0224259375</v>
      </c>
      <c r="D130" s="366">
        <f t="shared" ref="D130:U130" si="22">IF(ISERROR(D97/D28*D30),0,D97/D28*D30)</f>
        <v>813391.59969506541</v>
      </c>
      <c r="E130" s="366">
        <f t="shared" si="22"/>
        <v>1824901.3177924226</v>
      </c>
      <c r="F130" s="366">
        <f t="shared" si="22"/>
        <v>1441939.1815671935</v>
      </c>
      <c r="G130" s="366">
        <f t="shared" si="22"/>
        <v>531353.04259490746</v>
      </c>
      <c r="H130" s="366">
        <f t="shared" si="22"/>
        <v>141963.51942200775</v>
      </c>
      <c r="I130" s="366">
        <f t="shared" si="22"/>
        <v>163563.77101517931</v>
      </c>
      <c r="J130" s="366">
        <f t="shared" si="22"/>
        <v>41046.86837265201</v>
      </c>
      <c r="K130" s="366">
        <f t="shared" si="22"/>
        <v>0</v>
      </c>
      <c r="L130" s="366">
        <f t="shared" si="22"/>
        <v>0</v>
      </c>
      <c r="M130" s="366">
        <f t="shared" si="22"/>
        <v>0</v>
      </c>
      <c r="N130" s="366">
        <f t="shared" si="22"/>
        <v>107251.83102137926</v>
      </c>
      <c r="O130" s="366">
        <f t="shared" si="22"/>
        <v>58898.195526931493</v>
      </c>
      <c r="P130" s="366">
        <f t="shared" si="22"/>
        <v>20286.931848474553</v>
      </c>
      <c r="Q130" s="366">
        <f t="shared" si="22"/>
        <v>4034.5935321243528</v>
      </c>
      <c r="R130" s="366">
        <f t="shared" si="22"/>
        <v>644.47704106862852</v>
      </c>
      <c r="S130" s="366">
        <f t="shared" si="22"/>
        <v>57616.61358986306</v>
      </c>
      <c r="T130" s="366">
        <f t="shared" si="22"/>
        <v>10155.01974984048</v>
      </c>
      <c r="U130" s="366">
        <f t="shared" si="22"/>
        <v>2087.059656826847</v>
      </c>
      <c r="X130" s="323"/>
    </row>
    <row r="131" spans="1:28" ht="13" x14ac:dyDescent="0.25">
      <c r="A131" s="322"/>
      <c r="B131" s="349" t="s">
        <v>232</v>
      </c>
      <c r="C131" s="319">
        <f t="shared" si="21"/>
        <v>45136995.600400388</v>
      </c>
      <c r="D131" s="325">
        <f t="shared" ref="D131:U131" si="23">IF(ISERROR(D127/D36*D34),0,D127/D36*D34)</f>
        <v>7039095.9773257505</v>
      </c>
      <c r="E131" s="325">
        <f t="shared" si="23"/>
        <v>15351069.372808345</v>
      </c>
      <c r="F131" s="325">
        <f t="shared" si="23"/>
        <v>14724711.953798415</v>
      </c>
      <c r="G131" s="325">
        <f t="shared" si="23"/>
        <v>3660123.8856724887</v>
      </c>
      <c r="H131" s="325">
        <f t="shared" si="23"/>
        <v>651980.94980401907</v>
      </c>
      <c r="I131" s="325">
        <f t="shared" si="23"/>
        <v>769519.23939824163</v>
      </c>
      <c r="J131" s="325">
        <f t="shared" si="23"/>
        <v>183049.61017389622</v>
      </c>
      <c r="K131" s="325">
        <f t="shared" si="23"/>
        <v>246038.63308102745</v>
      </c>
      <c r="L131" s="325">
        <f t="shared" si="23"/>
        <v>222577.07653587972</v>
      </c>
      <c r="M131" s="325">
        <f t="shared" si="23"/>
        <v>132028.68177484226</v>
      </c>
      <c r="N131" s="325">
        <f t="shared" si="23"/>
        <v>280235.68531942228</v>
      </c>
      <c r="O131" s="325">
        <f t="shared" si="23"/>
        <v>127325.23448150279</v>
      </c>
      <c r="P131" s="325">
        <f t="shared" si="23"/>
        <v>424546.94610225916</v>
      </c>
      <c r="Q131" s="325">
        <f t="shared" si="23"/>
        <v>50654.374214535739</v>
      </c>
      <c r="R131" s="325">
        <f t="shared" si="23"/>
        <v>16073.491455126783</v>
      </c>
      <c r="S131" s="325">
        <f t="shared" si="23"/>
        <v>1060115.1230164848</v>
      </c>
      <c r="T131" s="325">
        <f t="shared" si="23"/>
        <v>140448.30964388917</v>
      </c>
      <c r="U131" s="325">
        <f t="shared" si="23"/>
        <v>57401.055794262349</v>
      </c>
      <c r="X131" s="323"/>
    </row>
    <row r="132" spans="1:28" ht="13" x14ac:dyDescent="0.25">
      <c r="A132" s="322"/>
      <c r="B132" s="349" t="s">
        <v>223</v>
      </c>
      <c r="C132" s="319">
        <f t="shared" si="21"/>
        <v>1713532.1960866034</v>
      </c>
      <c r="D132" s="343">
        <v>267637.62895974045</v>
      </c>
      <c r="E132" s="343">
        <v>597897.02543779777</v>
      </c>
      <c r="F132" s="343">
        <v>471405.36836515093</v>
      </c>
      <c r="G132" s="343">
        <v>174726.06413130651</v>
      </c>
      <c r="H132" s="343">
        <v>46648.271421661819</v>
      </c>
      <c r="I132" s="343">
        <v>54018.712126143742</v>
      </c>
      <c r="J132" s="343">
        <v>13503.40081170405</v>
      </c>
      <c r="K132" s="343">
        <v>0</v>
      </c>
      <c r="L132" s="343">
        <v>0</v>
      </c>
      <c r="M132" s="343">
        <v>0</v>
      </c>
      <c r="N132" s="343">
        <v>37250.800148094306</v>
      </c>
      <c r="O132" s="343">
        <v>19378.939665983857</v>
      </c>
      <c r="P132" s="343">
        <v>6652.4434965118944</v>
      </c>
      <c r="Q132" s="343">
        <v>1326.6458084636581</v>
      </c>
      <c r="R132" s="343">
        <v>212.06798634795095</v>
      </c>
      <c r="S132" s="343">
        <v>18852.562403693413</v>
      </c>
      <c r="T132" s="343">
        <v>3335.9264862351752</v>
      </c>
      <c r="U132" s="343">
        <v>686.33883776827997</v>
      </c>
      <c r="X132" s="323"/>
    </row>
    <row r="133" spans="1:28" ht="13" x14ac:dyDescent="0.25">
      <c r="A133" s="322"/>
      <c r="B133" s="349" t="s">
        <v>224</v>
      </c>
      <c r="C133" s="319">
        <f t="shared" si="21"/>
        <v>10114663.521497501</v>
      </c>
      <c r="D133" s="343">
        <v>1579815.4063294611</v>
      </c>
      <c r="E133" s="343">
        <v>3529275.5202493505</v>
      </c>
      <c r="F133" s="343">
        <v>2782618.6716132769</v>
      </c>
      <c r="G133" s="343">
        <v>1031375.6293345065</v>
      </c>
      <c r="H133" s="343">
        <v>275356.11549475114</v>
      </c>
      <c r="I133" s="343">
        <v>318862.46331899473</v>
      </c>
      <c r="J133" s="343">
        <v>79708.076637388003</v>
      </c>
      <c r="K133" s="343">
        <v>0</v>
      </c>
      <c r="L133" s="343">
        <v>0</v>
      </c>
      <c r="M133" s="343">
        <v>0</v>
      </c>
      <c r="N133" s="343">
        <v>219884.5812556186</v>
      </c>
      <c r="O133" s="343">
        <v>114390.29542163406</v>
      </c>
      <c r="P133" s="343">
        <v>39268.143147040937</v>
      </c>
      <c r="Q133" s="343">
        <v>7830.9447557860412</v>
      </c>
      <c r="R133" s="343">
        <v>1251.7980873016759</v>
      </c>
      <c r="S133" s="343">
        <v>111283.18783089594</v>
      </c>
      <c r="T133" s="343">
        <v>19691.356846273655</v>
      </c>
      <c r="U133" s="343">
        <v>4051.3311752275677</v>
      </c>
      <c r="X133" s="323"/>
    </row>
    <row r="134" spans="1:28" ht="13" x14ac:dyDescent="0.25">
      <c r="A134" s="322"/>
      <c r="B134" s="349" t="s">
        <v>225</v>
      </c>
      <c r="C134" s="319">
        <f t="shared" si="21"/>
        <v>14410358.82768953</v>
      </c>
      <c r="D134" s="343">
        <v>2250762.6515043122</v>
      </c>
      <c r="E134" s="343">
        <v>5028158.034172954</v>
      </c>
      <c r="F134" s="343">
        <v>3964396.1910696751</v>
      </c>
      <c r="G134" s="343">
        <v>1469400.6254638033</v>
      </c>
      <c r="H134" s="343">
        <v>392299.79536586831</v>
      </c>
      <c r="I134" s="343">
        <v>454283.27925508813</v>
      </c>
      <c r="J134" s="343">
        <v>113560.07872812371</v>
      </c>
      <c r="K134" s="343">
        <v>0</v>
      </c>
      <c r="L134" s="343">
        <v>0</v>
      </c>
      <c r="M134" s="343">
        <v>0</v>
      </c>
      <c r="N134" s="343">
        <v>313269.51310196391</v>
      </c>
      <c r="O134" s="343">
        <v>162971.82797308775</v>
      </c>
      <c r="P134" s="343">
        <v>55945.314645737126</v>
      </c>
      <c r="Q134" s="343">
        <v>11156.745219536786</v>
      </c>
      <c r="R134" s="343">
        <v>1783.4364513948624</v>
      </c>
      <c r="S134" s="343">
        <v>158545.132492451</v>
      </c>
      <c r="T134" s="343">
        <v>28054.271637982554</v>
      </c>
      <c r="U134" s="343">
        <v>5771.9306075533086</v>
      </c>
      <c r="X134" s="323"/>
    </row>
    <row r="135" spans="1:28" ht="12.5" x14ac:dyDescent="0.25">
      <c r="A135" s="330"/>
      <c r="B135" s="187"/>
      <c r="C135" s="319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X135" s="323"/>
    </row>
    <row r="136" spans="1:28" s="356" customFormat="1" ht="13.5" thickBot="1" x14ac:dyDescent="0.35">
      <c r="A136" s="350"/>
      <c r="B136" s="351" t="s">
        <v>226</v>
      </c>
      <c r="C136" s="352">
        <f>SUM(D136:U136)</f>
        <v>222988956.17646763</v>
      </c>
      <c r="D136" s="353">
        <f>SUM(D127:D134) +D107</f>
        <v>35410102.283128634</v>
      </c>
      <c r="E136" s="353">
        <f t="shared" ref="E136:U136" si="24">SUM(E127:E134) +E107</f>
        <v>76754924.19741945</v>
      </c>
      <c r="F136" s="353">
        <f t="shared" si="24"/>
        <v>68736166.230061501</v>
      </c>
      <c r="G136" s="353">
        <f t="shared" si="24"/>
        <v>19306093.906415768</v>
      </c>
      <c r="H136" s="353">
        <f t="shared" si="24"/>
        <v>3540149.2734224172</v>
      </c>
      <c r="I136" s="353">
        <f t="shared" si="24"/>
        <v>4869298.6715646321</v>
      </c>
      <c r="J136" s="353">
        <f t="shared" si="24"/>
        <v>1044100.9697589553</v>
      </c>
      <c r="K136" s="353">
        <f t="shared" si="24"/>
        <v>818752.58309002465</v>
      </c>
      <c r="L136" s="353">
        <f t="shared" si="24"/>
        <v>756477.65034512314</v>
      </c>
      <c r="M136" s="353">
        <f t="shared" si="24"/>
        <v>446395.75310692587</v>
      </c>
      <c r="N136" s="353">
        <f t="shared" si="24"/>
        <v>2448907.6704013282</v>
      </c>
      <c r="O136" s="353">
        <f t="shared" si="24"/>
        <v>786558.55876043497</v>
      </c>
      <c r="P136" s="353">
        <f t="shared" si="24"/>
        <v>2020974.8477968262</v>
      </c>
      <c r="Q136" s="353">
        <f t="shared" si="24"/>
        <v>296000.26147552684</v>
      </c>
      <c r="R136" s="353">
        <f t="shared" si="24"/>
        <v>56907.586892305837</v>
      </c>
      <c r="S136" s="353">
        <f t="shared" si="24"/>
        <v>4777275.4406980872</v>
      </c>
      <c r="T136" s="353">
        <f t="shared" si="24"/>
        <v>709736.15273170895</v>
      </c>
      <c r="U136" s="353">
        <f t="shared" si="24"/>
        <v>210134.1393979484</v>
      </c>
      <c r="V136" s="354"/>
      <c r="W136" s="355"/>
      <c r="X136" s="323"/>
      <c r="Y136" s="355"/>
      <c r="Z136" s="355"/>
      <c r="AA136" s="355"/>
      <c r="AB136" s="355"/>
    </row>
    <row r="137" spans="1:28" ht="23.5" thickTop="1" x14ac:dyDescent="0.5">
      <c r="A137" s="475" t="s">
        <v>233</v>
      </c>
      <c r="B137" s="475"/>
      <c r="C137" s="324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X137" s="323"/>
    </row>
    <row r="138" spans="1:28" ht="15.5" x14ac:dyDescent="0.35">
      <c r="A138" s="314" t="s">
        <v>234</v>
      </c>
      <c r="B138" s="367"/>
      <c r="C138" s="324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X138" s="323"/>
    </row>
    <row r="139" spans="1:28" ht="12.5" x14ac:dyDescent="0.25">
      <c r="A139" s="40"/>
      <c r="B139" s="266"/>
      <c r="C139" s="324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X139" s="323"/>
    </row>
    <row r="140" spans="1:28" ht="13" x14ac:dyDescent="0.3">
      <c r="A140" s="299"/>
      <c r="B140" s="299"/>
      <c r="C140" s="292"/>
      <c r="D140" s="268">
        <v>1</v>
      </c>
      <c r="E140" s="268">
        <v>2</v>
      </c>
      <c r="F140" s="268">
        <v>3</v>
      </c>
      <c r="G140" s="268">
        <v>4</v>
      </c>
      <c r="H140" s="268">
        <v>5</v>
      </c>
      <c r="I140" s="268">
        <v>6</v>
      </c>
      <c r="J140" s="268">
        <v>7</v>
      </c>
      <c r="K140" s="268">
        <v>8</v>
      </c>
      <c r="L140" s="268">
        <v>9</v>
      </c>
      <c r="M140" s="268">
        <v>10</v>
      </c>
      <c r="N140" s="268">
        <v>11</v>
      </c>
      <c r="O140" s="268">
        <v>12</v>
      </c>
      <c r="P140" s="268">
        <v>13</v>
      </c>
      <c r="Q140" s="268">
        <v>14</v>
      </c>
      <c r="R140" s="268">
        <v>15</v>
      </c>
      <c r="S140" s="268">
        <v>16</v>
      </c>
      <c r="T140" s="268">
        <v>17</v>
      </c>
      <c r="U140" s="268">
        <v>18</v>
      </c>
      <c r="X140" s="323"/>
    </row>
    <row r="141" spans="1:28" ht="26" x14ac:dyDescent="0.2">
      <c r="A141" s="316" t="s">
        <v>192</v>
      </c>
      <c r="B141" s="316" t="s">
        <v>193</v>
      </c>
      <c r="C141" s="295" t="s">
        <v>5</v>
      </c>
      <c r="D141" s="296" t="s">
        <v>24</v>
      </c>
      <c r="E141" s="296" t="s">
        <v>62</v>
      </c>
      <c r="F141" s="296" t="s">
        <v>64</v>
      </c>
      <c r="G141" s="296" t="s">
        <v>322</v>
      </c>
      <c r="H141" s="296" t="s">
        <v>323</v>
      </c>
      <c r="I141" s="296" t="s">
        <v>324</v>
      </c>
      <c r="J141" s="296" t="s">
        <v>325</v>
      </c>
      <c r="K141" s="296" t="s">
        <v>326</v>
      </c>
      <c r="L141" s="296" t="s">
        <v>327</v>
      </c>
      <c r="M141" s="296" t="s">
        <v>328</v>
      </c>
      <c r="N141" s="296" t="s">
        <v>329</v>
      </c>
      <c r="O141" s="296" t="s">
        <v>330</v>
      </c>
      <c r="P141" s="271" t="s">
        <v>65</v>
      </c>
      <c r="Q141" s="271" t="s">
        <v>331</v>
      </c>
      <c r="R141" s="271" t="s">
        <v>332</v>
      </c>
      <c r="S141" s="271" t="s">
        <v>66</v>
      </c>
      <c r="T141" s="271" t="s">
        <v>333</v>
      </c>
      <c r="U141" s="271" t="s">
        <v>334</v>
      </c>
      <c r="X141" s="323"/>
    </row>
    <row r="142" spans="1:28" ht="13" x14ac:dyDescent="0.3">
      <c r="A142" s="368"/>
      <c r="B142" s="369" t="s">
        <v>194</v>
      </c>
      <c r="C142" s="324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X142" s="323"/>
    </row>
    <row r="143" spans="1:28" ht="25" x14ac:dyDescent="0.25">
      <c r="A143" s="370">
        <v>1565</v>
      </c>
      <c r="B143" s="322" t="s">
        <v>235</v>
      </c>
      <c r="C143" s="319">
        <f t="shared" ref="C143:C162" si="25">SUM(D143:U143)</f>
        <v>0</v>
      </c>
      <c r="D143" s="325">
        <v>0</v>
      </c>
      <c r="E143" s="325">
        <v>0</v>
      </c>
      <c r="F143" s="325">
        <v>0</v>
      </c>
      <c r="G143" s="325">
        <v>0</v>
      </c>
      <c r="H143" s="325">
        <v>0</v>
      </c>
      <c r="I143" s="325">
        <v>0</v>
      </c>
      <c r="J143" s="325">
        <v>0</v>
      </c>
      <c r="K143" s="325">
        <v>0</v>
      </c>
      <c r="L143" s="325">
        <v>0</v>
      </c>
      <c r="M143" s="325">
        <v>0</v>
      </c>
      <c r="N143" s="325">
        <v>0</v>
      </c>
      <c r="O143" s="325">
        <v>0</v>
      </c>
      <c r="P143" s="325">
        <v>0</v>
      </c>
      <c r="Q143" s="325">
        <v>0</v>
      </c>
      <c r="R143" s="325">
        <v>0</v>
      </c>
      <c r="S143" s="325">
        <v>0</v>
      </c>
      <c r="T143" s="325">
        <v>0</v>
      </c>
      <c r="U143" s="325">
        <v>0</v>
      </c>
      <c r="X143" s="323" t="s">
        <v>236</v>
      </c>
    </row>
    <row r="144" spans="1:28" ht="12.5" x14ac:dyDescent="0.25">
      <c r="A144" s="371">
        <v>1830</v>
      </c>
      <c r="B144" s="322" t="s">
        <v>237</v>
      </c>
      <c r="C144" s="319">
        <f t="shared" si="25"/>
        <v>0</v>
      </c>
      <c r="D144" s="325">
        <v>0</v>
      </c>
      <c r="E144" s="325">
        <v>0</v>
      </c>
      <c r="F144" s="325">
        <v>0</v>
      </c>
      <c r="G144" s="325">
        <v>0</v>
      </c>
      <c r="H144" s="325">
        <v>0</v>
      </c>
      <c r="I144" s="325">
        <v>0</v>
      </c>
      <c r="J144" s="325">
        <v>0</v>
      </c>
      <c r="K144" s="325">
        <v>0</v>
      </c>
      <c r="L144" s="325">
        <v>0</v>
      </c>
      <c r="M144" s="325">
        <v>0</v>
      </c>
      <c r="N144" s="325">
        <v>0</v>
      </c>
      <c r="O144" s="325">
        <v>0</v>
      </c>
      <c r="P144" s="325">
        <v>0</v>
      </c>
      <c r="Q144" s="325">
        <v>0</v>
      </c>
      <c r="R144" s="325">
        <v>0</v>
      </c>
      <c r="S144" s="325">
        <v>0</v>
      </c>
      <c r="T144" s="325">
        <v>0</v>
      </c>
      <c r="U144" s="325">
        <v>0</v>
      </c>
      <c r="X144" s="323" t="e">
        <v>#N/A</v>
      </c>
    </row>
    <row r="145" spans="1:24" ht="25" x14ac:dyDescent="0.25">
      <c r="A145" s="371" t="s">
        <v>238</v>
      </c>
      <c r="B145" s="322" t="s">
        <v>239</v>
      </c>
      <c r="C145" s="319">
        <f t="shared" si="25"/>
        <v>0</v>
      </c>
      <c r="D145" s="360">
        <v>0</v>
      </c>
      <c r="E145" s="360">
        <v>0</v>
      </c>
      <c r="F145" s="360">
        <v>0</v>
      </c>
      <c r="G145" s="360">
        <v>0</v>
      </c>
      <c r="H145" s="360">
        <v>0</v>
      </c>
      <c r="I145" s="360">
        <v>0</v>
      </c>
      <c r="J145" s="360">
        <v>0</v>
      </c>
      <c r="K145" s="360">
        <v>0</v>
      </c>
      <c r="L145" s="360">
        <v>0</v>
      </c>
      <c r="M145" s="360">
        <v>0</v>
      </c>
      <c r="N145" s="360">
        <v>0</v>
      </c>
      <c r="O145" s="360">
        <v>0</v>
      </c>
      <c r="P145" s="363">
        <v>0</v>
      </c>
      <c r="Q145" s="363">
        <v>0</v>
      </c>
      <c r="R145" s="363">
        <v>0</v>
      </c>
      <c r="S145" s="363">
        <v>0</v>
      </c>
      <c r="T145" s="363">
        <v>0</v>
      </c>
      <c r="U145" s="363">
        <v>0</v>
      </c>
      <c r="X145" s="323" t="s">
        <v>240</v>
      </c>
    </row>
    <row r="146" spans="1:24" ht="12.5" x14ac:dyDescent="0.25">
      <c r="A146" s="371" t="s">
        <v>241</v>
      </c>
      <c r="B146" s="322" t="s">
        <v>242</v>
      </c>
      <c r="C146" s="319">
        <f t="shared" si="25"/>
        <v>804264011.22427619</v>
      </c>
      <c r="D146" s="360">
        <v>51690436.813940749</v>
      </c>
      <c r="E146" s="360">
        <v>217222765.48689374</v>
      </c>
      <c r="F146" s="360">
        <v>417461762.18245322</v>
      </c>
      <c r="G146" s="360">
        <v>56170349.547214076</v>
      </c>
      <c r="H146" s="360">
        <v>3511981.4100723434</v>
      </c>
      <c r="I146" s="360">
        <v>4858259.2498048265</v>
      </c>
      <c r="J146" s="360">
        <v>520794.05577301624</v>
      </c>
      <c r="K146" s="360">
        <v>8513810.736281069</v>
      </c>
      <c r="L146" s="360">
        <v>5523477.0480125099</v>
      </c>
      <c r="M146" s="360">
        <v>3274009.8743454898</v>
      </c>
      <c r="N146" s="360">
        <v>427175.61784369941</v>
      </c>
      <c r="O146" s="360">
        <v>609546.2618770228</v>
      </c>
      <c r="P146" s="363">
        <v>8808334.7015086077</v>
      </c>
      <c r="Q146" s="363">
        <v>785489.4136945178</v>
      </c>
      <c r="R146" s="363">
        <v>117985.56551288581</v>
      </c>
      <c r="S146" s="363">
        <v>22191832.96636083</v>
      </c>
      <c r="T146" s="363">
        <v>2403454.1637826194</v>
      </c>
      <c r="U146" s="363">
        <v>172546.12890491853</v>
      </c>
      <c r="X146" s="323" t="s">
        <v>243</v>
      </c>
    </row>
    <row r="147" spans="1:24" ht="12.5" x14ac:dyDescent="0.25">
      <c r="A147" s="371" t="s">
        <v>244</v>
      </c>
      <c r="B147" s="322" t="s">
        <v>245</v>
      </c>
      <c r="C147" s="319">
        <f t="shared" si="25"/>
        <v>596401465.69950891</v>
      </c>
      <c r="D147" s="360">
        <v>38432268.225461572</v>
      </c>
      <c r="E147" s="360">
        <v>161506926.66650689</v>
      </c>
      <c r="F147" s="360">
        <v>310386280.46073842</v>
      </c>
      <c r="G147" s="360">
        <v>41763120.475976631</v>
      </c>
      <c r="H147" s="360">
        <v>0</v>
      </c>
      <c r="I147" s="360">
        <v>3612156.0216138982</v>
      </c>
      <c r="J147" s="360">
        <v>0</v>
      </c>
      <c r="K147" s="360">
        <v>8739821.802042596</v>
      </c>
      <c r="L147" s="360">
        <v>4106750.9684721082</v>
      </c>
      <c r="M147" s="360">
        <v>2434253.4793538498</v>
      </c>
      <c r="N147" s="360">
        <v>0</v>
      </c>
      <c r="O147" s="360">
        <v>0</v>
      </c>
      <c r="P147" s="325">
        <v>6549069.861540053</v>
      </c>
      <c r="Q147" s="325">
        <v>584017.88988609612</v>
      </c>
      <c r="R147" s="325">
        <v>0</v>
      </c>
      <c r="S147" s="325">
        <v>16499811.755272308</v>
      </c>
      <c r="T147" s="325">
        <v>1786988.0926443269</v>
      </c>
      <c r="U147" s="325">
        <v>0</v>
      </c>
      <c r="X147" s="323" t="s">
        <v>246</v>
      </c>
    </row>
    <row r="148" spans="1:24" ht="12.5" x14ac:dyDescent="0.25">
      <c r="A148" s="371">
        <v>1835</v>
      </c>
      <c r="B148" s="322" t="s">
        <v>247</v>
      </c>
      <c r="C148" s="319">
        <f t="shared" si="25"/>
        <v>0</v>
      </c>
      <c r="D148" s="372">
        <v>0</v>
      </c>
      <c r="E148" s="372">
        <v>0</v>
      </c>
      <c r="F148" s="372">
        <v>0</v>
      </c>
      <c r="G148" s="372">
        <v>0</v>
      </c>
      <c r="H148" s="372">
        <v>0</v>
      </c>
      <c r="I148" s="372">
        <v>0</v>
      </c>
      <c r="J148" s="372">
        <v>0</v>
      </c>
      <c r="K148" s="372">
        <v>0</v>
      </c>
      <c r="L148" s="372">
        <v>0</v>
      </c>
      <c r="M148" s="372">
        <v>0</v>
      </c>
      <c r="N148" s="372">
        <v>0</v>
      </c>
      <c r="O148" s="372">
        <v>0</v>
      </c>
      <c r="P148" s="343">
        <v>0</v>
      </c>
      <c r="Q148" s="343">
        <v>0</v>
      </c>
      <c r="R148" s="343">
        <v>0</v>
      </c>
      <c r="S148" s="343">
        <v>0</v>
      </c>
      <c r="T148" s="343">
        <v>0</v>
      </c>
      <c r="U148" s="343">
        <v>0</v>
      </c>
      <c r="X148" s="323" t="e">
        <v>#N/A</v>
      </c>
    </row>
    <row r="149" spans="1:24" ht="25" x14ac:dyDescent="0.25">
      <c r="A149" s="371" t="s">
        <v>248</v>
      </c>
      <c r="B149" s="322" t="s">
        <v>249</v>
      </c>
      <c r="C149" s="319">
        <f t="shared" si="25"/>
        <v>0</v>
      </c>
      <c r="D149" s="372">
        <v>0</v>
      </c>
      <c r="E149" s="372">
        <v>0</v>
      </c>
      <c r="F149" s="372">
        <v>0</v>
      </c>
      <c r="G149" s="372">
        <v>0</v>
      </c>
      <c r="H149" s="372">
        <v>0</v>
      </c>
      <c r="I149" s="372">
        <v>0</v>
      </c>
      <c r="J149" s="372">
        <v>0</v>
      </c>
      <c r="K149" s="372">
        <v>0</v>
      </c>
      <c r="L149" s="372">
        <v>0</v>
      </c>
      <c r="M149" s="372">
        <v>0</v>
      </c>
      <c r="N149" s="372">
        <v>0</v>
      </c>
      <c r="O149" s="372">
        <v>0</v>
      </c>
      <c r="P149" s="373">
        <v>0</v>
      </c>
      <c r="Q149" s="373">
        <v>0</v>
      </c>
      <c r="R149" s="373">
        <v>0</v>
      </c>
      <c r="S149" s="373">
        <v>0</v>
      </c>
      <c r="T149" s="373">
        <v>0</v>
      </c>
      <c r="U149" s="373">
        <v>0</v>
      </c>
      <c r="X149" s="323" t="s">
        <v>240</v>
      </c>
    </row>
    <row r="150" spans="1:24" ht="12.5" x14ac:dyDescent="0.25">
      <c r="A150" s="371" t="s">
        <v>250</v>
      </c>
      <c r="B150" s="322" t="s">
        <v>251</v>
      </c>
      <c r="C150" s="319">
        <f t="shared" si="25"/>
        <v>721996764.98230231</v>
      </c>
      <c r="D150" s="372">
        <v>46403081.126777194</v>
      </c>
      <c r="E150" s="372">
        <v>195003297.14282343</v>
      </c>
      <c r="F150" s="372">
        <v>374760075.78746766</v>
      </c>
      <c r="G150" s="372">
        <v>50424748.708175912</v>
      </c>
      <c r="H150" s="372">
        <v>3152744.8466709163</v>
      </c>
      <c r="I150" s="372">
        <v>4361313.4652947849</v>
      </c>
      <c r="J150" s="372">
        <v>467522.62720018229</v>
      </c>
      <c r="K150" s="372">
        <v>7642942.7693891879</v>
      </c>
      <c r="L150" s="372">
        <v>4958486.8954268787</v>
      </c>
      <c r="M150" s="372">
        <v>2939115.1472751703</v>
      </c>
      <c r="N150" s="372">
        <v>383480.3122583857</v>
      </c>
      <c r="O150" s="372">
        <v>547196.47160681256</v>
      </c>
      <c r="P150" s="373">
        <v>7907340.2149249483</v>
      </c>
      <c r="Q150" s="373">
        <v>705142.59957000683</v>
      </c>
      <c r="R150" s="373">
        <v>105916.9569022981</v>
      </c>
      <c r="S150" s="373">
        <v>19921855.742805496</v>
      </c>
      <c r="T150" s="373">
        <v>2157607.5850923485</v>
      </c>
      <c r="U150" s="373">
        <v>154896.58264073552</v>
      </c>
      <c r="X150" s="323" t="s">
        <v>243</v>
      </c>
    </row>
    <row r="151" spans="1:24" ht="12.5" x14ac:dyDescent="0.25">
      <c r="A151" s="371" t="s">
        <v>252</v>
      </c>
      <c r="B151" s="322" t="s">
        <v>253</v>
      </c>
      <c r="C151" s="319">
        <f t="shared" si="25"/>
        <v>104428356.10568346</v>
      </c>
      <c r="D151" s="372">
        <v>6729390.8935826924</v>
      </c>
      <c r="E151" s="372">
        <v>28279445.6778921</v>
      </c>
      <c r="F151" s="372">
        <v>54347835.963574879</v>
      </c>
      <c r="G151" s="372">
        <v>7312614.5188704571</v>
      </c>
      <c r="H151" s="372">
        <v>0</v>
      </c>
      <c r="I151" s="372">
        <v>632479.18898381689</v>
      </c>
      <c r="J151" s="372">
        <v>0</v>
      </c>
      <c r="K151" s="372">
        <v>1530320.2220897428</v>
      </c>
      <c r="L151" s="372">
        <v>719081.48661231401</v>
      </c>
      <c r="M151" s="372">
        <v>426231.49642214604</v>
      </c>
      <c r="N151" s="372">
        <v>0</v>
      </c>
      <c r="O151" s="372">
        <v>0</v>
      </c>
      <c r="P151" s="343">
        <v>1146725.2161423839</v>
      </c>
      <c r="Q151" s="343">
        <v>102260.02396822297</v>
      </c>
      <c r="R151" s="343">
        <v>0</v>
      </c>
      <c r="S151" s="343">
        <v>2889074.4184127478</v>
      </c>
      <c r="T151" s="343">
        <v>312896.99913195829</v>
      </c>
      <c r="U151" s="343">
        <v>0</v>
      </c>
      <c r="X151" s="323" t="s">
        <v>246</v>
      </c>
    </row>
    <row r="152" spans="1:24" ht="12.5" x14ac:dyDescent="0.25">
      <c r="A152" s="371">
        <v>1840</v>
      </c>
      <c r="B152" s="322" t="s">
        <v>254</v>
      </c>
      <c r="C152" s="319">
        <f t="shared" si="25"/>
        <v>0</v>
      </c>
      <c r="D152" s="372">
        <v>0</v>
      </c>
      <c r="E152" s="372">
        <v>0</v>
      </c>
      <c r="F152" s="372">
        <v>0</v>
      </c>
      <c r="G152" s="372">
        <v>0</v>
      </c>
      <c r="H152" s="372">
        <v>0</v>
      </c>
      <c r="I152" s="372">
        <v>0</v>
      </c>
      <c r="J152" s="372">
        <v>0</v>
      </c>
      <c r="K152" s="372">
        <v>0</v>
      </c>
      <c r="L152" s="372">
        <v>0</v>
      </c>
      <c r="M152" s="372">
        <v>0</v>
      </c>
      <c r="N152" s="372">
        <v>0</v>
      </c>
      <c r="O152" s="372">
        <v>0</v>
      </c>
      <c r="P152" s="343">
        <v>0</v>
      </c>
      <c r="Q152" s="343">
        <v>0</v>
      </c>
      <c r="R152" s="343">
        <v>0</v>
      </c>
      <c r="S152" s="343">
        <v>0</v>
      </c>
      <c r="T152" s="343">
        <v>0</v>
      </c>
      <c r="U152" s="343">
        <v>0</v>
      </c>
      <c r="X152" s="323" t="e">
        <v>#N/A</v>
      </c>
    </row>
    <row r="153" spans="1:24" ht="12.5" x14ac:dyDescent="0.25">
      <c r="A153" s="371" t="s">
        <v>255</v>
      </c>
      <c r="B153" s="322" t="s">
        <v>256</v>
      </c>
      <c r="C153" s="319">
        <f t="shared" si="25"/>
        <v>0</v>
      </c>
      <c r="D153" s="372">
        <v>0</v>
      </c>
      <c r="E153" s="372">
        <v>0</v>
      </c>
      <c r="F153" s="372">
        <v>0</v>
      </c>
      <c r="G153" s="372">
        <v>0</v>
      </c>
      <c r="H153" s="372">
        <v>0</v>
      </c>
      <c r="I153" s="372">
        <v>0</v>
      </c>
      <c r="J153" s="372">
        <v>0</v>
      </c>
      <c r="K153" s="372">
        <v>0</v>
      </c>
      <c r="L153" s="372">
        <v>0</v>
      </c>
      <c r="M153" s="372">
        <v>0</v>
      </c>
      <c r="N153" s="372">
        <v>0</v>
      </c>
      <c r="O153" s="372">
        <v>0</v>
      </c>
      <c r="P153" s="343">
        <v>0</v>
      </c>
      <c r="Q153" s="343">
        <v>0</v>
      </c>
      <c r="R153" s="343">
        <v>0</v>
      </c>
      <c r="S153" s="343">
        <v>0</v>
      </c>
      <c r="T153" s="343">
        <v>0</v>
      </c>
      <c r="U153" s="343">
        <v>0</v>
      </c>
      <c r="X153" s="323" t="s">
        <v>240</v>
      </c>
    </row>
    <row r="154" spans="1:24" ht="12.5" x14ac:dyDescent="0.25">
      <c r="A154" s="371" t="s">
        <v>257</v>
      </c>
      <c r="B154" s="322" t="s">
        <v>258</v>
      </c>
      <c r="C154" s="319">
        <f t="shared" si="25"/>
        <v>14412862.206571486</v>
      </c>
      <c r="D154" s="372">
        <v>927024.2071406584</v>
      </c>
      <c r="E154" s="372">
        <v>3895706.3310031802</v>
      </c>
      <c r="F154" s="372">
        <v>7486823.152447395</v>
      </c>
      <c r="G154" s="372">
        <v>1007367.6479316636</v>
      </c>
      <c r="H154" s="372">
        <v>62984.412259541903</v>
      </c>
      <c r="I154" s="372">
        <v>87128.765139772397</v>
      </c>
      <c r="J154" s="372">
        <v>9340.0003249022957</v>
      </c>
      <c r="K154" s="372">
        <v>152687.98512876948</v>
      </c>
      <c r="L154" s="372">
        <v>99058.882971413899</v>
      </c>
      <c r="M154" s="372">
        <v>58716.594306613806</v>
      </c>
      <c r="N154" s="372">
        <v>7661.0329269760741</v>
      </c>
      <c r="O154" s="372">
        <v>0</v>
      </c>
      <c r="P154" s="343">
        <v>157970.02301000763</v>
      </c>
      <c r="Q154" s="343">
        <v>14087.087396234896</v>
      </c>
      <c r="R154" s="343">
        <v>2115.9711943878747</v>
      </c>
      <c r="S154" s="343">
        <v>397991.72977950674</v>
      </c>
      <c r="T154" s="343">
        <v>43103.914919492345</v>
      </c>
      <c r="U154" s="343">
        <v>3094.4686909694046</v>
      </c>
      <c r="X154" s="323" t="s">
        <v>243</v>
      </c>
    </row>
    <row r="155" spans="1:24" ht="12.5" x14ac:dyDescent="0.25">
      <c r="A155" s="371" t="s">
        <v>259</v>
      </c>
      <c r="B155" s="322" t="s">
        <v>260</v>
      </c>
      <c r="C155" s="319">
        <f t="shared" si="25"/>
        <v>0</v>
      </c>
      <c r="D155" s="372">
        <v>0</v>
      </c>
      <c r="E155" s="372">
        <v>0</v>
      </c>
      <c r="F155" s="372">
        <v>0</v>
      </c>
      <c r="G155" s="372">
        <v>0</v>
      </c>
      <c r="H155" s="372">
        <v>0</v>
      </c>
      <c r="I155" s="372">
        <v>0</v>
      </c>
      <c r="J155" s="372">
        <v>0</v>
      </c>
      <c r="K155" s="372">
        <v>0</v>
      </c>
      <c r="L155" s="372">
        <v>0</v>
      </c>
      <c r="M155" s="372">
        <v>0</v>
      </c>
      <c r="N155" s="372">
        <v>0</v>
      </c>
      <c r="O155" s="372">
        <v>0</v>
      </c>
      <c r="P155" s="343">
        <v>0</v>
      </c>
      <c r="Q155" s="343">
        <v>0</v>
      </c>
      <c r="R155" s="343">
        <v>0</v>
      </c>
      <c r="S155" s="343">
        <v>0</v>
      </c>
      <c r="T155" s="343">
        <v>0</v>
      </c>
      <c r="U155" s="343">
        <v>0</v>
      </c>
      <c r="X155" s="323" t="s">
        <v>246</v>
      </c>
    </row>
    <row r="156" spans="1:24" ht="12.5" x14ac:dyDescent="0.25">
      <c r="A156" s="371">
        <v>1845</v>
      </c>
      <c r="B156" s="322" t="s">
        <v>261</v>
      </c>
      <c r="C156" s="319">
        <f t="shared" si="25"/>
        <v>0</v>
      </c>
      <c r="D156" s="372">
        <v>0</v>
      </c>
      <c r="E156" s="372">
        <v>0</v>
      </c>
      <c r="F156" s="372">
        <v>0</v>
      </c>
      <c r="G156" s="372">
        <v>0</v>
      </c>
      <c r="H156" s="372">
        <v>0</v>
      </c>
      <c r="I156" s="372">
        <v>0</v>
      </c>
      <c r="J156" s="372">
        <v>0</v>
      </c>
      <c r="K156" s="372">
        <v>0</v>
      </c>
      <c r="L156" s="372">
        <v>0</v>
      </c>
      <c r="M156" s="372">
        <v>0</v>
      </c>
      <c r="N156" s="372">
        <v>0</v>
      </c>
      <c r="O156" s="372">
        <v>0</v>
      </c>
      <c r="P156" s="343">
        <v>0</v>
      </c>
      <c r="Q156" s="343">
        <v>0</v>
      </c>
      <c r="R156" s="343">
        <v>0</v>
      </c>
      <c r="S156" s="343">
        <v>0</v>
      </c>
      <c r="T156" s="343">
        <v>0</v>
      </c>
      <c r="U156" s="343">
        <v>0</v>
      </c>
      <c r="X156" s="323" t="e">
        <v>#N/A</v>
      </c>
    </row>
    <row r="157" spans="1:24" ht="25" x14ac:dyDescent="0.25">
      <c r="A157" s="371" t="s">
        <v>262</v>
      </c>
      <c r="B157" s="322" t="s">
        <v>263</v>
      </c>
      <c r="C157" s="319">
        <f t="shared" si="25"/>
        <v>0</v>
      </c>
      <c r="D157" s="372">
        <v>0</v>
      </c>
      <c r="E157" s="372">
        <v>0</v>
      </c>
      <c r="F157" s="372">
        <v>0</v>
      </c>
      <c r="G157" s="372">
        <v>0</v>
      </c>
      <c r="H157" s="372">
        <v>0</v>
      </c>
      <c r="I157" s="372">
        <v>0</v>
      </c>
      <c r="J157" s="372">
        <v>0</v>
      </c>
      <c r="K157" s="372">
        <v>0</v>
      </c>
      <c r="L157" s="372">
        <v>0</v>
      </c>
      <c r="M157" s="372">
        <v>0</v>
      </c>
      <c r="N157" s="372">
        <v>0</v>
      </c>
      <c r="O157" s="372">
        <v>0</v>
      </c>
      <c r="P157" s="343">
        <v>0</v>
      </c>
      <c r="Q157" s="343">
        <v>0</v>
      </c>
      <c r="R157" s="343">
        <v>0</v>
      </c>
      <c r="S157" s="343">
        <v>0</v>
      </c>
      <c r="T157" s="343">
        <v>0</v>
      </c>
      <c r="U157" s="343">
        <v>0</v>
      </c>
      <c r="X157" s="323" t="s">
        <v>240</v>
      </c>
    </row>
    <row r="158" spans="1:24" ht="12.5" x14ac:dyDescent="0.25">
      <c r="A158" s="371" t="s">
        <v>264</v>
      </c>
      <c r="B158" s="322" t="s">
        <v>265</v>
      </c>
      <c r="C158" s="319">
        <f t="shared" si="25"/>
        <v>227364651.87642169</v>
      </c>
      <c r="D158" s="372">
        <v>14623919.462815011</v>
      </c>
      <c r="E158" s="372">
        <v>61455240.539069191</v>
      </c>
      <c r="F158" s="372">
        <v>118105544.56979457</v>
      </c>
      <c r="G158" s="372">
        <v>15891346.999704381</v>
      </c>
      <c r="H158" s="372">
        <v>993586.75340019772</v>
      </c>
      <c r="I158" s="372">
        <v>1374466.8526279652</v>
      </c>
      <c r="J158" s="372">
        <v>147339.63954979295</v>
      </c>
      <c r="K158" s="372">
        <v>2408671.5106931622</v>
      </c>
      <c r="L158" s="372">
        <v>1562665.9104389192</v>
      </c>
      <c r="M158" s="372">
        <v>926261.40682906273</v>
      </c>
      <c r="N158" s="372">
        <v>120853.72492228023</v>
      </c>
      <c r="O158" s="372">
        <v>0</v>
      </c>
      <c r="P158" s="343">
        <v>2491996.2998192403</v>
      </c>
      <c r="Q158" s="343">
        <v>222225.51467517141</v>
      </c>
      <c r="R158" s="343">
        <v>33379.702594615883</v>
      </c>
      <c r="S158" s="343">
        <v>6278367.8768367218</v>
      </c>
      <c r="T158" s="343">
        <v>679969.49320120935</v>
      </c>
      <c r="U158" s="343">
        <v>48815.619450240352</v>
      </c>
      <c r="X158" s="323" t="s">
        <v>243</v>
      </c>
    </row>
    <row r="159" spans="1:24" ht="12.5" x14ac:dyDescent="0.25">
      <c r="A159" s="371" t="s">
        <v>266</v>
      </c>
      <c r="B159" s="322" t="s">
        <v>267</v>
      </c>
      <c r="C159" s="319">
        <f t="shared" si="25"/>
        <v>0</v>
      </c>
      <c r="D159" s="372">
        <v>0</v>
      </c>
      <c r="E159" s="372">
        <v>0</v>
      </c>
      <c r="F159" s="372">
        <v>0</v>
      </c>
      <c r="G159" s="372">
        <v>0</v>
      </c>
      <c r="H159" s="372">
        <v>0</v>
      </c>
      <c r="I159" s="372">
        <v>0</v>
      </c>
      <c r="J159" s="372">
        <v>0</v>
      </c>
      <c r="K159" s="372">
        <v>0</v>
      </c>
      <c r="L159" s="372">
        <v>0</v>
      </c>
      <c r="M159" s="372">
        <v>0</v>
      </c>
      <c r="N159" s="372">
        <v>0</v>
      </c>
      <c r="O159" s="372">
        <v>0</v>
      </c>
      <c r="P159" s="343">
        <v>0</v>
      </c>
      <c r="Q159" s="343">
        <v>0</v>
      </c>
      <c r="R159" s="343">
        <v>0</v>
      </c>
      <c r="S159" s="343">
        <v>0</v>
      </c>
      <c r="T159" s="343">
        <v>0</v>
      </c>
      <c r="U159" s="343">
        <v>0</v>
      </c>
      <c r="X159" s="323" t="s">
        <v>246</v>
      </c>
    </row>
    <row r="160" spans="1:24" ht="12.5" x14ac:dyDescent="0.25">
      <c r="A160" s="371">
        <v>1850</v>
      </c>
      <c r="B160" s="322" t="s">
        <v>268</v>
      </c>
      <c r="C160" s="319">
        <f t="shared" si="25"/>
        <v>1683967952.5913785</v>
      </c>
      <c r="D160" s="372">
        <v>108402195.15479007</v>
      </c>
      <c r="E160" s="372">
        <v>455547023.15889084</v>
      </c>
      <c r="F160" s="372">
        <v>875476668.47264981</v>
      </c>
      <c r="G160" s="372">
        <v>117797209.09395939</v>
      </c>
      <c r="H160" s="372">
        <v>6660988.0842580497</v>
      </c>
      <c r="I160" s="372">
        <v>10188460.376250334</v>
      </c>
      <c r="J160" s="372">
        <v>949118.21537258488</v>
      </c>
      <c r="K160" s="372">
        <v>17854671.576239806</v>
      </c>
      <c r="L160" s="372">
        <v>11583516.677308733</v>
      </c>
      <c r="M160" s="372">
        <v>6866064.1931698946</v>
      </c>
      <c r="N160" s="372">
        <v>453943.5344858187</v>
      </c>
      <c r="O160" s="372">
        <v>0</v>
      </c>
      <c r="P160" s="373">
        <v>18472330.205654748</v>
      </c>
      <c r="Q160" s="373">
        <v>1647282.9785096806</v>
      </c>
      <c r="R160" s="373">
        <v>192819.02466053079</v>
      </c>
      <c r="S160" s="373">
        <v>46539428.883548468</v>
      </c>
      <c r="T160" s="373">
        <v>5040385.0957144471</v>
      </c>
      <c r="U160" s="373">
        <v>295847.86591528385</v>
      </c>
      <c r="V160" s="372"/>
      <c r="X160" s="323" t="s">
        <v>269</v>
      </c>
    </row>
    <row r="161" spans="1:28" ht="12.5" x14ac:dyDescent="0.25">
      <c r="A161" s="371">
        <v>1855</v>
      </c>
      <c r="B161" s="322" t="s">
        <v>270</v>
      </c>
      <c r="C161" s="319">
        <f t="shared" si="25"/>
        <v>851432394.04279912</v>
      </c>
      <c r="D161" s="372">
        <v>88090218.615710407</v>
      </c>
      <c r="E161" s="372">
        <v>292254012.22758764</v>
      </c>
      <c r="F161" s="372">
        <v>444645810.72704947</v>
      </c>
      <c r="G161" s="372">
        <v>0</v>
      </c>
      <c r="H161" s="372">
        <v>0</v>
      </c>
      <c r="I161" s="372">
        <v>0</v>
      </c>
      <c r="J161" s="372">
        <v>0</v>
      </c>
      <c r="K161" s="372">
        <v>0</v>
      </c>
      <c r="L161" s="372">
        <v>0</v>
      </c>
      <c r="M161" s="372">
        <v>0</v>
      </c>
      <c r="N161" s="372">
        <v>0</v>
      </c>
      <c r="O161" s="372">
        <v>0</v>
      </c>
      <c r="P161" s="343">
        <v>5532892.0865150951</v>
      </c>
      <c r="Q161" s="343">
        <v>0</v>
      </c>
      <c r="R161" s="343">
        <v>0</v>
      </c>
      <c r="S161" s="343">
        <v>20909460.385936491</v>
      </c>
      <c r="T161" s="343">
        <v>0</v>
      </c>
      <c r="U161" s="343">
        <v>0</v>
      </c>
      <c r="X161" s="323" t="s">
        <v>45</v>
      </c>
    </row>
    <row r="162" spans="1:28" s="181" customFormat="1" ht="12.5" x14ac:dyDescent="0.25">
      <c r="A162" s="371">
        <v>1860</v>
      </c>
      <c r="B162" s="322" t="s">
        <v>195</v>
      </c>
      <c r="C162" s="319">
        <f t="shared" si="25"/>
        <v>688090726.53126025</v>
      </c>
      <c r="D162" s="372">
        <v>105213575.0187066</v>
      </c>
      <c r="E162" s="372">
        <v>235044988.94220915</v>
      </c>
      <c r="F162" s="372">
        <v>185318650.00256997</v>
      </c>
      <c r="G162" s="372">
        <v>68688225.671614796</v>
      </c>
      <c r="H162" s="372">
        <v>18338345.85888629</v>
      </c>
      <c r="I162" s="372">
        <v>21235809.937446747</v>
      </c>
      <c r="J162" s="372">
        <v>5308450.3843202246</v>
      </c>
      <c r="K162" s="372">
        <v>0</v>
      </c>
      <c r="L162" s="372">
        <v>0</v>
      </c>
      <c r="M162" s="372">
        <v>0</v>
      </c>
      <c r="N162" s="372">
        <v>14644016.505160149</v>
      </c>
      <c r="O162" s="372">
        <v>7618239.3718511397</v>
      </c>
      <c r="P162" s="373">
        <v>7090725.0516909054</v>
      </c>
      <c r="Q162" s="373">
        <v>1558868.8351465357</v>
      </c>
      <c r="R162" s="373">
        <v>424715.07666496927</v>
      </c>
      <c r="S162" s="373">
        <v>13694687.930010043</v>
      </c>
      <c r="T162" s="373">
        <v>3032652.7847565091</v>
      </c>
      <c r="U162" s="373">
        <v>878775.16022634774</v>
      </c>
      <c r="V162" s="263"/>
      <c r="W162" s="183"/>
      <c r="X162" s="323" t="s">
        <v>47</v>
      </c>
      <c r="Y162" s="183"/>
      <c r="Z162" s="183"/>
      <c r="AA162" s="183"/>
      <c r="AB162" s="183"/>
    </row>
    <row r="163" spans="1:28" s="181" customFormat="1" ht="12.5" x14ac:dyDescent="0.25">
      <c r="A163" s="371">
        <v>9999</v>
      </c>
      <c r="B163" s="322" t="s">
        <v>271</v>
      </c>
      <c r="C163" s="319"/>
      <c r="D163" s="372"/>
      <c r="E163" s="372"/>
      <c r="F163" s="372"/>
      <c r="G163" s="372"/>
      <c r="H163" s="372"/>
      <c r="I163" s="372"/>
      <c r="J163" s="372"/>
      <c r="K163" s="372"/>
      <c r="L163" s="372"/>
      <c r="M163" s="372"/>
      <c r="N163" s="372"/>
      <c r="O163" s="372"/>
      <c r="P163" s="373"/>
      <c r="Q163" s="373"/>
      <c r="R163" s="373"/>
      <c r="S163" s="373"/>
      <c r="T163" s="373"/>
      <c r="U163" s="373"/>
      <c r="V163" s="263"/>
      <c r="W163" s="183"/>
      <c r="X163" s="323"/>
      <c r="Y163" s="183"/>
      <c r="Z163" s="183"/>
      <c r="AA163" s="183"/>
      <c r="AB163" s="183"/>
    </row>
    <row r="164" spans="1:28" ht="12.5" x14ac:dyDescent="0.25">
      <c r="A164" s="40"/>
      <c r="B164" s="266"/>
      <c r="C164" s="324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X164" s="323"/>
    </row>
    <row r="165" spans="1:28" ht="13" x14ac:dyDescent="0.3">
      <c r="A165" s="40"/>
      <c r="B165" s="374" t="s">
        <v>206</v>
      </c>
      <c r="C165" s="375">
        <f>SUM(D165:U165)</f>
        <v>5692359185.2602015</v>
      </c>
      <c r="D165" s="341">
        <f t="shared" ref="D165:U165" si="26">+SUM(D143:D164)</f>
        <v>460512109.51892501</v>
      </c>
      <c r="E165" s="341">
        <f t="shared" si="26"/>
        <v>1650209406.1728764</v>
      </c>
      <c r="F165" s="341">
        <f t="shared" si="26"/>
        <v>2787989451.3187456</v>
      </c>
      <c r="G165" s="341">
        <f t="shared" si="26"/>
        <v>359054982.66344726</v>
      </c>
      <c r="H165" s="341">
        <f t="shared" si="26"/>
        <v>32720631.365547337</v>
      </c>
      <c r="I165" s="341">
        <f t="shared" si="26"/>
        <v>46350073.857162148</v>
      </c>
      <c r="J165" s="341">
        <f t="shared" si="26"/>
        <v>7402564.9225407038</v>
      </c>
      <c r="K165" s="341">
        <f t="shared" si="26"/>
        <v>46842926.60186433</v>
      </c>
      <c r="L165" s="341">
        <f t="shared" si="26"/>
        <v>28553037.869242877</v>
      </c>
      <c r="M165" s="341">
        <f t="shared" si="26"/>
        <v>16924652.191702228</v>
      </c>
      <c r="N165" s="341">
        <f t="shared" si="26"/>
        <v>16037130.727597309</v>
      </c>
      <c r="O165" s="341">
        <f t="shared" si="26"/>
        <v>8774982.1053349748</v>
      </c>
      <c r="P165" s="341">
        <f t="shared" si="26"/>
        <v>58157383.660805985</v>
      </c>
      <c r="Q165" s="341">
        <f t="shared" si="26"/>
        <v>5619374.3428464662</v>
      </c>
      <c r="R165" s="341">
        <f t="shared" si="26"/>
        <v>876932.29752968764</v>
      </c>
      <c r="S165" s="341">
        <f t="shared" si="26"/>
        <v>149322511.68896261</v>
      </c>
      <c r="T165" s="341">
        <f t="shared" si="26"/>
        <v>15457058.12924291</v>
      </c>
      <c r="U165" s="341">
        <f t="shared" si="26"/>
        <v>1553975.8258284954</v>
      </c>
      <c r="X165" s="323"/>
    </row>
    <row r="166" spans="1:28" ht="12.5" x14ac:dyDescent="0.25">
      <c r="A166" s="40"/>
      <c r="B166" s="266"/>
      <c r="C166" s="348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X166" s="323"/>
    </row>
    <row r="167" spans="1:28" ht="13" x14ac:dyDescent="0.3">
      <c r="A167" s="331"/>
      <c r="B167" s="369" t="s">
        <v>196</v>
      </c>
      <c r="C167" s="324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X167" s="323"/>
    </row>
    <row r="168" spans="1:28" ht="25.5" x14ac:dyDescent="0.3">
      <c r="A168" s="331"/>
      <c r="B168" s="322" t="s">
        <v>272</v>
      </c>
      <c r="C168" s="319">
        <f>SUM(D168:U168)</f>
        <v>-2502004359.6195168</v>
      </c>
      <c r="D168" s="325">
        <v>-209398663.15707839</v>
      </c>
      <c r="E168" s="325">
        <v>-733964903.6497134</v>
      </c>
      <c r="F168" s="325">
        <v>-1211352771.8565776</v>
      </c>
      <c r="G168" s="325">
        <v>-147707277.10748038</v>
      </c>
      <c r="H168" s="325">
        <v>-17932358.295019817</v>
      </c>
      <c r="I168" s="325">
        <v>-20217353.057894733</v>
      </c>
      <c r="J168" s="325">
        <v>-4823316.0401067873</v>
      </c>
      <c r="K168" s="325">
        <v>-18329921.201710608</v>
      </c>
      <c r="L168" s="325">
        <v>-11202413.186075091</v>
      </c>
      <c r="M168" s="325">
        <v>-6688250.5599835105</v>
      </c>
      <c r="N168" s="325">
        <v>-7074298.1364543512</v>
      </c>
      <c r="O168" s="325">
        <v>-13734173.361637009</v>
      </c>
      <c r="P168" s="326">
        <v>-24604968.335396364</v>
      </c>
      <c r="Q168" s="326">
        <v>-2353035.7660508682</v>
      </c>
      <c r="R168" s="326">
        <v>-583250.86333350057</v>
      </c>
      <c r="S168" s="326">
        <v>-64541574.362267107</v>
      </c>
      <c r="T168" s="326">
        <v>-6419169.3891690578</v>
      </c>
      <c r="U168" s="326">
        <v>-1076661.2935677227</v>
      </c>
      <c r="V168" s="326"/>
      <c r="X168" s="323"/>
    </row>
    <row r="169" spans="1:28" ht="13" x14ac:dyDescent="0.25">
      <c r="A169" s="322"/>
      <c r="B169" s="327" t="s">
        <v>273</v>
      </c>
      <c r="C169" s="324">
        <f>SUM(D169:U169)</f>
        <v>3190354825.6406856</v>
      </c>
      <c r="D169" s="57">
        <f>IF(ISERROR(D165+D168), "-", D165+D168)</f>
        <v>251113446.36184663</v>
      </c>
      <c r="E169" s="57">
        <f t="shared" ref="E169:U169" si="27">IF(ISERROR(E165+E168), "-", E165+E168)</f>
        <v>916244502.52316296</v>
      </c>
      <c r="F169" s="57">
        <f t="shared" si="27"/>
        <v>1576636679.462168</v>
      </c>
      <c r="G169" s="57">
        <f t="shared" si="27"/>
        <v>211347705.55596688</v>
      </c>
      <c r="H169" s="57">
        <f t="shared" si="27"/>
        <v>14788273.07052752</v>
      </c>
      <c r="I169" s="57">
        <f t="shared" si="27"/>
        <v>26132720.799267415</v>
      </c>
      <c r="J169" s="57">
        <f t="shared" si="27"/>
        <v>2579248.8824339164</v>
      </c>
      <c r="K169" s="57">
        <f t="shared" si="27"/>
        <v>28513005.400153723</v>
      </c>
      <c r="L169" s="57">
        <f t="shared" si="27"/>
        <v>17350624.683167785</v>
      </c>
      <c r="M169" s="57">
        <f t="shared" si="27"/>
        <v>10236401.631718718</v>
      </c>
      <c r="N169" s="57">
        <f t="shared" si="27"/>
        <v>8962832.591142958</v>
      </c>
      <c r="O169" s="57">
        <f t="shared" si="27"/>
        <v>-4959191.2563020345</v>
      </c>
      <c r="P169" s="57">
        <f t="shared" si="27"/>
        <v>33552415.325409621</v>
      </c>
      <c r="Q169" s="57">
        <f t="shared" si="27"/>
        <v>3266338.576795598</v>
      </c>
      <c r="R169" s="57">
        <f t="shared" si="27"/>
        <v>293681.43419618707</v>
      </c>
      <c r="S169" s="57">
        <f t="shared" si="27"/>
        <v>84780937.326695502</v>
      </c>
      <c r="T169" s="57">
        <f t="shared" si="27"/>
        <v>9037888.7400738522</v>
      </c>
      <c r="U169" s="57">
        <f t="shared" si="27"/>
        <v>477314.53226077277</v>
      </c>
      <c r="X169" s="323"/>
    </row>
    <row r="170" spans="1:28" ht="13" x14ac:dyDescent="0.25">
      <c r="A170" s="322"/>
      <c r="B170" s="327" t="s">
        <v>229</v>
      </c>
      <c r="C170" s="324">
        <f>SUM(D170:U170)</f>
        <v>170179087.3958123</v>
      </c>
      <c r="D170" s="57">
        <f t="shared" ref="D170:U170" si="28">IF(ISERROR(D169/D32*D28),0,D169/D32*D28)</f>
        <v>13234500.695462251</v>
      </c>
      <c r="E170" s="57">
        <f t="shared" si="28"/>
        <v>48496395.111779839</v>
      </c>
      <c r="F170" s="57">
        <f t="shared" si="28"/>
        <v>83631354.059629053</v>
      </c>
      <c r="G170" s="57">
        <f t="shared" si="28"/>
        <v>11145719.22571242</v>
      </c>
      <c r="H170" s="57">
        <f t="shared" si="28"/>
        <v>780447.59543703729</v>
      </c>
      <c r="I170" s="57">
        <f t="shared" si="28"/>
        <v>1372184.7894541151</v>
      </c>
      <c r="J170" s="57">
        <f t="shared" si="28"/>
        <v>135961.26744651687</v>
      </c>
      <c r="K170" s="57">
        <f t="shared" si="28"/>
        <v>1513345.2698086859</v>
      </c>
      <c r="L170" s="57">
        <f t="shared" si="28"/>
        <v>5777460.7574158311</v>
      </c>
      <c r="M170" s="57">
        <f t="shared" si="28"/>
        <v>544787.09858000476</v>
      </c>
      <c r="N170" s="57">
        <f t="shared" si="28"/>
        <v>447506.63372944383</v>
      </c>
      <c r="O170" s="57">
        <f t="shared" si="28"/>
        <v>-261377.3315910199</v>
      </c>
      <c r="P170" s="57">
        <f t="shared" si="28"/>
        <v>654423.974298927</v>
      </c>
      <c r="Q170" s="57">
        <f t="shared" si="28"/>
        <v>57631.656238843585</v>
      </c>
      <c r="R170" s="57">
        <f t="shared" si="28"/>
        <v>3038.0572412237539</v>
      </c>
      <c r="S170" s="57">
        <f t="shared" si="28"/>
        <v>2431663.5787637308</v>
      </c>
      <c r="T170" s="57">
        <f t="shared" si="28"/>
        <v>206316.87950423892</v>
      </c>
      <c r="U170" s="57">
        <f t="shared" si="28"/>
        <v>7728.0769011422972</v>
      </c>
      <c r="X170" s="323"/>
    </row>
    <row r="171" spans="1:28" ht="13" x14ac:dyDescent="0.25">
      <c r="A171" s="322"/>
      <c r="B171" s="327" t="s">
        <v>274</v>
      </c>
      <c r="C171" s="324">
        <f>SUM(D171:U171)</f>
        <v>3360533913.0364981</v>
      </c>
      <c r="D171" s="57">
        <f>SUM(D169:D170)</f>
        <v>264347947.05730888</v>
      </c>
      <c r="E171" s="57">
        <f t="shared" ref="E171:U171" si="29">SUM(E169:E170)</f>
        <v>964740897.63494277</v>
      </c>
      <c r="F171" s="57">
        <f t="shared" si="29"/>
        <v>1660268033.5217969</v>
      </c>
      <c r="G171" s="57">
        <f t="shared" si="29"/>
        <v>222493424.7816793</v>
      </c>
      <c r="H171" s="57">
        <f t="shared" si="29"/>
        <v>15568720.665964557</v>
      </c>
      <c r="I171" s="57">
        <f t="shared" si="29"/>
        <v>27504905.588721529</v>
      </c>
      <c r="J171" s="57">
        <f t="shared" si="29"/>
        <v>2715210.1498804335</v>
      </c>
      <c r="K171" s="57">
        <f t="shared" si="29"/>
        <v>30026350.66996241</v>
      </c>
      <c r="L171" s="57">
        <f t="shared" si="29"/>
        <v>23128085.440583616</v>
      </c>
      <c r="M171" s="57">
        <f t="shared" si="29"/>
        <v>10781188.730298722</v>
      </c>
      <c r="N171" s="57">
        <f t="shared" si="29"/>
        <v>9410339.224872401</v>
      </c>
      <c r="O171" s="57">
        <f t="shared" si="29"/>
        <v>-5220568.5878930548</v>
      </c>
      <c r="P171" s="57">
        <f t="shared" si="29"/>
        <v>34206839.299708545</v>
      </c>
      <c r="Q171" s="57">
        <f t="shared" si="29"/>
        <v>3323970.2330344417</v>
      </c>
      <c r="R171" s="57">
        <f t="shared" si="29"/>
        <v>296719.49143741082</v>
      </c>
      <c r="S171" s="57">
        <f t="shared" si="29"/>
        <v>87212600.905459225</v>
      </c>
      <c r="T171" s="57">
        <f t="shared" si="29"/>
        <v>9244205.6195780914</v>
      </c>
      <c r="U171" s="57">
        <f t="shared" si="29"/>
        <v>485042.60916191508</v>
      </c>
      <c r="X171" s="323"/>
    </row>
    <row r="172" spans="1:28" ht="12.5" x14ac:dyDescent="0.25">
      <c r="A172" s="40"/>
      <c r="B172" s="266"/>
      <c r="C172" s="319"/>
      <c r="D172" s="320"/>
      <c r="E172" s="320"/>
      <c r="F172" s="320"/>
      <c r="G172" s="320"/>
      <c r="H172" s="320"/>
      <c r="I172" s="320"/>
      <c r="J172" s="320"/>
      <c r="K172" s="320"/>
      <c r="L172" s="320"/>
      <c r="M172" s="320"/>
      <c r="N172" s="320"/>
      <c r="O172" s="320"/>
      <c r="P172" s="320"/>
      <c r="Q172" s="320"/>
      <c r="R172" s="320"/>
      <c r="S172" s="320"/>
      <c r="T172" s="320"/>
      <c r="U172" s="320"/>
      <c r="X172" s="323"/>
    </row>
    <row r="173" spans="1:28" ht="13" x14ac:dyDescent="0.3">
      <c r="A173" s="376"/>
      <c r="B173" s="369" t="s">
        <v>199</v>
      </c>
      <c r="C173" s="319"/>
      <c r="D173" s="320"/>
      <c r="E173" s="320"/>
      <c r="F173" s="320"/>
      <c r="G173" s="320"/>
      <c r="H173" s="320"/>
      <c r="I173" s="320"/>
      <c r="J173" s="320"/>
      <c r="K173" s="320"/>
      <c r="L173" s="320"/>
      <c r="M173" s="320"/>
      <c r="N173" s="320"/>
      <c r="O173" s="320"/>
      <c r="P173" s="320"/>
      <c r="Q173" s="320"/>
      <c r="R173" s="320"/>
      <c r="S173" s="320"/>
      <c r="T173" s="320"/>
      <c r="U173" s="320"/>
      <c r="X173" s="323"/>
    </row>
    <row r="174" spans="1:28" ht="12.5" x14ac:dyDescent="0.25">
      <c r="A174" s="331">
        <v>4082</v>
      </c>
      <c r="B174" s="322" t="s">
        <v>200</v>
      </c>
      <c r="C174" s="319">
        <f t="shared" ref="C174:C182" si="30">SUM(D174:U174)</f>
        <v>0</v>
      </c>
      <c r="D174" s="325">
        <f t="shared" ref="D174:U176" si="31">D101</f>
        <v>0</v>
      </c>
      <c r="E174" s="325">
        <f t="shared" si="31"/>
        <v>0</v>
      </c>
      <c r="F174" s="325">
        <f t="shared" si="31"/>
        <v>0</v>
      </c>
      <c r="G174" s="325">
        <f t="shared" si="31"/>
        <v>0</v>
      </c>
      <c r="H174" s="325">
        <f t="shared" si="31"/>
        <v>0</v>
      </c>
      <c r="I174" s="325">
        <f t="shared" si="31"/>
        <v>0</v>
      </c>
      <c r="J174" s="325">
        <f t="shared" si="31"/>
        <v>0</v>
      </c>
      <c r="K174" s="325">
        <f t="shared" si="31"/>
        <v>0</v>
      </c>
      <c r="L174" s="325">
        <f t="shared" si="31"/>
        <v>0</v>
      </c>
      <c r="M174" s="325">
        <f t="shared" si="31"/>
        <v>0</v>
      </c>
      <c r="N174" s="325">
        <f t="shared" si="31"/>
        <v>0</v>
      </c>
      <c r="O174" s="325">
        <f t="shared" si="31"/>
        <v>0</v>
      </c>
      <c r="P174" s="325">
        <f t="shared" si="31"/>
        <v>0</v>
      </c>
      <c r="Q174" s="325">
        <f t="shared" si="31"/>
        <v>0</v>
      </c>
      <c r="R174" s="325">
        <f t="shared" si="31"/>
        <v>0</v>
      </c>
      <c r="S174" s="325">
        <f t="shared" si="31"/>
        <v>0</v>
      </c>
      <c r="T174" s="325">
        <f t="shared" si="31"/>
        <v>0</v>
      </c>
      <c r="U174" s="325">
        <f t="shared" si="31"/>
        <v>0</v>
      </c>
      <c r="X174" s="323" t="s">
        <v>51</v>
      </c>
    </row>
    <row r="175" spans="1:28" ht="12.5" x14ac:dyDescent="0.25">
      <c r="A175" s="331">
        <v>4084</v>
      </c>
      <c r="B175" s="322" t="s">
        <v>201</v>
      </c>
      <c r="C175" s="319">
        <f t="shared" si="30"/>
        <v>0</v>
      </c>
      <c r="D175" s="325">
        <f t="shared" si="31"/>
        <v>0</v>
      </c>
      <c r="E175" s="325">
        <f t="shared" si="31"/>
        <v>0</v>
      </c>
      <c r="F175" s="325">
        <f t="shared" si="31"/>
        <v>0</v>
      </c>
      <c r="G175" s="325">
        <f t="shared" si="31"/>
        <v>0</v>
      </c>
      <c r="H175" s="325">
        <f t="shared" si="31"/>
        <v>0</v>
      </c>
      <c r="I175" s="325">
        <f t="shared" si="31"/>
        <v>0</v>
      </c>
      <c r="J175" s="325">
        <f t="shared" si="31"/>
        <v>0</v>
      </c>
      <c r="K175" s="325">
        <f t="shared" si="31"/>
        <v>0</v>
      </c>
      <c r="L175" s="325">
        <f t="shared" si="31"/>
        <v>0</v>
      </c>
      <c r="M175" s="325">
        <f t="shared" si="31"/>
        <v>0</v>
      </c>
      <c r="N175" s="325">
        <f t="shared" si="31"/>
        <v>0</v>
      </c>
      <c r="O175" s="325">
        <f t="shared" si="31"/>
        <v>0</v>
      </c>
      <c r="P175" s="325">
        <f t="shared" si="31"/>
        <v>0</v>
      </c>
      <c r="Q175" s="325">
        <f t="shared" si="31"/>
        <v>0</v>
      </c>
      <c r="R175" s="325">
        <f t="shared" si="31"/>
        <v>0</v>
      </c>
      <c r="S175" s="325">
        <f t="shared" si="31"/>
        <v>0</v>
      </c>
      <c r="T175" s="325">
        <f t="shared" si="31"/>
        <v>0</v>
      </c>
      <c r="U175" s="325">
        <f t="shared" si="31"/>
        <v>0</v>
      </c>
      <c r="X175" s="323" t="s">
        <v>51</v>
      </c>
    </row>
    <row r="176" spans="1:28" ht="12.5" x14ac:dyDescent="0.25">
      <c r="A176" s="331">
        <v>4090</v>
      </c>
      <c r="B176" s="322" t="s">
        <v>202</v>
      </c>
      <c r="C176" s="319">
        <f t="shared" si="30"/>
        <v>0</v>
      </c>
      <c r="D176" s="325">
        <f t="shared" si="31"/>
        <v>0</v>
      </c>
      <c r="E176" s="325">
        <f t="shared" si="31"/>
        <v>0</v>
      </c>
      <c r="F176" s="325">
        <f t="shared" si="31"/>
        <v>0</v>
      </c>
      <c r="G176" s="325">
        <f t="shared" si="31"/>
        <v>0</v>
      </c>
      <c r="H176" s="325">
        <f t="shared" si="31"/>
        <v>0</v>
      </c>
      <c r="I176" s="325">
        <f t="shared" si="31"/>
        <v>0</v>
      </c>
      <c r="J176" s="325">
        <f t="shared" si="31"/>
        <v>0</v>
      </c>
      <c r="K176" s="325">
        <f t="shared" si="31"/>
        <v>0</v>
      </c>
      <c r="L176" s="325">
        <f t="shared" si="31"/>
        <v>0</v>
      </c>
      <c r="M176" s="325">
        <f t="shared" si="31"/>
        <v>0</v>
      </c>
      <c r="N176" s="325">
        <f t="shared" si="31"/>
        <v>0</v>
      </c>
      <c r="O176" s="325">
        <f t="shared" si="31"/>
        <v>0</v>
      </c>
      <c r="P176" s="325">
        <f t="shared" si="31"/>
        <v>0</v>
      </c>
      <c r="Q176" s="325">
        <f t="shared" si="31"/>
        <v>0</v>
      </c>
      <c r="R176" s="325">
        <f t="shared" si="31"/>
        <v>0</v>
      </c>
      <c r="S176" s="325">
        <f t="shared" si="31"/>
        <v>0</v>
      </c>
      <c r="T176" s="325">
        <f t="shared" si="31"/>
        <v>0</v>
      </c>
      <c r="U176" s="325">
        <f t="shared" si="31"/>
        <v>0</v>
      </c>
      <c r="X176" s="323" t="s">
        <v>51</v>
      </c>
    </row>
    <row r="177" spans="1:28" ht="12.5" x14ac:dyDescent="0.25">
      <c r="A177" s="331">
        <v>4220</v>
      </c>
      <c r="B177" s="322" t="s">
        <v>203</v>
      </c>
      <c r="C177" s="319">
        <f t="shared" si="30"/>
        <v>-174999.99999999997</v>
      </c>
      <c r="D177" s="325">
        <v>-7134.8769417929198</v>
      </c>
      <c r="E177" s="325">
        <v>-29983.451412562583</v>
      </c>
      <c r="F177" s="325">
        <v>-57622.618121743602</v>
      </c>
      <c r="G177" s="325">
        <v>-22325.988933392357</v>
      </c>
      <c r="H177" s="325">
        <v>-40775.641466024776</v>
      </c>
      <c r="I177" s="325">
        <v>-3883.5501630176691</v>
      </c>
      <c r="J177" s="325">
        <v>-7011.5516097101736</v>
      </c>
      <c r="K177" s="325">
        <v>-1175.1688639763647</v>
      </c>
      <c r="L177" s="325">
        <v>-762.41044683449661</v>
      </c>
      <c r="M177" s="325">
        <v>-451.91449326986424</v>
      </c>
      <c r="N177" s="325">
        <v>-29.877912088902285</v>
      </c>
      <c r="O177" s="325">
        <v>0</v>
      </c>
      <c r="P177" s="325">
        <v>-430.37248331556782</v>
      </c>
      <c r="Q177" s="325">
        <v>-195.22051970352044</v>
      </c>
      <c r="R177" s="325">
        <v>-186.13012074607462</v>
      </c>
      <c r="S177" s="325">
        <v>-1627.649376273532</v>
      </c>
      <c r="T177" s="325">
        <v>-657.82059216634218</v>
      </c>
      <c r="U177" s="325">
        <v>-745.75654338122501</v>
      </c>
      <c r="X177" s="323" t="s">
        <v>204</v>
      </c>
    </row>
    <row r="178" spans="1:28" ht="12.5" x14ac:dyDescent="0.25">
      <c r="A178" s="331">
        <v>4225</v>
      </c>
      <c r="B178" s="322" t="s">
        <v>205</v>
      </c>
      <c r="C178" s="319">
        <f t="shared" si="30"/>
        <v>-10962171.953630852</v>
      </c>
      <c r="D178" s="325">
        <v>-1337786.551428355</v>
      </c>
      <c r="E178" s="325">
        <v>-3575626.6430005645</v>
      </c>
      <c r="F178" s="325">
        <v>-2995412.694316952</v>
      </c>
      <c r="G178" s="325">
        <v>-1032676.7198163163</v>
      </c>
      <c r="H178" s="325">
        <v>-670817.04724170407</v>
      </c>
      <c r="I178" s="325">
        <v>-202349.76900200962</v>
      </c>
      <c r="J178" s="325">
        <v>-161862.792883224</v>
      </c>
      <c r="K178" s="325">
        <v>-21980.971018440599</v>
      </c>
      <c r="L178" s="325">
        <v>-15000.843507107047</v>
      </c>
      <c r="M178" s="325">
        <v>-9228.7300109289445</v>
      </c>
      <c r="N178" s="325">
        <v>-31047.909330412709</v>
      </c>
      <c r="O178" s="325">
        <v>-516365.48274520959</v>
      </c>
      <c r="P178" s="325">
        <v>-76900.705714878393</v>
      </c>
      <c r="Q178" s="325">
        <v>-9632.8993293822932</v>
      </c>
      <c r="R178" s="325">
        <v>-26534.619701587751</v>
      </c>
      <c r="S178" s="325">
        <v>-191210.09631570481</v>
      </c>
      <c r="T178" s="325">
        <v>-38748.264169252972</v>
      </c>
      <c r="U178" s="325">
        <v>-48989.214098817902</v>
      </c>
      <c r="X178" s="323" t="s">
        <v>28</v>
      </c>
    </row>
    <row r="179" spans="1:28" s="384" customFormat="1" ht="12.5" x14ac:dyDescent="0.25">
      <c r="A179" s="377">
        <v>4235</v>
      </c>
      <c r="B179" s="378" t="s">
        <v>275</v>
      </c>
      <c r="C179" s="379">
        <f t="shared" si="30"/>
        <v>0</v>
      </c>
      <c r="D179" s="380">
        <v>0</v>
      </c>
      <c r="E179" s="380">
        <v>0</v>
      </c>
      <c r="F179" s="380">
        <v>0</v>
      </c>
      <c r="G179" s="380">
        <v>0</v>
      </c>
      <c r="H179" s="380">
        <v>0</v>
      </c>
      <c r="I179" s="380">
        <v>0</v>
      </c>
      <c r="J179" s="380">
        <v>0</v>
      </c>
      <c r="K179" s="380">
        <v>0</v>
      </c>
      <c r="L179" s="380">
        <v>0</v>
      </c>
      <c r="M179" s="380">
        <v>0</v>
      </c>
      <c r="N179" s="380">
        <v>0</v>
      </c>
      <c r="O179" s="380">
        <v>0</v>
      </c>
      <c r="P179" s="360">
        <v>0</v>
      </c>
      <c r="Q179" s="360">
        <v>0</v>
      </c>
      <c r="R179" s="360">
        <v>0</v>
      </c>
      <c r="S179" s="360">
        <v>0</v>
      </c>
      <c r="T179" s="360">
        <v>0</v>
      </c>
      <c r="U179" s="360">
        <v>0</v>
      </c>
      <c r="V179" s="381"/>
      <c r="W179" s="382"/>
      <c r="X179" s="383" t="s">
        <v>51</v>
      </c>
      <c r="Y179" s="382"/>
      <c r="Z179" s="382"/>
      <c r="AA179" s="382"/>
      <c r="AB179" s="382"/>
    </row>
    <row r="180" spans="1:28" s="384" customFormat="1" ht="12.5" x14ac:dyDescent="0.25">
      <c r="A180" s="385" t="s">
        <v>276</v>
      </c>
      <c r="B180" s="386" t="s">
        <v>277</v>
      </c>
      <c r="C180" s="387">
        <f t="shared" si="30"/>
        <v>-1383530.0766045456</v>
      </c>
      <c r="D180" s="388">
        <v>-258668.69419192086</v>
      </c>
      <c r="E180" s="388">
        <v>-527836.28487977083</v>
      </c>
      <c r="F180" s="388">
        <v>-380394.82801976788</v>
      </c>
      <c r="G180" s="388">
        <v>-94053.964478368696</v>
      </c>
      <c r="H180" s="388">
        <v>-11222.496255542206</v>
      </c>
      <c r="I180" s="388">
        <v>-19523.690199881083</v>
      </c>
      <c r="J180" s="388">
        <v>-3661.2211308778037</v>
      </c>
      <c r="K180" s="388">
        <v>-5537.5823893268062</v>
      </c>
      <c r="L180" s="388">
        <v>-9739.7185583835417</v>
      </c>
      <c r="M180" s="388">
        <v>-5726.5154124371966</v>
      </c>
      <c r="N180" s="388">
        <v>-1490.3186987508061</v>
      </c>
      <c r="O180" s="388">
        <v>-1452.6673281712606</v>
      </c>
      <c r="P180" s="360">
        <v>-16256.981129876205</v>
      </c>
      <c r="Q180" s="360">
        <v>-1461.8397361595225</v>
      </c>
      <c r="R180" s="360">
        <v>-435.44795083269656</v>
      </c>
      <c r="S180" s="360">
        <v>-40958.049619720179</v>
      </c>
      <c r="T180" s="360">
        <v>-4472.9626388343677</v>
      </c>
      <c r="U180" s="360">
        <v>-636.81398592402581</v>
      </c>
      <c r="V180" s="381"/>
      <c r="W180" s="382"/>
      <c r="X180" s="383" t="s">
        <v>51</v>
      </c>
      <c r="Y180" s="382"/>
      <c r="Z180" s="382"/>
      <c r="AA180" s="382"/>
      <c r="AB180" s="382"/>
    </row>
    <row r="181" spans="1:28" s="384" customFormat="1" ht="12.5" x14ac:dyDescent="0.25">
      <c r="A181" s="385" t="s">
        <v>278</v>
      </c>
      <c r="B181" s="386" t="s">
        <v>279</v>
      </c>
      <c r="C181" s="387">
        <f t="shared" si="30"/>
        <v>-2594946.2570532858</v>
      </c>
      <c r="D181" s="388">
        <v>0</v>
      </c>
      <c r="E181" s="388">
        <v>0</v>
      </c>
      <c r="F181" s="388">
        <v>0</v>
      </c>
      <c r="G181" s="388">
        <v>0</v>
      </c>
      <c r="H181" s="388">
        <v>0</v>
      </c>
      <c r="I181" s="388">
        <v>0</v>
      </c>
      <c r="J181" s="388">
        <v>0</v>
      </c>
      <c r="K181" s="388">
        <v>0</v>
      </c>
      <c r="L181" s="388">
        <v>-2594946.2570532858</v>
      </c>
      <c r="M181" s="388">
        <v>0</v>
      </c>
      <c r="N181" s="388">
        <v>0</v>
      </c>
      <c r="O181" s="388">
        <v>0</v>
      </c>
      <c r="P181" s="360">
        <v>0</v>
      </c>
      <c r="Q181" s="360">
        <v>0</v>
      </c>
      <c r="R181" s="360">
        <v>0</v>
      </c>
      <c r="S181" s="360">
        <v>0</v>
      </c>
      <c r="T181" s="360">
        <v>0</v>
      </c>
      <c r="U181" s="360">
        <v>0</v>
      </c>
      <c r="V181" s="381"/>
      <c r="W181" s="382"/>
      <c r="X181" s="383" t="s">
        <v>280</v>
      </c>
      <c r="Y181" s="382"/>
      <c r="Z181" s="382"/>
      <c r="AA181" s="382"/>
      <c r="AB181" s="382"/>
    </row>
    <row r="182" spans="1:28" s="384" customFormat="1" ht="12.5" x14ac:dyDescent="0.25">
      <c r="A182" s="385" t="s">
        <v>281</v>
      </c>
      <c r="B182" s="386" t="s">
        <v>282</v>
      </c>
      <c r="C182" s="387">
        <f t="shared" si="30"/>
        <v>-14829877.084986793</v>
      </c>
      <c r="D182" s="388">
        <v>-1255296.73015223</v>
      </c>
      <c r="E182" s="388">
        <v>-3842575.8238110482</v>
      </c>
      <c r="F182" s="388">
        <v>-6165729.0955892345</v>
      </c>
      <c r="G182" s="388">
        <v>-1334331.8030268664</v>
      </c>
      <c r="H182" s="388">
        <v>-842962.66817927908</v>
      </c>
      <c r="I182" s="388">
        <v>-189558.45904950029</v>
      </c>
      <c r="J182" s="388">
        <v>-159933.12424994478</v>
      </c>
      <c r="K182" s="388">
        <v>-96278.109351739084</v>
      </c>
      <c r="L182" s="388">
        <v>-52958.272352033324</v>
      </c>
      <c r="M182" s="388">
        <v>-33297.379932231139</v>
      </c>
      <c r="N182" s="388">
        <v>-24805.979013243897</v>
      </c>
      <c r="O182" s="388">
        <v>-451067.41247085575</v>
      </c>
      <c r="P182" s="380">
        <v>-74716.220374438213</v>
      </c>
      <c r="Q182" s="380">
        <v>-11007.347183346677</v>
      </c>
      <c r="R182" s="380">
        <v>-8325.4714658557568</v>
      </c>
      <c r="S182" s="380">
        <v>-227869.39019585768</v>
      </c>
      <c r="T182" s="380">
        <v>-35502.228145558613</v>
      </c>
      <c r="U182" s="380">
        <v>-23661.570443527107</v>
      </c>
      <c r="V182" s="381"/>
      <c r="W182" s="382"/>
      <c r="X182" s="383" t="s">
        <v>283</v>
      </c>
      <c r="Y182" s="382"/>
      <c r="Z182" s="382"/>
      <c r="AA182" s="382"/>
      <c r="AB182" s="382"/>
    </row>
    <row r="183" spans="1:28" ht="12.5" x14ac:dyDescent="0.25">
      <c r="A183" s="331"/>
      <c r="B183" s="322"/>
      <c r="C183" s="319"/>
      <c r="D183" s="325"/>
      <c r="E183" s="325"/>
      <c r="F183" s="325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X183" s="323"/>
    </row>
    <row r="184" spans="1:28" ht="12.5" x14ac:dyDescent="0.25">
      <c r="A184" s="331"/>
      <c r="B184" s="389" t="s">
        <v>206</v>
      </c>
      <c r="C184" s="340">
        <f>+SUM(C174:C183)</f>
        <v>-29945525.372275475</v>
      </c>
      <c r="D184" s="341">
        <f>+SUM(D174:D182)</f>
        <v>-2858886.8527142988</v>
      </c>
      <c r="E184" s="341">
        <f t="shared" ref="E184:U184" si="32">+SUM(E174:E182)</f>
        <v>-7976022.2031039465</v>
      </c>
      <c r="F184" s="341">
        <f t="shared" si="32"/>
        <v>-9599159.2360476982</v>
      </c>
      <c r="G184" s="341">
        <f t="shared" si="32"/>
        <v>-2483388.4762549438</v>
      </c>
      <c r="H184" s="341">
        <f t="shared" si="32"/>
        <v>-1565777.8531425502</v>
      </c>
      <c r="I184" s="341">
        <f t="shared" si="32"/>
        <v>-415315.46841440868</v>
      </c>
      <c r="J184" s="341">
        <f t="shared" si="32"/>
        <v>-332468.68987375672</v>
      </c>
      <c r="K184" s="341">
        <f t="shared" si="32"/>
        <v>-124971.83162348285</v>
      </c>
      <c r="L184" s="341">
        <f t="shared" si="32"/>
        <v>-2673407.5019176444</v>
      </c>
      <c r="M184" s="341">
        <f t="shared" si="32"/>
        <v>-48704.539848867142</v>
      </c>
      <c r="N184" s="341">
        <f t="shared" si="32"/>
        <v>-57374.084954496313</v>
      </c>
      <c r="O184" s="341">
        <f t="shared" si="32"/>
        <v>-968885.56254423666</v>
      </c>
      <c r="P184" s="341">
        <f t="shared" si="32"/>
        <v>-168304.27970250839</v>
      </c>
      <c r="Q184" s="341">
        <f t="shared" si="32"/>
        <v>-22297.30676859201</v>
      </c>
      <c r="R184" s="341">
        <f t="shared" si="32"/>
        <v>-35481.669239022274</v>
      </c>
      <c r="S184" s="341">
        <f t="shared" si="32"/>
        <v>-461665.18550755619</v>
      </c>
      <c r="T184" s="341">
        <f t="shared" si="32"/>
        <v>-79381.275545812299</v>
      </c>
      <c r="U184" s="341">
        <f t="shared" si="32"/>
        <v>-74033.355071650265</v>
      </c>
      <c r="X184" s="323"/>
    </row>
    <row r="185" spans="1:28" ht="12.5" x14ac:dyDescent="0.25">
      <c r="A185" s="40"/>
      <c r="B185" s="266"/>
      <c r="C185" s="324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X185" s="323"/>
    </row>
    <row r="186" spans="1:28" ht="13" x14ac:dyDescent="0.3">
      <c r="A186" s="40"/>
      <c r="B186" s="369" t="s">
        <v>284</v>
      </c>
      <c r="C186" s="324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20"/>
      <c r="P186" s="320"/>
      <c r="Q186" s="320"/>
      <c r="R186" s="320"/>
      <c r="S186" s="320"/>
      <c r="T186" s="320"/>
      <c r="U186" s="320"/>
      <c r="X186" s="323"/>
    </row>
    <row r="187" spans="1:28" ht="12.5" x14ac:dyDescent="0.25">
      <c r="A187" s="331">
        <v>5005</v>
      </c>
      <c r="B187" s="322" t="s">
        <v>285</v>
      </c>
      <c r="C187" s="319">
        <f t="shared" ref="C187:C211" si="33">SUM(D187:U187)</f>
        <v>1485426.8185751634</v>
      </c>
      <c r="D187" s="325">
        <v>108129.30448667292</v>
      </c>
      <c r="E187" s="325">
        <v>427021.83968270599</v>
      </c>
      <c r="F187" s="325">
        <v>779807.72417906043</v>
      </c>
      <c r="G187" s="325">
        <v>88953.094030828011</v>
      </c>
      <c r="H187" s="325">
        <v>7042.8881838771586</v>
      </c>
      <c r="I187" s="325">
        <v>8169.3484577481331</v>
      </c>
      <c r="J187" s="325">
        <v>1742.172344863505</v>
      </c>
      <c r="K187" s="325">
        <v>14047.470720413312</v>
      </c>
      <c r="L187" s="325">
        <v>8512.6035808039815</v>
      </c>
      <c r="M187" s="325">
        <v>5078.6514851904167</v>
      </c>
      <c r="N187" s="325">
        <v>452.9271564393681</v>
      </c>
      <c r="O187" s="325">
        <v>7154.3595513506116</v>
      </c>
      <c r="P187" s="325">
        <v>5432.7232942941027</v>
      </c>
      <c r="Q187" s="325">
        <v>403.97818205466297</v>
      </c>
      <c r="R187" s="325">
        <v>47.64131060715372</v>
      </c>
      <c r="S187" s="325">
        <v>21674.3236079413</v>
      </c>
      <c r="T187" s="325">
        <v>1616.0212566393204</v>
      </c>
      <c r="U187" s="325">
        <v>139.74706367300723</v>
      </c>
      <c r="X187" s="323" t="s">
        <v>286</v>
      </c>
    </row>
    <row r="188" spans="1:28" ht="12.5" x14ac:dyDescent="0.25">
      <c r="A188" s="331">
        <v>5010</v>
      </c>
      <c r="B188" s="322" t="s">
        <v>287</v>
      </c>
      <c r="C188" s="319">
        <f t="shared" si="33"/>
        <v>566867.24269124831</v>
      </c>
      <c r="D188" s="325">
        <v>41264.207648598589</v>
      </c>
      <c r="E188" s="325">
        <v>162959.68929796948</v>
      </c>
      <c r="F188" s="325">
        <v>297589.52033647679</v>
      </c>
      <c r="G188" s="325">
        <v>33946.199510844039</v>
      </c>
      <c r="H188" s="325">
        <v>2687.7006362432271</v>
      </c>
      <c r="I188" s="325">
        <v>3117.5793899222372</v>
      </c>
      <c r="J188" s="325">
        <v>664.84623885612837</v>
      </c>
      <c r="K188" s="325">
        <v>5360.7831058988013</v>
      </c>
      <c r="L188" s="325">
        <v>3248.5721003762987</v>
      </c>
      <c r="M188" s="325">
        <v>1938.1103989769053</v>
      </c>
      <c r="N188" s="325">
        <v>172.84565291277639</v>
      </c>
      <c r="O188" s="325">
        <v>2730.2402389543936</v>
      </c>
      <c r="P188" s="325">
        <v>2073.2309634041949</v>
      </c>
      <c r="Q188" s="325">
        <v>154.16578945868977</v>
      </c>
      <c r="R188" s="325">
        <v>18.180833982773567</v>
      </c>
      <c r="S188" s="325">
        <v>8271.335825629445</v>
      </c>
      <c r="T188" s="325">
        <v>616.70457435276501</v>
      </c>
      <c r="U188" s="325">
        <v>53.330148390953845</v>
      </c>
      <c r="X188" s="323" t="s">
        <v>286</v>
      </c>
    </row>
    <row r="189" spans="1:28" ht="25" x14ac:dyDescent="0.25">
      <c r="A189" s="331">
        <v>5020</v>
      </c>
      <c r="B189" s="322" t="s">
        <v>288</v>
      </c>
      <c r="C189" s="319">
        <f t="shared" si="33"/>
        <v>4639078.1992769511</v>
      </c>
      <c r="D189" s="325">
        <v>305306.02153195458</v>
      </c>
      <c r="E189" s="325">
        <v>1283011.3731808541</v>
      </c>
      <c r="F189" s="325">
        <v>2465709.280275804</v>
      </c>
      <c r="G189" s="325">
        <v>331766.31898173637</v>
      </c>
      <c r="H189" s="325">
        <v>14203.989719027648</v>
      </c>
      <c r="I189" s="325">
        <v>28694.975213068814</v>
      </c>
      <c r="J189" s="325">
        <v>2106.3190689777193</v>
      </c>
      <c r="K189" s="325">
        <v>56321.018043165503</v>
      </c>
      <c r="L189" s="325">
        <v>32624.038535827593</v>
      </c>
      <c r="M189" s="325">
        <v>19337.714881201653</v>
      </c>
      <c r="N189" s="325">
        <v>1727.6851371335147</v>
      </c>
      <c r="O189" s="325">
        <v>2465.271829783012</v>
      </c>
      <c r="P189" s="325">
        <v>18416.863889539898</v>
      </c>
      <c r="Q189" s="325">
        <v>1487.5704332962325</v>
      </c>
      <c r="R189" s="325">
        <v>81.083906198556278</v>
      </c>
      <c r="S189" s="325">
        <v>69651.750947897614</v>
      </c>
      <c r="T189" s="325">
        <v>5965.9881498727664</v>
      </c>
      <c r="U189" s="325">
        <v>200.9355516137384</v>
      </c>
      <c r="X189" s="323" t="s">
        <v>289</v>
      </c>
    </row>
    <row r="190" spans="1:28" ht="25" x14ac:dyDescent="0.25">
      <c r="A190" s="331">
        <v>5025</v>
      </c>
      <c r="B190" s="322" t="s">
        <v>290</v>
      </c>
      <c r="C190" s="319">
        <f t="shared" si="33"/>
        <v>225560.3960626864</v>
      </c>
      <c r="D190" s="325">
        <v>14844.53250816165</v>
      </c>
      <c r="E190" s="325">
        <v>62382.339994335496</v>
      </c>
      <c r="F190" s="325">
        <v>119887.25732649556</v>
      </c>
      <c r="G190" s="325">
        <v>16131.080161882921</v>
      </c>
      <c r="H190" s="325">
        <v>690.62374227568648</v>
      </c>
      <c r="I190" s="325">
        <v>1395.2017396640495</v>
      </c>
      <c r="J190" s="325">
        <v>102.41305341803736</v>
      </c>
      <c r="K190" s="325">
        <v>2738.4300481182081</v>
      </c>
      <c r="L190" s="325">
        <v>1586.2399246584248</v>
      </c>
      <c r="M190" s="325">
        <v>940.23477082817521</v>
      </c>
      <c r="N190" s="325">
        <v>84.003184913802585</v>
      </c>
      <c r="O190" s="325">
        <v>119.86598769012096</v>
      </c>
      <c r="P190" s="325">
        <v>895.46132544277145</v>
      </c>
      <c r="Q190" s="325">
        <v>72.328372511102955</v>
      </c>
      <c r="R190" s="325">
        <v>3.9424465833118831</v>
      </c>
      <c r="S190" s="325">
        <v>3386.5944602348036</v>
      </c>
      <c r="T190" s="325">
        <v>290.07716451090096</v>
      </c>
      <c r="U190" s="325">
        <v>9.7698509613684141</v>
      </c>
      <c r="X190" s="323" t="s">
        <v>289</v>
      </c>
    </row>
    <row r="191" spans="1:28" ht="12.5" x14ac:dyDescent="0.25">
      <c r="A191" s="331">
        <v>5035</v>
      </c>
      <c r="B191" s="322" t="s">
        <v>291</v>
      </c>
      <c r="C191" s="319">
        <f t="shared" si="33"/>
        <v>0</v>
      </c>
      <c r="D191" s="325">
        <v>0</v>
      </c>
      <c r="E191" s="325">
        <v>0</v>
      </c>
      <c r="F191" s="325">
        <v>0</v>
      </c>
      <c r="G191" s="325">
        <v>0</v>
      </c>
      <c r="H191" s="325">
        <v>0</v>
      </c>
      <c r="I191" s="325">
        <v>0</v>
      </c>
      <c r="J191" s="325">
        <v>0</v>
      </c>
      <c r="K191" s="325">
        <v>0</v>
      </c>
      <c r="L191" s="325">
        <v>0</v>
      </c>
      <c r="M191" s="325">
        <v>0</v>
      </c>
      <c r="N191" s="325">
        <v>0</v>
      </c>
      <c r="O191" s="325">
        <v>0</v>
      </c>
      <c r="P191" s="325">
        <v>0</v>
      </c>
      <c r="Q191" s="325">
        <v>0</v>
      </c>
      <c r="R191" s="325">
        <v>0</v>
      </c>
      <c r="S191" s="325">
        <v>0</v>
      </c>
      <c r="T191" s="325">
        <v>0</v>
      </c>
      <c r="U191" s="325">
        <v>0</v>
      </c>
      <c r="X191" s="323">
        <v>1850</v>
      </c>
    </row>
    <row r="192" spans="1:28" ht="25" x14ac:dyDescent="0.25">
      <c r="A192" s="331">
        <v>5040</v>
      </c>
      <c r="B192" s="322" t="s">
        <v>292</v>
      </c>
      <c r="C192" s="319">
        <f t="shared" si="33"/>
        <v>801992.51933399576</v>
      </c>
      <c r="D192" s="325">
        <v>52781.405679523741</v>
      </c>
      <c r="E192" s="325">
        <v>221807.42927867119</v>
      </c>
      <c r="F192" s="325">
        <v>426272.63346125104</v>
      </c>
      <c r="G192" s="325">
        <v>57355.870628134726</v>
      </c>
      <c r="H192" s="325">
        <v>3586.104644679288</v>
      </c>
      <c r="I192" s="325">
        <v>4960.7967772307538</v>
      </c>
      <c r="J192" s="325">
        <v>531.78583946163485</v>
      </c>
      <c r="K192" s="325">
        <v>8693.5016619774779</v>
      </c>
      <c r="L192" s="325">
        <v>5640.0545401090494</v>
      </c>
      <c r="M192" s="325">
        <v>3343.1105254268305</v>
      </c>
      <c r="N192" s="325">
        <v>436.19150797597166</v>
      </c>
      <c r="O192" s="325">
        <v>0</v>
      </c>
      <c r="P192" s="325">
        <v>3183.6308285113205</v>
      </c>
      <c r="Q192" s="325">
        <v>257.14883486290142</v>
      </c>
      <c r="R192" s="325">
        <v>20.469710541909841</v>
      </c>
      <c r="S192" s="325">
        <v>12040.348612418355</v>
      </c>
      <c r="T192" s="325">
        <v>1031.3104288757741</v>
      </c>
      <c r="U192" s="325">
        <v>50.726374344129027</v>
      </c>
      <c r="X192" s="323" t="s">
        <v>293</v>
      </c>
    </row>
    <row r="193" spans="1:24" ht="25" x14ac:dyDescent="0.25">
      <c r="A193" s="331">
        <v>5045</v>
      </c>
      <c r="B193" s="322" t="s">
        <v>294</v>
      </c>
      <c r="C193" s="319">
        <f t="shared" si="33"/>
        <v>75186.798687562114</v>
      </c>
      <c r="D193" s="325">
        <v>4948.2567824553507</v>
      </c>
      <c r="E193" s="325">
        <v>20794.446494875425</v>
      </c>
      <c r="F193" s="325">
        <v>39963.059386992281</v>
      </c>
      <c r="G193" s="325">
        <v>5377.1128713876305</v>
      </c>
      <c r="H193" s="325">
        <v>336.19731043868325</v>
      </c>
      <c r="I193" s="325">
        <v>465.07469786538314</v>
      </c>
      <c r="J193" s="325">
        <v>49.854922449528274</v>
      </c>
      <c r="K193" s="325">
        <v>815.01578081038861</v>
      </c>
      <c r="L193" s="325">
        <v>528.75511313522338</v>
      </c>
      <c r="M193" s="325">
        <v>313.41661175876533</v>
      </c>
      <c r="N193" s="325">
        <v>40.892953872747348</v>
      </c>
      <c r="O193" s="325">
        <v>0</v>
      </c>
      <c r="P193" s="325">
        <v>298.46539017293634</v>
      </c>
      <c r="Q193" s="325">
        <v>24.10770326839701</v>
      </c>
      <c r="R193" s="325">
        <v>1.9190353633040478</v>
      </c>
      <c r="S193" s="325">
        <v>1128.7826824142207</v>
      </c>
      <c r="T193" s="325">
        <v>96.685352707103831</v>
      </c>
      <c r="U193" s="325">
        <v>4.7555975947620972</v>
      </c>
      <c r="X193" s="323" t="s">
        <v>293</v>
      </c>
    </row>
    <row r="194" spans="1:24" ht="12.5" x14ac:dyDescent="0.25">
      <c r="A194" s="331">
        <v>5055</v>
      </c>
      <c r="B194" s="322" t="s">
        <v>295</v>
      </c>
      <c r="C194" s="319">
        <f t="shared" si="33"/>
        <v>0</v>
      </c>
      <c r="D194" s="325">
        <v>0</v>
      </c>
      <c r="E194" s="325">
        <v>0</v>
      </c>
      <c r="F194" s="325">
        <v>0</v>
      </c>
      <c r="G194" s="325">
        <v>0</v>
      </c>
      <c r="H194" s="325">
        <v>0</v>
      </c>
      <c r="I194" s="325">
        <v>0</v>
      </c>
      <c r="J194" s="325">
        <v>0</v>
      </c>
      <c r="K194" s="325">
        <v>0</v>
      </c>
      <c r="L194" s="325">
        <v>0</v>
      </c>
      <c r="M194" s="325">
        <v>0</v>
      </c>
      <c r="N194" s="325">
        <v>0</v>
      </c>
      <c r="O194" s="325">
        <v>0</v>
      </c>
      <c r="P194" s="325">
        <v>0</v>
      </c>
      <c r="Q194" s="325">
        <v>0</v>
      </c>
      <c r="R194" s="325">
        <v>0</v>
      </c>
      <c r="S194" s="325">
        <v>0</v>
      </c>
      <c r="T194" s="325">
        <v>0</v>
      </c>
      <c r="U194" s="325">
        <v>0</v>
      </c>
      <c r="X194" s="323">
        <v>1850</v>
      </c>
    </row>
    <row r="195" spans="1:24" ht="12.5" x14ac:dyDescent="0.25">
      <c r="A195" s="331">
        <v>5065</v>
      </c>
      <c r="B195" s="322" t="s">
        <v>208</v>
      </c>
      <c r="C195" s="319">
        <f t="shared" si="33"/>
        <v>11562101.457821086</v>
      </c>
      <c r="D195" s="325">
        <v>1767920.9764078832</v>
      </c>
      <c r="E195" s="325">
        <v>3949499.5420183069</v>
      </c>
      <c r="F195" s="325">
        <v>3113939.7040817505</v>
      </c>
      <c r="G195" s="325">
        <v>1154179.5341095051</v>
      </c>
      <c r="H195" s="325">
        <v>308142.2365011684</v>
      </c>
      <c r="I195" s="325">
        <v>356828.8011575315</v>
      </c>
      <c r="J195" s="325">
        <v>89198.763419944706</v>
      </c>
      <c r="K195" s="325">
        <v>0</v>
      </c>
      <c r="L195" s="325">
        <v>0</v>
      </c>
      <c r="M195" s="325">
        <v>0</v>
      </c>
      <c r="N195" s="325">
        <v>246065.81378622327</v>
      </c>
      <c r="O195" s="325">
        <v>128010.52702940095</v>
      </c>
      <c r="P195" s="325">
        <v>119146.6172934091</v>
      </c>
      <c r="Q195" s="325">
        <v>26193.928992851765</v>
      </c>
      <c r="R195" s="325">
        <v>7136.5571685895156</v>
      </c>
      <c r="S195" s="325">
        <v>230114.08986454413</v>
      </c>
      <c r="T195" s="325">
        <v>50958.162683660921</v>
      </c>
      <c r="U195" s="325">
        <v>14766.203306314164</v>
      </c>
      <c r="X195" s="323" t="s">
        <v>47</v>
      </c>
    </row>
    <row r="196" spans="1:24" ht="12.5" x14ac:dyDescent="0.25">
      <c r="A196" s="331">
        <v>5070</v>
      </c>
      <c r="B196" s="322" t="s">
        <v>209</v>
      </c>
      <c r="C196" s="319">
        <f t="shared" si="33"/>
        <v>22889214.345598221</v>
      </c>
      <c r="D196" s="325">
        <v>3973544.7277517528</v>
      </c>
      <c r="E196" s="325">
        <v>8788598.8380259555</v>
      </c>
      <c r="F196" s="325">
        <v>6685645.8628285909</v>
      </c>
      <c r="G196" s="325">
        <v>1431945.5000251397</v>
      </c>
      <c r="H196" s="325">
        <v>86157.066939670287</v>
      </c>
      <c r="I196" s="325">
        <v>297242.7635629797</v>
      </c>
      <c r="J196" s="325">
        <v>28107.835090450117</v>
      </c>
      <c r="K196" s="325">
        <v>333062.37344352336</v>
      </c>
      <c r="L196" s="325">
        <v>156502.5301066364</v>
      </c>
      <c r="M196" s="325">
        <v>92765.992231931377</v>
      </c>
      <c r="N196" s="325">
        <v>24017.527270308114</v>
      </c>
      <c r="O196" s="325">
        <v>14675.056364899709</v>
      </c>
      <c r="P196" s="325">
        <v>249575.8839639264</v>
      </c>
      <c r="Q196" s="325">
        <v>22256.104179776434</v>
      </c>
      <c r="R196" s="325">
        <v>3343.0100927952853</v>
      </c>
      <c r="S196" s="325">
        <v>628784.7268577019</v>
      </c>
      <c r="T196" s="325">
        <v>68099.614492406967</v>
      </c>
      <c r="U196" s="325">
        <v>4888.9323697728196</v>
      </c>
      <c r="X196" s="323" t="s">
        <v>210</v>
      </c>
    </row>
    <row r="197" spans="1:24" ht="12.5" x14ac:dyDescent="0.25">
      <c r="A197" s="331">
        <v>5075</v>
      </c>
      <c r="B197" s="322" t="s">
        <v>211</v>
      </c>
      <c r="C197" s="319">
        <f t="shared" si="33"/>
        <v>3682917.4896790884</v>
      </c>
      <c r="D197" s="325">
        <v>639350.79434796527</v>
      </c>
      <c r="E197" s="325">
        <v>1414102.0255928389</v>
      </c>
      <c r="F197" s="325">
        <v>1075732.9502988029</v>
      </c>
      <c r="G197" s="325">
        <v>230402.71486312663</v>
      </c>
      <c r="H197" s="325">
        <v>13862.83355560366</v>
      </c>
      <c r="I197" s="325">
        <v>47826.917782224693</v>
      </c>
      <c r="J197" s="325">
        <v>4522.6033488362982</v>
      </c>
      <c r="K197" s="325">
        <v>53590.360149039945</v>
      </c>
      <c r="L197" s="325">
        <v>25181.550428339753</v>
      </c>
      <c r="M197" s="325">
        <v>14926.222022300057</v>
      </c>
      <c r="N197" s="325">
        <v>3864.4651540725658</v>
      </c>
      <c r="O197" s="325">
        <v>2361.2440747102028</v>
      </c>
      <c r="P197" s="325">
        <v>40157.227512250836</v>
      </c>
      <c r="Q197" s="325">
        <v>3581.0488773539523</v>
      </c>
      <c r="R197" s="325">
        <v>537.89658976640112</v>
      </c>
      <c r="S197" s="325">
        <v>101172.64108860331</v>
      </c>
      <c r="T197" s="325">
        <v>10957.355611583978</v>
      </c>
      <c r="U197" s="325">
        <v>786.63838166892606</v>
      </c>
      <c r="X197" s="323" t="s">
        <v>210</v>
      </c>
    </row>
    <row r="198" spans="1:24" ht="12.5" x14ac:dyDescent="0.25">
      <c r="A198" s="331">
        <v>5085</v>
      </c>
      <c r="B198" s="322" t="s">
        <v>296</v>
      </c>
      <c r="C198" s="319">
        <f t="shared" si="33"/>
        <v>15983260.013622615</v>
      </c>
      <c r="D198" s="325">
        <v>1163476.22588397</v>
      </c>
      <c r="E198" s="325">
        <v>4594774.3838979322</v>
      </c>
      <c r="F198" s="325">
        <v>8390766.5193097163</v>
      </c>
      <c r="G198" s="325">
        <v>957139.33068389946</v>
      </c>
      <c r="H198" s="325">
        <v>75781.796640615168</v>
      </c>
      <c r="I198" s="325">
        <v>87902.56033435704</v>
      </c>
      <c r="J198" s="325">
        <v>18745.853534007008</v>
      </c>
      <c r="K198" s="325">
        <v>151151.4227765745</v>
      </c>
      <c r="L198" s="325">
        <v>91596.001043925091</v>
      </c>
      <c r="M198" s="325">
        <v>54646.520576645744</v>
      </c>
      <c r="N198" s="325">
        <v>4873.5167684296375</v>
      </c>
      <c r="O198" s="325">
        <v>76981.233615983147</v>
      </c>
      <c r="P198" s="325">
        <v>58456.349319219786</v>
      </c>
      <c r="Q198" s="325">
        <v>4346.8235815237031</v>
      </c>
      <c r="R198" s="325">
        <v>512.62266528505165</v>
      </c>
      <c r="S198" s="325">
        <v>233216.70614337001</v>
      </c>
      <c r="T198" s="325">
        <v>17388.462096828938</v>
      </c>
      <c r="U198" s="325">
        <v>1503.6847503322008</v>
      </c>
      <c r="X198" s="323" t="s">
        <v>286</v>
      </c>
    </row>
    <row r="199" spans="1:24" ht="25" x14ac:dyDescent="0.25">
      <c r="A199" s="331">
        <v>5090</v>
      </c>
      <c r="B199" s="322" t="s">
        <v>297</v>
      </c>
      <c r="C199" s="319">
        <f t="shared" si="33"/>
        <v>0</v>
      </c>
      <c r="D199" s="325">
        <v>0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5">
        <v>0</v>
      </c>
      <c r="L199" s="325">
        <v>0</v>
      </c>
      <c r="M199" s="325">
        <v>0</v>
      </c>
      <c r="N199" s="325">
        <v>0</v>
      </c>
      <c r="O199" s="325">
        <v>0</v>
      </c>
      <c r="P199" s="325">
        <v>0</v>
      </c>
      <c r="Q199" s="325">
        <v>0</v>
      </c>
      <c r="R199" s="325">
        <v>0</v>
      </c>
      <c r="S199" s="325">
        <v>0</v>
      </c>
      <c r="T199" s="325">
        <v>0</v>
      </c>
      <c r="U199" s="325">
        <v>0</v>
      </c>
      <c r="X199" s="323" t="s">
        <v>293</v>
      </c>
    </row>
    <row r="200" spans="1:24" ht="25" x14ac:dyDescent="0.25">
      <c r="A200" s="331">
        <v>5095</v>
      </c>
      <c r="B200" s="322" t="s">
        <v>298</v>
      </c>
      <c r="C200" s="319">
        <f t="shared" si="33"/>
        <v>0</v>
      </c>
      <c r="D200" s="325">
        <v>0</v>
      </c>
      <c r="E200" s="325">
        <v>0</v>
      </c>
      <c r="F200" s="325">
        <v>0</v>
      </c>
      <c r="G200" s="325">
        <v>0</v>
      </c>
      <c r="H200" s="325">
        <v>0</v>
      </c>
      <c r="I200" s="325">
        <v>0</v>
      </c>
      <c r="J200" s="325">
        <v>0</v>
      </c>
      <c r="K200" s="325">
        <v>0</v>
      </c>
      <c r="L200" s="325">
        <v>0</v>
      </c>
      <c r="M200" s="325">
        <v>0</v>
      </c>
      <c r="N200" s="325">
        <v>0</v>
      </c>
      <c r="O200" s="325">
        <v>0</v>
      </c>
      <c r="P200" s="325">
        <v>0</v>
      </c>
      <c r="Q200" s="325">
        <v>0</v>
      </c>
      <c r="R200" s="325">
        <v>0</v>
      </c>
      <c r="S200" s="325">
        <v>0</v>
      </c>
      <c r="T200" s="325">
        <v>0</v>
      </c>
      <c r="U200" s="325">
        <v>0</v>
      </c>
      <c r="X200" s="323" t="s">
        <v>289</v>
      </c>
    </row>
    <row r="201" spans="1:24" ht="12.5" x14ac:dyDescent="0.25">
      <c r="A201" s="331">
        <v>5096</v>
      </c>
      <c r="B201" s="322" t="s">
        <v>299</v>
      </c>
      <c r="C201" s="319">
        <f t="shared" si="33"/>
        <v>0</v>
      </c>
      <c r="D201" s="325">
        <v>0</v>
      </c>
      <c r="E201" s="325">
        <v>0</v>
      </c>
      <c r="F201" s="325">
        <v>0</v>
      </c>
      <c r="G201" s="325">
        <v>0</v>
      </c>
      <c r="H201" s="325">
        <v>0</v>
      </c>
      <c r="I201" s="325">
        <v>0</v>
      </c>
      <c r="J201" s="325">
        <v>0</v>
      </c>
      <c r="K201" s="325">
        <v>0</v>
      </c>
      <c r="L201" s="325">
        <v>0</v>
      </c>
      <c r="M201" s="325">
        <v>0</v>
      </c>
      <c r="N201" s="325">
        <v>0</v>
      </c>
      <c r="O201" s="325">
        <v>0</v>
      </c>
      <c r="P201" s="325">
        <v>0</v>
      </c>
      <c r="Q201" s="325">
        <v>0</v>
      </c>
      <c r="R201" s="325">
        <v>0</v>
      </c>
      <c r="S201" s="325">
        <v>0</v>
      </c>
      <c r="T201" s="325">
        <v>0</v>
      </c>
      <c r="U201" s="325">
        <v>0</v>
      </c>
      <c r="X201" s="323" t="s">
        <v>300</v>
      </c>
    </row>
    <row r="202" spans="1:24" ht="12.5" x14ac:dyDescent="0.25">
      <c r="A202" s="331">
        <v>5105</v>
      </c>
      <c r="B202" s="322" t="s">
        <v>301</v>
      </c>
      <c r="C202" s="319">
        <f t="shared" si="33"/>
        <v>5843336.7370054256</v>
      </c>
      <c r="D202" s="325">
        <v>425356.48969895719</v>
      </c>
      <c r="E202" s="325">
        <v>1679808.3703073633</v>
      </c>
      <c r="F202" s="325">
        <v>3067589.103357451</v>
      </c>
      <c r="G202" s="325">
        <v>349921.5684817218</v>
      </c>
      <c r="H202" s="325">
        <v>27705.146254829382</v>
      </c>
      <c r="I202" s="325">
        <v>32136.388924462379</v>
      </c>
      <c r="J202" s="325">
        <v>6853.316190090507</v>
      </c>
      <c r="K202" s="325">
        <v>55259.60666398568</v>
      </c>
      <c r="L202" s="325">
        <v>33486.677774532756</v>
      </c>
      <c r="M202" s="325">
        <v>19978.278584148695</v>
      </c>
      <c r="N202" s="325">
        <v>1781.7140900608042</v>
      </c>
      <c r="O202" s="325">
        <v>28143.649672524945</v>
      </c>
      <c r="P202" s="325">
        <v>21371.117856875782</v>
      </c>
      <c r="Q202" s="325">
        <v>1589.1597772638645</v>
      </c>
      <c r="R202" s="325">
        <v>187.41025608848003</v>
      </c>
      <c r="S202" s="325">
        <v>85261.939399688286</v>
      </c>
      <c r="T202" s="325">
        <v>6357.0660355789132</v>
      </c>
      <c r="U202" s="325">
        <v>549.73367980012631</v>
      </c>
      <c r="X202" s="323" t="s">
        <v>286</v>
      </c>
    </row>
    <row r="203" spans="1:24" ht="12.5" x14ac:dyDescent="0.25">
      <c r="A203" s="331">
        <v>5120</v>
      </c>
      <c r="B203" s="322" t="s">
        <v>302</v>
      </c>
      <c r="C203" s="319">
        <f t="shared" si="33"/>
        <v>9397375.0771199185</v>
      </c>
      <c r="D203" s="325">
        <v>618623.96262310515</v>
      </c>
      <c r="E203" s="325">
        <v>2599691.8625615104</v>
      </c>
      <c r="F203" s="325">
        <v>4996124.3410364026</v>
      </c>
      <c r="G203" s="325">
        <v>672238.93549011357</v>
      </c>
      <c r="H203" s="325">
        <v>24107.086617159996</v>
      </c>
      <c r="I203" s="325">
        <v>58142.97138526132</v>
      </c>
      <c r="J203" s="325">
        <v>3574.8558851180078</v>
      </c>
      <c r="K203" s="325">
        <v>118433.09103776001</v>
      </c>
      <c r="L203" s="325">
        <v>66104.205526422011</v>
      </c>
      <c r="M203" s="325">
        <v>39182.895076416571</v>
      </c>
      <c r="N203" s="325">
        <v>2932.2363696352168</v>
      </c>
      <c r="O203" s="325">
        <v>4184.0724128243</v>
      </c>
      <c r="P203" s="325">
        <v>37317.960371986926</v>
      </c>
      <c r="Q203" s="325">
        <v>3014.2533936962859</v>
      </c>
      <c r="R203" s="325">
        <v>137.62042119562295</v>
      </c>
      <c r="S203" s="325">
        <v>141134.84778423273</v>
      </c>
      <c r="T203" s="325">
        <v>12088.839375261168</v>
      </c>
      <c r="U203" s="325">
        <v>341.0397518163706</v>
      </c>
      <c r="X203" s="323">
        <v>1830</v>
      </c>
    </row>
    <row r="204" spans="1:24" ht="12.5" x14ac:dyDescent="0.25">
      <c r="A204" s="331">
        <v>5125</v>
      </c>
      <c r="B204" s="322" t="s">
        <v>303</v>
      </c>
      <c r="C204" s="319">
        <f t="shared" si="33"/>
        <v>17542699.155589826</v>
      </c>
      <c r="D204" s="325">
        <v>1153991.393112621</v>
      </c>
      <c r="E204" s="325">
        <v>4849508.2883956367</v>
      </c>
      <c r="F204" s="325">
        <v>9319853.1528418623</v>
      </c>
      <c r="G204" s="325">
        <v>1254005.6521273325</v>
      </c>
      <c r="H204" s="325">
        <v>68474.894530490987</v>
      </c>
      <c r="I204" s="325">
        <v>108460.86249889305</v>
      </c>
      <c r="J204" s="325">
        <v>10154.187587350965</v>
      </c>
      <c r="K204" s="325">
        <v>199235.34773365731</v>
      </c>
      <c r="L204" s="325">
        <v>123311.88061739273</v>
      </c>
      <c r="M204" s="325">
        <v>73092.421903106544</v>
      </c>
      <c r="N204" s="325">
        <v>8328.8611078502563</v>
      </c>
      <c r="O204" s="325">
        <v>11884.634660587344</v>
      </c>
      <c r="P204" s="325">
        <v>69608.852028026406</v>
      </c>
      <c r="Q204" s="325">
        <v>5622.459436831482</v>
      </c>
      <c r="R204" s="325">
        <v>390.87713605589039</v>
      </c>
      <c r="S204" s="325">
        <v>263257.54777276999</v>
      </c>
      <c r="T204" s="325">
        <v>22549.202123458123</v>
      </c>
      <c r="U204" s="325">
        <v>968.63997590667464</v>
      </c>
      <c r="X204" s="323">
        <v>1835</v>
      </c>
    </row>
    <row r="205" spans="1:24" ht="12.5" x14ac:dyDescent="0.25">
      <c r="A205" s="331">
        <v>5130</v>
      </c>
      <c r="B205" s="322" t="s">
        <v>304</v>
      </c>
      <c r="C205" s="319">
        <f t="shared" si="33"/>
        <v>7959134.7555397172</v>
      </c>
      <c r="D205" s="325">
        <v>836507.7685028211</v>
      </c>
      <c r="E205" s="325">
        <v>2775254.2273847316</v>
      </c>
      <c r="F205" s="325">
        <v>4222372.0266608195</v>
      </c>
      <c r="G205" s="325">
        <v>0</v>
      </c>
      <c r="H205" s="325">
        <v>0</v>
      </c>
      <c r="I205" s="325">
        <v>0</v>
      </c>
      <c r="J205" s="325">
        <v>0</v>
      </c>
      <c r="K205" s="325">
        <v>0</v>
      </c>
      <c r="L205" s="325">
        <v>0</v>
      </c>
      <c r="M205" s="325">
        <v>0</v>
      </c>
      <c r="N205" s="325">
        <v>0</v>
      </c>
      <c r="O205" s="325">
        <v>0</v>
      </c>
      <c r="P205" s="325">
        <v>18732.503627797141</v>
      </c>
      <c r="Q205" s="325">
        <v>0</v>
      </c>
      <c r="R205" s="325">
        <v>0</v>
      </c>
      <c r="S205" s="325">
        <v>106268.22936354809</v>
      </c>
      <c r="T205" s="325">
        <v>0</v>
      </c>
      <c r="U205" s="325">
        <v>0</v>
      </c>
      <c r="X205" s="323">
        <v>1855</v>
      </c>
    </row>
    <row r="206" spans="1:24" ht="25" x14ac:dyDescent="0.25">
      <c r="A206" s="331">
        <v>5135</v>
      </c>
      <c r="B206" s="322" t="s">
        <v>305</v>
      </c>
      <c r="C206" s="319">
        <f t="shared" si="33"/>
        <v>67717999.103569776</v>
      </c>
      <c r="D206" s="325">
        <v>4456642.4630733142</v>
      </c>
      <c r="E206" s="325">
        <v>18728497.189909946</v>
      </c>
      <c r="F206" s="325">
        <v>35992688.990973458</v>
      </c>
      <c r="G206" s="325">
        <v>4842891.2655323427</v>
      </c>
      <c r="H206" s="325">
        <v>207339.84678467913</v>
      </c>
      <c r="I206" s="325">
        <v>418869.05593840021</v>
      </c>
      <c r="J206" s="325">
        <v>30746.563583924137</v>
      </c>
      <c r="K206" s="325">
        <v>822134.58914179564</v>
      </c>
      <c r="L206" s="325">
        <v>476222.75750133512</v>
      </c>
      <c r="M206" s="325">
        <v>282278.35417700052</v>
      </c>
      <c r="N206" s="325">
        <v>25219.531885858934</v>
      </c>
      <c r="O206" s="325">
        <v>35986.303396507006</v>
      </c>
      <c r="P206" s="325">
        <v>268836.41938969912</v>
      </c>
      <c r="Q206" s="325">
        <v>21714.506404343814</v>
      </c>
      <c r="R206" s="325">
        <v>1183.6058051626662</v>
      </c>
      <c r="S206" s="325">
        <v>1016727.2474490595</v>
      </c>
      <c r="T206" s="325">
        <v>87087.296835815374</v>
      </c>
      <c r="U206" s="325">
        <v>2933.1157871353007</v>
      </c>
      <c r="X206" s="323" t="s">
        <v>289</v>
      </c>
    </row>
    <row r="207" spans="1:24" ht="12.5" x14ac:dyDescent="0.25">
      <c r="A207" s="331">
        <v>5145</v>
      </c>
      <c r="B207" s="322" t="s">
        <v>306</v>
      </c>
      <c r="C207" s="319">
        <f t="shared" si="33"/>
        <v>0</v>
      </c>
      <c r="D207" s="325">
        <v>0</v>
      </c>
      <c r="E207" s="325">
        <v>0</v>
      </c>
      <c r="F207" s="325">
        <v>0</v>
      </c>
      <c r="G207" s="325">
        <v>0</v>
      </c>
      <c r="H207" s="325">
        <v>0</v>
      </c>
      <c r="I207" s="325">
        <v>0</v>
      </c>
      <c r="J207" s="325">
        <v>0</v>
      </c>
      <c r="K207" s="325">
        <v>0</v>
      </c>
      <c r="L207" s="325">
        <v>0</v>
      </c>
      <c r="M207" s="325">
        <v>0</v>
      </c>
      <c r="N207" s="325">
        <v>0</v>
      </c>
      <c r="O207" s="325">
        <v>0</v>
      </c>
      <c r="P207" s="325">
        <v>0</v>
      </c>
      <c r="Q207" s="325">
        <v>0</v>
      </c>
      <c r="R207" s="325">
        <v>0</v>
      </c>
      <c r="S207" s="325">
        <v>0</v>
      </c>
      <c r="T207" s="325">
        <v>0</v>
      </c>
      <c r="U207" s="325">
        <v>0</v>
      </c>
      <c r="X207" s="323">
        <v>1840</v>
      </c>
    </row>
    <row r="208" spans="1:24" ht="25" x14ac:dyDescent="0.25">
      <c r="A208" s="331">
        <v>5150</v>
      </c>
      <c r="B208" s="322" t="s">
        <v>307</v>
      </c>
      <c r="C208" s="319">
        <f t="shared" si="33"/>
        <v>677322.36769642995</v>
      </c>
      <c r="D208" s="325">
        <v>44576.508886752395</v>
      </c>
      <c r="E208" s="325">
        <v>187327.34975688896</v>
      </c>
      <c r="F208" s="325">
        <v>360008.3322721438</v>
      </c>
      <c r="G208" s="325">
        <v>48439.870894805201</v>
      </c>
      <c r="H208" s="325">
        <v>3028.6428241979465</v>
      </c>
      <c r="I208" s="325">
        <v>4189.6383542393487</v>
      </c>
      <c r="J208" s="325">
        <v>449.11945586562763</v>
      </c>
      <c r="K208" s="325">
        <v>7342.092335416417</v>
      </c>
      <c r="L208" s="325">
        <v>4763.3051468061585</v>
      </c>
      <c r="M208" s="325">
        <v>2823.4222663739638</v>
      </c>
      <c r="N208" s="325">
        <v>368.38531261701473</v>
      </c>
      <c r="O208" s="325">
        <v>0</v>
      </c>
      <c r="P208" s="325">
        <v>2688.7337707705078</v>
      </c>
      <c r="Q208" s="325">
        <v>217.17491557696576</v>
      </c>
      <c r="R208" s="325">
        <v>17.287683458469925</v>
      </c>
      <c r="S208" s="325">
        <v>10168.670197604835</v>
      </c>
      <c r="T208" s="325">
        <v>870.99268967775981</v>
      </c>
      <c r="U208" s="325">
        <v>42.840933234580724</v>
      </c>
      <c r="X208" s="323">
        <v>1845</v>
      </c>
    </row>
    <row r="209" spans="1:28" ht="12.5" x14ac:dyDescent="0.25">
      <c r="A209" s="331">
        <v>5155</v>
      </c>
      <c r="B209" s="322" t="s">
        <v>308</v>
      </c>
      <c r="C209" s="319">
        <f t="shared" si="33"/>
        <v>6765264.5422087619</v>
      </c>
      <c r="D209" s="325">
        <v>711031.60322739801</v>
      </c>
      <c r="E209" s="325">
        <v>2358966.0932770222</v>
      </c>
      <c r="F209" s="325">
        <v>3589016.2226616973</v>
      </c>
      <c r="G209" s="325">
        <v>0</v>
      </c>
      <c r="H209" s="325">
        <v>0</v>
      </c>
      <c r="I209" s="325">
        <v>0</v>
      </c>
      <c r="J209" s="325">
        <v>0</v>
      </c>
      <c r="K209" s="325">
        <v>0</v>
      </c>
      <c r="L209" s="325">
        <v>0</v>
      </c>
      <c r="M209" s="325">
        <v>0</v>
      </c>
      <c r="N209" s="325">
        <v>0</v>
      </c>
      <c r="O209" s="325">
        <v>0</v>
      </c>
      <c r="P209" s="325">
        <v>15922.628083627571</v>
      </c>
      <c r="Q209" s="325">
        <v>0</v>
      </c>
      <c r="R209" s="325">
        <v>0</v>
      </c>
      <c r="S209" s="325">
        <v>90327.994959015879</v>
      </c>
      <c r="T209" s="325">
        <v>0</v>
      </c>
      <c r="U209" s="325">
        <v>0</v>
      </c>
      <c r="X209" s="323">
        <v>1855</v>
      </c>
    </row>
    <row r="210" spans="1:28" ht="12.5" x14ac:dyDescent="0.25">
      <c r="A210" s="331">
        <v>5160</v>
      </c>
      <c r="B210" s="322" t="s">
        <v>309</v>
      </c>
      <c r="C210" s="319">
        <f t="shared" si="33"/>
        <v>1836490.4217825709</v>
      </c>
      <c r="D210" s="325">
        <v>120961.30315439665</v>
      </c>
      <c r="E210" s="325">
        <v>508325.14499103877</v>
      </c>
      <c r="F210" s="325">
        <v>976906.40441834228</v>
      </c>
      <c r="G210" s="325">
        <v>131444.79131266597</v>
      </c>
      <c r="H210" s="325">
        <v>7432.7074079750173</v>
      </c>
      <c r="I210" s="325">
        <v>11368.860588924312</v>
      </c>
      <c r="J210" s="325">
        <v>1059.0798093627914</v>
      </c>
      <c r="K210" s="325">
        <v>19923.252828707115</v>
      </c>
      <c r="L210" s="325">
        <v>12925.543347136145</v>
      </c>
      <c r="M210" s="325">
        <v>7661.5429342702937</v>
      </c>
      <c r="N210" s="325">
        <v>506.53588159825273</v>
      </c>
      <c r="O210" s="325">
        <v>0</v>
      </c>
      <c r="P210" s="325">
        <v>7296.3299645309889</v>
      </c>
      <c r="Q210" s="325">
        <v>589.34055178494373</v>
      </c>
      <c r="R210" s="325">
        <v>36.558350695792164</v>
      </c>
      <c r="S210" s="325">
        <v>27594.391779798909</v>
      </c>
      <c r="T210" s="325">
        <v>2363.584721428972</v>
      </c>
      <c r="U210" s="325">
        <v>95.049739913597776</v>
      </c>
      <c r="X210" s="323">
        <v>1850</v>
      </c>
    </row>
    <row r="211" spans="1:28" ht="12.5" x14ac:dyDescent="0.25">
      <c r="A211" s="333">
        <v>5175</v>
      </c>
      <c r="B211" s="332" t="s">
        <v>213</v>
      </c>
      <c r="C211" s="334">
        <f t="shared" si="33"/>
        <v>7543725.942152746</v>
      </c>
      <c r="D211" s="335">
        <v>1178805.2265250101</v>
      </c>
      <c r="E211" s="335">
        <v>2633426.9259867552</v>
      </c>
      <c r="F211" s="335">
        <v>2076296.6485717087</v>
      </c>
      <c r="G211" s="335">
        <v>769577.87441433023</v>
      </c>
      <c r="H211" s="335">
        <v>205461.49050096388</v>
      </c>
      <c r="I211" s="335">
        <v>237924.46686944354</v>
      </c>
      <c r="J211" s="335">
        <v>59475.491225089499</v>
      </c>
      <c r="K211" s="335">
        <v>0</v>
      </c>
      <c r="L211" s="335">
        <v>0</v>
      </c>
      <c r="M211" s="335">
        <v>0</v>
      </c>
      <c r="N211" s="335">
        <v>164070.49366521474</v>
      </c>
      <c r="O211" s="335">
        <v>85354.198703542264</v>
      </c>
      <c r="P211" s="335">
        <v>28155.210619964353</v>
      </c>
      <c r="Q211" s="335">
        <v>5606.51568436038</v>
      </c>
      <c r="R211" s="335">
        <v>809.50538672690584</v>
      </c>
      <c r="S211" s="335">
        <v>81627.645343948316</v>
      </c>
      <c r="T211" s="335">
        <v>14296.031527299538</v>
      </c>
      <c r="U211" s="335">
        <v>2838.2171283879156</v>
      </c>
      <c r="X211" s="323">
        <v>1860</v>
      </c>
    </row>
    <row r="212" spans="1:28" ht="12.5" x14ac:dyDescent="0.25">
      <c r="A212" s="331"/>
      <c r="B212" s="322"/>
      <c r="C212" s="324"/>
      <c r="D212" s="320"/>
      <c r="E212" s="320"/>
      <c r="F212" s="320"/>
      <c r="G212" s="320"/>
      <c r="H212" s="320"/>
      <c r="I212" s="320"/>
      <c r="J212" s="320"/>
      <c r="K212" s="320"/>
      <c r="L212" s="320"/>
      <c r="M212" s="320"/>
      <c r="N212" s="320"/>
      <c r="O212" s="320"/>
      <c r="P212" s="320"/>
      <c r="Q212" s="320"/>
      <c r="R212" s="320"/>
      <c r="S212" s="320"/>
      <c r="T212" s="320"/>
      <c r="U212" s="320"/>
      <c r="X212" s="323"/>
    </row>
    <row r="213" spans="1:28" ht="13" x14ac:dyDescent="0.3">
      <c r="A213" s="331"/>
      <c r="B213" s="374" t="s">
        <v>206</v>
      </c>
      <c r="C213" s="375">
        <f>SUM(D213:U213)</f>
        <v>187194953.38401383</v>
      </c>
      <c r="D213" s="341">
        <f>+SUM(D187:D211)</f>
        <v>17618063.17183331</v>
      </c>
      <c r="E213" s="341">
        <f t="shared" ref="E213:U213" si="34">+SUM(E187:E211)</f>
        <v>57245757.360035338</v>
      </c>
      <c r="F213" s="341">
        <f t="shared" si="34"/>
        <v>87996169.734278843</v>
      </c>
      <c r="G213" s="341">
        <f t="shared" si="34"/>
        <v>12375716.714119798</v>
      </c>
      <c r="H213" s="341">
        <f t="shared" si="34"/>
        <v>1056041.2527938955</v>
      </c>
      <c r="I213" s="341">
        <f t="shared" si="34"/>
        <v>1707696.2636722163</v>
      </c>
      <c r="J213" s="341">
        <f t="shared" si="34"/>
        <v>258085.06059806622</v>
      </c>
      <c r="K213" s="341">
        <f t="shared" si="34"/>
        <v>1848108.3554708438</v>
      </c>
      <c r="L213" s="341">
        <f t="shared" si="34"/>
        <v>1042234.7152874367</v>
      </c>
      <c r="M213" s="341">
        <f t="shared" si="34"/>
        <v>618306.88844557654</v>
      </c>
      <c r="N213" s="341">
        <f t="shared" si="34"/>
        <v>484943.62688511697</v>
      </c>
      <c r="O213" s="341">
        <f t="shared" si="34"/>
        <v>400050.65753875801</v>
      </c>
      <c r="P213" s="341">
        <f t="shared" si="34"/>
        <v>967566.20949345012</v>
      </c>
      <c r="Q213" s="341">
        <f t="shared" si="34"/>
        <v>97130.615110815575</v>
      </c>
      <c r="R213" s="341">
        <f t="shared" si="34"/>
        <v>14466.18879909709</v>
      </c>
      <c r="S213" s="341">
        <f t="shared" si="34"/>
        <v>3131809.8141404218</v>
      </c>
      <c r="T213" s="341">
        <f t="shared" si="34"/>
        <v>302633.39511995926</v>
      </c>
      <c r="U213" s="341">
        <f t="shared" si="34"/>
        <v>30173.360390860638</v>
      </c>
      <c r="X213" s="323"/>
    </row>
    <row r="214" spans="1:28" ht="12.5" x14ac:dyDescent="0.25">
      <c r="A214" s="331"/>
      <c r="B214" s="322"/>
      <c r="C214" s="324"/>
      <c r="D214" s="320"/>
      <c r="E214" s="320"/>
      <c r="F214" s="320"/>
      <c r="G214" s="320"/>
      <c r="H214" s="320"/>
      <c r="I214" s="320"/>
      <c r="J214" s="320"/>
      <c r="K214" s="320"/>
      <c r="L214" s="320"/>
      <c r="M214" s="320"/>
      <c r="N214" s="320"/>
      <c r="O214" s="320"/>
      <c r="P214" s="320"/>
      <c r="Q214" s="320"/>
      <c r="R214" s="320"/>
      <c r="S214" s="320"/>
      <c r="T214" s="320"/>
      <c r="U214" s="320"/>
      <c r="X214" s="323"/>
    </row>
    <row r="215" spans="1:28" ht="13" x14ac:dyDescent="0.3">
      <c r="A215" s="331"/>
      <c r="B215" s="369" t="s">
        <v>214</v>
      </c>
      <c r="C215" s="324"/>
      <c r="D215" s="320"/>
      <c r="E215" s="320"/>
      <c r="F215" s="320"/>
      <c r="G215" s="320"/>
      <c r="H215" s="320"/>
      <c r="I215" s="320"/>
      <c r="J215" s="320"/>
      <c r="K215" s="320"/>
      <c r="L215" s="320"/>
      <c r="M215" s="320"/>
      <c r="N215" s="320"/>
      <c r="O215" s="320"/>
      <c r="P215" s="320"/>
      <c r="Q215" s="320"/>
      <c r="R215" s="320"/>
      <c r="S215" s="320"/>
      <c r="T215" s="320"/>
      <c r="U215" s="320"/>
      <c r="X215" s="323"/>
    </row>
    <row r="216" spans="1:28" ht="12.5" x14ac:dyDescent="0.25">
      <c r="A216" s="331">
        <v>5305</v>
      </c>
      <c r="B216" s="322" t="s">
        <v>310</v>
      </c>
      <c r="C216" s="319">
        <f t="shared" ref="C216:C223" si="35">SUM(D216:U216)</f>
        <v>65704.083976209906</v>
      </c>
      <c r="D216" s="343">
        <v>12284.221277583667</v>
      </c>
      <c r="E216" s="343">
        <v>25067.036975838706</v>
      </c>
      <c r="F216" s="343">
        <v>18065.016544971455</v>
      </c>
      <c r="G216" s="343">
        <v>4466.6391319431714</v>
      </c>
      <c r="H216" s="343">
        <v>532.95829911156068</v>
      </c>
      <c r="I216" s="343">
        <v>927.18344336011944</v>
      </c>
      <c r="J216" s="343">
        <v>173.87202830389046</v>
      </c>
      <c r="K216" s="343">
        <v>262.98075082433229</v>
      </c>
      <c r="L216" s="343">
        <v>462.54092837303443</v>
      </c>
      <c r="M216" s="343">
        <v>271.95321295308474</v>
      </c>
      <c r="N216" s="343">
        <v>70.775494215748267</v>
      </c>
      <c r="O216" s="343">
        <v>68.987424078198998</v>
      </c>
      <c r="P216" s="343">
        <v>772.04686144481616</v>
      </c>
      <c r="Q216" s="343">
        <v>69.423023328924273</v>
      </c>
      <c r="R216" s="343">
        <v>20.679498922781857</v>
      </c>
      <c r="S216" s="343">
        <v>1945.1049002999489</v>
      </c>
      <c r="T216" s="343">
        <v>212.42177370346081</v>
      </c>
      <c r="U216" s="343">
        <v>30.242406952990741</v>
      </c>
      <c r="X216" s="323" t="s">
        <v>51</v>
      </c>
    </row>
    <row r="217" spans="1:28" ht="12.5" x14ac:dyDescent="0.25">
      <c r="A217" s="331">
        <v>5310</v>
      </c>
      <c r="B217" s="322" t="s">
        <v>215</v>
      </c>
      <c r="C217" s="319">
        <f t="shared" si="35"/>
        <v>11289223.297461346</v>
      </c>
      <c r="D217" s="343">
        <v>87587.344672365012</v>
      </c>
      <c r="E217" s="343">
        <v>804954.05544866063</v>
      </c>
      <c r="F217" s="343">
        <v>8074370.1818479327</v>
      </c>
      <c r="G217" s="343">
        <v>1533744.8653262795</v>
      </c>
      <c r="H217" s="343">
        <v>418819.09432754049</v>
      </c>
      <c r="I217" s="343">
        <v>147426.44550366176</v>
      </c>
      <c r="J217" s="343">
        <v>89911.013053926261</v>
      </c>
      <c r="K217" s="343">
        <v>0</v>
      </c>
      <c r="L217" s="343">
        <v>0</v>
      </c>
      <c r="M217" s="343">
        <v>0</v>
      </c>
      <c r="N217" s="343">
        <v>0</v>
      </c>
      <c r="O217" s="343">
        <v>0</v>
      </c>
      <c r="P217" s="343">
        <v>2708.4829685471</v>
      </c>
      <c r="Q217" s="343">
        <v>8550.3089791388829</v>
      </c>
      <c r="R217" s="343">
        <v>5576.2884646557932</v>
      </c>
      <c r="S217" s="343">
        <v>13409.646069767503</v>
      </c>
      <c r="T217" s="343">
        <v>21309.38806136321</v>
      </c>
      <c r="U217" s="343">
        <v>80856.182737509007</v>
      </c>
      <c r="X217" s="323" t="s">
        <v>49</v>
      </c>
    </row>
    <row r="218" spans="1:28" ht="12.5" x14ac:dyDescent="0.25">
      <c r="A218" s="331">
        <v>5315</v>
      </c>
      <c r="B218" s="322" t="s">
        <v>216</v>
      </c>
      <c r="C218" s="319">
        <f t="shared" si="35"/>
        <v>48977060.53750436</v>
      </c>
      <c r="D218" s="343">
        <v>9156889.6902383994</v>
      </c>
      <c r="E218" s="343">
        <v>18685441.043604549</v>
      </c>
      <c r="F218" s="343">
        <v>13466003.258708278</v>
      </c>
      <c r="G218" s="343">
        <v>3329516.8568756883</v>
      </c>
      <c r="H218" s="343">
        <v>397277.14473583607</v>
      </c>
      <c r="I218" s="343">
        <v>691139.98532058683</v>
      </c>
      <c r="J218" s="343">
        <v>129607.48161562819</v>
      </c>
      <c r="K218" s="343">
        <v>196030.80012477253</v>
      </c>
      <c r="L218" s="343">
        <v>344786.71155665279</v>
      </c>
      <c r="M218" s="343">
        <v>202719.04222871069</v>
      </c>
      <c r="N218" s="343">
        <v>52757.385157847973</v>
      </c>
      <c r="O218" s="343">
        <v>51424.524031532543</v>
      </c>
      <c r="P218" s="343">
        <v>575498.25798445288</v>
      </c>
      <c r="Q218" s="343">
        <v>51749.227909613975</v>
      </c>
      <c r="R218" s="343">
        <v>15414.88761936115</v>
      </c>
      <c r="S218" s="343">
        <v>1449917.7933639663</v>
      </c>
      <c r="T218" s="343">
        <v>158343.18721992159</v>
      </c>
      <c r="U218" s="343">
        <v>22543.259208556607</v>
      </c>
      <c r="X218" s="323" t="s">
        <v>51</v>
      </c>
    </row>
    <row r="219" spans="1:28" ht="12.5" x14ac:dyDescent="0.25">
      <c r="A219" s="331">
        <v>5320</v>
      </c>
      <c r="B219" s="322" t="s">
        <v>217</v>
      </c>
      <c r="C219" s="319">
        <f t="shared" si="35"/>
        <v>3294577.9928866299</v>
      </c>
      <c r="D219" s="343">
        <v>615963.61491822451</v>
      </c>
      <c r="E219" s="343">
        <v>1256928.083760761</v>
      </c>
      <c r="F219" s="343">
        <v>905828.10608463199</v>
      </c>
      <c r="G219" s="343">
        <v>223969.19789026305</v>
      </c>
      <c r="H219" s="343">
        <v>26723.950432289774</v>
      </c>
      <c r="I219" s="343">
        <v>46491.450500537125</v>
      </c>
      <c r="J219" s="343">
        <v>8718.4071881432919</v>
      </c>
      <c r="K219" s="343">
        <v>13186.55617407827</v>
      </c>
      <c r="L219" s="343">
        <v>23193.035671556048</v>
      </c>
      <c r="M219" s="343">
        <v>13636.459353340306</v>
      </c>
      <c r="N219" s="343">
        <v>3548.8720269398673</v>
      </c>
      <c r="O219" s="343">
        <v>3459.213421745088</v>
      </c>
      <c r="P219" s="343">
        <v>38712.48855876689</v>
      </c>
      <c r="Q219" s="343">
        <v>3481.0555298502254</v>
      </c>
      <c r="R219" s="343">
        <v>1036.9252249158278</v>
      </c>
      <c r="S219" s="343">
        <v>97532.746985780512</v>
      </c>
      <c r="T219" s="343">
        <v>10651.39422850433</v>
      </c>
      <c r="U219" s="343">
        <v>1516.4349363019969</v>
      </c>
      <c r="X219" s="323" t="s">
        <v>51</v>
      </c>
    </row>
    <row r="220" spans="1:28" ht="12.5" x14ac:dyDescent="0.25">
      <c r="A220" s="331">
        <v>5325</v>
      </c>
      <c r="B220" s="322" t="s">
        <v>218</v>
      </c>
      <c r="C220" s="319">
        <f t="shared" si="35"/>
        <v>0</v>
      </c>
      <c r="D220" s="343">
        <v>0</v>
      </c>
      <c r="E220" s="343">
        <v>0</v>
      </c>
      <c r="F220" s="343">
        <v>0</v>
      </c>
      <c r="G220" s="343">
        <v>0</v>
      </c>
      <c r="H220" s="343">
        <v>0</v>
      </c>
      <c r="I220" s="343">
        <v>0</v>
      </c>
      <c r="J220" s="343">
        <v>0</v>
      </c>
      <c r="K220" s="343">
        <v>0</v>
      </c>
      <c r="L220" s="343">
        <v>0</v>
      </c>
      <c r="M220" s="343">
        <v>0</v>
      </c>
      <c r="N220" s="343">
        <v>0</v>
      </c>
      <c r="O220" s="343">
        <v>0</v>
      </c>
      <c r="P220" s="343">
        <v>0</v>
      </c>
      <c r="Q220" s="343">
        <v>0</v>
      </c>
      <c r="R220" s="343">
        <v>0</v>
      </c>
      <c r="S220" s="343">
        <v>0</v>
      </c>
      <c r="T220" s="343">
        <v>0</v>
      </c>
      <c r="U220" s="343">
        <v>0</v>
      </c>
      <c r="X220" s="323" t="s">
        <v>51</v>
      </c>
    </row>
    <row r="221" spans="1:28" ht="12.5" x14ac:dyDescent="0.25">
      <c r="A221" s="331">
        <v>5330</v>
      </c>
      <c r="B221" s="322" t="s">
        <v>219</v>
      </c>
      <c r="C221" s="319">
        <f t="shared" si="35"/>
        <v>0</v>
      </c>
      <c r="D221" s="343">
        <v>0</v>
      </c>
      <c r="E221" s="343">
        <v>0</v>
      </c>
      <c r="F221" s="343">
        <v>0</v>
      </c>
      <c r="G221" s="343">
        <v>0</v>
      </c>
      <c r="H221" s="343">
        <v>0</v>
      </c>
      <c r="I221" s="343">
        <v>0</v>
      </c>
      <c r="J221" s="343">
        <v>0</v>
      </c>
      <c r="K221" s="343">
        <v>0</v>
      </c>
      <c r="L221" s="343">
        <v>0</v>
      </c>
      <c r="M221" s="343">
        <v>0</v>
      </c>
      <c r="N221" s="343">
        <v>0</v>
      </c>
      <c r="O221" s="343">
        <v>0</v>
      </c>
      <c r="P221" s="343">
        <v>0</v>
      </c>
      <c r="Q221" s="343">
        <v>0</v>
      </c>
      <c r="R221" s="343">
        <v>0</v>
      </c>
      <c r="S221" s="343">
        <v>0</v>
      </c>
      <c r="T221" s="343">
        <v>0</v>
      </c>
      <c r="U221" s="343">
        <v>0</v>
      </c>
      <c r="X221" s="323" t="s">
        <v>51</v>
      </c>
    </row>
    <row r="222" spans="1:28" ht="12.5" x14ac:dyDescent="0.25">
      <c r="A222" s="331">
        <v>5335</v>
      </c>
      <c r="B222" s="322" t="s">
        <v>311</v>
      </c>
      <c r="C222" s="319">
        <f t="shared" si="35"/>
        <v>17621645.283171654</v>
      </c>
      <c r="D222" s="343">
        <v>2142504.3426526506</v>
      </c>
      <c r="E222" s="343">
        <v>6999417.1066802992</v>
      </c>
      <c r="F222" s="343">
        <v>4605507.4800449545</v>
      </c>
      <c r="G222" s="343">
        <v>1307391.4316598203</v>
      </c>
      <c r="H222" s="343">
        <v>1434335.2306372498</v>
      </c>
      <c r="I222" s="343">
        <v>216298.66055046907</v>
      </c>
      <c r="J222" s="343">
        <v>257667.17313498232</v>
      </c>
      <c r="K222" s="343">
        <v>18656.972956203052</v>
      </c>
      <c r="L222" s="343">
        <v>24282.954604419847</v>
      </c>
      <c r="M222" s="343">
        <v>4793.5265497980299</v>
      </c>
      <c r="N222" s="343">
        <v>2825.3915147304042</v>
      </c>
      <c r="O222" s="343">
        <v>113281.72919854852</v>
      </c>
      <c r="P222" s="343">
        <v>146148.02687696277</v>
      </c>
      <c r="Q222" s="343">
        <v>15952.405011798273</v>
      </c>
      <c r="R222" s="343">
        <v>26972.757318916767</v>
      </c>
      <c r="S222" s="343">
        <v>256551.96536446776</v>
      </c>
      <c r="T222" s="343">
        <v>34198.481427858627</v>
      </c>
      <c r="U222" s="343">
        <v>14859.646987523296</v>
      </c>
      <c r="X222" s="323" t="s">
        <v>26</v>
      </c>
    </row>
    <row r="223" spans="1:28" s="210" customFormat="1" ht="12.5" x14ac:dyDescent="0.25">
      <c r="A223" s="333">
        <v>5340</v>
      </c>
      <c r="B223" s="332" t="s">
        <v>312</v>
      </c>
      <c r="C223" s="334">
        <f t="shared" si="35"/>
        <v>6369999.5306846872</v>
      </c>
      <c r="D223" s="335">
        <v>1190953.1194646549</v>
      </c>
      <c r="E223" s="335">
        <v>2430244.8814226533</v>
      </c>
      <c r="F223" s="335">
        <v>1751400.216688894</v>
      </c>
      <c r="G223" s="335">
        <v>433039.88812199148</v>
      </c>
      <c r="H223" s="335">
        <v>51670.214540155393</v>
      </c>
      <c r="I223" s="335">
        <v>89890.273810088765</v>
      </c>
      <c r="J223" s="335">
        <v>16856.862947758371</v>
      </c>
      <c r="K223" s="335">
        <v>25495.938120629678</v>
      </c>
      <c r="L223" s="335">
        <v>44843.262676419246</v>
      </c>
      <c r="M223" s="335">
        <v>26365.816765767384</v>
      </c>
      <c r="N223" s="335">
        <v>6861.6718726576155</v>
      </c>
      <c r="O223" s="335">
        <v>6688.3187833558259</v>
      </c>
      <c r="P223" s="335">
        <v>74849.809135924486</v>
      </c>
      <c r="Q223" s="335">
        <v>6730.5500550632478</v>
      </c>
      <c r="R223" s="335">
        <v>2004.8738291612301</v>
      </c>
      <c r="S223" s="335">
        <v>188577.58227828643</v>
      </c>
      <c r="T223" s="335">
        <v>20594.254069323819</v>
      </c>
      <c r="U223" s="335">
        <v>2931.9961019025677</v>
      </c>
      <c r="V223" s="336"/>
      <c r="W223" s="337"/>
      <c r="X223" s="323" t="s">
        <v>51</v>
      </c>
      <c r="Y223" s="337"/>
      <c r="Z223" s="337"/>
      <c r="AA223" s="337"/>
      <c r="AB223" s="337"/>
    </row>
    <row r="224" spans="1:28" ht="12.5" x14ac:dyDescent="0.25">
      <c r="A224" s="40"/>
      <c r="B224" s="390"/>
      <c r="C224" s="324"/>
      <c r="D224" s="320"/>
      <c r="E224" s="320"/>
      <c r="F224" s="320"/>
      <c r="G224" s="320"/>
      <c r="H224" s="320"/>
      <c r="I224" s="320"/>
      <c r="J224" s="320"/>
      <c r="K224" s="320"/>
      <c r="L224" s="320"/>
      <c r="M224" s="320"/>
      <c r="N224" s="320"/>
      <c r="O224" s="320"/>
      <c r="P224" s="320"/>
      <c r="Q224" s="320"/>
      <c r="R224" s="320"/>
      <c r="S224" s="320"/>
      <c r="T224" s="320"/>
      <c r="U224" s="320"/>
    </row>
    <row r="225" spans="1:21" ht="13" x14ac:dyDescent="0.3">
      <c r="A225" s="40"/>
      <c r="B225" s="374" t="s">
        <v>206</v>
      </c>
      <c r="C225" s="340">
        <f>+SUM(C216:C224)</f>
        <v>87618210.725684881</v>
      </c>
      <c r="D225" s="341">
        <f>+SUM(D216:D224)</f>
        <v>13206182.333223877</v>
      </c>
      <c r="E225" s="341">
        <f t="shared" ref="E225:U225" si="36">+SUM(E216:E224)</f>
        <v>30202052.207892764</v>
      </c>
      <c r="F225" s="341">
        <f t="shared" si="36"/>
        <v>28821174.259919662</v>
      </c>
      <c r="G225" s="341">
        <f t="shared" si="36"/>
        <v>6832128.8790059863</v>
      </c>
      <c r="H225" s="341">
        <f t="shared" si="36"/>
        <v>2329358.5929721831</v>
      </c>
      <c r="I225" s="341">
        <f t="shared" si="36"/>
        <v>1192173.9991287037</v>
      </c>
      <c r="J225" s="341">
        <f t="shared" si="36"/>
        <v>502934.80996874225</v>
      </c>
      <c r="K225" s="341">
        <f t="shared" si="36"/>
        <v>253633.24812650782</v>
      </c>
      <c r="L225" s="341">
        <f t="shared" si="36"/>
        <v>437568.50543742097</v>
      </c>
      <c r="M225" s="341">
        <f t="shared" si="36"/>
        <v>247786.79811056948</v>
      </c>
      <c r="N225" s="341">
        <f t="shared" si="36"/>
        <v>66064.096066391619</v>
      </c>
      <c r="O225" s="341">
        <f t="shared" si="36"/>
        <v>174922.77285926018</v>
      </c>
      <c r="P225" s="341">
        <f t="shared" si="36"/>
        <v>838689.11238609883</v>
      </c>
      <c r="Q225" s="341">
        <f t="shared" si="36"/>
        <v>86532.970508793514</v>
      </c>
      <c r="R225" s="341">
        <f t="shared" si="36"/>
        <v>51026.411955933552</v>
      </c>
      <c r="S225" s="341">
        <f t="shared" si="36"/>
        <v>2007934.8389625684</v>
      </c>
      <c r="T225" s="341">
        <f t="shared" si="36"/>
        <v>245309.12678067503</v>
      </c>
      <c r="U225" s="341">
        <f t="shared" si="36"/>
        <v>122737.76237874648</v>
      </c>
    </row>
    <row r="226" spans="1:21" ht="12.5" x14ac:dyDescent="0.25">
      <c r="A226" s="40"/>
      <c r="B226" s="266"/>
      <c r="C226" s="348"/>
      <c r="D226" s="320"/>
      <c r="E226" s="320"/>
      <c r="F226" s="320"/>
      <c r="G226" s="320"/>
      <c r="H226" s="320"/>
      <c r="I226" s="320"/>
      <c r="J226" s="320"/>
      <c r="K226" s="320"/>
      <c r="L226" s="320"/>
      <c r="M226" s="320"/>
      <c r="N226" s="320"/>
      <c r="O226" s="320"/>
      <c r="P226" s="320"/>
      <c r="Q226" s="320"/>
      <c r="R226" s="320"/>
      <c r="S226" s="320"/>
      <c r="T226" s="320"/>
      <c r="U226" s="320"/>
    </row>
    <row r="227" spans="1:21" ht="13" x14ac:dyDescent="0.3">
      <c r="A227" s="40"/>
      <c r="B227" s="374" t="s">
        <v>313</v>
      </c>
      <c r="C227" s="391">
        <f>C213+C225</f>
        <v>274813164.10969871</v>
      </c>
      <c r="D227" s="392">
        <f>D213+D225</f>
        <v>30824245.505057186</v>
      </c>
      <c r="E227" s="392">
        <f t="shared" ref="E227:U227" si="37">E213+E225</f>
        <v>87447809.567928106</v>
      </c>
      <c r="F227" s="392">
        <f t="shared" si="37"/>
        <v>116817343.9941985</v>
      </c>
      <c r="G227" s="392">
        <f t="shared" si="37"/>
        <v>19207845.593125783</v>
      </c>
      <c r="H227" s="392">
        <f t="shared" si="37"/>
        <v>3385399.8457660787</v>
      </c>
      <c r="I227" s="392">
        <f t="shared" si="37"/>
        <v>2899870.2628009198</v>
      </c>
      <c r="J227" s="392">
        <f t="shared" si="37"/>
        <v>761019.8705668085</v>
      </c>
      <c r="K227" s="392">
        <f t="shared" si="37"/>
        <v>2101741.6035973518</v>
      </c>
      <c r="L227" s="392">
        <f t="shared" si="37"/>
        <v>1479803.2207248576</v>
      </c>
      <c r="M227" s="392">
        <f t="shared" si="37"/>
        <v>866093.68655614601</v>
      </c>
      <c r="N227" s="392">
        <f t="shared" si="37"/>
        <v>551007.72295150859</v>
      </c>
      <c r="O227" s="392">
        <f t="shared" si="37"/>
        <v>574973.43039801822</v>
      </c>
      <c r="P227" s="392">
        <f t="shared" si="37"/>
        <v>1806255.321879549</v>
      </c>
      <c r="Q227" s="392">
        <f t="shared" si="37"/>
        <v>183663.5856196091</v>
      </c>
      <c r="R227" s="392">
        <f t="shared" si="37"/>
        <v>65492.600755030639</v>
      </c>
      <c r="S227" s="392">
        <f t="shared" si="37"/>
        <v>5139744.6531029902</v>
      </c>
      <c r="T227" s="392">
        <f t="shared" si="37"/>
        <v>547942.52190063428</v>
      </c>
      <c r="U227" s="392">
        <f t="shared" si="37"/>
        <v>152911.12276960711</v>
      </c>
    </row>
    <row r="228" spans="1:21" ht="12.5" x14ac:dyDescent="0.25">
      <c r="A228" s="40"/>
      <c r="B228" s="266"/>
      <c r="C228" s="348"/>
      <c r="D228" s="320"/>
      <c r="E228" s="320"/>
      <c r="F228" s="320"/>
      <c r="G228" s="320"/>
      <c r="H228" s="320"/>
      <c r="I228" s="320"/>
      <c r="J228" s="320"/>
      <c r="K228" s="320"/>
      <c r="L228" s="320"/>
      <c r="M228" s="320"/>
      <c r="N228" s="320"/>
      <c r="O228" s="320"/>
      <c r="P228" s="320"/>
      <c r="Q228" s="320"/>
      <c r="R228" s="320"/>
      <c r="S228" s="320"/>
      <c r="T228" s="320"/>
      <c r="U228" s="320"/>
    </row>
    <row r="229" spans="1:21" ht="13" x14ac:dyDescent="0.25">
      <c r="A229" s="40"/>
      <c r="B229" s="327" t="s">
        <v>314</v>
      </c>
      <c r="C229" s="319">
        <f t="shared" ref="C229:C234" si="38">SUM(D229:U229)</f>
        <v>166946584.85771587</v>
      </c>
      <c r="D229" s="325">
        <v>15804584.692189516</v>
      </c>
      <c r="E229" s="325">
        <v>49793531.329215266</v>
      </c>
      <c r="F229" s="325">
        <v>73884324.309770137</v>
      </c>
      <c r="G229" s="325">
        <v>11841479.40361825</v>
      </c>
      <c r="H229" s="325">
        <v>1866296.8412904709</v>
      </c>
      <c r="I229" s="325">
        <v>2138399.5234759636</v>
      </c>
      <c r="J229" s="325">
        <v>518190.43748148641</v>
      </c>
      <c r="K229" s="325">
        <v>1098991.6698894254</v>
      </c>
      <c r="L229" s="325">
        <v>670275.20790972863</v>
      </c>
      <c r="M229" s="325">
        <v>400117.4730114353</v>
      </c>
      <c r="N229" s="325">
        <v>1062951.0677636929</v>
      </c>
      <c r="O229" s="325">
        <v>1142037.6116143321</v>
      </c>
      <c r="P229" s="325">
        <v>1699104.8457337369</v>
      </c>
      <c r="Q229" s="325">
        <v>208966.5098583581</v>
      </c>
      <c r="R229" s="325">
        <v>52981.863912176254</v>
      </c>
      <c r="S229" s="325">
        <v>4145667.5180831244</v>
      </c>
      <c r="T229" s="325">
        <v>516627.34487948788</v>
      </c>
      <c r="U229" s="325">
        <v>102057.20801928309</v>
      </c>
    </row>
    <row r="230" spans="1:21" ht="26" x14ac:dyDescent="0.25">
      <c r="A230" s="40"/>
      <c r="B230" s="327" t="s">
        <v>315</v>
      </c>
      <c r="C230" s="319">
        <f t="shared" si="38"/>
        <v>43726938.36132364</v>
      </c>
      <c r="D230" s="325">
        <f t="shared" ref="D230:U230" si="39">IF(ISERROR(D171/(D28+D32)*D30),0,(D171/(D28+D32)*D30))</f>
        <v>3473149.4672864117</v>
      </c>
      <c r="E230" s="325">
        <f t="shared" si="39"/>
        <v>12726980.240783967</v>
      </c>
      <c r="F230" s="325">
        <f t="shared" si="39"/>
        <v>21947499.152743589</v>
      </c>
      <c r="G230" s="325">
        <f t="shared" si="39"/>
        <v>2924987.4764508423</v>
      </c>
      <c r="H230" s="325">
        <f t="shared" si="39"/>
        <v>204814.00943720553</v>
      </c>
      <c r="I230" s="325">
        <f t="shared" si="39"/>
        <v>360104.47089591721</v>
      </c>
      <c r="J230" s="325">
        <f t="shared" si="39"/>
        <v>35680.515228305121</v>
      </c>
      <c r="K230" s="325">
        <f t="shared" si="39"/>
        <v>397149.42320858507</v>
      </c>
      <c r="L230" s="325">
        <f t="shared" si="39"/>
        <v>582777.87358085695</v>
      </c>
      <c r="M230" s="325">
        <f t="shared" si="39"/>
        <v>142969.27891404435</v>
      </c>
      <c r="N230" s="325">
        <f t="shared" si="39"/>
        <v>117439.82355733808</v>
      </c>
      <c r="O230" s="325">
        <f t="shared" si="39"/>
        <v>-68593.637256549875</v>
      </c>
      <c r="P230" s="325">
        <f t="shared" si="39"/>
        <v>171741.4453342465</v>
      </c>
      <c r="Q230" s="325">
        <f t="shared" si="39"/>
        <v>15124.360243783427</v>
      </c>
      <c r="R230" s="325">
        <f t="shared" si="39"/>
        <v>797.28182662454208</v>
      </c>
      <c r="S230" s="325">
        <f t="shared" si="39"/>
        <v>638145.04661280988</v>
      </c>
      <c r="T230" s="325">
        <f t="shared" si="39"/>
        <v>54144.041897102703</v>
      </c>
      <c r="U230" s="325">
        <f t="shared" si="39"/>
        <v>2028.0905785553184</v>
      </c>
    </row>
    <row r="231" spans="1:21" ht="13" x14ac:dyDescent="0.25">
      <c r="A231" s="40"/>
      <c r="B231" s="349" t="s">
        <v>232</v>
      </c>
      <c r="C231" s="319">
        <f t="shared" si="38"/>
        <v>113615643.45012549</v>
      </c>
      <c r="D231" s="325">
        <f t="shared" ref="D231:U231" si="40">IF(ISERROR(D227/D36*D34),0,D227/D36*D34)</f>
        <v>12455456.121205376</v>
      </c>
      <c r="E231" s="325">
        <f t="shared" si="40"/>
        <v>35766369.890398279</v>
      </c>
      <c r="F231" s="325">
        <f t="shared" si="40"/>
        <v>48593441.666099809</v>
      </c>
      <c r="G231" s="325">
        <f t="shared" si="40"/>
        <v>8105657.389757392</v>
      </c>
      <c r="H231" s="325">
        <f t="shared" si="40"/>
        <v>1515483.2484138631</v>
      </c>
      <c r="I231" s="325">
        <f t="shared" si="40"/>
        <v>1222822.8394135071</v>
      </c>
      <c r="J231" s="325">
        <f t="shared" si="40"/>
        <v>340147.11170318496</v>
      </c>
      <c r="K231" s="325">
        <f t="shared" si="40"/>
        <v>867822.76877305983</v>
      </c>
      <c r="L231" s="325">
        <f t="shared" si="40"/>
        <v>599221.3023324915</v>
      </c>
      <c r="M231" s="325">
        <f t="shared" si="40"/>
        <v>352877.68480149901</v>
      </c>
      <c r="N231" s="325">
        <f t="shared" si="40"/>
        <v>312369.72683653003</v>
      </c>
      <c r="O231" s="325">
        <f t="shared" si="40"/>
        <v>256615.97175963974</v>
      </c>
      <c r="P231" s="325">
        <f t="shared" si="40"/>
        <v>727583.99123208481</v>
      </c>
      <c r="Q231" s="325">
        <f t="shared" si="40"/>
        <v>76622.489462575832</v>
      </c>
      <c r="R231" s="325">
        <f t="shared" si="40"/>
        <v>31094.15344902236</v>
      </c>
      <c r="S231" s="325">
        <f t="shared" si="40"/>
        <v>2093601.1168025371</v>
      </c>
      <c r="T231" s="325">
        <f t="shared" si="40"/>
        <v>229988.40519646506</v>
      </c>
      <c r="U231" s="325">
        <f t="shared" si="40"/>
        <v>68467.572488145306</v>
      </c>
    </row>
    <row r="232" spans="1:21" ht="13" x14ac:dyDescent="0.25">
      <c r="A232" s="40"/>
      <c r="B232" s="349" t="s">
        <v>223</v>
      </c>
      <c r="C232" s="319">
        <f t="shared" si="38"/>
        <v>14209888.59797349</v>
      </c>
      <c r="D232" s="343">
        <v>1142801.9281190028</v>
      </c>
      <c r="E232" s="343">
        <v>4169772.6636394006</v>
      </c>
      <c r="F232" s="343">
        <v>7175177.0498031955</v>
      </c>
      <c r="G232" s="343">
        <v>961830.47507878602</v>
      </c>
      <c r="H232" s="343">
        <v>67300.525811734944</v>
      </c>
      <c r="I232" s="343">
        <v>118928.41322947128</v>
      </c>
      <c r="J232" s="343">
        <v>11738.003833123717</v>
      </c>
      <c r="K232" s="343">
        <v>129760.94279240487</v>
      </c>
      <c r="L232" s="343">
        <v>78961.631204014877</v>
      </c>
      <c r="M232" s="343">
        <v>46585.237434366391</v>
      </c>
      <c r="N232" s="343">
        <v>40789.302663651622</v>
      </c>
      <c r="O232" s="343">
        <v>-22568.975941839279</v>
      </c>
      <c r="P232" s="343">
        <v>56317.055217064277</v>
      </c>
      <c r="Q232" s="343">
        <v>4973.1575097590885</v>
      </c>
      <c r="R232" s="343">
        <v>262.34906870185648</v>
      </c>
      <c r="S232" s="343">
        <v>208805.56083206681</v>
      </c>
      <c r="T232" s="343">
        <v>17786.331084113273</v>
      </c>
      <c r="U232" s="343">
        <v>666.9465944690719</v>
      </c>
    </row>
    <row r="233" spans="1:21" ht="13" x14ac:dyDescent="0.25">
      <c r="A233" s="40"/>
      <c r="B233" s="349" t="s">
        <v>224</v>
      </c>
      <c r="C233" s="319">
        <f t="shared" si="38"/>
        <v>83878343.327726781</v>
      </c>
      <c r="D233" s="343">
        <v>6745748.3442920297</v>
      </c>
      <c r="E233" s="343">
        <v>24613396.556057077</v>
      </c>
      <c r="F233" s="343">
        <v>42353742.597704001</v>
      </c>
      <c r="G233" s="343">
        <v>5677507.3397292159</v>
      </c>
      <c r="H233" s="343">
        <v>397262.55214824824</v>
      </c>
      <c r="I233" s="343">
        <v>702012.41955591331</v>
      </c>
      <c r="J233" s="343">
        <v>69287.264900678783</v>
      </c>
      <c r="K233" s="343">
        <v>765954.837367484</v>
      </c>
      <c r="L233" s="343">
        <v>466095.89978011884</v>
      </c>
      <c r="M233" s="343">
        <v>274984.03753008397</v>
      </c>
      <c r="N233" s="343">
        <v>240771.70692304071</v>
      </c>
      <c r="O233" s="343">
        <v>-133220.4893481553</v>
      </c>
      <c r="P233" s="343">
        <v>332429.15735293907</v>
      </c>
      <c r="Q233" s="343">
        <v>29355.628663121613</v>
      </c>
      <c r="R233" s="343">
        <v>1548.5980135989205</v>
      </c>
      <c r="S233" s="343">
        <v>1232540.5930844804</v>
      </c>
      <c r="T233" s="343">
        <v>104989.42162197064</v>
      </c>
      <c r="U233" s="343">
        <v>3936.8623509204053</v>
      </c>
    </row>
    <row r="234" spans="1:21" ht="13" x14ac:dyDescent="0.25">
      <c r="A234" s="40"/>
      <c r="B234" s="349" t="s">
        <v>225</v>
      </c>
      <c r="C234" s="319">
        <f t="shared" si="38"/>
        <v>119501456.73711213</v>
      </c>
      <c r="D234" s="343">
        <v>9610666.1379229594</v>
      </c>
      <c r="E234" s="343">
        <v>35066700.497466236</v>
      </c>
      <c r="F234" s="343">
        <v>60341367.48408141</v>
      </c>
      <c r="G234" s="343">
        <v>8088743.4207229139</v>
      </c>
      <c r="H234" s="343">
        <v>565979.86804927583</v>
      </c>
      <c r="I234" s="343">
        <v>1000156.935106577</v>
      </c>
      <c r="J234" s="343">
        <v>98713.550607577228</v>
      </c>
      <c r="K234" s="343">
        <v>1091255.6832771299</v>
      </c>
      <c r="L234" s="343">
        <v>664046.72282681288</v>
      </c>
      <c r="M234" s="343">
        <v>391769.69597389793</v>
      </c>
      <c r="N234" s="343">
        <v>343027.39630854578</v>
      </c>
      <c r="O234" s="343">
        <v>-189799.20099438794</v>
      </c>
      <c r="P234" s="343">
        <v>473611.74517183355</v>
      </c>
      <c r="Q234" s="343">
        <v>41822.957506090148</v>
      </c>
      <c r="R234" s="343">
        <v>2206.2872391531369</v>
      </c>
      <c r="S234" s="343">
        <v>1756000.3037462395</v>
      </c>
      <c r="T234" s="343">
        <v>149578.40520039247</v>
      </c>
      <c r="U234" s="343">
        <v>5608.846899494798</v>
      </c>
    </row>
    <row r="235" spans="1:21" ht="13" x14ac:dyDescent="0.25">
      <c r="A235" s="40"/>
      <c r="B235" s="349"/>
      <c r="C235" s="319"/>
      <c r="D235" s="343"/>
      <c r="E235" s="343"/>
      <c r="F235" s="343"/>
      <c r="G235" s="343"/>
      <c r="H235" s="343"/>
      <c r="I235" s="343"/>
      <c r="J235" s="343"/>
      <c r="K235" s="343"/>
      <c r="L235" s="343"/>
      <c r="M235" s="343"/>
      <c r="N235" s="343"/>
      <c r="O235" s="343"/>
      <c r="P235" s="343"/>
      <c r="Q235" s="343"/>
      <c r="R235" s="343"/>
      <c r="S235" s="343"/>
      <c r="T235" s="343"/>
      <c r="U235" s="343"/>
    </row>
    <row r="236" spans="1:21" ht="13" x14ac:dyDescent="0.25">
      <c r="A236" s="40"/>
      <c r="B236" s="349" t="s">
        <v>316</v>
      </c>
      <c r="C236" s="319">
        <f>SUM(D236:U236)</f>
        <v>25368063.661147155</v>
      </c>
      <c r="D236" s="343">
        <v>0</v>
      </c>
      <c r="E236" s="343">
        <v>0</v>
      </c>
      <c r="F236" s="343">
        <v>0</v>
      </c>
      <c r="G236" s="343">
        <v>17390927.360662159</v>
      </c>
      <c r="H236" s="343">
        <v>2432258.4569251998</v>
      </c>
      <c r="I236" s="343">
        <v>3833035.2128927726</v>
      </c>
      <c r="J236" s="343">
        <v>346520.21288250247</v>
      </c>
      <c r="K236" s="343">
        <v>0</v>
      </c>
      <c r="L236" s="343">
        <v>0</v>
      </c>
      <c r="M236" s="343">
        <v>0</v>
      </c>
      <c r="N236" s="343">
        <v>0</v>
      </c>
      <c r="O236" s="343">
        <v>0</v>
      </c>
      <c r="P236" s="343">
        <v>0</v>
      </c>
      <c r="Q236" s="343">
        <v>327500.46281657199</v>
      </c>
      <c r="R236" s="343">
        <v>32001.489023592691</v>
      </c>
      <c r="S236" s="343">
        <v>0</v>
      </c>
      <c r="T236" s="343">
        <v>948942.76881841174</v>
      </c>
      <c r="U236" s="343">
        <v>56877.697125943014</v>
      </c>
    </row>
    <row r="237" spans="1:21" ht="13" x14ac:dyDescent="0.25">
      <c r="A237" s="40"/>
      <c r="B237" s="349" t="s">
        <v>317</v>
      </c>
      <c r="C237" s="319">
        <f>SUM(D237:U237)</f>
        <v>111337422.19797015</v>
      </c>
      <c r="D237" s="343">
        <v>7211372.3024097579</v>
      </c>
      <c r="E237" s="343">
        <v>30348321.00286511</v>
      </c>
      <c r="F237" s="343">
        <v>58380666.657904781</v>
      </c>
      <c r="G237" s="343">
        <v>9327983.1418943498</v>
      </c>
      <c r="H237" s="343">
        <v>573724.23719632486</v>
      </c>
      <c r="I237" s="343">
        <v>806247.09848441894</v>
      </c>
      <c r="J237" s="343">
        <v>85060.992938438372</v>
      </c>
      <c r="K237" s="343">
        <v>1343766.6818036817</v>
      </c>
      <c r="L237" s="343">
        <v>0</v>
      </c>
      <c r="M237" s="343">
        <v>0</v>
      </c>
      <c r="N237" s="343">
        <v>69287.010288649806</v>
      </c>
      <c r="O237" s="343">
        <v>1697.2157106148031</v>
      </c>
      <c r="P237" s="343">
        <v>688142.66003981477</v>
      </c>
      <c r="Q237" s="343">
        <v>58085.618614881518</v>
      </c>
      <c r="R237" s="343">
        <v>6662.1189037500117</v>
      </c>
      <c r="S237" s="343">
        <v>2216864.3293930092</v>
      </c>
      <c r="T237" s="343">
        <v>207360.75948284019</v>
      </c>
      <c r="U237" s="343">
        <v>12180.370039700132</v>
      </c>
    </row>
    <row r="238" spans="1:21" ht="13" x14ac:dyDescent="0.25">
      <c r="A238" s="40"/>
      <c r="B238" s="349" t="s">
        <v>318</v>
      </c>
      <c r="C238" s="319">
        <f>SUM(D238:U238)</f>
        <v>71577712.687892273</v>
      </c>
      <c r="D238" s="343">
        <v>4692735.8171531195</v>
      </c>
      <c r="E238" s="343">
        <v>19760925.985520877</v>
      </c>
      <c r="F238" s="343">
        <v>37459762.268379375</v>
      </c>
      <c r="G238" s="343">
        <v>5861697.5405303221</v>
      </c>
      <c r="H238" s="343">
        <v>0</v>
      </c>
      <c r="I238" s="343">
        <v>504778.08197396446</v>
      </c>
      <c r="J238" s="343">
        <v>0</v>
      </c>
      <c r="K238" s="343">
        <v>1242886.3901707625</v>
      </c>
      <c r="L238" s="343">
        <v>0</v>
      </c>
      <c r="M238" s="343">
        <v>0</v>
      </c>
      <c r="N238" s="343">
        <v>0</v>
      </c>
      <c r="O238" s="343">
        <v>0</v>
      </c>
      <c r="P238" s="343">
        <v>453106.10563061194</v>
      </c>
      <c r="Q238" s="343">
        <v>35992.676675267983</v>
      </c>
      <c r="R238" s="343">
        <v>0</v>
      </c>
      <c r="S238" s="343">
        <v>1436887.8187497514</v>
      </c>
      <c r="T238" s="343">
        <v>128940.00310820379</v>
      </c>
      <c r="U238" s="343">
        <v>0</v>
      </c>
    </row>
    <row r="239" spans="1:21" ht="13" x14ac:dyDescent="0.25">
      <c r="A239" s="40"/>
      <c r="B239" s="349"/>
      <c r="C239" s="319"/>
      <c r="D239" s="343"/>
      <c r="E239" s="343"/>
      <c r="F239" s="343"/>
      <c r="G239" s="343"/>
      <c r="H239" s="343"/>
      <c r="I239" s="343"/>
      <c r="J239" s="343"/>
      <c r="K239" s="343"/>
      <c r="L239" s="343"/>
      <c r="M239" s="343"/>
      <c r="N239" s="343"/>
      <c r="O239" s="343"/>
      <c r="P239" s="343"/>
      <c r="Q239" s="343"/>
      <c r="R239" s="343"/>
      <c r="S239" s="343"/>
      <c r="T239" s="343"/>
      <c r="U239" s="343"/>
    </row>
    <row r="240" spans="1:21" ht="12.5" x14ac:dyDescent="0.25">
      <c r="A240" s="266"/>
      <c r="B240" s="265"/>
      <c r="C240" s="324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</row>
    <row r="241" spans="1:28" s="356" customFormat="1" ht="13.5" thickBot="1" x14ac:dyDescent="0.35">
      <c r="A241" s="350"/>
      <c r="B241" s="351" t="s">
        <v>5</v>
      </c>
      <c r="C241" s="393">
        <f>SUM(D241:U241)</f>
        <v>578463295.52239108</v>
      </c>
      <c r="D241" s="353">
        <f t="shared" ref="D241:U241" si="41">SUM(D227:D234) +D184 - D236-D237-D238</f>
        <v>65293657.223795302</v>
      </c>
      <c r="E241" s="353">
        <f t="shared" si="41"/>
        <v>191499291.55399838</v>
      </c>
      <c r="F241" s="353">
        <f t="shared" si="41"/>
        <v>265673308.09206873</v>
      </c>
      <c r="G241" s="353">
        <f t="shared" si="41"/>
        <v>21744054.579141416</v>
      </c>
      <c r="H241" s="353">
        <f t="shared" si="41"/>
        <v>3430776.3436528025</v>
      </c>
      <c r="I241" s="353">
        <f t="shared" si="41"/>
        <v>2882919.0027127047</v>
      </c>
      <c r="J241" s="353">
        <f t="shared" si="41"/>
        <v>1070726.8586264667</v>
      </c>
      <c r="K241" s="353">
        <f t="shared" si="41"/>
        <v>3741052.0253075138</v>
      </c>
      <c r="L241" s="353">
        <f t="shared" si="41"/>
        <v>1867774.3564412361</v>
      </c>
      <c r="M241" s="353">
        <f t="shared" si="41"/>
        <v>2426692.5543726054</v>
      </c>
      <c r="N241" s="353">
        <f t="shared" si="41"/>
        <v>2541695.6517611616</v>
      </c>
      <c r="O241" s="353">
        <f t="shared" si="41"/>
        <v>588861.9319762059</v>
      </c>
      <c r="P241" s="353">
        <f t="shared" si="41"/>
        <v>3957490.5165485181</v>
      </c>
      <c r="Q241" s="353">
        <f t="shared" si="41"/>
        <v>116652.62398798374</v>
      </c>
      <c r="R241" s="353">
        <f t="shared" si="41"/>
        <v>80237.857097942731</v>
      </c>
      <c r="S241" s="353">
        <f t="shared" si="41"/>
        <v>11099087.458613934</v>
      </c>
      <c r="T241" s="353">
        <f t="shared" si="41"/>
        <v>256431.66482489856</v>
      </c>
      <c r="U241" s="353">
        <f t="shared" si="41"/>
        <v>192585.22746318171</v>
      </c>
      <c r="V241" s="354"/>
      <c r="W241" s="355"/>
      <c r="X241" s="355"/>
      <c r="Y241" s="355"/>
      <c r="Z241" s="355"/>
      <c r="AA241" s="355"/>
      <c r="AB241" s="355"/>
    </row>
    <row r="242" spans="1:28" ht="10.5" thickTop="1" x14ac:dyDescent="0.2">
      <c r="D242" s="263"/>
      <c r="E242" s="262"/>
    </row>
    <row r="243" spans="1:28" x14ac:dyDescent="0.2">
      <c r="D243" s="263"/>
      <c r="E243" s="262"/>
    </row>
    <row r="244" spans="1:28" s="400" customFormat="1" x14ac:dyDescent="0.2">
      <c r="A244" s="394"/>
      <c r="B244" s="395"/>
      <c r="C244" s="396"/>
      <c r="D244" s="397"/>
      <c r="E244" s="398"/>
      <c r="F244" s="398"/>
      <c r="G244" s="397"/>
      <c r="H244" s="398"/>
      <c r="I244" s="398"/>
      <c r="J244" s="398"/>
      <c r="K244" s="398"/>
      <c r="L244" s="398"/>
      <c r="M244" s="398"/>
      <c r="N244" s="398"/>
      <c r="O244" s="398"/>
      <c r="P244" s="398"/>
      <c r="Q244" s="398"/>
      <c r="R244" s="398"/>
      <c r="S244" s="398"/>
      <c r="T244" s="398"/>
      <c r="U244" s="398"/>
      <c r="V244" s="396"/>
      <c r="W244" s="399"/>
      <c r="X244" s="399"/>
      <c r="Y244" s="399"/>
      <c r="Z244" s="399"/>
      <c r="AA244" s="399"/>
      <c r="AB244" s="399"/>
    </row>
    <row r="245" spans="1:28" ht="15.5" x14ac:dyDescent="0.35">
      <c r="A245" s="476" t="s">
        <v>319</v>
      </c>
      <c r="B245" s="476"/>
      <c r="C245" s="476"/>
    </row>
    <row r="246" spans="1:28" s="400" customFormat="1" x14ac:dyDescent="0.2">
      <c r="A246" s="394"/>
      <c r="B246" s="395"/>
      <c r="C246" s="396"/>
      <c r="D246" s="397"/>
      <c r="E246" s="398"/>
      <c r="F246" s="398"/>
      <c r="G246" s="397"/>
      <c r="H246" s="398"/>
      <c r="I246" s="398"/>
      <c r="J246" s="398"/>
      <c r="K246" s="398"/>
      <c r="L246" s="398"/>
      <c r="M246" s="398"/>
      <c r="N246" s="398"/>
      <c r="O246" s="398"/>
      <c r="P246" s="398"/>
      <c r="Q246" s="398"/>
      <c r="R246" s="398"/>
      <c r="S246" s="398"/>
      <c r="T246" s="398"/>
      <c r="U246" s="398"/>
      <c r="V246" s="396"/>
      <c r="W246" s="399"/>
      <c r="X246" s="399"/>
      <c r="Y246" s="399"/>
      <c r="Z246" s="399"/>
      <c r="AA246" s="399"/>
      <c r="AB246" s="399"/>
    </row>
    <row r="247" spans="1:28" ht="23" x14ac:dyDescent="0.2">
      <c r="A247" s="472" t="s">
        <v>190</v>
      </c>
      <c r="B247" s="472"/>
    </row>
    <row r="248" spans="1:28" ht="15.5" x14ac:dyDescent="0.35">
      <c r="A248" s="314" t="s">
        <v>191</v>
      </c>
      <c r="B248" s="314"/>
    </row>
    <row r="249" spans="1:28" ht="15.5" x14ac:dyDescent="0.35">
      <c r="A249" s="477"/>
      <c r="B249" s="477"/>
    </row>
    <row r="250" spans="1:28" ht="13" x14ac:dyDescent="0.3">
      <c r="A250" s="299"/>
      <c r="B250" s="299"/>
    </row>
    <row r="251" spans="1:28" ht="13" x14ac:dyDescent="0.2">
      <c r="A251" s="401"/>
      <c r="B251" s="316" t="s">
        <v>193</v>
      </c>
      <c r="C251" s="295" t="str">
        <f t="shared" ref="C251:O251" si="42">C43</f>
        <v>Total</v>
      </c>
      <c r="D251" s="295" t="str">
        <f t="shared" si="42"/>
        <v>UR</v>
      </c>
      <c r="E251" s="295" t="str">
        <f t="shared" si="42"/>
        <v>R1</v>
      </c>
      <c r="F251" s="295" t="str">
        <f t="shared" si="42"/>
        <v>R2</v>
      </c>
      <c r="G251" s="295" t="str">
        <f t="shared" si="42"/>
        <v>GSe</v>
      </c>
      <c r="H251" s="295" t="str">
        <f t="shared" si="42"/>
        <v>GSd</v>
      </c>
      <c r="I251" s="295" t="str">
        <f t="shared" si="42"/>
        <v>UGe</v>
      </c>
      <c r="J251" s="295" t="str">
        <f t="shared" si="42"/>
        <v>UGd</v>
      </c>
      <c r="K251" s="295" t="str">
        <f t="shared" si="42"/>
        <v>St Lgt</v>
      </c>
      <c r="L251" s="295" t="str">
        <f t="shared" si="42"/>
        <v>Sen Lgt</v>
      </c>
      <c r="M251" s="295" t="str">
        <f t="shared" si="42"/>
        <v>USL</v>
      </c>
      <c r="N251" s="295" t="str">
        <f t="shared" si="42"/>
        <v>DGen</v>
      </c>
      <c r="O251" s="295" t="str">
        <f t="shared" si="42"/>
        <v>ST</v>
      </c>
      <c r="P251" s="271" t="s">
        <v>65</v>
      </c>
      <c r="Q251" s="271" t="s">
        <v>331</v>
      </c>
      <c r="R251" s="271" t="s">
        <v>332</v>
      </c>
      <c r="S251" s="271" t="s">
        <v>66</v>
      </c>
      <c r="T251" s="271" t="s">
        <v>333</v>
      </c>
      <c r="U251" s="271" t="s">
        <v>334</v>
      </c>
    </row>
    <row r="252" spans="1:28" ht="13" x14ac:dyDescent="0.3">
      <c r="A252" s="317"/>
      <c r="B252" s="318" t="s">
        <v>194</v>
      </c>
      <c r="C252" s="402"/>
    </row>
    <row r="253" spans="1:28" ht="12.5" x14ac:dyDescent="0.25">
      <c r="A253" s="322"/>
      <c r="B253" s="403" t="s">
        <v>47</v>
      </c>
      <c r="C253" s="404">
        <f t="shared" ref="C253:U253" si="43">C45</f>
        <v>688090726.53126025</v>
      </c>
      <c r="D253" s="404">
        <f t="shared" si="43"/>
        <v>105213575.0187066</v>
      </c>
      <c r="E253" s="404">
        <f t="shared" si="43"/>
        <v>235044988.94220915</v>
      </c>
      <c r="F253" s="404">
        <f t="shared" si="43"/>
        <v>185318650.00256997</v>
      </c>
      <c r="G253" s="404">
        <f t="shared" si="43"/>
        <v>68688225.671614796</v>
      </c>
      <c r="H253" s="404">
        <f t="shared" si="43"/>
        <v>18338345.85888629</v>
      </c>
      <c r="I253" s="404">
        <f t="shared" si="43"/>
        <v>21235809.937446747</v>
      </c>
      <c r="J253" s="404">
        <f t="shared" si="43"/>
        <v>5308450.3843202246</v>
      </c>
      <c r="K253" s="404">
        <f t="shared" si="43"/>
        <v>0</v>
      </c>
      <c r="L253" s="404">
        <f t="shared" si="43"/>
        <v>0</v>
      </c>
      <c r="M253" s="404">
        <f t="shared" si="43"/>
        <v>0</v>
      </c>
      <c r="N253" s="404">
        <f t="shared" si="43"/>
        <v>14644016.505160149</v>
      </c>
      <c r="O253" s="404">
        <f t="shared" si="43"/>
        <v>7618239.3718511397</v>
      </c>
      <c r="P253" s="404">
        <f t="shared" si="43"/>
        <v>7090725.0516909054</v>
      </c>
      <c r="Q253" s="404">
        <f t="shared" si="43"/>
        <v>1558868.8351465357</v>
      </c>
      <c r="R253" s="404">
        <f t="shared" si="43"/>
        <v>424715.07666496927</v>
      </c>
      <c r="S253" s="404">
        <f t="shared" si="43"/>
        <v>13694687.930010043</v>
      </c>
      <c r="T253" s="404">
        <f t="shared" si="43"/>
        <v>3032652.7847565091</v>
      </c>
      <c r="U253" s="404">
        <f t="shared" si="43"/>
        <v>878775.16022634774</v>
      </c>
      <c r="V253" s="405"/>
    </row>
    <row r="254" spans="1:28" ht="12.5" x14ac:dyDescent="0.25">
      <c r="A254" s="266"/>
      <c r="B254" s="265"/>
      <c r="C254" s="406"/>
      <c r="D254" s="406"/>
      <c r="E254" s="406"/>
      <c r="F254" s="406"/>
      <c r="G254" s="406"/>
      <c r="H254" s="406"/>
      <c r="I254" s="406"/>
      <c r="J254" s="40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/>
      <c r="V254" s="407"/>
    </row>
    <row r="255" spans="1:28" ht="13" x14ac:dyDescent="0.25">
      <c r="A255" s="322"/>
      <c r="B255" s="318" t="s">
        <v>196</v>
      </c>
      <c r="C255" s="406"/>
      <c r="D255" s="406"/>
      <c r="E255" s="406"/>
      <c r="F255" s="406"/>
      <c r="G255" s="406"/>
      <c r="H255" s="406"/>
      <c r="I255" s="406"/>
      <c r="J255" s="406"/>
      <c r="K255" s="406"/>
      <c r="L255" s="406"/>
      <c r="M255" s="406"/>
      <c r="N255" s="406"/>
      <c r="O255" s="406"/>
      <c r="P255" s="406"/>
      <c r="Q255" s="406"/>
      <c r="R255" s="406"/>
      <c r="S255" s="406"/>
      <c r="T255" s="406"/>
      <c r="U255" s="406"/>
      <c r="V255" s="407"/>
    </row>
    <row r="256" spans="1:28" ht="25" x14ac:dyDescent="0.25">
      <c r="A256" s="322"/>
      <c r="B256" s="323" t="s">
        <v>197</v>
      </c>
      <c r="C256" s="406">
        <f t="shared" ref="C256:U257" si="44">C48</f>
        <v>-303481139.95424384</v>
      </c>
      <c r="D256" s="406">
        <f t="shared" si="44"/>
        <v>-46404252.308852784</v>
      </c>
      <c r="E256" s="406">
        <f t="shared" si="44"/>
        <v>-103666156.85159016</v>
      </c>
      <c r="F256" s="406">
        <f t="shared" si="44"/>
        <v>-81734447.201573238</v>
      </c>
      <c r="G256" s="406">
        <f t="shared" si="44"/>
        <v>-30294814.65814957</v>
      </c>
      <c r="H256" s="406">
        <f t="shared" si="44"/>
        <v>-8088093.4614327513</v>
      </c>
      <c r="I256" s="406">
        <f t="shared" si="44"/>
        <v>-9366014.624490384</v>
      </c>
      <c r="J256" s="406">
        <f t="shared" si="44"/>
        <v>-2341282.2058296646</v>
      </c>
      <c r="K256" s="406">
        <f t="shared" si="44"/>
        <v>0</v>
      </c>
      <c r="L256" s="406">
        <f t="shared" si="44"/>
        <v>0</v>
      </c>
      <c r="M256" s="406">
        <f t="shared" si="44"/>
        <v>0</v>
      </c>
      <c r="N256" s="406">
        <f t="shared" si="44"/>
        <v>-6458716.3452970358</v>
      </c>
      <c r="O256" s="406">
        <f t="shared" si="44"/>
        <v>-3360010.3589081741</v>
      </c>
      <c r="P256" s="406">
        <f t="shared" si="44"/>
        <v>-3127351.1454473999</v>
      </c>
      <c r="Q256" s="406">
        <f t="shared" si="44"/>
        <v>-687536.2112701314</v>
      </c>
      <c r="R256" s="406">
        <f t="shared" si="44"/>
        <v>-187319.79759675375</v>
      </c>
      <c r="S256" s="406">
        <f t="shared" si="44"/>
        <v>-6040016.7362642959</v>
      </c>
      <c r="T256" s="406">
        <f t="shared" si="44"/>
        <v>-1337545.8914305032</v>
      </c>
      <c r="U256" s="406">
        <f t="shared" si="44"/>
        <v>-387582.1561109926</v>
      </c>
      <c r="V256" s="407"/>
    </row>
    <row r="257" spans="1:22" ht="13" x14ac:dyDescent="0.25">
      <c r="A257" s="322"/>
      <c r="B257" s="327" t="s">
        <v>198</v>
      </c>
      <c r="C257" s="406">
        <f t="shared" si="44"/>
        <v>384609586.57701653</v>
      </c>
      <c r="D257" s="406">
        <f t="shared" si="44"/>
        <v>58809322.709853821</v>
      </c>
      <c r="E257" s="406">
        <f t="shared" si="44"/>
        <v>131378832.090619</v>
      </c>
      <c r="F257" s="406">
        <f t="shared" si="44"/>
        <v>103584202.80099674</v>
      </c>
      <c r="G257" s="406">
        <f t="shared" si="44"/>
        <v>38393411.013465226</v>
      </c>
      <c r="H257" s="406">
        <f t="shared" si="44"/>
        <v>10250252.397453539</v>
      </c>
      <c r="I257" s="406">
        <f t="shared" si="44"/>
        <v>11869795.312956363</v>
      </c>
      <c r="J257" s="406">
        <f t="shared" si="44"/>
        <v>2967168.17849056</v>
      </c>
      <c r="K257" s="406">
        <f t="shared" si="44"/>
        <v>0</v>
      </c>
      <c r="L257" s="406">
        <f t="shared" si="44"/>
        <v>0</v>
      </c>
      <c r="M257" s="406">
        <f t="shared" si="44"/>
        <v>0</v>
      </c>
      <c r="N257" s="406">
        <f t="shared" si="44"/>
        <v>8185300.1598631134</v>
      </c>
      <c r="O257" s="406">
        <f t="shared" si="44"/>
        <v>4258229.0129429661</v>
      </c>
      <c r="P257" s="406">
        <f t="shared" si="44"/>
        <v>3963373.9062435054</v>
      </c>
      <c r="Q257" s="406">
        <f t="shared" si="44"/>
        <v>871332.62387640425</v>
      </c>
      <c r="R257" s="406">
        <f t="shared" si="44"/>
        <v>237395.27906821552</v>
      </c>
      <c r="S257" s="406">
        <f t="shared" si="44"/>
        <v>7654671.1937457472</v>
      </c>
      <c r="T257" s="406">
        <f t="shared" si="44"/>
        <v>1695106.8933260059</v>
      </c>
      <c r="U257" s="406">
        <f t="shared" si="44"/>
        <v>491193.00411535514</v>
      </c>
      <c r="V257" s="407"/>
    </row>
    <row r="258" spans="1:22" ht="12.5" x14ac:dyDescent="0.25">
      <c r="A258" s="266"/>
      <c r="B258" s="265"/>
      <c r="C258" s="406"/>
      <c r="D258" s="406"/>
      <c r="E258" s="406"/>
      <c r="F258" s="406"/>
      <c r="G258" s="406"/>
      <c r="H258" s="406"/>
      <c r="I258" s="406"/>
      <c r="J258" s="406"/>
      <c r="K258" s="406"/>
      <c r="L258" s="406"/>
      <c r="M258" s="406"/>
      <c r="N258" s="406"/>
      <c r="O258" s="406"/>
      <c r="P258" s="406"/>
      <c r="Q258" s="406"/>
      <c r="R258" s="406"/>
      <c r="S258" s="406"/>
      <c r="T258" s="406"/>
      <c r="U258" s="406"/>
      <c r="V258" s="407"/>
    </row>
    <row r="259" spans="1:22" ht="13" x14ac:dyDescent="0.25">
      <c r="A259" s="330"/>
      <c r="B259" s="318" t="s">
        <v>199</v>
      </c>
      <c r="C259" s="406"/>
      <c r="D259" s="406"/>
      <c r="E259" s="406"/>
      <c r="F259" s="406"/>
      <c r="G259" s="406"/>
      <c r="H259" s="406"/>
      <c r="I259" s="406"/>
      <c r="J259" s="406"/>
      <c r="K259" s="406"/>
      <c r="L259" s="406"/>
      <c r="M259" s="406"/>
      <c r="N259" s="406"/>
      <c r="O259" s="406"/>
      <c r="P259" s="406"/>
      <c r="Q259" s="406"/>
      <c r="R259" s="406"/>
      <c r="S259" s="406"/>
      <c r="T259" s="406"/>
      <c r="U259" s="406"/>
      <c r="V259" s="407"/>
    </row>
    <row r="260" spans="1:22" ht="12.5" x14ac:dyDescent="0.25">
      <c r="A260" s="322"/>
      <c r="B260" s="403" t="s">
        <v>51</v>
      </c>
      <c r="C260" s="406">
        <f t="shared" ref="C260:R262" si="45">SUMIF($X$52:$X$56,$B260,C$52:C$56)</f>
        <v>0</v>
      </c>
      <c r="D260" s="406">
        <f t="shared" si="45"/>
        <v>0</v>
      </c>
      <c r="E260" s="406">
        <f t="shared" si="45"/>
        <v>0</v>
      </c>
      <c r="F260" s="406">
        <f t="shared" si="45"/>
        <v>0</v>
      </c>
      <c r="G260" s="406">
        <f t="shared" si="45"/>
        <v>0</v>
      </c>
      <c r="H260" s="406">
        <f t="shared" si="45"/>
        <v>0</v>
      </c>
      <c r="I260" s="406">
        <f t="shared" si="45"/>
        <v>0</v>
      </c>
      <c r="J260" s="406">
        <f t="shared" si="45"/>
        <v>0</v>
      </c>
      <c r="K260" s="406">
        <f t="shared" si="45"/>
        <v>0</v>
      </c>
      <c r="L260" s="406">
        <f t="shared" si="45"/>
        <v>0</v>
      </c>
      <c r="M260" s="406">
        <f t="shared" si="45"/>
        <v>0</v>
      </c>
      <c r="N260" s="406">
        <f t="shared" si="45"/>
        <v>0</v>
      </c>
      <c r="O260" s="406">
        <f t="shared" si="45"/>
        <v>0</v>
      </c>
      <c r="P260" s="406">
        <f t="shared" si="45"/>
        <v>0</v>
      </c>
      <c r="Q260" s="406">
        <f t="shared" si="45"/>
        <v>0</v>
      </c>
      <c r="R260" s="406">
        <f t="shared" si="45"/>
        <v>0</v>
      </c>
      <c r="S260" s="406">
        <f t="shared" ref="M260:U262" si="46">SUMIF($X$52:$X$56,$B260,S$52:S$56)</f>
        <v>0</v>
      </c>
      <c r="T260" s="406">
        <f t="shared" si="46"/>
        <v>0</v>
      </c>
      <c r="U260" s="406">
        <f t="shared" si="46"/>
        <v>0</v>
      </c>
      <c r="V260" s="407"/>
    </row>
    <row r="261" spans="1:22" ht="12.5" x14ac:dyDescent="0.25">
      <c r="A261" s="322"/>
      <c r="B261" s="403" t="s">
        <v>204</v>
      </c>
      <c r="C261" s="406">
        <f t="shared" si="45"/>
        <v>-174999.99999999997</v>
      </c>
      <c r="D261" s="406">
        <f t="shared" si="45"/>
        <v>-7134.8769417929198</v>
      </c>
      <c r="E261" s="406">
        <f t="shared" si="45"/>
        <v>-29983.451412562583</v>
      </c>
      <c r="F261" s="406">
        <f t="shared" si="45"/>
        <v>-57622.618121743602</v>
      </c>
      <c r="G261" s="406">
        <f t="shared" si="45"/>
        <v>-22325.988933392357</v>
      </c>
      <c r="H261" s="406">
        <f t="shared" si="45"/>
        <v>-40775.641466024776</v>
      </c>
      <c r="I261" s="406">
        <f t="shared" si="45"/>
        <v>-3883.5501630176691</v>
      </c>
      <c r="J261" s="406">
        <f t="shared" si="45"/>
        <v>-7011.5516097101736</v>
      </c>
      <c r="K261" s="406">
        <f t="shared" si="45"/>
        <v>-1175.1688639763647</v>
      </c>
      <c r="L261" s="406">
        <f t="shared" si="45"/>
        <v>-762.41044683449661</v>
      </c>
      <c r="M261" s="406">
        <f t="shared" si="46"/>
        <v>-451.91449326986424</v>
      </c>
      <c r="N261" s="406">
        <f t="shared" si="46"/>
        <v>-29.877912088902285</v>
      </c>
      <c r="O261" s="406">
        <f t="shared" si="46"/>
        <v>0</v>
      </c>
      <c r="P261" s="406">
        <f t="shared" si="46"/>
        <v>-430.37248331556782</v>
      </c>
      <c r="Q261" s="406">
        <f t="shared" si="46"/>
        <v>-195.22051970352044</v>
      </c>
      <c r="R261" s="406">
        <f t="shared" si="46"/>
        <v>-186.13012074607462</v>
      </c>
      <c r="S261" s="406">
        <f t="shared" si="46"/>
        <v>-1627.649376273532</v>
      </c>
      <c r="T261" s="406">
        <f t="shared" si="46"/>
        <v>-657.82059216634218</v>
      </c>
      <c r="U261" s="406">
        <f t="shared" si="46"/>
        <v>-745.75654338122501</v>
      </c>
      <c r="V261" s="407"/>
    </row>
    <row r="262" spans="1:22" ht="12.5" x14ac:dyDescent="0.25">
      <c r="A262" s="322"/>
      <c r="B262" s="403" t="s">
        <v>28</v>
      </c>
      <c r="C262" s="406">
        <f t="shared" si="45"/>
        <v>-10962171.953630852</v>
      </c>
      <c r="D262" s="406">
        <f t="shared" si="45"/>
        <v>-1337786.551428355</v>
      </c>
      <c r="E262" s="406">
        <f t="shared" si="45"/>
        <v>-3575626.6430005645</v>
      </c>
      <c r="F262" s="406">
        <f t="shared" si="45"/>
        <v>-2995412.694316952</v>
      </c>
      <c r="G262" s="406">
        <f t="shared" si="45"/>
        <v>-1032676.7198163163</v>
      </c>
      <c r="H262" s="406">
        <f t="shared" si="45"/>
        <v>-670817.04724170407</v>
      </c>
      <c r="I262" s="406">
        <f t="shared" si="45"/>
        <v>-202349.76900200962</v>
      </c>
      <c r="J262" s="406">
        <f t="shared" si="45"/>
        <v>-161862.792883224</v>
      </c>
      <c r="K262" s="406">
        <f t="shared" si="45"/>
        <v>-21980.971018440599</v>
      </c>
      <c r="L262" s="406">
        <f t="shared" si="45"/>
        <v>-15000.843507107047</v>
      </c>
      <c r="M262" s="406">
        <f t="shared" si="46"/>
        <v>-9228.7300109289445</v>
      </c>
      <c r="N262" s="406">
        <f t="shared" si="46"/>
        <v>-31047.909330412709</v>
      </c>
      <c r="O262" s="406">
        <f t="shared" si="46"/>
        <v>-516365.48274520959</v>
      </c>
      <c r="P262" s="406">
        <f t="shared" si="46"/>
        <v>-76900.705714878393</v>
      </c>
      <c r="Q262" s="406">
        <f t="shared" si="46"/>
        <v>-9632.8993293822932</v>
      </c>
      <c r="R262" s="406">
        <f t="shared" si="46"/>
        <v>-26534.619701587751</v>
      </c>
      <c r="S262" s="406">
        <f t="shared" si="46"/>
        <v>-191210.09631570481</v>
      </c>
      <c r="T262" s="406">
        <f t="shared" si="46"/>
        <v>-38748.264169252972</v>
      </c>
      <c r="U262" s="406">
        <f t="shared" si="46"/>
        <v>-48989.214098817902</v>
      </c>
      <c r="V262" s="407"/>
    </row>
    <row r="263" spans="1:22" ht="13" x14ac:dyDescent="0.3">
      <c r="A263" s="322"/>
      <c r="B263" s="362" t="s">
        <v>206</v>
      </c>
      <c r="C263" s="408">
        <f>SUM(C260:C262)</f>
        <v>-11137171.953630852</v>
      </c>
      <c r="D263" s="408">
        <f t="shared" ref="D263:U263" si="47">SUM(D260:D262)</f>
        <v>-1344921.4283701479</v>
      </c>
      <c r="E263" s="408">
        <f t="shared" si="47"/>
        <v>-3605610.0944131273</v>
      </c>
      <c r="F263" s="408">
        <f t="shared" si="47"/>
        <v>-3053035.3124386957</v>
      </c>
      <c r="G263" s="408">
        <f t="shared" si="47"/>
        <v>-1055002.7087497087</v>
      </c>
      <c r="H263" s="408">
        <f t="shared" si="47"/>
        <v>-711592.68870772887</v>
      </c>
      <c r="I263" s="408">
        <f t="shared" si="47"/>
        <v>-206233.31916502729</v>
      </c>
      <c r="J263" s="408">
        <f t="shared" si="47"/>
        <v>-168874.34449293418</v>
      </c>
      <c r="K263" s="408">
        <f t="shared" si="47"/>
        <v>-23156.139882416963</v>
      </c>
      <c r="L263" s="408">
        <f t="shared" si="47"/>
        <v>-15763.253953941543</v>
      </c>
      <c r="M263" s="408">
        <f t="shared" si="47"/>
        <v>-9680.6445041988081</v>
      </c>
      <c r="N263" s="408">
        <f t="shared" si="47"/>
        <v>-31077.78724250161</v>
      </c>
      <c r="O263" s="408">
        <f t="shared" si="47"/>
        <v>-516365.48274520959</v>
      </c>
      <c r="P263" s="408">
        <f t="shared" si="47"/>
        <v>-77331.078198193965</v>
      </c>
      <c r="Q263" s="408">
        <f t="shared" si="47"/>
        <v>-9828.1198490858133</v>
      </c>
      <c r="R263" s="408">
        <f t="shared" si="47"/>
        <v>-26720.749822333826</v>
      </c>
      <c r="S263" s="408">
        <f t="shared" si="47"/>
        <v>-192837.74569197834</v>
      </c>
      <c r="T263" s="408">
        <f t="shared" si="47"/>
        <v>-39406.084761419312</v>
      </c>
      <c r="U263" s="408">
        <f t="shared" si="47"/>
        <v>-49734.970642199129</v>
      </c>
      <c r="V263" s="407"/>
    </row>
    <row r="264" spans="1:22" ht="12.5" x14ac:dyDescent="0.25">
      <c r="C264" s="406"/>
      <c r="D264" s="406"/>
      <c r="E264" s="406"/>
      <c r="F264" s="406"/>
      <c r="G264" s="406"/>
      <c r="H264" s="406"/>
      <c r="I264" s="406"/>
      <c r="J264" s="406"/>
      <c r="K264" s="406"/>
      <c r="L264" s="406"/>
      <c r="M264" s="406"/>
      <c r="N264" s="406"/>
      <c r="O264" s="406"/>
      <c r="P264" s="406"/>
      <c r="Q264" s="406"/>
      <c r="R264" s="406"/>
      <c r="S264" s="406"/>
      <c r="T264" s="406"/>
      <c r="U264" s="406"/>
      <c r="V264" s="407"/>
    </row>
    <row r="265" spans="1:22" ht="13" x14ac:dyDescent="0.25">
      <c r="A265" s="322"/>
      <c r="B265" s="318" t="s">
        <v>207</v>
      </c>
      <c r="C265" s="406"/>
      <c r="D265" s="406"/>
      <c r="E265" s="406"/>
      <c r="F265" s="406"/>
      <c r="G265" s="406"/>
      <c r="H265" s="406"/>
      <c r="I265" s="406"/>
      <c r="J265" s="406"/>
      <c r="K265" s="406"/>
      <c r="L265" s="406"/>
      <c r="M265" s="406"/>
      <c r="N265" s="406"/>
      <c r="O265" s="406"/>
      <c r="P265" s="406"/>
      <c r="Q265" s="406"/>
      <c r="R265" s="406"/>
      <c r="S265" s="406"/>
      <c r="T265" s="406"/>
      <c r="U265" s="406"/>
      <c r="V265" s="407"/>
    </row>
    <row r="266" spans="1:22" ht="12.5" x14ac:dyDescent="0.25">
      <c r="A266" s="266"/>
      <c r="B266" s="403" t="s">
        <v>47</v>
      </c>
      <c r="C266" s="406">
        <f t="shared" ref="C266:R267" si="48">SUMIF($X$61:$X$63,$B266,C$61:C$63)</f>
        <v>11562101.457821086</v>
      </c>
      <c r="D266" s="406">
        <f t="shared" si="48"/>
        <v>1767920.9764078832</v>
      </c>
      <c r="E266" s="406">
        <f t="shared" si="48"/>
        <v>3949499.5420183069</v>
      </c>
      <c r="F266" s="406">
        <f t="shared" si="48"/>
        <v>3113939.7040817505</v>
      </c>
      <c r="G266" s="406">
        <f t="shared" si="48"/>
        <v>1154179.5341095051</v>
      </c>
      <c r="H266" s="406">
        <f t="shared" si="48"/>
        <v>308142.2365011684</v>
      </c>
      <c r="I266" s="406">
        <f t="shared" si="48"/>
        <v>356828.8011575315</v>
      </c>
      <c r="J266" s="406">
        <f t="shared" si="48"/>
        <v>89198.763419944706</v>
      </c>
      <c r="K266" s="406">
        <f t="shared" si="48"/>
        <v>0</v>
      </c>
      <c r="L266" s="406">
        <f t="shared" si="48"/>
        <v>0</v>
      </c>
      <c r="M266" s="406">
        <f t="shared" si="48"/>
        <v>0</v>
      </c>
      <c r="N266" s="406">
        <f t="shared" si="48"/>
        <v>246065.81378622327</v>
      </c>
      <c r="O266" s="406">
        <f t="shared" si="48"/>
        <v>128010.52702940095</v>
      </c>
      <c r="P266" s="406">
        <f t="shared" si="48"/>
        <v>119146.6172934091</v>
      </c>
      <c r="Q266" s="406">
        <f t="shared" si="48"/>
        <v>26193.928992851765</v>
      </c>
      <c r="R266" s="406">
        <f t="shared" si="48"/>
        <v>7136.5571685895156</v>
      </c>
      <c r="S266" s="406">
        <f t="shared" ref="M266:U267" si="49">SUMIF($X$61:$X$63,$B266,S$61:S$63)</f>
        <v>230114.08986454413</v>
      </c>
      <c r="T266" s="406">
        <f t="shared" si="49"/>
        <v>50958.162683660921</v>
      </c>
      <c r="U266" s="406">
        <f t="shared" si="49"/>
        <v>14766.203306314164</v>
      </c>
      <c r="V266" s="407"/>
    </row>
    <row r="267" spans="1:22" ht="12.5" x14ac:dyDescent="0.25">
      <c r="A267" s="266"/>
      <c r="B267" s="403" t="s">
        <v>210</v>
      </c>
      <c r="C267" s="406">
        <f t="shared" si="48"/>
        <v>26572131.835277308</v>
      </c>
      <c r="D267" s="406">
        <f t="shared" si="48"/>
        <v>4612895.5220997185</v>
      </c>
      <c r="E267" s="406">
        <f t="shared" si="48"/>
        <v>10202700.863618795</v>
      </c>
      <c r="F267" s="406">
        <f t="shared" si="48"/>
        <v>7761378.8131273938</v>
      </c>
      <c r="G267" s="406">
        <f t="shared" si="48"/>
        <v>1662348.2148882663</v>
      </c>
      <c r="H267" s="406">
        <f t="shared" si="48"/>
        <v>100019.90049527395</v>
      </c>
      <c r="I267" s="406">
        <f t="shared" si="48"/>
        <v>345069.68134520442</v>
      </c>
      <c r="J267" s="406">
        <f t="shared" si="48"/>
        <v>32630.438439286416</v>
      </c>
      <c r="K267" s="406">
        <f t="shared" si="48"/>
        <v>386652.73359256331</v>
      </c>
      <c r="L267" s="406">
        <f t="shared" si="48"/>
        <v>181684.08053497615</v>
      </c>
      <c r="M267" s="406">
        <f t="shared" si="49"/>
        <v>107692.21425423144</v>
      </c>
      <c r="N267" s="406">
        <f t="shared" si="49"/>
        <v>27881.992424380678</v>
      </c>
      <c r="O267" s="406">
        <f t="shared" si="49"/>
        <v>17036.300439609913</v>
      </c>
      <c r="P267" s="406">
        <f t="shared" si="49"/>
        <v>289733.11147617723</v>
      </c>
      <c r="Q267" s="406">
        <f t="shared" si="49"/>
        <v>25837.153057130385</v>
      </c>
      <c r="R267" s="406">
        <f t="shared" si="49"/>
        <v>3880.9066825616865</v>
      </c>
      <c r="S267" s="406">
        <f t="shared" si="49"/>
        <v>729957.3679463052</v>
      </c>
      <c r="T267" s="406">
        <f t="shared" si="49"/>
        <v>79056.970103990941</v>
      </c>
      <c r="U267" s="406">
        <f t="shared" si="49"/>
        <v>5675.5707514417454</v>
      </c>
      <c r="V267" s="407"/>
    </row>
    <row r="268" spans="1:22" ht="13" x14ac:dyDescent="0.3">
      <c r="A268" s="330"/>
      <c r="B268" s="362" t="s">
        <v>206</v>
      </c>
      <c r="C268" s="408">
        <f>SUM(C266:C267)</f>
        <v>38134233.29309839</v>
      </c>
      <c r="D268" s="408">
        <f t="shared" ref="D268:U268" si="50">SUM(D266:D267)</f>
        <v>6380816.4985076021</v>
      </c>
      <c r="E268" s="408">
        <f t="shared" si="50"/>
        <v>14152200.405637102</v>
      </c>
      <c r="F268" s="408">
        <f t="shared" si="50"/>
        <v>10875318.517209144</v>
      </c>
      <c r="G268" s="408">
        <f t="shared" si="50"/>
        <v>2816527.7489977712</v>
      </c>
      <c r="H268" s="408">
        <f t="shared" si="50"/>
        <v>408162.13699644234</v>
      </c>
      <c r="I268" s="408">
        <f t="shared" si="50"/>
        <v>701898.48250273592</v>
      </c>
      <c r="J268" s="408">
        <f t="shared" si="50"/>
        <v>121829.20185923112</v>
      </c>
      <c r="K268" s="408">
        <f t="shared" si="50"/>
        <v>386652.73359256331</v>
      </c>
      <c r="L268" s="408">
        <f t="shared" si="50"/>
        <v>181684.08053497615</v>
      </c>
      <c r="M268" s="408">
        <f t="shared" si="50"/>
        <v>107692.21425423144</v>
      </c>
      <c r="N268" s="408">
        <f t="shared" si="50"/>
        <v>273947.80621060397</v>
      </c>
      <c r="O268" s="408">
        <f t="shared" si="50"/>
        <v>145046.82746901087</v>
      </c>
      <c r="P268" s="408">
        <f t="shared" si="50"/>
        <v>408879.72876958631</v>
      </c>
      <c r="Q268" s="408">
        <f t="shared" si="50"/>
        <v>52031.082049982149</v>
      </c>
      <c r="R268" s="408">
        <f t="shared" si="50"/>
        <v>11017.463851151202</v>
      </c>
      <c r="S268" s="408">
        <f t="shared" si="50"/>
        <v>960071.4578108493</v>
      </c>
      <c r="T268" s="408">
        <f t="shared" si="50"/>
        <v>130015.13278765186</v>
      </c>
      <c r="U268" s="408">
        <f t="shared" si="50"/>
        <v>20441.774057755909</v>
      </c>
      <c r="V268" s="407"/>
    </row>
    <row r="269" spans="1:22" ht="12.5" x14ac:dyDescent="0.25">
      <c r="A269" s="322"/>
      <c r="B269" s="331"/>
      <c r="C269" s="406"/>
      <c r="D269" s="406"/>
      <c r="E269" s="406"/>
      <c r="F269" s="406"/>
      <c r="G269" s="406"/>
      <c r="H269" s="406"/>
      <c r="I269" s="406"/>
      <c r="J269" s="406"/>
      <c r="K269" s="406"/>
      <c r="L269" s="406"/>
      <c r="M269" s="406"/>
      <c r="N269" s="406"/>
      <c r="O269" s="406"/>
      <c r="P269" s="406"/>
      <c r="Q269" s="406"/>
      <c r="R269" s="406"/>
      <c r="S269" s="406"/>
      <c r="T269" s="406"/>
      <c r="U269" s="406"/>
      <c r="V269" s="407"/>
    </row>
    <row r="270" spans="1:22" ht="13" x14ac:dyDescent="0.25">
      <c r="A270" s="322"/>
      <c r="B270" s="318" t="s">
        <v>212</v>
      </c>
      <c r="C270" s="406"/>
      <c r="D270" s="406"/>
      <c r="E270" s="406"/>
      <c r="F270" s="406"/>
      <c r="G270" s="406"/>
      <c r="H270" s="406"/>
      <c r="I270" s="406"/>
      <c r="J270" s="406"/>
      <c r="K270" s="406"/>
      <c r="L270" s="406"/>
      <c r="M270" s="406"/>
      <c r="N270" s="406"/>
      <c r="O270" s="406"/>
      <c r="P270" s="406"/>
      <c r="Q270" s="406"/>
      <c r="R270" s="406"/>
      <c r="S270" s="406"/>
      <c r="T270" s="406"/>
      <c r="U270" s="406"/>
      <c r="V270" s="407"/>
    </row>
    <row r="271" spans="1:22" ht="12.5" x14ac:dyDescent="0.25">
      <c r="A271" s="322"/>
      <c r="B271" s="403">
        <v>1860</v>
      </c>
      <c r="C271" s="406">
        <f t="shared" ref="C271:U271" si="51">SUMIF($X$68:$X$68,$B271,C$68:C$68)</f>
        <v>7543725.942152746</v>
      </c>
      <c r="D271" s="406">
        <f t="shared" si="51"/>
        <v>1178805.2265250101</v>
      </c>
      <c r="E271" s="406">
        <f t="shared" si="51"/>
        <v>2633426.9259867552</v>
      </c>
      <c r="F271" s="406">
        <f t="shared" si="51"/>
        <v>2076296.6485717087</v>
      </c>
      <c r="G271" s="406">
        <f t="shared" si="51"/>
        <v>769577.87441433023</v>
      </c>
      <c r="H271" s="406">
        <f t="shared" si="51"/>
        <v>205461.49050096388</v>
      </c>
      <c r="I271" s="406">
        <f t="shared" si="51"/>
        <v>237924.46686944354</v>
      </c>
      <c r="J271" s="406">
        <f t="shared" si="51"/>
        <v>59475.491225089499</v>
      </c>
      <c r="K271" s="406">
        <f t="shared" si="51"/>
        <v>0</v>
      </c>
      <c r="L271" s="406">
        <f t="shared" si="51"/>
        <v>0</v>
      </c>
      <c r="M271" s="406">
        <f t="shared" si="51"/>
        <v>0</v>
      </c>
      <c r="N271" s="406">
        <f t="shared" si="51"/>
        <v>164070.49366521474</v>
      </c>
      <c r="O271" s="406">
        <f t="shared" si="51"/>
        <v>85354.198703542264</v>
      </c>
      <c r="P271" s="406">
        <f t="shared" si="51"/>
        <v>28155.210619964353</v>
      </c>
      <c r="Q271" s="406">
        <f t="shared" si="51"/>
        <v>5606.51568436038</v>
      </c>
      <c r="R271" s="406">
        <f t="shared" si="51"/>
        <v>809.50538672690584</v>
      </c>
      <c r="S271" s="406">
        <f t="shared" si="51"/>
        <v>81627.645343948316</v>
      </c>
      <c r="T271" s="406">
        <f t="shared" si="51"/>
        <v>14296.031527299538</v>
      </c>
      <c r="U271" s="406">
        <f t="shared" si="51"/>
        <v>2838.2171283879156</v>
      </c>
      <c r="V271" s="407"/>
    </row>
    <row r="272" spans="1:22" ht="12.5" x14ac:dyDescent="0.25">
      <c r="A272" s="322"/>
      <c r="B272" s="265"/>
      <c r="C272" s="406"/>
      <c r="D272" s="406"/>
      <c r="E272" s="406"/>
      <c r="F272" s="406"/>
      <c r="G272" s="406"/>
      <c r="H272" s="406"/>
      <c r="I272" s="406"/>
      <c r="J272" s="406"/>
      <c r="K272" s="406"/>
      <c r="L272" s="406"/>
      <c r="M272" s="406"/>
      <c r="N272" s="406"/>
      <c r="O272" s="406"/>
      <c r="P272" s="406"/>
      <c r="Q272" s="406"/>
      <c r="R272" s="406"/>
      <c r="S272" s="406"/>
      <c r="T272" s="406"/>
      <c r="U272" s="406"/>
      <c r="V272" s="407"/>
    </row>
    <row r="273" spans="1:22" ht="13" x14ac:dyDescent="0.25">
      <c r="A273" s="266"/>
      <c r="B273" s="318" t="s">
        <v>214</v>
      </c>
      <c r="C273" s="406"/>
      <c r="D273" s="406"/>
      <c r="E273" s="406"/>
      <c r="F273" s="406"/>
      <c r="G273" s="406"/>
      <c r="H273" s="406"/>
      <c r="I273" s="406"/>
      <c r="J273" s="406"/>
      <c r="K273" s="406"/>
      <c r="L273" s="406"/>
      <c r="M273" s="406"/>
      <c r="N273" s="406"/>
      <c r="O273" s="406"/>
      <c r="P273" s="406"/>
      <c r="Q273" s="406"/>
      <c r="R273" s="406"/>
      <c r="S273" s="406"/>
      <c r="T273" s="406"/>
      <c r="U273" s="406"/>
      <c r="V273" s="407"/>
    </row>
    <row r="274" spans="1:22" ht="12.5" x14ac:dyDescent="0.25">
      <c r="A274" s="266"/>
      <c r="B274" s="403" t="s">
        <v>49</v>
      </c>
      <c r="C274" s="406">
        <f t="shared" ref="C274:U274" si="52">SUMIF($X$71:$X$75,$B274,C$71:C$75)</f>
        <v>11289223.297461346</v>
      </c>
      <c r="D274" s="406">
        <f t="shared" si="52"/>
        <v>87587.344672365012</v>
      </c>
      <c r="E274" s="406">
        <f t="shared" si="52"/>
        <v>804954.05544866063</v>
      </c>
      <c r="F274" s="406">
        <f t="shared" si="52"/>
        <v>8074370.1818479327</v>
      </c>
      <c r="G274" s="406">
        <f t="shared" si="52"/>
        <v>1533744.8653262795</v>
      </c>
      <c r="H274" s="406">
        <f t="shared" si="52"/>
        <v>418819.09432754049</v>
      </c>
      <c r="I274" s="406">
        <f t="shared" si="52"/>
        <v>147426.44550366176</v>
      </c>
      <c r="J274" s="406">
        <f t="shared" si="52"/>
        <v>89911.013053926261</v>
      </c>
      <c r="K274" s="406">
        <f t="shared" si="52"/>
        <v>0</v>
      </c>
      <c r="L274" s="406">
        <f t="shared" si="52"/>
        <v>0</v>
      </c>
      <c r="M274" s="406">
        <f t="shared" si="52"/>
        <v>0</v>
      </c>
      <c r="N274" s="406">
        <f t="shared" si="52"/>
        <v>0</v>
      </c>
      <c r="O274" s="406">
        <f t="shared" si="52"/>
        <v>0</v>
      </c>
      <c r="P274" s="406">
        <f t="shared" si="52"/>
        <v>2708.4829685471</v>
      </c>
      <c r="Q274" s="406">
        <f t="shared" si="52"/>
        <v>8550.3089791388829</v>
      </c>
      <c r="R274" s="406">
        <f t="shared" si="52"/>
        <v>5576.2884646557932</v>
      </c>
      <c r="S274" s="406">
        <f t="shared" si="52"/>
        <v>13409.646069767503</v>
      </c>
      <c r="T274" s="406">
        <f t="shared" si="52"/>
        <v>21309.38806136321</v>
      </c>
      <c r="U274" s="406">
        <f t="shared" si="52"/>
        <v>80856.182737509007</v>
      </c>
      <c r="V274" s="407"/>
    </row>
    <row r="275" spans="1:22" ht="12.5" x14ac:dyDescent="0.25">
      <c r="A275" s="322"/>
      <c r="B275" s="403" t="s">
        <v>51</v>
      </c>
      <c r="C275" s="406">
        <f t="shared" ref="C275:U275" si="53">SUMIF($X$72:$X$75,$B275,C$72:C$75)</f>
        <v>52271638.530390993</v>
      </c>
      <c r="D275" s="406">
        <f t="shared" si="53"/>
        <v>9772853.3051566239</v>
      </c>
      <c r="E275" s="406">
        <f t="shared" si="53"/>
        <v>19942369.12736531</v>
      </c>
      <c r="F275" s="406">
        <f t="shared" si="53"/>
        <v>14371831.364792909</v>
      </c>
      <c r="G275" s="406">
        <f t="shared" si="53"/>
        <v>3553486.0547659514</v>
      </c>
      <c r="H275" s="406">
        <f t="shared" si="53"/>
        <v>424001.09516812587</v>
      </c>
      <c r="I275" s="406">
        <f t="shared" si="53"/>
        <v>737631.435821124</v>
      </c>
      <c r="J275" s="406">
        <f t="shared" si="53"/>
        <v>138325.88880377149</v>
      </c>
      <c r="K275" s="406">
        <f t="shared" si="53"/>
        <v>209217.35629885079</v>
      </c>
      <c r="L275" s="406">
        <f t="shared" si="53"/>
        <v>367979.74722820881</v>
      </c>
      <c r="M275" s="406">
        <f t="shared" si="53"/>
        <v>216355.50158205099</v>
      </c>
      <c r="N275" s="406">
        <f t="shared" si="53"/>
        <v>56306.257184787843</v>
      </c>
      <c r="O275" s="406">
        <f t="shared" si="53"/>
        <v>54883.73745327763</v>
      </c>
      <c r="P275" s="406">
        <f t="shared" si="53"/>
        <v>614210.74654321978</v>
      </c>
      <c r="Q275" s="406">
        <f t="shared" si="53"/>
        <v>55230.283439464198</v>
      </c>
      <c r="R275" s="406">
        <f t="shared" si="53"/>
        <v>16451.812844276978</v>
      </c>
      <c r="S275" s="406">
        <f t="shared" si="53"/>
        <v>1547450.5403497468</v>
      </c>
      <c r="T275" s="406">
        <f t="shared" si="53"/>
        <v>168994.58144842592</v>
      </c>
      <c r="U275" s="406">
        <f t="shared" si="53"/>
        <v>24059.694144858604</v>
      </c>
      <c r="V275" s="407"/>
    </row>
    <row r="276" spans="1:22" ht="12.5" x14ac:dyDescent="0.25">
      <c r="A276" s="322"/>
      <c r="C276" s="409"/>
      <c r="D276" s="409"/>
      <c r="E276" s="409"/>
      <c r="F276" s="409"/>
      <c r="G276" s="409"/>
      <c r="H276" s="409"/>
      <c r="I276" s="409"/>
      <c r="J276" s="409"/>
      <c r="K276" s="409"/>
      <c r="L276" s="409"/>
      <c r="M276" s="409"/>
      <c r="N276" s="409"/>
      <c r="O276" s="409"/>
      <c r="P276" s="409"/>
      <c r="Q276" s="409"/>
      <c r="R276" s="409"/>
      <c r="S276" s="409"/>
      <c r="T276" s="409"/>
      <c r="U276" s="409"/>
      <c r="V276" s="410"/>
    </row>
    <row r="277" spans="1:22" ht="13" thickBot="1" x14ac:dyDescent="0.3">
      <c r="A277" s="266"/>
      <c r="B277" s="339" t="s">
        <v>206</v>
      </c>
      <c r="C277" s="411">
        <f>SUM(C274:C275)</f>
        <v>63560861.827852339</v>
      </c>
      <c r="D277" s="411">
        <f t="shared" ref="D277:U277" si="54">SUM(D274:D275)</f>
        <v>9860440.6498289891</v>
      </c>
      <c r="E277" s="411">
        <f t="shared" si="54"/>
        <v>20747323.182813972</v>
      </c>
      <c r="F277" s="411">
        <f t="shared" si="54"/>
        <v>22446201.546640843</v>
      </c>
      <c r="G277" s="411">
        <f t="shared" si="54"/>
        <v>5087230.9200922307</v>
      </c>
      <c r="H277" s="411">
        <f t="shared" si="54"/>
        <v>842820.18949566642</v>
      </c>
      <c r="I277" s="411">
        <f t="shared" si="54"/>
        <v>885057.88132478576</v>
      </c>
      <c r="J277" s="411">
        <f t="shared" si="54"/>
        <v>228236.90185769775</v>
      </c>
      <c r="K277" s="411">
        <f t="shared" si="54"/>
        <v>209217.35629885079</v>
      </c>
      <c r="L277" s="411">
        <f t="shared" si="54"/>
        <v>367979.74722820881</v>
      </c>
      <c r="M277" s="411">
        <f t="shared" si="54"/>
        <v>216355.50158205099</v>
      </c>
      <c r="N277" s="411">
        <f t="shared" si="54"/>
        <v>56306.257184787843</v>
      </c>
      <c r="O277" s="411">
        <f t="shared" si="54"/>
        <v>54883.73745327763</v>
      </c>
      <c r="P277" s="411">
        <f t="shared" si="54"/>
        <v>616919.22951176693</v>
      </c>
      <c r="Q277" s="411">
        <f t="shared" si="54"/>
        <v>63780.592418603082</v>
      </c>
      <c r="R277" s="411">
        <f t="shared" si="54"/>
        <v>22028.101308932772</v>
      </c>
      <c r="S277" s="411">
        <f t="shared" si="54"/>
        <v>1560860.1864195142</v>
      </c>
      <c r="T277" s="411">
        <f t="shared" si="54"/>
        <v>190303.96950978914</v>
      </c>
      <c r="U277" s="411">
        <f t="shared" si="54"/>
        <v>104915.87688236761</v>
      </c>
      <c r="V277" s="412"/>
    </row>
    <row r="278" spans="1:22" ht="13" thickTop="1" x14ac:dyDescent="0.25">
      <c r="A278" s="322"/>
      <c r="B278" s="345" t="s">
        <v>221</v>
      </c>
      <c r="C278" s="413">
        <f>SUM(C274:C275,C271,C268)</f>
        <v>109238821.06310347</v>
      </c>
      <c r="D278" s="413">
        <f t="shared" ref="D278:U278" si="55">SUM(D274:D275,D271,D268)</f>
        <v>17420062.374861602</v>
      </c>
      <c r="E278" s="413">
        <f t="shared" si="55"/>
        <v>37532950.514437832</v>
      </c>
      <c r="F278" s="413">
        <f t="shared" si="55"/>
        <v>35397816.712421693</v>
      </c>
      <c r="G278" s="413">
        <f t="shared" si="55"/>
        <v>8673336.5435043313</v>
      </c>
      <c r="H278" s="413">
        <f t="shared" si="55"/>
        <v>1456443.8169930726</v>
      </c>
      <c r="I278" s="413">
        <f t="shared" si="55"/>
        <v>1824880.8306969653</v>
      </c>
      <c r="J278" s="413">
        <f t="shared" si="55"/>
        <v>409541.59494201839</v>
      </c>
      <c r="K278" s="413">
        <f t="shared" si="55"/>
        <v>595870.08989141416</v>
      </c>
      <c r="L278" s="413">
        <f t="shared" si="55"/>
        <v>549663.82776318491</v>
      </c>
      <c r="M278" s="413">
        <f t="shared" si="55"/>
        <v>324047.71583628241</v>
      </c>
      <c r="N278" s="413">
        <f t="shared" si="55"/>
        <v>494324.55706060654</v>
      </c>
      <c r="O278" s="413">
        <f t="shared" si="55"/>
        <v>285284.76362583076</v>
      </c>
      <c r="P278" s="413">
        <f t="shared" si="55"/>
        <v>1053954.1689013178</v>
      </c>
      <c r="Q278" s="413">
        <f t="shared" si="55"/>
        <v>121418.19015294561</v>
      </c>
      <c r="R278" s="413">
        <f t="shared" si="55"/>
        <v>33855.070546810879</v>
      </c>
      <c r="S278" s="413">
        <f t="shared" si="55"/>
        <v>2602559.289574312</v>
      </c>
      <c r="T278" s="413">
        <f t="shared" si="55"/>
        <v>334615.13382474054</v>
      </c>
      <c r="U278" s="413">
        <f t="shared" si="55"/>
        <v>128195.86806851142</v>
      </c>
      <c r="V278" s="412"/>
    </row>
    <row r="279" spans="1:22" ht="12.5" x14ac:dyDescent="0.25">
      <c r="A279" s="322"/>
      <c r="B279" s="265"/>
      <c r="C279" s="409"/>
      <c r="D279" s="409"/>
      <c r="E279" s="409"/>
      <c r="F279" s="409"/>
      <c r="G279" s="409"/>
      <c r="H279" s="409"/>
      <c r="I279" s="409"/>
      <c r="J279" s="409"/>
      <c r="K279" s="409"/>
      <c r="L279" s="409"/>
      <c r="M279" s="409"/>
      <c r="N279" s="409"/>
      <c r="O279" s="409"/>
      <c r="P279" s="409"/>
      <c r="Q279" s="409"/>
      <c r="R279" s="409"/>
      <c r="S279" s="409"/>
      <c r="T279" s="409"/>
      <c r="U279" s="409"/>
      <c r="V279" s="410"/>
    </row>
    <row r="280" spans="1:22" ht="13" x14ac:dyDescent="0.25">
      <c r="A280" s="322"/>
      <c r="B280" s="327" t="s">
        <v>222</v>
      </c>
      <c r="C280" s="406">
        <f t="shared" ref="C280:U283" si="56">C80</f>
        <v>48292622.898894981</v>
      </c>
      <c r="D280" s="406">
        <f t="shared" si="56"/>
        <v>7384258.0728228446</v>
      </c>
      <c r="E280" s="406">
        <f t="shared" si="56"/>
        <v>16496282.50693387</v>
      </c>
      <c r="F280" s="406">
        <f t="shared" si="56"/>
        <v>13006313.463664787</v>
      </c>
      <c r="G280" s="406">
        <f t="shared" si="56"/>
        <v>4820780.8244641293</v>
      </c>
      <c r="H280" s="406">
        <f t="shared" si="56"/>
        <v>1287049.4936287657</v>
      </c>
      <c r="I280" s="406">
        <f t="shared" si="56"/>
        <v>1490403.6949190476</v>
      </c>
      <c r="J280" s="406">
        <f t="shared" si="56"/>
        <v>372565.68458610703</v>
      </c>
      <c r="K280" s="406">
        <f t="shared" si="56"/>
        <v>0</v>
      </c>
      <c r="L280" s="406">
        <f t="shared" si="56"/>
        <v>0</v>
      </c>
      <c r="M280" s="406">
        <f t="shared" si="56"/>
        <v>0</v>
      </c>
      <c r="N280" s="406">
        <f t="shared" si="56"/>
        <v>1027768.4897367451</v>
      </c>
      <c r="O280" s="406">
        <f t="shared" si="56"/>
        <v>534674.78481067368</v>
      </c>
      <c r="P280" s="406">
        <f t="shared" si="56"/>
        <v>497651.97785367887</v>
      </c>
      <c r="Q280" s="406">
        <f t="shared" si="56"/>
        <v>109406.88764122044</v>
      </c>
      <c r="R280" s="406">
        <f t="shared" si="56"/>
        <v>29807.995146588892</v>
      </c>
      <c r="S280" s="406">
        <f t="shared" si="56"/>
        <v>961141.27748236433</v>
      </c>
      <c r="T280" s="406">
        <f t="shared" si="56"/>
        <v>212842.21930416659</v>
      </c>
      <c r="U280" s="406">
        <f t="shared" si="56"/>
        <v>61675.525899997767</v>
      </c>
      <c r="V280" s="407"/>
    </row>
    <row r="281" spans="1:22" ht="13" x14ac:dyDescent="0.25">
      <c r="A281" s="322"/>
      <c r="B281" s="349" t="s">
        <v>223</v>
      </c>
      <c r="C281" s="406">
        <f t="shared" si="56"/>
        <v>1628364.1480496998</v>
      </c>
      <c r="D281" s="406">
        <f t="shared" si="56"/>
        <v>254238.43132635899</v>
      </c>
      <c r="E281" s="406">
        <f t="shared" si="56"/>
        <v>567841.44216888852</v>
      </c>
      <c r="F281" s="406">
        <f t="shared" si="56"/>
        <v>447659.64269233402</v>
      </c>
      <c r="G281" s="406">
        <f t="shared" si="56"/>
        <v>165973.23175375519</v>
      </c>
      <c r="H281" s="406">
        <f t="shared" si="56"/>
        <v>44309.830643934962</v>
      </c>
      <c r="I281" s="406">
        <f t="shared" si="56"/>
        <v>51323.787219519472</v>
      </c>
      <c r="J281" s="406">
        <f t="shared" si="56"/>
        <v>12827.232343020896</v>
      </c>
      <c r="K281" s="406">
        <f t="shared" si="56"/>
        <v>0</v>
      </c>
      <c r="L281" s="406">
        <f t="shared" si="56"/>
        <v>0</v>
      </c>
      <c r="M281" s="406">
        <f t="shared" si="56"/>
        <v>0</v>
      </c>
      <c r="N281" s="406">
        <f t="shared" si="56"/>
        <v>35479.346454486571</v>
      </c>
      <c r="O281" s="406">
        <f t="shared" si="56"/>
        <v>18408.697545095933</v>
      </c>
      <c r="P281" s="406">
        <f t="shared" si="56"/>
        <v>6525.173085070418</v>
      </c>
      <c r="Q281" s="406">
        <f t="shared" si="56"/>
        <v>1303.6441598856313</v>
      </c>
      <c r="R281" s="406">
        <f t="shared" si="56"/>
        <v>209.89666056670535</v>
      </c>
      <c r="S281" s="406">
        <f t="shared" si="56"/>
        <v>18326.914860936067</v>
      </c>
      <c r="T281" s="406">
        <f t="shared" si="56"/>
        <v>3261.4735833878026</v>
      </c>
      <c r="U281" s="406">
        <f t="shared" si="56"/>
        <v>675.40355245864782</v>
      </c>
      <c r="V281" s="407"/>
    </row>
    <row r="282" spans="1:22" ht="13" x14ac:dyDescent="0.25">
      <c r="A282" s="322"/>
      <c r="B282" s="349" t="s">
        <v>224</v>
      </c>
      <c r="C282" s="406">
        <f t="shared" si="56"/>
        <v>9611932.2914433479</v>
      </c>
      <c r="D282" s="406">
        <f t="shared" si="56"/>
        <v>1500722.4217743871</v>
      </c>
      <c r="E282" s="406">
        <f t="shared" si="56"/>
        <v>3351862.9729965744</v>
      </c>
      <c r="F282" s="406">
        <f t="shared" si="56"/>
        <v>2642452.0463214642</v>
      </c>
      <c r="G282" s="406">
        <f t="shared" si="56"/>
        <v>979709.2792296228</v>
      </c>
      <c r="H282" s="406">
        <f t="shared" si="56"/>
        <v>261552.7322343291</v>
      </c>
      <c r="I282" s="406">
        <f t="shared" si="56"/>
        <v>302954.82020119362</v>
      </c>
      <c r="J282" s="406">
        <f t="shared" si="56"/>
        <v>75716.779269182225</v>
      </c>
      <c r="K282" s="406">
        <f t="shared" si="56"/>
        <v>0</v>
      </c>
      <c r="L282" s="406">
        <f t="shared" si="56"/>
        <v>0</v>
      </c>
      <c r="M282" s="406">
        <f t="shared" si="56"/>
        <v>0</v>
      </c>
      <c r="N282" s="406">
        <f t="shared" si="56"/>
        <v>209428.01785069579</v>
      </c>
      <c r="O282" s="406">
        <f t="shared" si="56"/>
        <v>108663.1356929881</v>
      </c>
      <c r="P282" s="406">
        <f t="shared" si="56"/>
        <v>38516.889455448196</v>
      </c>
      <c r="Q282" s="406">
        <f t="shared" si="56"/>
        <v>7695.1702799181176</v>
      </c>
      <c r="R282" s="406">
        <f t="shared" si="56"/>
        <v>1238.9811529464243</v>
      </c>
      <c r="S282" s="406">
        <f t="shared" si="56"/>
        <v>108180.38763955139</v>
      </c>
      <c r="T282" s="406">
        <f t="shared" si="56"/>
        <v>19251.87513579294</v>
      </c>
      <c r="U282" s="406">
        <f t="shared" si="56"/>
        <v>3986.7822092547608</v>
      </c>
      <c r="V282" s="407"/>
    </row>
    <row r="283" spans="1:22" ht="13" x14ac:dyDescent="0.25">
      <c r="A283" s="322"/>
      <c r="B283" s="349" t="s">
        <v>225</v>
      </c>
      <c r="C283" s="406">
        <f t="shared" si="56"/>
        <v>13694117.758120708</v>
      </c>
      <c r="D283" s="406">
        <f t="shared" si="56"/>
        <v>2138078.8943265178</v>
      </c>
      <c r="E283" s="406">
        <f t="shared" si="56"/>
        <v>4775398.4182931744</v>
      </c>
      <c r="F283" s="406">
        <f t="shared" si="56"/>
        <v>3764700.8317699442</v>
      </c>
      <c r="G283" s="406">
        <f t="shared" si="56"/>
        <v>1395791.5881739324</v>
      </c>
      <c r="H283" s="406">
        <f t="shared" si="56"/>
        <v>372634.11836178001</v>
      </c>
      <c r="I283" s="406">
        <f t="shared" si="56"/>
        <v>431619.66370889341</v>
      </c>
      <c r="J283" s="406">
        <f t="shared" si="56"/>
        <v>107873.67827183423</v>
      </c>
      <c r="K283" s="406">
        <f t="shared" si="56"/>
        <v>0</v>
      </c>
      <c r="L283" s="406">
        <f t="shared" si="56"/>
        <v>0</v>
      </c>
      <c r="M283" s="406">
        <f t="shared" si="56"/>
        <v>0</v>
      </c>
      <c r="N283" s="406">
        <f t="shared" si="56"/>
        <v>298372.04958781274</v>
      </c>
      <c r="O283" s="406">
        <f t="shared" si="56"/>
        <v>154812.34480512346</v>
      </c>
      <c r="P283" s="406">
        <f t="shared" si="56"/>
        <v>54875.003681514863</v>
      </c>
      <c r="Q283" s="406">
        <f t="shared" si="56"/>
        <v>10963.307354526267</v>
      </c>
      <c r="R283" s="406">
        <f t="shared" si="56"/>
        <v>1765.1761679224994</v>
      </c>
      <c r="S283" s="406">
        <f t="shared" si="56"/>
        <v>154124.5737627545</v>
      </c>
      <c r="T283" s="406">
        <f t="shared" si="56"/>
        <v>27428.142144621394</v>
      </c>
      <c r="U283" s="406">
        <f t="shared" si="56"/>
        <v>5679.9677103548502</v>
      </c>
      <c r="V283" s="407"/>
    </row>
    <row r="284" spans="1:22" ht="12.5" x14ac:dyDescent="0.25">
      <c r="A284" s="266"/>
      <c r="B284" s="187"/>
      <c r="C284" s="409"/>
      <c r="D284" s="409"/>
      <c r="E284" s="409"/>
      <c r="F284" s="409"/>
      <c r="G284" s="409"/>
      <c r="H284" s="409"/>
      <c r="I284" s="409"/>
      <c r="J284" s="409"/>
      <c r="K284" s="409"/>
      <c r="L284" s="409"/>
      <c r="M284" s="409"/>
      <c r="N284" s="409"/>
      <c r="O284" s="409"/>
      <c r="P284" s="409"/>
      <c r="Q284" s="409"/>
      <c r="R284" s="409"/>
      <c r="S284" s="409"/>
      <c r="T284" s="409"/>
      <c r="U284" s="409"/>
      <c r="V284" s="410"/>
    </row>
    <row r="285" spans="1:22" ht="13.5" thickBot="1" x14ac:dyDescent="0.35">
      <c r="A285" s="266"/>
      <c r="B285" s="351" t="s">
        <v>226</v>
      </c>
      <c r="C285" s="414">
        <f>SUM(C280:C283,C278,C263)</f>
        <v>171328686.20598134</v>
      </c>
      <c r="D285" s="414">
        <f t="shared" ref="D285:U285" si="57">SUM(D280:D283,D278,D263)</f>
        <v>27352438.766741559</v>
      </c>
      <c r="E285" s="414">
        <f t="shared" si="57"/>
        <v>59118725.760417216</v>
      </c>
      <c r="F285" s="414">
        <f t="shared" si="57"/>
        <v>52205907.384431526</v>
      </c>
      <c r="G285" s="414">
        <f t="shared" si="57"/>
        <v>14980588.758376062</v>
      </c>
      <c r="H285" s="414">
        <f t="shared" si="57"/>
        <v>2710397.3031541533</v>
      </c>
      <c r="I285" s="414">
        <f t="shared" si="57"/>
        <v>3894949.4775805925</v>
      </c>
      <c r="J285" s="414">
        <f t="shared" si="57"/>
        <v>809650.6249192286</v>
      </c>
      <c r="K285" s="414">
        <f t="shared" si="57"/>
        <v>572713.95000899723</v>
      </c>
      <c r="L285" s="414">
        <f t="shared" si="57"/>
        <v>533900.57380924339</v>
      </c>
      <c r="M285" s="414">
        <f t="shared" si="57"/>
        <v>314367.07133208361</v>
      </c>
      <c r="N285" s="414">
        <f t="shared" si="57"/>
        <v>2034294.6734478453</v>
      </c>
      <c r="O285" s="414">
        <f t="shared" si="57"/>
        <v>585478.24373450235</v>
      </c>
      <c r="P285" s="414">
        <f t="shared" si="57"/>
        <v>1574192.134778836</v>
      </c>
      <c r="Q285" s="414">
        <f t="shared" si="57"/>
        <v>240959.07973941026</v>
      </c>
      <c r="R285" s="414">
        <f t="shared" si="57"/>
        <v>40156.369852501572</v>
      </c>
      <c r="S285" s="414">
        <f t="shared" si="57"/>
        <v>3651494.6976279402</v>
      </c>
      <c r="T285" s="414">
        <f t="shared" si="57"/>
        <v>557992.75923128985</v>
      </c>
      <c r="U285" s="414">
        <f t="shared" si="57"/>
        <v>150478.57679837832</v>
      </c>
      <c r="V285" s="415"/>
    </row>
    <row r="286" spans="1:22" ht="13" thickTop="1" x14ac:dyDescent="0.25">
      <c r="A286" s="266"/>
      <c r="C286" s="403"/>
      <c r="E286" s="416"/>
      <c r="F286" s="417"/>
      <c r="V286" s="263"/>
    </row>
    <row r="287" spans="1:22" ht="13" x14ac:dyDescent="0.3">
      <c r="A287" s="418"/>
      <c r="C287" s="403"/>
      <c r="E287" s="416"/>
      <c r="F287" s="417"/>
      <c r="V287" s="263"/>
    </row>
    <row r="288" spans="1:22" ht="23" x14ac:dyDescent="0.3">
      <c r="A288" s="472" t="s">
        <v>227</v>
      </c>
      <c r="B288" s="472"/>
      <c r="C288" s="403"/>
      <c r="E288" s="418"/>
      <c r="F288" s="323"/>
      <c r="V288" s="263"/>
    </row>
    <row r="289" spans="1:22" ht="23" x14ac:dyDescent="0.35">
      <c r="A289" s="314" t="s">
        <v>228</v>
      </c>
      <c r="B289" s="101"/>
      <c r="C289" s="403"/>
      <c r="E289" s="419"/>
      <c r="F289" s="323"/>
      <c r="V289" s="263"/>
    </row>
    <row r="290" spans="1:22" ht="15.5" x14ac:dyDescent="0.35">
      <c r="A290" s="473"/>
      <c r="B290" s="473"/>
      <c r="C290" s="403"/>
      <c r="E290" s="420"/>
      <c r="F290" s="323"/>
      <c r="V290" s="263"/>
    </row>
    <row r="291" spans="1:22" ht="13" x14ac:dyDescent="0.3">
      <c r="A291" s="299"/>
      <c r="B291" s="299"/>
      <c r="C291" s="403"/>
      <c r="E291" s="421"/>
      <c r="F291" s="323"/>
      <c r="V291" s="263"/>
    </row>
    <row r="292" spans="1:22" ht="13" x14ac:dyDescent="0.2">
      <c r="A292" s="401"/>
      <c r="B292" s="316" t="s">
        <v>193</v>
      </c>
      <c r="C292" s="295" t="str">
        <f>C251</f>
        <v>Total</v>
      </c>
      <c r="D292" s="295" t="str">
        <f>D251</f>
        <v>UR</v>
      </c>
      <c r="E292" s="295" t="str">
        <f>E251</f>
        <v>R1</v>
      </c>
      <c r="F292" s="295" t="str">
        <f>F251</f>
        <v>R2</v>
      </c>
      <c r="G292" s="295" t="str">
        <f t="shared" ref="G292:O292" si="58">G251</f>
        <v>GSe</v>
      </c>
      <c r="H292" s="295" t="str">
        <f t="shared" si="58"/>
        <v>GSd</v>
      </c>
      <c r="I292" s="295" t="str">
        <f t="shared" si="58"/>
        <v>UGe</v>
      </c>
      <c r="J292" s="295" t="str">
        <f t="shared" si="58"/>
        <v>UGd</v>
      </c>
      <c r="K292" s="295" t="str">
        <f t="shared" si="58"/>
        <v>St Lgt</v>
      </c>
      <c r="L292" s="295" t="str">
        <f t="shared" si="58"/>
        <v>Sen Lgt</v>
      </c>
      <c r="M292" s="295" t="str">
        <f t="shared" si="58"/>
        <v>USL</v>
      </c>
      <c r="N292" s="295" t="str">
        <f t="shared" si="58"/>
        <v>DGen</v>
      </c>
      <c r="O292" s="295" t="str">
        <f t="shared" si="58"/>
        <v>ST</v>
      </c>
      <c r="P292" s="271" t="s">
        <v>65</v>
      </c>
      <c r="Q292" s="271" t="s">
        <v>331</v>
      </c>
      <c r="R292" s="271" t="s">
        <v>332</v>
      </c>
      <c r="S292" s="271" t="s">
        <v>66</v>
      </c>
      <c r="T292" s="271" t="s">
        <v>333</v>
      </c>
      <c r="U292" s="271" t="s">
        <v>334</v>
      </c>
      <c r="V292" s="270"/>
    </row>
    <row r="293" spans="1:22" ht="13" x14ac:dyDescent="0.3">
      <c r="A293" s="317"/>
      <c r="B293" s="318" t="s">
        <v>194</v>
      </c>
      <c r="C293" s="403"/>
      <c r="D293" s="403"/>
      <c r="E293" s="403"/>
      <c r="F293" s="403"/>
      <c r="G293" s="403"/>
      <c r="H293" s="403"/>
      <c r="I293" s="403"/>
      <c r="J293" s="403"/>
      <c r="K293" s="403"/>
      <c r="L293" s="403"/>
      <c r="M293" s="403"/>
      <c r="N293" s="403"/>
      <c r="O293" s="403"/>
      <c r="P293" s="403"/>
      <c r="Q293" s="403"/>
      <c r="R293" s="403"/>
      <c r="S293" s="403"/>
      <c r="T293" s="403"/>
      <c r="U293" s="403"/>
      <c r="V293" s="422"/>
    </row>
    <row r="294" spans="1:22" ht="12.5" x14ac:dyDescent="0.25">
      <c r="A294" s="322"/>
      <c r="B294" s="403" t="s">
        <v>47</v>
      </c>
      <c r="C294" s="406">
        <f t="shared" ref="C294:U294" si="59">C92</f>
        <v>688090726.53126025</v>
      </c>
      <c r="D294" s="406">
        <f t="shared" si="59"/>
        <v>105213575.0187066</v>
      </c>
      <c r="E294" s="406">
        <f t="shared" si="59"/>
        <v>235044988.94220915</v>
      </c>
      <c r="F294" s="406">
        <f t="shared" si="59"/>
        <v>185318650.00256997</v>
      </c>
      <c r="G294" s="406">
        <f t="shared" si="59"/>
        <v>68688225.671614796</v>
      </c>
      <c r="H294" s="406">
        <f t="shared" si="59"/>
        <v>18338345.85888629</v>
      </c>
      <c r="I294" s="406">
        <f t="shared" si="59"/>
        <v>21235809.937446747</v>
      </c>
      <c r="J294" s="406">
        <f t="shared" si="59"/>
        <v>5308450.3843202246</v>
      </c>
      <c r="K294" s="406">
        <f t="shared" si="59"/>
        <v>0</v>
      </c>
      <c r="L294" s="406">
        <f t="shared" si="59"/>
        <v>0</v>
      </c>
      <c r="M294" s="406">
        <f t="shared" si="59"/>
        <v>0</v>
      </c>
      <c r="N294" s="406">
        <f t="shared" si="59"/>
        <v>14644016.505160149</v>
      </c>
      <c r="O294" s="406">
        <f t="shared" si="59"/>
        <v>7618239.3718511397</v>
      </c>
      <c r="P294" s="406">
        <f t="shared" si="59"/>
        <v>7090725.0516909054</v>
      </c>
      <c r="Q294" s="406">
        <f t="shared" si="59"/>
        <v>1558868.8351465357</v>
      </c>
      <c r="R294" s="406">
        <f t="shared" si="59"/>
        <v>424715.07666496927</v>
      </c>
      <c r="S294" s="406">
        <f t="shared" si="59"/>
        <v>13694687.930010043</v>
      </c>
      <c r="T294" s="406">
        <f t="shared" si="59"/>
        <v>3032652.7847565091</v>
      </c>
      <c r="U294" s="406">
        <f t="shared" si="59"/>
        <v>878775.16022634774</v>
      </c>
      <c r="V294" s="407"/>
    </row>
    <row r="295" spans="1:22" ht="12.5" x14ac:dyDescent="0.25">
      <c r="A295" s="330"/>
      <c r="B295" s="265"/>
      <c r="C295" s="406"/>
      <c r="D295" s="406"/>
      <c r="E295" s="406"/>
      <c r="F295" s="406"/>
      <c r="G295" s="406"/>
      <c r="H295" s="406"/>
      <c r="I295" s="406"/>
      <c r="J295" s="406"/>
      <c r="K295" s="406"/>
      <c r="L295" s="406"/>
      <c r="M295" s="406"/>
      <c r="N295" s="406"/>
      <c r="O295" s="406"/>
      <c r="P295" s="406"/>
      <c r="Q295" s="406"/>
      <c r="R295" s="406"/>
      <c r="S295" s="406"/>
      <c r="T295" s="406"/>
      <c r="U295" s="406"/>
      <c r="V295" s="407"/>
    </row>
    <row r="296" spans="1:22" ht="13" x14ac:dyDescent="0.25">
      <c r="A296" s="322"/>
      <c r="B296" s="318" t="s">
        <v>196</v>
      </c>
      <c r="C296" s="406"/>
      <c r="D296" s="406"/>
      <c r="E296" s="406"/>
      <c r="F296" s="406"/>
      <c r="G296" s="406"/>
      <c r="H296" s="406"/>
      <c r="I296" s="406"/>
      <c r="J296" s="406"/>
      <c r="K296" s="406"/>
      <c r="L296" s="406"/>
      <c r="M296" s="406"/>
      <c r="N296" s="406"/>
      <c r="O296" s="406"/>
      <c r="P296" s="406"/>
      <c r="Q296" s="406"/>
      <c r="R296" s="406"/>
      <c r="S296" s="406"/>
      <c r="T296" s="406"/>
      <c r="U296" s="406"/>
      <c r="V296" s="407"/>
    </row>
    <row r="297" spans="1:22" ht="25" x14ac:dyDescent="0.25">
      <c r="A297" s="322"/>
      <c r="B297" s="423" t="s">
        <v>197</v>
      </c>
      <c r="C297" s="424">
        <f t="shared" ref="C297:U300" si="60">C95</f>
        <v>-303481139.95424384</v>
      </c>
      <c r="D297" s="424">
        <f t="shared" si="60"/>
        <v>-46404252.308852784</v>
      </c>
      <c r="E297" s="424">
        <f t="shared" si="60"/>
        <v>-103666156.85159016</v>
      </c>
      <c r="F297" s="424">
        <f t="shared" si="60"/>
        <v>-81734447.201573238</v>
      </c>
      <c r="G297" s="424">
        <f t="shared" si="60"/>
        <v>-30294814.65814957</v>
      </c>
      <c r="H297" s="424">
        <f t="shared" si="60"/>
        <v>-8088093.4614327513</v>
      </c>
      <c r="I297" s="424">
        <f t="shared" si="60"/>
        <v>-9366014.624490384</v>
      </c>
      <c r="J297" s="424">
        <f t="shared" si="60"/>
        <v>-2341282.2058296646</v>
      </c>
      <c r="K297" s="424">
        <f t="shared" si="60"/>
        <v>0</v>
      </c>
      <c r="L297" s="424">
        <f t="shared" si="60"/>
        <v>0</v>
      </c>
      <c r="M297" s="424">
        <f t="shared" si="60"/>
        <v>0</v>
      </c>
      <c r="N297" s="424">
        <f t="shared" si="60"/>
        <v>-6458716.3452970358</v>
      </c>
      <c r="O297" s="424">
        <f t="shared" si="60"/>
        <v>-3360010.3589081741</v>
      </c>
      <c r="P297" s="424">
        <f t="shared" si="60"/>
        <v>-3127351.1454473999</v>
      </c>
      <c r="Q297" s="424">
        <f t="shared" si="60"/>
        <v>-687536.2112701314</v>
      </c>
      <c r="R297" s="424">
        <f t="shared" si="60"/>
        <v>-187319.79759675375</v>
      </c>
      <c r="S297" s="424">
        <f t="shared" si="60"/>
        <v>-6040016.7362642959</v>
      </c>
      <c r="T297" s="424">
        <f t="shared" si="60"/>
        <v>-1337545.8914305032</v>
      </c>
      <c r="U297" s="424">
        <f t="shared" si="60"/>
        <v>-387582.1561109926</v>
      </c>
      <c r="V297" s="425"/>
    </row>
    <row r="298" spans="1:22" ht="13" x14ac:dyDescent="0.25">
      <c r="A298" s="322"/>
      <c r="B298" s="426" t="s">
        <v>198</v>
      </c>
      <c r="C298" s="424">
        <f t="shared" si="60"/>
        <v>384609586.57701653</v>
      </c>
      <c r="D298" s="424">
        <f t="shared" si="60"/>
        <v>58809322.709853821</v>
      </c>
      <c r="E298" s="424">
        <f t="shared" si="60"/>
        <v>131378832.090619</v>
      </c>
      <c r="F298" s="424">
        <f t="shared" si="60"/>
        <v>103584202.80099674</v>
      </c>
      <c r="G298" s="424">
        <f t="shared" si="60"/>
        <v>38393411.013465226</v>
      </c>
      <c r="H298" s="424">
        <f t="shared" si="60"/>
        <v>10250252.397453539</v>
      </c>
      <c r="I298" s="424">
        <f t="shared" si="60"/>
        <v>11869795.312956363</v>
      </c>
      <c r="J298" s="424">
        <f t="shared" si="60"/>
        <v>2967168.17849056</v>
      </c>
      <c r="K298" s="424">
        <f t="shared" si="60"/>
        <v>0</v>
      </c>
      <c r="L298" s="424">
        <f t="shared" si="60"/>
        <v>0</v>
      </c>
      <c r="M298" s="424">
        <f t="shared" si="60"/>
        <v>0</v>
      </c>
      <c r="N298" s="424">
        <f t="shared" si="60"/>
        <v>8185300.1598631134</v>
      </c>
      <c r="O298" s="424">
        <f t="shared" si="60"/>
        <v>4258229.0129429661</v>
      </c>
      <c r="P298" s="424">
        <f t="shared" si="60"/>
        <v>3963373.9062435054</v>
      </c>
      <c r="Q298" s="424">
        <f t="shared" si="60"/>
        <v>871332.62387640425</v>
      </c>
      <c r="R298" s="424">
        <f t="shared" si="60"/>
        <v>237395.27906821552</v>
      </c>
      <c r="S298" s="424">
        <f t="shared" si="60"/>
        <v>7654671.1937457472</v>
      </c>
      <c r="T298" s="424">
        <f t="shared" si="60"/>
        <v>1695106.8933260059</v>
      </c>
      <c r="U298" s="424">
        <f t="shared" si="60"/>
        <v>491193.00411535514</v>
      </c>
      <c r="V298" s="425"/>
    </row>
    <row r="299" spans="1:22" ht="13" x14ac:dyDescent="0.25">
      <c r="A299" s="322"/>
      <c r="B299" s="426" t="s">
        <v>229</v>
      </c>
      <c r="C299" s="424">
        <f t="shared" si="60"/>
        <v>19887607.343162652</v>
      </c>
      <c r="D299" s="424">
        <f t="shared" si="60"/>
        <v>3099443.8313816967</v>
      </c>
      <c r="E299" s="424">
        <f t="shared" si="60"/>
        <v>6953820.4407723239</v>
      </c>
      <c r="F299" s="424">
        <f t="shared" si="60"/>
        <v>5494536.0921006324</v>
      </c>
      <c r="G299" s="424">
        <f t="shared" si="60"/>
        <v>2024730.6595913833</v>
      </c>
      <c r="H299" s="424">
        <f t="shared" si="60"/>
        <v>540954.63331405586</v>
      </c>
      <c r="I299" s="424">
        <f t="shared" si="60"/>
        <v>623262.79408415291</v>
      </c>
      <c r="J299" s="424">
        <f t="shared" si="60"/>
        <v>156409.85599414536</v>
      </c>
      <c r="K299" s="424">
        <f t="shared" si="60"/>
        <v>0</v>
      </c>
      <c r="L299" s="424">
        <f t="shared" si="60"/>
        <v>0</v>
      </c>
      <c r="M299" s="424">
        <f t="shared" si="60"/>
        <v>0</v>
      </c>
      <c r="N299" s="424">
        <f t="shared" si="60"/>
        <v>408685.09852846758</v>
      </c>
      <c r="O299" s="424">
        <f t="shared" si="60"/>
        <v>224432.6704061096</v>
      </c>
      <c r="P299" s="424">
        <f t="shared" si="60"/>
        <v>77303.731436355913</v>
      </c>
      <c r="Q299" s="424">
        <f t="shared" si="60"/>
        <v>15373.89375543507</v>
      </c>
      <c r="R299" s="424">
        <f t="shared" si="60"/>
        <v>2455.7917615034917</v>
      </c>
      <c r="S299" s="424">
        <f t="shared" si="60"/>
        <v>219549.17857911496</v>
      </c>
      <c r="T299" s="424">
        <f t="shared" si="60"/>
        <v>38695.89178570576</v>
      </c>
      <c r="U299" s="424">
        <f t="shared" si="60"/>
        <v>7952.7796715661298</v>
      </c>
      <c r="V299" s="425"/>
    </row>
    <row r="300" spans="1:22" ht="13" x14ac:dyDescent="0.25">
      <c r="A300" s="322"/>
      <c r="B300" s="426" t="s">
        <v>230</v>
      </c>
      <c r="C300" s="424">
        <f t="shared" si="60"/>
        <v>404497193.92017919</v>
      </c>
      <c r="D300" s="424">
        <f t="shared" si="60"/>
        <v>61908766.541235514</v>
      </c>
      <c r="E300" s="424">
        <f t="shared" si="60"/>
        <v>138332652.53139132</v>
      </c>
      <c r="F300" s="424">
        <f t="shared" si="60"/>
        <v>109078738.89309737</v>
      </c>
      <c r="G300" s="424">
        <f t="shared" si="60"/>
        <v>40418141.67305661</v>
      </c>
      <c r="H300" s="424">
        <f t="shared" si="60"/>
        <v>10791207.030767595</v>
      </c>
      <c r="I300" s="424">
        <f t="shared" si="60"/>
        <v>12493058.107040515</v>
      </c>
      <c r="J300" s="424">
        <f t="shared" si="60"/>
        <v>3123578.0344847054</v>
      </c>
      <c r="K300" s="424">
        <f t="shared" si="60"/>
        <v>0</v>
      </c>
      <c r="L300" s="424">
        <f t="shared" si="60"/>
        <v>0</v>
      </c>
      <c r="M300" s="424">
        <f t="shared" si="60"/>
        <v>0</v>
      </c>
      <c r="N300" s="424">
        <f t="shared" si="60"/>
        <v>8593985.2583915815</v>
      </c>
      <c r="O300" s="424">
        <f t="shared" si="60"/>
        <v>4482661.6833490757</v>
      </c>
      <c r="P300" s="424">
        <f t="shared" si="60"/>
        <v>4040677.6376798614</v>
      </c>
      <c r="Q300" s="424">
        <f t="shared" si="60"/>
        <v>886706.51763183926</v>
      </c>
      <c r="R300" s="424">
        <f t="shared" si="60"/>
        <v>239851.07082971901</v>
      </c>
      <c r="S300" s="424">
        <f t="shared" si="60"/>
        <v>7874220.3723248625</v>
      </c>
      <c r="T300" s="424">
        <f t="shared" si="60"/>
        <v>1733802.7851117116</v>
      </c>
      <c r="U300" s="424">
        <f t="shared" si="60"/>
        <v>499145.7837869213</v>
      </c>
      <c r="V300" s="425"/>
    </row>
    <row r="301" spans="1:22" ht="13" x14ac:dyDescent="0.25">
      <c r="A301" s="330"/>
      <c r="B301" s="318" t="s">
        <v>199</v>
      </c>
      <c r="C301" s="406"/>
      <c r="D301" s="406"/>
      <c r="E301" s="406"/>
      <c r="F301" s="406"/>
      <c r="G301" s="406"/>
      <c r="H301" s="406"/>
      <c r="I301" s="406"/>
      <c r="J301" s="406"/>
      <c r="K301" s="406"/>
      <c r="L301" s="406"/>
      <c r="M301" s="406"/>
      <c r="N301" s="406"/>
      <c r="O301" s="406"/>
      <c r="P301" s="406"/>
      <c r="Q301" s="406"/>
      <c r="R301" s="406"/>
      <c r="S301" s="406"/>
      <c r="T301" s="406"/>
      <c r="U301" s="406"/>
      <c r="V301" s="407"/>
    </row>
    <row r="302" spans="1:22" ht="12.5" x14ac:dyDescent="0.25">
      <c r="A302" s="322"/>
      <c r="B302" s="331" t="s">
        <v>51</v>
      </c>
      <c r="C302" s="406">
        <f t="shared" ref="C302:R304" si="61">SUMIF($X$101:$X$105,$B302,C$101:C$105)</f>
        <v>0</v>
      </c>
      <c r="D302" s="406">
        <f t="shared" si="61"/>
        <v>0</v>
      </c>
      <c r="E302" s="406">
        <f t="shared" si="61"/>
        <v>0</v>
      </c>
      <c r="F302" s="406">
        <f t="shared" si="61"/>
        <v>0</v>
      </c>
      <c r="G302" s="406">
        <f t="shared" si="61"/>
        <v>0</v>
      </c>
      <c r="H302" s="406">
        <f t="shared" si="61"/>
        <v>0</v>
      </c>
      <c r="I302" s="406">
        <f t="shared" si="61"/>
        <v>0</v>
      </c>
      <c r="J302" s="406">
        <f t="shared" si="61"/>
        <v>0</v>
      </c>
      <c r="K302" s="406">
        <f t="shared" si="61"/>
        <v>0</v>
      </c>
      <c r="L302" s="406">
        <f t="shared" si="61"/>
        <v>0</v>
      </c>
      <c r="M302" s="406">
        <f t="shared" si="61"/>
        <v>0</v>
      </c>
      <c r="N302" s="406">
        <f t="shared" si="61"/>
        <v>0</v>
      </c>
      <c r="O302" s="406">
        <f t="shared" si="61"/>
        <v>0</v>
      </c>
      <c r="P302" s="406">
        <f t="shared" si="61"/>
        <v>0</v>
      </c>
      <c r="Q302" s="406">
        <f t="shared" si="61"/>
        <v>0</v>
      </c>
      <c r="R302" s="406">
        <f t="shared" si="61"/>
        <v>0</v>
      </c>
      <c r="S302" s="406">
        <f t="shared" ref="M302:U304" si="62">SUMIF($X$101:$X$105,$B302,S$101:S$105)</f>
        <v>0</v>
      </c>
      <c r="T302" s="406">
        <f t="shared" si="62"/>
        <v>0</v>
      </c>
      <c r="U302" s="406">
        <f t="shared" si="62"/>
        <v>0</v>
      </c>
      <c r="V302" s="407"/>
    </row>
    <row r="303" spans="1:22" ht="12.5" x14ac:dyDescent="0.25">
      <c r="A303" s="322"/>
      <c r="B303" s="331" t="s">
        <v>204</v>
      </c>
      <c r="C303" s="406">
        <f t="shared" si="61"/>
        <v>-174999.99999999997</v>
      </c>
      <c r="D303" s="406">
        <f t="shared" si="61"/>
        <v>-7134.8769417929198</v>
      </c>
      <c r="E303" s="406">
        <f t="shared" si="61"/>
        <v>-29983.451412562583</v>
      </c>
      <c r="F303" s="406">
        <f t="shared" si="61"/>
        <v>-57622.618121743602</v>
      </c>
      <c r="G303" s="406">
        <f t="shared" si="61"/>
        <v>-22325.988933392357</v>
      </c>
      <c r="H303" s="406">
        <f t="shared" si="61"/>
        <v>-40775.641466024776</v>
      </c>
      <c r="I303" s="406">
        <f t="shared" si="61"/>
        <v>-3883.5501630176691</v>
      </c>
      <c r="J303" s="406">
        <f t="shared" si="61"/>
        <v>-7011.5516097101736</v>
      </c>
      <c r="K303" s="406">
        <f t="shared" si="61"/>
        <v>-1175.1688639763647</v>
      </c>
      <c r="L303" s="406">
        <f t="shared" si="61"/>
        <v>-762.41044683449661</v>
      </c>
      <c r="M303" s="406">
        <f t="shared" si="62"/>
        <v>-451.91449326986424</v>
      </c>
      <c r="N303" s="406">
        <f t="shared" si="62"/>
        <v>-29.877912088902285</v>
      </c>
      <c r="O303" s="406">
        <f t="shared" si="62"/>
        <v>0</v>
      </c>
      <c r="P303" s="406">
        <f t="shared" si="62"/>
        <v>-430.37248331556782</v>
      </c>
      <c r="Q303" s="406">
        <f t="shared" si="62"/>
        <v>-195.22051970352044</v>
      </c>
      <c r="R303" s="406">
        <f t="shared" si="62"/>
        <v>-186.13012074607462</v>
      </c>
      <c r="S303" s="406">
        <f t="shared" si="62"/>
        <v>-1627.649376273532</v>
      </c>
      <c r="T303" s="406">
        <f t="shared" si="62"/>
        <v>-657.82059216634218</v>
      </c>
      <c r="U303" s="406">
        <f t="shared" si="62"/>
        <v>-745.75654338122501</v>
      </c>
      <c r="V303" s="407"/>
    </row>
    <row r="304" spans="1:22" ht="12.5" x14ac:dyDescent="0.25">
      <c r="A304" s="322"/>
      <c r="B304" s="331" t="s">
        <v>28</v>
      </c>
      <c r="C304" s="406">
        <f t="shared" si="61"/>
        <v>-10962171.953630852</v>
      </c>
      <c r="D304" s="406">
        <f t="shared" si="61"/>
        <v>-1337786.551428355</v>
      </c>
      <c r="E304" s="406">
        <f t="shared" si="61"/>
        <v>-3575626.6430005645</v>
      </c>
      <c r="F304" s="406">
        <f t="shared" si="61"/>
        <v>-2995412.694316952</v>
      </c>
      <c r="G304" s="406">
        <f t="shared" si="61"/>
        <v>-1032676.7198163163</v>
      </c>
      <c r="H304" s="406">
        <f t="shared" si="61"/>
        <v>-670817.04724170407</v>
      </c>
      <c r="I304" s="406">
        <f t="shared" si="61"/>
        <v>-202349.76900200962</v>
      </c>
      <c r="J304" s="406">
        <f t="shared" si="61"/>
        <v>-161862.792883224</v>
      </c>
      <c r="K304" s="406">
        <f t="shared" si="61"/>
        <v>-21980.971018440599</v>
      </c>
      <c r="L304" s="406">
        <f t="shared" si="61"/>
        <v>-15000.843507107047</v>
      </c>
      <c r="M304" s="406">
        <f t="shared" si="62"/>
        <v>-9228.7300109289445</v>
      </c>
      <c r="N304" s="406">
        <f t="shared" si="62"/>
        <v>-31047.909330412709</v>
      </c>
      <c r="O304" s="406">
        <f t="shared" si="62"/>
        <v>-516365.48274520959</v>
      </c>
      <c r="P304" s="406">
        <f t="shared" si="62"/>
        <v>-76900.705714878393</v>
      </c>
      <c r="Q304" s="406">
        <f t="shared" si="62"/>
        <v>-9632.8993293822932</v>
      </c>
      <c r="R304" s="406">
        <f t="shared" si="62"/>
        <v>-26534.619701587751</v>
      </c>
      <c r="S304" s="406">
        <f t="shared" si="62"/>
        <v>-191210.09631570481</v>
      </c>
      <c r="T304" s="406">
        <f t="shared" si="62"/>
        <v>-38748.264169252972</v>
      </c>
      <c r="U304" s="406">
        <f t="shared" si="62"/>
        <v>-48989.214098817902</v>
      </c>
      <c r="V304" s="407"/>
    </row>
    <row r="305" spans="1:22" ht="13" x14ac:dyDescent="0.3">
      <c r="A305" s="322"/>
      <c r="B305" s="362" t="s">
        <v>206</v>
      </c>
      <c r="C305" s="427">
        <f t="shared" ref="C305:U305" si="63">SUM(C302:C304)</f>
        <v>-11137171.953630852</v>
      </c>
      <c r="D305" s="427">
        <f t="shared" si="63"/>
        <v>-1344921.4283701479</v>
      </c>
      <c r="E305" s="427">
        <f t="shared" si="63"/>
        <v>-3605610.0944131273</v>
      </c>
      <c r="F305" s="427">
        <f t="shared" si="63"/>
        <v>-3053035.3124386957</v>
      </c>
      <c r="G305" s="427">
        <f t="shared" si="63"/>
        <v>-1055002.7087497087</v>
      </c>
      <c r="H305" s="427">
        <f t="shared" si="63"/>
        <v>-711592.68870772887</v>
      </c>
      <c r="I305" s="427">
        <f t="shared" si="63"/>
        <v>-206233.31916502729</v>
      </c>
      <c r="J305" s="427">
        <f t="shared" si="63"/>
        <v>-168874.34449293418</v>
      </c>
      <c r="K305" s="427">
        <f t="shared" si="63"/>
        <v>-23156.139882416963</v>
      </c>
      <c r="L305" s="427">
        <f t="shared" si="63"/>
        <v>-15763.253953941543</v>
      </c>
      <c r="M305" s="427">
        <f t="shared" si="63"/>
        <v>-9680.6445041988081</v>
      </c>
      <c r="N305" s="427">
        <f t="shared" si="63"/>
        <v>-31077.78724250161</v>
      </c>
      <c r="O305" s="427">
        <f t="shared" si="63"/>
        <v>-516365.48274520959</v>
      </c>
      <c r="P305" s="427">
        <f t="shared" si="63"/>
        <v>-77331.078198193965</v>
      </c>
      <c r="Q305" s="427">
        <f t="shared" si="63"/>
        <v>-9828.1198490858133</v>
      </c>
      <c r="R305" s="427">
        <f t="shared" si="63"/>
        <v>-26720.749822333826</v>
      </c>
      <c r="S305" s="427">
        <f t="shared" si="63"/>
        <v>-192837.74569197834</v>
      </c>
      <c r="T305" s="427">
        <f t="shared" si="63"/>
        <v>-39406.084761419312</v>
      </c>
      <c r="U305" s="427">
        <f t="shared" si="63"/>
        <v>-49734.970642199129</v>
      </c>
      <c r="V305" s="428"/>
    </row>
    <row r="306" spans="1:22" ht="12.5" x14ac:dyDescent="0.25">
      <c r="A306" s="322"/>
      <c r="B306" s="331"/>
      <c r="C306" s="406"/>
      <c r="D306" s="406"/>
      <c r="E306" s="406"/>
      <c r="F306" s="406"/>
      <c r="G306" s="406"/>
      <c r="H306" s="406"/>
      <c r="I306" s="406"/>
      <c r="J306" s="406"/>
      <c r="K306" s="406"/>
      <c r="L306" s="406"/>
      <c r="M306" s="406"/>
      <c r="N306" s="406"/>
      <c r="O306" s="406"/>
      <c r="P306" s="406"/>
      <c r="Q306" s="406"/>
      <c r="R306" s="406"/>
      <c r="S306" s="406"/>
      <c r="T306" s="406"/>
      <c r="U306" s="406"/>
      <c r="V306" s="407"/>
    </row>
    <row r="307" spans="1:22" ht="13" x14ac:dyDescent="0.25">
      <c r="A307" s="322"/>
      <c r="B307" s="318" t="s">
        <v>207</v>
      </c>
      <c r="C307" s="406"/>
      <c r="D307" s="406"/>
      <c r="E307" s="406"/>
      <c r="F307" s="406"/>
      <c r="G307" s="406"/>
      <c r="H307" s="406"/>
      <c r="I307" s="406"/>
      <c r="J307" s="406"/>
      <c r="K307" s="406"/>
      <c r="L307" s="406"/>
      <c r="M307" s="406"/>
      <c r="N307" s="406"/>
      <c r="O307" s="406"/>
      <c r="P307" s="406"/>
      <c r="Q307" s="406"/>
      <c r="R307" s="406"/>
      <c r="S307" s="406"/>
      <c r="T307" s="406"/>
      <c r="U307" s="406"/>
      <c r="V307" s="407"/>
    </row>
    <row r="308" spans="1:22" ht="12.5" x14ac:dyDescent="0.25">
      <c r="A308" s="330"/>
      <c r="B308" s="403" t="s">
        <v>47</v>
      </c>
      <c r="C308" s="406">
        <f t="shared" ref="C308:R309" si="64">SUMIF($X$110:$X$112,$B308,C$110:C$112)</f>
        <v>11562101.457821086</v>
      </c>
      <c r="D308" s="406">
        <f t="shared" si="64"/>
        <v>1767920.9764078832</v>
      </c>
      <c r="E308" s="406">
        <f t="shared" si="64"/>
        <v>3949499.5420183069</v>
      </c>
      <c r="F308" s="406">
        <f t="shared" si="64"/>
        <v>3113939.7040817505</v>
      </c>
      <c r="G308" s="406">
        <f t="shared" si="64"/>
        <v>1154179.5341095051</v>
      </c>
      <c r="H308" s="406">
        <f t="shared" si="64"/>
        <v>308142.2365011684</v>
      </c>
      <c r="I308" s="406">
        <f t="shared" si="64"/>
        <v>356828.8011575315</v>
      </c>
      <c r="J308" s="406">
        <f t="shared" si="64"/>
        <v>89198.763419944706</v>
      </c>
      <c r="K308" s="406">
        <f t="shared" si="64"/>
        <v>0</v>
      </c>
      <c r="L308" s="406">
        <f t="shared" si="64"/>
        <v>0</v>
      </c>
      <c r="M308" s="406">
        <f t="shared" si="64"/>
        <v>0</v>
      </c>
      <c r="N308" s="406">
        <f t="shared" si="64"/>
        <v>246065.81378622327</v>
      </c>
      <c r="O308" s="406">
        <f t="shared" si="64"/>
        <v>128010.52702940095</v>
      </c>
      <c r="P308" s="406">
        <f t="shared" si="64"/>
        <v>119146.6172934091</v>
      </c>
      <c r="Q308" s="406">
        <f t="shared" si="64"/>
        <v>26193.928992851765</v>
      </c>
      <c r="R308" s="406">
        <f t="shared" si="64"/>
        <v>7136.5571685895156</v>
      </c>
      <c r="S308" s="406">
        <f t="shared" ref="M308:U309" si="65">SUMIF($X$110:$X$112,$B308,S$110:S$112)</f>
        <v>230114.08986454413</v>
      </c>
      <c r="T308" s="406">
        <f t="shared" si="65"/>
        <v>50958.162683660921</v>
      </c>
      <c r="U308" s="406">
        <f t="shared" si="65"/>
        <v>14766.203306314164</v>
      </c>
      <c r="V308" s="407"/>
    </row>
    <row r="309" spans="1:22" ht="12.5" x14ac:dyDescent="0.25">
      <c r="A309" s="330"/>
      <c r="B309" s="403" t="s">
        <v>210</v>
      </c>
      <c r="C309" s="406">
        <f t="shared" si="64"/>
        <v>26572131.835277308</v>
      </c>
      <c r="D309" s="406">
        <f t="shared" si="64"/>
        <v>4612895.5220997185</v>
      </c>
      <c r="E309" s="406">
        <f t="shared" si="64"/>
        <v>10202700.863618795</v>
      </c>
      <c r="F309" s="406">
        <f t="shared" si="64"/>
        <v>7761378.8131273938</v>
      </c>
      <c r="G309" s="406">
        <f t="shared" si="64"/>
        <v>1662348.2148882663</v>
      </c>
      <c r="H309" s="406">
        <f t="shared" si="64"/>
        <v>100019.90049527395</v>
      </c>
      <c r="I309" s="406">
        <f t="shared" si="64"/>
        <v>345069.68134520442</v>
      </c>
      <c r="J309" s="406">
        <f t="shared" si="64"/>
        <v>32630.438439286416</v>
      </c>
      <c r="K309" s="406">
        <f t="shared" si="64"/>
        <v>386652.73359256331</v>
      </c>
      <c r="L309" s="406">
        <f t="shared" si="64"/>
        <v>181684.08053497615</v>
      </c>
      <c r="M309" s="406">
        <f t="shared" si="65"/>
        <v>107692.21425423144</v>
      </c>
      <c r="N309" s="406">
        <f t="shared" si="65"/>
        <v>27881.992424380678</v>
      </c>
      <c r="O309" s="406">
        <f t="shared" si="65"/>
        <v>17036.300439609913</v>
      </c>
      <c r="P309" s="406">
        <f t="shared" si="65"/>
        <v>289733.11147617723</v>
      </c>
      <c r="Q309" s="406">
        <f t="shared" si="65"/>
        <v>25837.153057130385</v>
      </c>
      <c r="R309" s="406">
        <f t="shared" si="65"/>
        <v>3880.9066825616865</v>
      </c>
      <c r="S309" s="406">
        <f t="shared" si="65"/>
        <v>729957.3679463052</v>
      </c>
      <c r="T309" s="406">
        <f t="shared" si="65"/>
        <v>79056.970103990941</v>
      </c>
      <c r="U309" s="406">
        <f t="shared" si="65"/>
        <v>5675.5707514417454</v>
      </c>
      <c r="V309" s="407"/>
    </row>
    <row r="310" spans="1:22" ht="13" x14ac:dyDescent="0.3">
      <c r="A310" s="330"/>
      <c r="B310" s="362" t="s">
        <v>206</v>
      </c>
      <c r="C310" s="427">
        <f t="shared" ref="C310:U310" si="66">SUM(C308:C309)</f>
        <v>38134233.29309839</v>
      </c>
      <c r="D310" s="427">
        <f t="shared" si="66"/>
        <v>6380816.4985076021</v>
      </c>
      <c r="E310" s="427">
        <f t="shared" si="66"/>
        <v>14152200.405637102</v>
      </c>
      <c r="F310" s="427">
        <f t="shared" si="66"/>
        <v>10875318.517209144</v>
      </c>
      <c r="G310" s="427">
        <f t="shared" si="66"/>
        <v>2816527.7489977712</v>
      </c>
      <c r="H310" s="427">
        <f t="shared" si="66"/>
        <v>408162.13699644234</v>
      </c>
      <c r="I310" s="427">
        <f t="shared" si="66"/>
        <v>701898.48250273592</v>
      </c>
      <c r="J310" s="427">
        <f t="shared" si="66"/>
        <v>121829.20185923112</v>
      </c>
      <c r="K310" s="427">
        <f t="shared" si="66"/>
        <v>386652.73359256331</v>
      </c>
      <c r="L310" s="427">
        <f t="shared" si="66"/>
        <v>181684.08053497615</v>
      </c>
      <c r="M310" s="427">
        <f t="shared" si="66"/>
        <v>107692.21425423144</v>
      </c>
      <c r="N310" s="427">
        <f t="shared" si="66"/>
        <v>273947.80621060397</v>
      </c>
      <c r="O310" s="427">
        <f t="shared" si="66"/>
        <v>145046.82746901087</v>
      </c>
      <c r="P310" s="427">
        <f t="shared" si="66"/>
        <v>408879.72876958631</v>
      </c>
      <c r="Q310" s="427">
        <f t="shared" si="66"/>
        <v>52031.082049982149</v>
      </c>
      <c r="R310" s="427">
        <f t="shared" si="66"/>
        <v>11017.463851151202</v>
      </c>
      <c r="S310" s="427">
        <f t="shared" si="66"/>
        <v>960071.4578108493</v>
      </c>
      <c r="T310" s="427">
        <f t="shared" si="66"/>
        <v>130015.13278765186</v>
      </c>
      <c r="U310" s="427">
        <f t="shared" si="66"/>
        <v>20441.774057755909</v>
      </c>
      <c r="V310" s="428"/>
    </row>
    <row r="311" spans="1:22" ht="12.5" x14ac:dyDescent="0.25">
      <c r="A311" s="322"/>
      <c r="C311" s="406"/>
      <c r="D311" s="406"/>
      <c r="E311" s="406"/>
      <c r="F311" s="406"/>
      <c r="G311" s="406"/>
      <c r="H311" s="406"/>
      <c r="I311" s="406"/>
      <c r="J311" s="406"/>
      <c r="K311" s="406"/>
      <c r="L311" s="406"/>
      <c r="M311" s="406"/>
      <c r="N311" s="406"/>
      <c r="O311" s="406"/>
      <c r="P311" s="406"/>
      <c r="Q311" s="406"/>
      <c r="R311" s="406"/>
      <c r="S311" s="406"/>
      <c r="T311" s="406"/>
      <c r="U311" s="406"/>
      <c r="V311" s="407"/>
    </row>
    <row r="312" spans="1:22" ht="13" x14ac:dyDescent="0.25">
      <c r="A312" s="322"/>
      <c r="B312" s="318" t="s">
        <v>212</v>
      </c>
      <c r="C312" s="406"/>
      <c r="D312" s="406"/>
      <c r="E312" s="406"/>
      <c r="F312" s="406"/>
      <c r="G312" s="406"/>
      <c r="H312" s="406"/>
      <c r="I312" s="406"/>
      <c r="J312" s="406"/>
      <c r="K312" s="406"/>
      <c r="L312" s="406"/>
      <c r="M312" s="406"/>
      <c r="N312" s="406"/>
      <c r="O312" s="406"/>
      <c r="P312" s="406"/>
      <c r="Q312" s="406"/>
      <c r="R312" s="406"/>
      <c r="S312" s="406"/>
      <c r="T312" s="406"/>
      <c r="U312" s="406"/>
      <c r="V312" s="407"/>
    </row>
    <row r="313" spans="1:22" ht="12.5" x14ac:dyDescent="0.25">
      <c r="A313" s="322"/>
      <c r="B313" s="403">
        <v>1860</v>
      </c>
      <c r="C313" s="406">
        <f t="shared" ref="C313:U313" si="67">C117</f>
        <v>7543725.942152746</v>
      </c>
      <c r="D313" s="406">
        <f t="shared" si="67"/>
        <v>1178805.2265250101</v>
      </c>
      <c r="E313" s="406">
        <f t="shared" si="67"/>
        <v>2633426.9259867552</v>
      </c>
      <c r="F313" s="406">
        <f t="shared" si="67"/>
        <v>2076296.6485717087</v>
      </c>
      <c r="G313" s="406">
        <f t="shared" si="67"/>
        <v>769577.87441433023</v>
      </c>
      <c r="H313" s="406">
        <f t="shared" si="67"/>
        <v>205461.49050096388</v>
      </c>
      <c r="I313" s="406">
        <f t="shared" si="67"/>
        <v>237924.46686944354</v>
      </c>
      <c r="J313" s="406">
        <f t="shared" si="67"/>
        <v>59475.491225089499</v>
      </c>
      <c r="K313" s="406">
        <f t="shared" si="67"/>
        <v>0</v>
      </c>
      <c r="L313" s="406">
        <f t="shared" si="67"/>
        <v>0</v>
      </c>
      <c r="M313" s="406">
        <f t="shared" si="67"/>
        <v>0</v>
      </c>
      <c r="N313" s="406">
        <f t="shared" si="67"/>
        <v>164070.49366521474</v>
      </c>
      <c r="O313" s="406">
        <f t="shared" si="67"/>
        <v>85354.198703542264</v>
      </c>
      <c r="P313" s="406">
        <f t="shared" si="67"/>
        <v>28155.210619964353</v>
      </c>
      <c r="Q313" s="406">
        <f t="shared" si="67"/>
        <v>5606.51568436038</v>
      </c>
      <c r="R313" s="406">
        <f t="shared" si="67"/>
        <v>809.50538672690584</v>
      </c>
      <c r="S313" s="406">
        <f t="shared" si="67"/>
        <v>81627.645343948316</v>
      </c>
      <c r="T313" s="406">
        <f t="shared" si="67"/>
        <v>14296.031527299538</v>
      </c>
      <c r="U313" s="406">
        <f t="shared" si="67"/>
        <v>2838.2171283879156</v>
      </c>
      <c r="V313" s="407"/>
    </row>
    <row r="314" spans="1:22" ht="12.5" x14ac:dyDescent="0.25">
      <c r="A314" s="322"/>
      <c r="B314" s="331"/>
      <c r="C314" s="406"/>
      <c r="D314" s="406"/>
      <c r="E314" s="406"/>
      <c r="F314" s="406"/>
      <c r="G314" s="406"/>
      <c r="H314" s="406"/>
      <c r="I314" s="406"/>
      <c r="J314" s="406"/>
      <c r="K314" s="406"/>
      <c r="L314" s="406"/>
      <c r="M314" s="406"/>
      <c r="N314" s="406"/>
      <c r="O314" s="406"/>
      <c r="P314" s="406"/>
      <c r="Q314" s="406"/>
      <c r="R314" s="406"/>
      <c r="S314" s="406"/>
      <c r="T314" s="406"/>
      <c r="U314" s="406"/>
      <c r="V314" s="407"/>
    </row>
    <row r="315" spans="1:22" ht="13" x14ac:dyDescent="0.25">
      <c r="A315" s="330"/>
      <c r="B315" s="318" t="s">
        <v>214</v>
      </c>
      <c r="C315" s="406"/>
      <c r="D315" s="406"/>
      <c r="E315" s="406"/>
      <c r="F315" s="406"/>
      <c r="G315" s="406"/>
      <c r="H315" s="406"/>
      <c r="I315" s="406"/>
      <c r="J315" s="406"/>
      <c r="K315" s="406"/>
      <c r="L315" s="406"/>
      <c r="M315" s="406"/>
      <c r="N315" s="406"/>
      <c r="O315" s="406"/>
      <c r="P315" s="406"/>
      <c r="Q315" s="406"/>
      <c r="R315" s="406"/>
      <c r="S315" s="406"/>
      <c r="T315" s="406"/>
      <c r="U315" s="406"/>
      <c r="V315" s="407"/>
    </row>
    <row r="316" spans="1:22" ht="12.5" x14ac:dyDescent="0.25">
      <c r="A316" s="330"/>
      <c r="B316" s="403" t="s">
        <v>49</v>
      </c>
      <c r="C316" s="406">
        <f t="shared" ref="C316:R317" si="68">SUMIF($X$120:$X$124,$B316,C$120:C$124)</f>
        <v>11289223.297461346</v>
      </c>
      <c r="D316" s="406">
        <f t="shared" si="68"/>
        <v>87587.344672365012</v>
      </c>
      <c r="E316" s="406">
        <f t="shared" si="68"/>
        <v>804954.05544866063</v>
      </c>
      <c r="F316" s="406">
        <f t="shared" si="68"/>
        <v>8074370.1818479327</v>
      </c>
      <c r="G316" s="406">
        <f t="shared" si="68"/>
        <v>1533744.8653262795</v>
      </c>
      <c r="H316" s="406">
        <f t="shared" si="68"/>
        <v>418819.09432754049</v>
      </c>
      <c r="I316" s="406">
        <f t="shared" si="68"/>
        <v>147426.44550366176</v>
      </c>
      <c r="J316" s="406">
        <f t="shared" si="68"/>
        <v>89911.013053926261</v>
      </c>
      <c r="K316" s="406">
        <f t="shared" si="68"/>
        <v>0</v>
      </c>
      <c r="L316" s="406">
        <f t="shared" si="68"/>
        <v>0</v>
      </c>
      <c r="M316" s="406">
        <f t="shared" si="68"/>
        <v>0</v>
      </c>
      <c r="N316" s="406">
        <f t="shared" si="68"/>
        <v>0</v>
      </c>
      <c r="O316" s="406">
        <f t="shared" si="68"/>
        <v>0</v>
      </c>
      <c r="P316" s="406">
        <f t="shared" si="68"/>
        <v>2708.4829685471</v>
      </c>
      <c r="Q316" s="406">
        <f t="shared" si="68"/>
        <v>8550.3089791388829</v>
      </c>
      <c r="R316" s="406">
        <f t="shared" si="68"/>
        <v>5576.2884646557932</v>
      </c>
      <c r="S316" s="406">
        <f t="shared" ref="M316:U317" si="69">SUMIF($X$120:$X$124,$B316,S$120:S$124)</f>
        <v>13409.646069767503</v>
      </c>
      <c r="T316" s="406">
        <f t="shared" si="69"/>
        <v>21309.38806136321</v>
      </c>
      <c r="U316" s="406">
        <f t="shared" si="69"/>
        <v>80856.182737509007</v>
      </c>
      <c r="V316" s="407"/>
    </row>
    <row r="317" spans="1:22" ht="12.5" x14ac:dyDescent="0.25">
      <c r="A317" s="322"/>
      <c r="B317" s="403" t="s">
        <v>51</v>
      </c>
      <c r="C317" s="406">
        <f t="shared" si="68"/>
        <v>52271638.530390993</v>
      </c>
      <c r="D317" s="406">
        <f t="shared" si="68"/>
        <v>9772853.3051566239</v>
      </c>
      <c r="E317" s="406">
        <f t="shared" si="68"/>
        <v>19942369.12736531</v>
      </c>
      <c r="F317" s="406">
        <f t="shared" si="68"/>
        <v>14371831.364792909</v>
      </c>
      <c r="G317" s="406">
        <f t="shared" si="68"/>
        <v>3553486.0547659514</v>
      </c>
      <c r="H317" s="406">
        <f t="shared" si="68"/>
        <v>424001.09516812587</v>
      </c>
      <c r="I317" s="406">
        <f t="shared" si="68"/>
        <v>737631.435821124</v>
      </c>
      <c r="J317" s="406">
        <f t="shared" si="68"/>
        <v>138325.88880377149</v>
      </c>
      <c r="K317" s="406">
        <f t="shared" si="68"/>
        <v>209217.35629885079</v>
      </c>
      <c r="L317" s="406">
        <f t="shared" si="68"/>
        <v>367979.74722820881</v>
      </c>
      <c r="M317" s="406">
        <f t="shared" si="69"/>
        <v>216355.50158205099</v>
      </c>
      <c r="N317" s="406">
        <f t="shared" si="69"/>
        <v>56306.257184787843</v>
      </c>
      <c r="O317" s="406">
        <f t="shared" si="69"/>
        <v>54883.73745327763</v>
      </c>
      <c r="P317" s="406">
        <f t="shared" si="69"/>
        <v>614210.74654321978</v>
      </c>
      <c r="Q317" s="406">
        <f t="shared" si="69"/>
        <v>55230.283439464198</v>
      </c>
      <c r="R317" s="406">
        <f t="shared" si="69"/>
        <v>16451.812844276978</v>
      </c>
      <c r="S317" s="406">
        <f t="shared" si="69"/>
        <v>1547450.5403497468</v>
      </c>
      <c r="T317" s="406">
        <f t="shared" si="69"/>
        <v>168994.58144842592</v>
      </c>
      <c r="U317" s="406">
        <f t="shared" si="69"/>
        <v>24059.694144858604</v>
      </c>
      <c r="V317" s="407"/>
    </row>
    <row r="318" spans="1:22" ht="13.5" thickBot="1" x14ac:dyDescent="0.35">
      <c r="A318" s="322"/>
      <c r="B318" s="362" t="s">
        <v>206</v>
      </c>
      <c r="C318" s="427">
        <f t="shared" ref="C318:U318" si="70">SUM(C316:C317)</f>
        <v>63560861.827852339</v>
      </c>
      <c r="D318" s="427">
        <f t="shared" si="70"/>
        <v>9860440.6498289891</v>
      </c>
      <c r="E318" s="427">
        <f t="shared" si="70"/>
        <v>20747323.182813972</v>
      </c>
      <c r="F318" s="427">
        <f t="shared" si="70"/>
        <v>22446201.546640843</v>
      </c>
      <c r="G318" s="427">
        <f t="shared" si="70"/>
        <v>5087230.9200922307</v>
      </c>
      <c r="H318" s="427">
        <f t="shared" si="70"/>
        <v>842820.18949566642</v>
      </c>
      <c r="I318" s="427">
        <f t="shared" si="70"/>
        <v>885057.88132478576</v>
      </c>
      <c r="J318" s="427">
        <f t="shared" si="70"/>
        <v>228236.90185769775</v>
      </c>
      <c r="K318" s="427">
        <f t="shared" si="70"/>
        <v>209217.35629885079</v>
      </c>
      <c r="L318" s="427">
        <f t="shared" si="70"/>
        <v>367979.74722820881</v>
      </c>
      <c r="M318" s="427">
        <f t="shared" si="70"/>
        <v>216355.50158205099</v>
      </c>
      <c r="N318" s="427">
        <f t="shared" si="70"/>
        <v>56306.257184787843</v>
      </c>
      <c r="O318" s="427">
        <f t="shared" si="70"/>
        <v>54883.73745327763</v>
      </c>
      <c r="P318" s="427">
        <f t="shared" si="70"/>
        <v>616919.22951176693</v>
      </c>
      <c r="Q318" s="427">
        <f t="shared" si="70"/>
        <v>63780.592418603082</v>
      </c>
      <c r="R318" s="427">
        <f t="shared" si="70"/>
        <v>22028.101308932772</v>
      </c>
      <c r="S318" s="427">
        <f t="shared" si="70"/>
        <v>1560860.1864195142</v>
      </c>
      <c r="T318" s="427">
        <f t="shared" si="70"/>
        <v>190303.96950978914</v>
      </c>
      <c r="U318" s="427">
        <f t="shared" si="70"/>
        <v>104915.87688236761</v>
      </c>
      <c r="V318" s="428"/>
    </row>
    <row r="319" spans="1:22" ht="13" thickTop="1" x14ac:dyDescent="0.25">
      <c r="A319" s="330"/>
      <c r="B319" s="345" t="s">
        <v>221</v>
      </c>
      <c r="C319" s="429">
        <f t="shared" ref="C319:U319" si="71">SUM(C318,C313,C310)</f>
        <v>109238821.06310347</v>
      </c>
      <c r="D319" s="429">
        <f t="shared" si="71"/>
        <v>17420062.374861602</v>
      </c>
      <c r="E319" s="429">
        <f t="shared" si="71"/>
        <v>37532950.514437832</v>
      </c>
      <c r="F319" s="429">
        <f t="shared" si="71"/>
        <v>35397816.712421693</v>
      </c>
      <c r="G319" s="429">
        <f t="shared" si="71"/>
        <v>8673336.5435043313</v>
      </c>
      <c r="H319" s="429">
        <f t="shared" si="71"/>
        <v>1456443.8169930726</v>
      </c>
      <c r="I319" s="429">
        <f t="shared" si="71"/>
        <v>1824880.8306969653</v>
      </c>
      <c r="J319" s="429">
        <f t="shared" si="71"/>
        <v>409541.59494201839</v>
      </c>
      <c r="K319" s="429">
        <f t="shared" si="71"/>
        <v>595870.08989141416</v>
      </c>
      <c r="L319" s="429">
        <f t="shared" si="71"/>
        <v>549663.82776318491</v>
      </c>
      <c r="M319" s="429">
        <f t="shared" si="71"/>
        <v>324047.71583628241</v>
      </c>
      <c r="N319" s="429">
        <f t="shared" si="71"/>
        <v>494324.55706060654</v>
      </c>
      <c r="O319" s="429">
        <f t="shared" si="71"/>
        <v>285284.76362583076</v>
      </c>
      <c r="P319" s="429">
        <f t="shared" si="71"/>
        <v>1053954.1689013178</v>
      </c>
      <c r="Q319" s="429">
        <f t="shared" si="71"/>
        <v>121418.19015294561</v>
      </c>
      <c r="R319" s="429">
        <f t="shared" si="71"/>
        <v>33855.070546810879</v>
      </c>
      <c r="S319" s="429">
        <f t="shared" si="71"/>
        <v>2602559.289574312</v>
      </c>
      <c r="T319" s="429">
        <f t="shared" si="71"/>
        <v>334615.13382474054</v>
      </c>
      <c r="U319" s="429">
        <f t="shared" si="71"/>
        <v>128195.86806851142</v>
      </c>
      <c r="V319" s="430"/>
    </row>
    <row r="320" spans="1:22" ht="12.5" x14ac:dyDescent="0.25">
      <c r="A320" s="322"/>
      <c r="C320" s="406"/>
      <c r="D320" s="406"/>
      <c r="E320" s="406"/>
      <c r="F320" s="406"/>
      <c r="G320" s="406"/>
      <c r="H320" s="406"/>
      <c r="I320" s="406"/>
      <c r="J320" s="406"/>
      <c r="K320" s="406"/>
      <c r="L320" s="406"/>
      <c r="M320" s="406"/>
      <c r="N320" s="406"/>
      <c r="O320" s="406"/>
      <c r="P320" s="406"/>
      <c r="Q320" s="406"/>
      <c r="R320" s="406"/>
      <c r="S320" s="406"/>
      <c r="T320" s="406"/>
      <c r="U320" s="406"/>
      <c r="V320" s="407"/>
    </row>
    <row r="321" spans="1:23" ht="13" x14ac:dyDescent="0.25">
      <c r="A321" s="322"/>
      <c r="B321" s="327" t="s">
        <v>222</v>
      </c>
      <c r="C321" s="406">
        <f t="shared" ref="C321:U326" si="72">C129</f>
        <v>48292622.898894981</v>
      </c>
      <c r="D321" s="406">
        <f t="shared" si="72"/>
        <v>7384258.0728228446</v>
      </c>
      <c r="E321" s="406">
        <f t="shared" si="72"/>
        <v>16496282.50693387</v>
      </c>
      <c r="F321" s="406">
        <f t="shared" si="72"/>
        <v>13006313.463664787</v>
      </c>
      <c r="G321" s="406">
        <f t="shared" si="72"/>
        <v>4820780.8244641293</v>
      </c>
      <c r="H321" s="406">
        <f t="shared" si="72"/>
        <v>1287049.4936287657</v>
      </c>
      <c r="I321" s="406">
        <f t="shared" si="72"/>
        <v>1490403.6949190476</v>
      </c>
      <c r="J321" s="406">
        <f t="shared" si="72"/>
        <v>372565.68458610703</v>
      </c>
      <c r="K321" s="406">
        <f t="shared" si="72"/>
        <v>0</v>
      </c>
      <c r="L321" s="406">
        <f t="shared" si="72"/>
        <v>0</v>
      </c>
      <c r="M321" s="406">
        <f t="shared" si="72"/>
        <v>0</v>
      </c>
      <c r="N321" s="406">
        <f t="shared" si="72"/>
        <v>1027768.4897367451</v>
      </c>
      <c r="O321" s="406">
        <f t="shared" si="72"/>
        <v>534674.78481067368</v>
      </c>
      <c r="P321" s="406">
        <f t="shared" si="72"/>
        <v>497651.97785367887</v>
      </c>
      <c r="Q321" s="406">
        <f t="shared" si="72"/>
        <v>109406.88764122044</v>
      </c>
      <c r="R321" s="406">
        <f t="shared" si="72"/>
        <v>29807.995146588892</v>
      </c>
      <c r="S321" s="406">
        <f t="shared" si="72"/>
        <v>961141.27748236433</v>
      </c>
      <c r="T321" s="406">
        <f t="shared" si="72"/>
        <v>212842.21930416659</v>
      </c>
      <c r="U321" s="406">
        <f t="shared" si="72"/>
        <v>61675.525899997767</v>
      </c>
      <c r="V321" s="407"/>
    </row>
    <row r="322" spans="1:23" ht="26" x14ac:dyDescent="0.25">
      <c r="A322" s="322"/>
      <c r="B322" s="364" t="s">
        <v>231</v>
      </c>
      <c r="C322" s="406">
        <f t="shared" si="72"/>
        <v>5219134.0224259375</v>
      </c>
      <c r="D322" s="406">
        <f t="shared" si="72"/>
        <v>813391.59969506541</v>
      </c>
      <c r="E322" s="406">
        <f t="shared" si="72"/>
        <v>1824901.3177924226</v>
      </c>
      <c r="F322" s="406">
        <f t="shared" si="72"/>
        <v>1441939.1815671935</v>
      </c>
      <c r="G322" s="406">
        <f t="shared" si="72"/>
        <v>531353.04259490746</v>
      </c>
      <c r="H322" s="406">
        <f t="shared" si="72"/>
        <v>141963.51942200775</v>
      </c>
      <c r="I322" s="406">
        <f t="shared" si="72"/>
        <v>163563.77101517931</v>
      </c>
      <c r="J322" s="406">
        <f t="shared" si="72"/>
        <v>41046.86837265201</v>
      </c>
      <c r="K322" s="406">
        <f t="shared" si="72"/>
        <v>0</v>
      </c>
      <c r="L322" s="406">
        <f t="shared" si="72"/>
        <v>0</v>
      </c>
      <c r="M322" s="406">
        <f t="shared" si="72"/>
        <v>0</v>
      </c>
      <c r="N322" s="406">
        <f t="shared" si="72"/>
        <v>107251.83102137926</v>
      </c>
      <c r="O322" s="406">
        <f t="shared" si="72"/>
        <v>58898.195526931493</v>
      </c>
      <c r="P322" s="406">
        <f t="shared" si="72"/>
        <v>20286.931848474553</v>
      </c>
      <c r="Q322" s="406">
        <f t="shared" si="72"/>
        <v>4034.5935321243528</v>
      </c>
      <c r="R322" s="406">
        <f t="shared" si="72"/>
        <v>644.47704106862852</v>
      </c>
      <c r="S322" s="406">
        <f t="shared" si="72"/>
        <v>57616.61358986306</v>
      </c>
      <c r="T322" s="406">
        <f t="shared" si="72"/>
        <v>10155.01974984048</v>
      </c>
      <c r="U322" s="406">
        <f t="shared" si="72"/>
        <v>2087.059656826847</v>
      </c>
      <c r="V322" s="407"/>
    </row>
    <row r="323" spans="1:23" ht="13" x14ac:dyDescent="0.25">
      <c r="A323" s="322"/>
      <c r="B323" s="349" t="s">
        <v>232</v>
      </c>
      <c r="C323" s="406">
        <f t="shared" si="72"/>
        <v>45136995.600400388</v>
      </c>
      <c r="D323" s="406">
        <f t="shared" si="72"/>
        <v>7039095.9773257505</v>
      </c>
      <c r="E323" s="406">
        <f t="shared" si="72"/>
        <v>15351069.372808345</v>
      </c>
      <c r="F323" s="406">
        <f t="shared" si="72"/>
        <v>14724711.953798415</v>
      </c>
      <c r="G323" s="406">
        <f t="shared" si="72"/>
        <v>3660123.8856724887</v>
      </c>
      <c r="H323" s="406">
        <f t="shared" si="72"/>
        <v>651980.94980401907</v>
      </c>
      <c r="I323" s="406">
        <f t="shared" si="72"/>
        <v>769519.23939824163</v>
      </c>
      <c r="J323" s="406">
        <f t="shared" si="72"/>
        <v>183049.61017389622</v>
      </c>
      <c r="K323" s="406">
        <f t="shared" si="72"/>
        <v>246038.63308102745</v>
      </c>
      <c r="L323" s="406">
        <f t="shared" si="72"/>
        <v>222577.07653587972</v>
      </c>
      <c r="M323" s="406">
        <f t="shared" si="72"/>
        <v>132028.68177484226</v>
      </c>
      <c r="N323" s="406">
        <f t="shared" si="72"/>
        <v>280235.68531942228</v>
      </c>
      <c r="O323" s="406">
        <f t="shared" si="72"/>
        <v>127325.23448150279</v>
      </c>
      <c r="P323" s="406">
        <f t="shared" si="72"/>
        <v>424546.94610225916</v>
      </c>
      <c r="Q323" s="406">
        <f t="shared" si="72"/>
        <v>50654.374214535739</v>
      </c>
      <c r="R323" s="406">
        <f t="shared" si="72"/>
        <v>16073.491455126783</v>
      </c>
      <c r="S323" s="406">
        <f t="shared" si="72"/>
        <v>1060115.1230164848</v>
      </c>
      <c r="T323" s="406">
        <f t="shared" si="72"/>
        <v>140448.30964388917</v>
      </c>
      <c r="U323" s="406">
        <f t="shared" si="72"/>
        <v>57401.055794262349</v>
      </c>
      <c r="V323" s="407"/>
    </row>
    <row r="324" spans="1:23" ht="13" x14ac:dyDescent="0.25">
      <c r="A324" s="322"/>
      <c r="B324" s="349" t="s">
        <v>223</v>
      </c>
      <c r="C324" s="406">
        <f t="shared" si="72"/>
        <v>1713532.1960866034</v>
      </c>
      <c r="D324" s="406">
        <f t="shared" si="72"/>
        <v>267637.62895974045</v>
      </c>
      <c r="E324" s="406">
        <f t="shared" si="72"/>
        <v>597897.02543779777</v>
      </c>
      <c r="F324" s="406">
        <f t="shared" si="72"/>
        <v>471405.36836515093</v>
      </c>
      <c r="G324" s="406">
        <f t="shared" si="72"/>
        <v>174726.06413130651</v>
      </c>
      <c r="H324" s="406">
        <f t="shared" si="72"/>
        <v>46648.271421661819</v>
      </c>
      <c r="I324" s="406">
        <f t="shared" si="72"/>
        <v>54018.712126143742</v>
      </c>
      <c r="J324" s="406">
        <f t="shared" si="72"/>
        <v>13503.40081170405</v>
      </c>
      <c r="K324" s="406">
        <f t="shared" si="72"/>
        <v>0</v>
      </c>
      <c r="L324" s="406">
        <f t="shared" si="72"/>
        <v>0</v>
      </c>
      <c r="M324" s="406">
        <f t="shared" si="72"/>
        <v>0</v>
      </c>
      <c r="N324" s="406">
        <f t="shared" si="72"/>
        <v>37250.800148094306</v>
      </c>
      <c r="O324" s="406">
        <f t="shared" si="72"/>
        <v>19378.939665983857</v>
      </c>
      <c r="P324" s="406">
        <f t="shared" si="72"/>
        <v>6652.4434965118944</v>
      </c>
      <c r="Q324" s="406">
        <f t="shared" si="72"/>
        <v>1326.6458084636581</v>
      </c>
      <c r="R324" s="406">
        <f t="shared" si="72"/>
        <v>212.06798634795095</v>
      </c>
      <c r="S324" s="406">
        <f t="shared" si="72"/>
        <v>18852.562403693413</v>
      </c>
      <c r="T324" s="406">
        <f t="shared" si="72"/>
        <v>3335.9264862351752</v>
      </c>
      <c r="U324" s="406">
        <f t="shared" si="72"/>
        <v>686.33883776827997</v>
      </c>
      <c r="V324" s="407"/>
    </row>
    <row r="325" spans="1:23" ht="13" x14ac:dyDescent="0.25">
      <c r="A325" s="322"/>
      <c r="B325" s="349" t="s">
        <v>224</v>
      </c>
      <c r="C325" s="406">
        <f t="shared" si="72"/>
        <v>10114663.521497501</v>
      </c>
      <c r="D325" s="406">
        <f t="shared" si="72"/>
        <v>1579815.4063294611</v>
      </c>
      <c r="E325" s="406">
        <f t="shared" si="72"/>
        <v>3529275.5202493505</v>
      </c>
      <c r="F325" s="406">
        <f t="shared" si="72"/>
        <v>2782618.6716132769</v>
      </c>
      <c r="G325" s="406">
        <f t="shared" si="72"/>
        <v>1031375.6293345065</v>
      </c>
      <c r="H325" s="406">
        <f t="shared" si="72"/>
        <v>275356.11549475114</v>
      </c>
      <c r="I325" s="406">
        <f t="shared" si="72"/>
        <v>318862.46331899473</v>
      </c>
      <c r="J325" s="406">
        <f t="shared" si="72"/>
        <v>79708.076637388003</v>
      </c>
      <c r="K325" s="406">
        <f t="shared" si="72"/>
        <v>0</v>
      </c>
      <c r="L325" s="406">
        <f t="shared" si="72"/>
        <v>0</v>
      </c>
      <c r="M325" s="406">
        <f t="shared" si="72"/>
        <v>0</v>
      </c>
      <c r="N325" s="406">
        <f t="shared" si="72"/>
        <v>219884.5812556186</v>
      </c>
      <c r="O325" s="406">
        <f t="shared" si="72"/>
        <v>114390.29542163406</v>
      </c>
      <c r="P325" s="406">
        <f t="shared" si="72"/>
        <v>39268.143147040937</v>
      </c>
      <c r="Q325" s="406">
        <f t="shared" si="72"/>
        <v>7830.9447557860412</v>
      </c>
      <c r="R325" s="406">
        <f t="shared" si="72"/>
        <v>1251.7980873016759</v>
      </c>
      <c r="S325" s="406">
        <f t="shared" si="72"/>
        <v>111283.18783089594</v>
      </c>
      <c r="T325" s="406">
        <f t="shared" si="72"/>
        <v>19691.356846273655</v>
      </c>
      <c r="U325" s="406">
        <f t="shared" si="72"/>
        <v>4051.3311752275677</v>
      </c>
      <c r="V325" s="407"/>
    </row>
    <row r="326" spans="1:23" ht="13" x14ac:dyDescent="0.25">
      <c r="A326" s="330"/>
      <c r="B326" s="349" t="s">
        <v>225</v>
      </c>
      <c r="C326" s="406">
        <f t="shared" si="72"/>
        <v>14410358.82768953</v>
      </c>
      <c r="D326" s="406">
        <f t="shared" si="72"/>
        <v>2250762.6515043122</v>
      </c>
      <c r="E326" s="406">
        <f t="shared" si="72"/>
        <v>5028158.034172954</v>
      </c>
      <c r="F326" s="406">
        <f t="shared" si="72"/>
        <v>3964396.1910696751</v>
      </c>
      <c r="G326" s="406">
        <f t="shared" si="72"/>
        <v>1469400.6254638033</v>
      </c>
      <c r="H326" s="406">
        <f t="shared" si="72"/>
        <v>392299.79536586831</v>
      </c>
      <c r="I326" s="406">
        <f t="shared" si="72"/>
        <v>454283.27925508813</v>
      </c>
      <c r="J326" s="406">
        <f t="shared" si="72"/>
        <v>113560.07872812371</v>
      </c>
      <c r="K326" s="406">
        <f t="shared" si="72"/>
        <v>0</v>
      </c>
      <c r="L326" s="406">
        <f t="shared" si="72"/>
        <v>0</v>
      </c>
      <c r="M326" s="406">
        <f t="shared" si="72"/>
        <v>0</v>
      </c>
      <c r="N326" s="406">
        <f t="shared" si="72"/>
        <v>313269.51310196391</v>
      </c>
      <c r="O326" s="406">
        <f t="shared" si="72"/>
        <v>162971.82797308775</v>
      </c>
      <c r="P326" s="406">
        <f t="shared" si="72"/>
        <v>55945.314645737126</v>
      </c>
      <c r="Q326" s="406">
        <f t="shared" si="72"/>
        <v>11156.745219536786</v>
      </c>
      <c r="R326" s="406">
        <f t="shared" si="72"/>
        <v>1783.4364513948624</v>
      </c>
      <c r="S326" s="406">
        <f t="shared" si="72"/>
        <v>158545.132492451</v>
      </c>
      <c r="T326" s="406">
        <f t="shared" si="72"/>
        <v>28054.271637982554</v>
      </c>
      <c r="U326" s="406">
        <f t="shared" si="72"/>
        <v>5771.9306075533086</v>
      </c>
      <c r="V326" s="407"/>
    </row>
    <row r="327" spans="1:23" ht="12.5" x14ac:dyDescent="0.25">
      <c r="A327" s="330"/>
      <c r="B327" s="187"/>
      <c r="C327" s="406"/>
      <c r="D327" s="406"/>
      <c r="E327" s="406"/>
      <c r="F327" s="406"/>
      <c r="G327" s="406"/>
      <c r="H327" s="406"/>
      <c r="I327" s="406"/>
      <c r="J327" s="406"/>
      <c r="K327" s="406"/>
      <c r="L327" s="406"/>
      <c r="M327" s="406"/>
      <c r="N327" s="406"/>
      <c r="O327" s="406"/>
      <c r="P327" s="406"/>
      <c r="Q327" s="406"/>
      <c r="R327" s="406"/>
      <c r="S327" s="406"/>
      <c r="T327" s="406"/>
      <c r="U327" s="406"/>
      <c r="V327" s="407"/>
    </row>
    <row r="328" spans="1:23" ht="13.5" thickBot="1" x14ac:dyDescent="0.35">
      <c r="A328" s="266"/>
      <c r="B328" s="351" t="s">
        <v>226</v>
      </c>
      <c r="C328" s="431">
        <f>SUM(C321:C326,C319,C305)</f>
        <v>222988956.17646754</v>
      </c>
      <c r="D328" s="431">
        <f>SUM(D321:D326,D319,D305)</f>
        <v>35410102.283128627</v>
      </c>
      <c r="E328" s="431">
        <f>SUM(E321:E326,E319,E305)</f>
        <v>76754924.197419435</v>
      </c>
      <c r="F328" s="431">
        <f>SUM(F321:F326,F319,F305)</f>
        <v>68736166.230061501</v>
      </c>
      <c r="G328" s="431">
        <f t="shared" ref="G328:U328" si="73">SUM(G321:G326,G319,G305)</f>
        <v>19306093.906415764</v>
      </c>
      <c r="H328" s="431">
        <f t="shared" si="73"/>
        <v>3540149.2734224172</v>
      </c>
      <c r="I328" s="431">
        <f t="shared" si="73"/>
        <v>4869298.671564633</v>
      </c>
      <c r="J328" s="431">
        <f t="shared" si="73"/>
        <v>1044100.9697589553</v>
      </c>
      <c r="K328" s="431">
        <f t="shared" si="73"/>
        <v>818752.58309002465</v>
      </c>
      <c r="L328" s="431">
        <f t="shared" si="73"/>
        <v>756477.65034512314</v>
      </c>
      <c r="M328" s="431">
        <f t="shared" si="73"/>
        <v>446395.75310692587</v>
      </c>
      <c r="N328" s="431">
        <f t="shared" si="73"/>
        <v>2448907.6704013287</v>
      </c>
      <c r="O328" s="431">
        <f t="shared" si="73"/>
        <v>786558.55876043497</v>
      </c>
      <c r="P328" s="431">
        <f t="shared" si="73"/>
        <v>2020974.8477968262</v>
      </c>
      <c r="Q328" s="431">
        <f t="shared" si="73"/>
        <v>296000.26147552684</v>
      </c>
      <c r="R328" s="431">
        <f t="shared" si="73"/>
        <v>56907.586892305852</v>
      </c>
      <c r="S328" s="431">
        <f t="shared" si="73"/>
        <v>4777275.4406980863</v>
      </c>
      <c r="T328" s="431">
        <f t="shared" si="73"/>
        <v>709736.15273170883</v>
      </c>
      <c r="U328" s="431">
        <f t="shared" si="73"/>
        <v>210134.1393979484</v>
      </c>
      <c r="V328" s="432"/>
    </row>
    <row r="329" spans="1:23" ht="13" thickTop="1" x14ac:dyDescent="0.25">
      <c r="A329" s="266"/>
      <c r="B329" s="265"/>
      <c r="C329" s="403"/>
      <c r="E329" s="433"/>
      <c r="F329" s="323"/>
      <c r="V329" s="263"/>
    </row>
    <row r="330" spans="1:23" ht="12.5" x14ac:dyDescent="0.25">
      <c r="A330" s="266"/>
      <c r="B330" s="265"/>
      <c r="C330" s="403"/>
      <c r="E330" s="433"/>
      <c r="F330" s="323"/>
      <c r="V330" s="263"/>
    </row>
    <row r="331" spans="1:23" ht="23" x14ac:dyDescent="0.5">
      <c r="A331" s="474" t="s">
        <v>233</v>
      </c>
      <c r="B331" s="474"/>
      <c r="C331" s="403"/>
      <c r="E331" s="418"/>
      <c r="F331" s="323"/>
    </row>
    <row r="332" spans="1:23" ht="23" x14ac:dyDescent="0.5">
      <c r="A332" s="314" t="s">
        <v>234</v>
      </c>
      <c r="B332" s="367"/>
      <c r="C332" s="403"/>
      <c r="E332" s="434"/>
      <c r="F332" s="323"/>
    </row>
    <row r="333" spans="1:23" ht="15.5" x14ac:dyDescent="0.35">
      <c r="A333" s="40"/>
      <c r="B333" s="266"/>
      <c r="C333" s="403"/>
      <c r="E333" s="420"/>
      <c r="F333" s="323"/>
    </row>
    <row r="334" spans="1:23" ht="13" x14ac:dyDescent="0.3">
      <c r="A334" s="299"/>
      <c r="B334" s="299"/>
      <c r="C334" s="403"/>
      <c r="E334" s="376"/>
      <c r="F334" s="323"/>
    </row>
    <row r="335" spans="1:23" ht="26" x14ac:dyDescent="0.2">
      <c r="A335" s="316" t="s">
        <v>192</v>
      </c>
      <c r="B335" s="316" t="s">
        <v>193</v>
      </c>
      <c r="C335" s="316" t="str">
        <f>C292</f>
        <v>Total</v>
      </c>
      <c r="D335" s="316" t="str">
        <f t="shared" ref="D335:O335" si="74">D292</f>
        <v>UR</v>
      </c>
      <c r="E335" s="316" t="str">
        <f t="shared" si="74"/>
        <v>R1</v>
      </c>
      <c r="F335" s="316" t="str">
        <f t="shared" si="74"/>
        <v>R2</v>
      </c>
      <c r="G335" s="316" t="str">
        <f t="shared" si="74"/>
        <v>GSe</v>
      </c>
      <c r="H335" s="316" t="str">
        <f t="shared" si="74"/>
        <v>GSd</v>
      </c>
      <c r="I335" s="316" t="str">
        <f t="shared" si="74"/>
        <v>UGe</v>
      </c>
      <c r="J335" s="316" t="str">
        <f t="shared" si="74"/>
        <v>UGd</v>
      </c>
      <c r="K335" s="316" t="str">
        <f t="shared" si="74"/>
        <v>St Lgt</v>
      </c>
      <c r="L335" s="316" t="str">
        <f t="shared" si="74"/>
        <v>Sen Lgt</v>
      </c>
      <c r="M335" s="316" t="str">
        <f t="shared" si="74"/>
        <v>USL</v>
      </c>
      <c r="N335" s="316" t="str">
        <f t="shared" si="74"/>
        <v>DGen</v>
      </c>
      <c r="O335" s="316" t="str">
        <f t="shared" si="74"/>
        <v>ST</v>
      </c>
      <c r="P335" s="271" t="s">
        <v>65</v>
      </c>
      <c r="Q335" s="271" t="s">
        <v>331</v>
      </c>
      <c r="R335" s="271" t="s">
        <v>332</v>
      </c>
      <c r="S335" s="271" t="s">
        <v>66</v>
      </c>
      <c r="T335" s="271" t="s">
        <v>333</v>
      </c>
      <c r="U335" s="271" t="s">
        <v>334</v>
      </c>
      <c r="V335" s="401"/>
      <c r="W335" s="401"/>
    </row>
    <row r="336" spans="1:23" ht="13" x14ac:dyDescent="0.3">
      <c r="A336" s="368"/>
      <c r="B336" s="369" t="s">
        <v>194</v>
      </c>
      <c r="C336" s="403"/>
      <c r="D336" s="403"/>
      <c r="E336" s="403"/>
      <c r="F336" s="403"/>
      <c r="G336" s="403"/>
      <c r="H336" s="403"/>
      <c r="I336" s="403"/>
      <c r="J336" s="403"/>
      <c r="K336" s="403"/>
      <c r="L336" s="403"/>
      <c r="M336" s="403"/>
      <c r="N336" s="403"/>
      <c r="O336" s="403"/>
      <c r="P336" s="403"/>
      <c r="Q336" s="403"/>
      <c r="R336" s="403"/>
      <c r="S336" s="403"/>
      <c r="T336" s="403"/>
      <c r="U336" s="403"/>
      <c r="V336" s="422"/>
      <c r="W336" s="422"/>
    </row>
    <row r="337" spans="1:23" ht="12.5" x14ac:dyDescent="0.25">
      <c r="A337" s="370"/>
      <c r="B337" s="403" t="s">
        <v>236</v>
      </c>
      <c r="C337" s="406">
        <f t="shared" ref="C337:U337" si="75">SUMIF($X$142:$X$162,$B337,C$142:C$162)</f>
        <v>0</v>
      </c>
      <c r="D337" s="406">
        <f t="shared" si="75"/>
        <v>0</v>
      </c>
      <c r="E337" s="406">
        <f t="shared" si="75"/>
        <v>0</v>
      </c>
      <c r="F337" s="406">
        <f t="shared" si="75"/>
        <v>0</v>
      </c>
      <c r="G337" s="406">
        <f t="shared" si="75"/>
        <v>0</v>
      </c>
      <c r="H337" s="406">
        <f t="shared" si="75"/>
        <v>0</v>
      </c>
      <c r="I337" s="406">
        <f t="shared" si="75"/>
        <v>0</v>
      </c>
      <c r="J337" s="406">
        <f t="shared" si="75"/>
        <v>0</v>
      </c>
      <c r="K337" s="406">
        <f t="shared" si="75"/>
        <v>0</v>
      </c>
      <c r="L337" s="406">
        <f t="shared" si="75"/>
        <v>0</v>
      </c>
      <c r="M337" s="406">
        <f t="shared" si="75"/>
        <v>0</v>
      </c>
      <c r="N337" s="406">
        <f t="shared" si="75"/>
        <v>0</v>
      </c>
      <c r="O337" s="406">
        <f t="shared" si="75"/>
        <v>0</v>
      </c>
      <c r="P337" s="406">
        <f t="shared" si="75"/>
        <v>0</v>
      </c>
      <c r="Q337" s="406">
        <f t="shared" si="75"/>
        <v>0</v>
      </c>
      <c r="R337" s="406">
        <f t="shared" si="75"/>
        <v>0</v>
      </c>
      <c r="S337" s="406">
        <f t="shared" si="75"/>
        <v>0</v>
      </c>
      <c r="T337" s="406">
        <f t="shared" si="75"/>
        <v>0</v>
      </c>
      <c r="U337" s="406">
        <f t="shared" si="75"/>
        <v>0</v>
      </c>
      <c r="V337" s="407"/>
      <c r="W337" s="407"/>
    </row>
    <row r="338" spans="1:23" ht="12.5" x14ac:dyDescent="0.25">
      <c r="A338" s="371"/>
      <c r="B338" s="322" t="s">
        <v>237</v>
      </c>
      <c r="C338" s="406">
        <f t="shared" ref="C338:U338" si="76">C144</f>
        <v>0</v>
      </c>
      <c r="D338" s="406">
        <f t="shared" si="76"/>
        <v>0</v>
      </c>
      <c r="E338" s="406">
        <f t="shared" si="76"/>
        <v>0</v>
      </c>
      <c r="F338" s="406">
        <f t="shared" si="76"/>
        <v>0</v>
      </c>
      <c r="G338" s="406">
        <f t="shared" si="76"/>
        <v>0</v>
      </c>
      <c r="H338" s="406">
        <f t="shared" si="76"/>
        <v>0</v>
      </c>
      <c r="I338" s="406">
        <f t="shared" si="76"/>
        <v>0</v>
      </c>
      <c r="J338" s="406">
        <f t="shared" si="76"/>
        <v>0</v>
      </c>
      <c r="K338" s="406">
        <f t="shared" si="76"/>
        <v>0</v>
      </c>
      <c r="L338" s="406">
        <f t="shared" si="76"/>
        <v>0</v>
      </c>
      <c r="M338" s="406">
        <f t="shared" si="76"/>
        <v>0</v>
      </c>
      <c r="N338" s="406">
        <f t="shared" si="76"/>
        <v>0</v>
      </c>
      <c r="O338" s="406">
        <f t="shared" si="76"/>
        <v>0</v>
      </c>
      <c r="P338" s="406">
        <f t="shared" si="76"/>
        <v>0</v>
      </c>
      <c r="Q338" s="406">
        <f t="shared" si="76"/>
        <v>0</v>
      </c>
      <c r="R338" s="406">
        <f t="shared" si="76"/>
        <v>0</v>
      </c>
      <c r="S338" s="406">
        <f t="shared" si="76"/>
        <v>0</v>
      </c>
      <c r="T338" s="406">
        <f t="shared" si="76"/>
        <v>0</v>
      </c>
      <c r="U338" s="406">
        <f t="shared" si="76"/>
        <v>0</v>
      </c>
      <c r="V338" s="407"/>
      <c r="W338" s="407"/>
    </row>
    <row r="339" spans="1:23" ht="12.5" x14ac:dyDescent="0.25">
      <c r="A339" s="371"/>
      <c r="B339" s="403" t="s">
        <v>240</v>
      </c>
      <c r="C339" s="406">
        <f t="shared" ref="C339:R341" si="77">SUMIF($X$142:$X$162,$B339,C$142:C$162)</f>
        <v>0</v>
      </c>
      <c r="D339" s="406">
        <f t="shared" si="77"/>
        <v>0</v>
      </c>
      <c r="E339" s="406">
        <f t="shared" si="77"/>
        <v>0</v>
      </c>
      <c r="F339" s="406">
        <f t="shared" si="77"/>
        <v>0</v>
      </c>
      <c r="G339" s="406">
        <f t="shared" si="77"/>
        <v>0</v>
      </c>
      <c r="H339" s="406">
        <f t="shared" si="77"/>
        <v>0</v>
      </c>
      <c r="I339" s="406">
        <f t="shared" si="77"/>
        <v>0</v>
      </c>
      <c r="J339" s="406">
        <f t="shared" si="77"/>
        <v>0</v>
      </c>
      <c r="K339" s="406">
        <f t="shared" si="77"/>
        <v>0</v>
      </c>
      <c r="L339" s="406">
        <f t="shared" si="77"/>
        <v>0</v>
      </c>
      <c r="M339" s="406">
        <f t="shared" si="77"/>
        <v>0</v>
      </c>
      <c r="N339" s="406">
        <f t="shared" si="77"/>
        <v>0</v>
      </c>
      <c r="O339" s="406">
        <f t="shared" si="77"/>
        <v>0</v>
      </c>
      <c r="P339" s="406">
        <f t="shared" si="77"/>
        <v>0</v>
      </c>
      <c r="Q339" s="406">
        <f t="shared" si="77"/>
        <v>0</v>
      </c>
      <c r="R339" s="406">
        <f t="shared" si="77"/>
        <v>0</v>
      </c>
      <c r="S339" s="406">
        <f t="shared" ref="M339:U341" si="78">SUMIF($X$142:$X$162,$B339,S$142:S$162)</f>
        <v>0</v>
      </c>
      <c r="T339" s="406">
        <f t="shared" si="78"/>
        <v>0</v>
      </c>
      <c r="U339" s="406">
        <f t="shared" si="78"/>
        <v>0</v>
      </c>
      <c r="V339" s="407"/>
      <c r="W339" s="407"/>
    </row>
    <row r="340" spans="1:23" ht="12.5" x14ac:dyDescent="0.25">
      <c r="A340" s="371"/>
      <c r="B340" s="403" t="s">
        <v>243</v>
      </c>
      <c r="C340" s="406">
        <f t="shared" si="77"/>
        <v>1768038290.2895718</v>
      </c>
      <c r="D340" s="406">
        <f t="shared" si="77"/>
        <v>113644461.61067361</v>
      </c>
      <c r="E340" s="406">
        <f t="shared" si="77"/>
        <v>477577009.49978954</v>
      </c>
      <c r="F340" s="406">
        <f t="shared" si="77"/>
        <v>917814205.69216275</v>
      </c>
      <c r="G340" s="406">
        <f t="shared" si="77"/>
        <v>123493812.90302603</v>
      </c>
      <c r="H340" s="406">
        <f t="shared" si="77"/>
        <v>7721297.4224029984</v>
      </c>
      <c r="I340" s="406">
        <f t="shared" si="77"/>
        <v>10681168.332867347</v>
      </c>
      <c r="J340" s="406">
        <f t="shared" si="77"/>
        <v>1144996.3228478937</v>
      </c>
      <c r="K340" s="406">
        <f t="shared" si="77"/>
        <v>18718113.001492187</v>
      </c>
      <c r="L340" s="406">
        <f t="shared" si="77"/>
        <v>12143688.736849722</v>
      </c>
      <c r="M340" s="406">
        <f t="shared" si="78"/>
        <v>7198103.0227563372</v>
      </c>
      <c r="N340" s="406">
        <f t="shared" si="78"/>
        <v>939170.6879513415</v>
      </c>
      <c r="O340" s="406">
        <f t="shared" si="78"/>
        <v>1156742.7334838354</v>
      </c>
      <c r="P340" s="406">
        <f t="shared" si="78"/>
        <v>19365641.239262804</v>
      </c>
      <c r="Q340" s="406">
        <f t="shared" si="78"/>
        <v>1726944.6153359311</v>
      </c>
      <c r="R340" s="406">
        <f t="shared" si="78"/>
        <v>259398.19620418764</v>
      </c>
      <c r="S340" s="406">
        <f t="shared" si="78"/>
        <v>48790048.315782554</v>
      </c>
      <c r="T340" s="406">
        <f t="shared" si="78"/>
        <v>5284135.1569956699</v>
      </c>
      <c r="U340" s="406">
        <f t="shared" si="78"/>
        <v>379352.79968686379</v>
      </c>
      <c r="V340" s="407"/>
      <c r="W340" s="407"/>
    </row>
    <row r="341" spans="1:23" ht="12.5" x14ac:dyDescent="0.25">
      <c r="A341" s="371"/>
      <c r="B341" s="403" t="s">
        <v>246</v>
      </c>
      <c r="C341" s="406">
        <f t="shared" si="77"/>
        <v>700829821.80519235</v>
      </c>
      <c r="D341" s="406">
        <f t="shared" si="77"/>
        <v>45161659.119044267</v>
      </c>
      <c r="E341" s="406">
        <f t="shared" si="77"/>
        <v>189786372.34439898</v>
      </c>
      <c r="F341" s="406">
        <f t="shared" si="77"/>
        <v>364734116.42431331</v>
      </c>
      <c r="G341" s="406">
        <f t="shared" si="77"/>
        <v>49075734.994847089</v>
      </c>
      <c r="H341" s="406">
        <f t="shared" si="77"/>
        <v>0</v>
      </c>
      <c r="I341" s="406">
        <f t="shared" si="77"/>
        <v>4244635.2105977153</v>
      </c>
      <c r="J341" s="406">
        <f t="shared" si="77"/>
        <v>0</v>
      </c>
      <c r="K341" s="406">
        <f t="shared" si="77"/>
        <v>10270142.024132339</v>
      </c>
      <c r="L341" s="406">
        <f t="shared" si="77"/>
        <v>4825832.4550844226</v>
      </c>
      <c r="M341" s="406">
        <f t="shared" si="78"/>
        <v>2860484.9757759958</v>
      </c>
      <c r="N341" s="406">
        <f t="shared" si="78"/>
        <v>0</v>
      </c>
      <c r="O341" s="406">
        <f t="shared" si="78"/>
        <v>0</v>
      </c>
      <c r="P341" s="406">
        <f t="shared" si="78"/>
        <v>7695795.0776824374</v>
      </c>
      <c r="Q341" s="406">
        <f t="shared" si="78"/>
        <v>686277.91385431914</v>
      </c>
      <c r="R341" s="406">
        <f t="shared" si="78"/>
        <v>0</v>
      </c>
      <c r="S341" s="406">
        <f t="shared" si="78"/>
        <v>19388886.173685055</v>
      </c>
      <c r="T341" s="406">
        <f t="shared" si="78"/>
        <v>2099885.0917762853</v>
      </c>
      <c r="U341" s="406">
        <f t="shared" si="78"/>
        <v>0</v>
      </c>
      <c r="V341" s="407"/>
      <c r="W341" s="407"/>
    </row>
    <row r="342" spans="1:23" ht="12.5" x14ac:dyDescent="0.25">
      <c r="A342" s="371"/>
      <c r="B342" s="322" t="s">
        <v>247</v>
      </c>
      <c r="C342" s="406">
        <f t="shared" ref="C342:U342" si="79">C148</f>
        <v>0</v>
      </c>
      <c r="D342" s="406">
        <f t="shared" si="79"/>
        <v>0</v>
      </c>
      <c r="E342" s="406">
        <f t="shared" si="79"/>
        <v>0</v>
      </c>
      <c r="F342" s="406">
        <f t="shared" si="79"/>
        <v>0</v>
      </c>
      <c r="G342" s="406">
        <f t="shared" si="79"/>
        <v>0</v>
      </c>
      <c r="H342" s="406">
        <f t="shared" si="79"/>
        <v>0</v>
      </c>
      <c r="I342" s="406">
        <f t="shared" si="79"/>
        <v>0</v>
      </c>
      <c r="J342" s="406">
        <f t="shared" si="79"/>
        <v>0</v>
      </c>
      <c r="K342" s="406">
        <f t="shared" si="79"/>
        <v>0</v>
      </c>
      <c r="L342" s="406">
        <f t="shared" si="79"/>
        <v>0</v>
      </c>
      <c r="M342" s="406">
        <f t="shared" si="79"/>
        <v>0</v>
      </c>
      <c r="N342" s="406">
        <f t="shared" si="79"/>
        <v>0</v>
      </c>
      <c r="O342" s="406">
        <f t="shared" si="79"/>
        <v>0</v>
      </c>
      <c r="P342" s="406">
        <f t="shared" si="79"/>
        <v>0</v>
      </c>
      <c r="Q342" s="406">
        <f t="shared" si="79"/>
        <v>0</v>
      </c>
      <c r="R342" s="406">
        <f t="shared" si="79"/>
        <v>0</v>
      </c>
      <c r="S342" s="406">
        <f t="shared" si="79"/>
        <v>0</v>
      </c>
      <c r="T342" s="406">
        <f t="shared" si="79"/>
        <v>0</v>
      </c>
      <c r="U342" s="406">
        <f t="shared" si="79"/>
        <v>0</v>
      </c>
      <c r="V342" s="407"/>
      <c r="W342" s="407"/>
    </row>
    <row r="343" spans="1:23" ht="12.5" x14ac:dyDescent="0.25">
      <c r="A343" s="371"/>
      <c r="B343" s="403" t="s">
        <v>269</v>
      </c>
      <c r="C343" s="406">
        <f t="shared" ref="C343:R345" si="80">SUMIF($X$142:$X$162,$B343,C$142:C$162)</f>
        <v>1683967952.5913785</v>
      </c>
      <c r="D343" s="406">
        <f t="shared" si="80"/>
        <v>108402195.15479007</v>
      </c>
      <c r="E343" s="406">
        <f t="shared" si="80"/>
        <v>455547023.15889084</v>
      </c>
      <c r="F343" s="406">
        <f t="shared" si="80"/>
        <v>875476668.47264981</v>
      </c>
      <c r="G343" s="406">
        <f t="shared" si="80"/>
        <v>117797209.09395939</v>
      </c>
      <c r="H343" s="406">
        <f t="shared" si="80"/>
        <v>6660988.0842580497</v>
      </c>
      <c r="I343" s="406">
        <f t="shared" si="80"/>
        <v>10188460.376250334</v>
      </c>
      <c r="J343" s="406">
        <f t="shared" si="80"/>
        <v>949118.21537258488</v>
      </c>
      <c r="K343" s="406">
        <f t="shared" si="80"/>
        <v>17854671.576239806</v>
      </c>
      <c r="L343" s="406">
        <f t="shared" si="80"/>
        <v>11583516.677308733</v>
      </c>
      <c r="M343" s="406">
        <f t="shared" si="80"/>
        <v>6866064.1931698946</v>
      </c>
      <c r="N343" s="406">
        <f t="shared" si="80"/>
        <v>453943.5344858187</v>
      </c>
      <c r="O343" s="406">
        <f t="shared" si="80"/>
        <v>0</v>
      </c>
      <c r="P343" s="406">
        <f t="shared" si="80"/>
        <v>18472330.205654748</v>
      </c>
      <c r="Q343" s="406">
        <f t="shared" si="80"/>
        <v>1647282.9785096806</v>
      </c>
      <c r="R343" s="406">
        <f t="shared" si="80"/>
        <v>192819.02466053079</v>
      </c>
      <c r="S343" s="406">
        <f t="shared" ref="M343:U345" si="81">SUMIF($X$142:$X$162,$B343,S$142:S$162)</f>
        <v>46539428.883548468</v>
      </c>
      <c r="T343" s="406">
        <f t="shared" si="81"/>
        <v>5040385.0957144471</v>
      </c>
      <c r="U343" s="406">
        <f t="shared" si="81"/>
        <v>295847.86591528385</v>
      </c>
      <c r="V343" s="407"/>
      <c r="W343" s="407"/>
    </row>
    <row r="344" spans="1:23" ht="12.5" x14ac:dyDescent="0.25">
      <c r="A344" s="371"/>
      <c r="B344" s="403" t="s">
        <v>45</v>
      </c>
      <c r="C344" s="406">
        <f t="shared" si="80"/>
        <v>851432394.04279912</v>
      </c>
      <c r="D344" s="406">
        <f t="shared" si="80"/>
        <v>88090218.615710407</v>
      </c>
      <c r="E344" s="406">
        <f t="shared" si="80"/>
        <v>292254012.22758764</v>
      </c>
      <c r="F344" s="406">
        <f t="shared" si="80"/>
        <v>444645810.72704947</v>
      </c>
      <c r="G344" s="406">
        <f t="shared" si="80"/>
        <v>0</v>
      </c>
      <c r="H344" s="406">
        <f t="shared" si="80"/>
        <v>0</v>
      </c>
      <c r="I344" s="406">
        <f t="shared" si="80"/>
        <v>0</v>
      </c>
      <c r="J344" s="406">
        <f t="shared" si="80"/>
        <v>0</v>
      </c>
      <c r="K344" s="406">
        <f t="shared" si="80"/>
        <v>0</v>
      </c>
      <c r="L344" s="406">
        <f t="shared" si="80"/>
        <v>0</v>
      </c>
      <c r="M344" s="406">
        <f t="shared" si="81"/>
        <v>0</v>
      </c>
      <c r="N344" s="406">
        <f t="shared" si="81"/>
        <v>0</v>
      </c>
      <c r="O344" s="406">
        <f t="shared" si="81"/>
        <v>0</v>
      </c>
      <c r="P344" s="406">
        <f t="shared" si="81"/>
        <v>5532892.0865150951</v>
      </c>
      <c r="Q344" s="406">
        <f t="shared" si="81"/>
        <v>0</v>
      </c>
      <c r="R344" s="406">
        <f t="shared" si="81"/>
        <v>0</v>
      </c>
      <c r="S344" s="406">
        <f t="shared" si="81"/>
        <v>20909460.385936491</v>
      </c>
      <c r="T344" s="406">
        <f t="shared" si="81"/>
        <v>0</v>
      </c>
      <c r="U344" s="406">
        <f t="shared" si="81"/>
        <v>0</v>
      </c>
      <c r="V344" s="407"/>
      <c r="W344" s="407"/>
    </row>
    <row r="345" spans="1:23" ht="12.5" x14ac:dyDescent="0.25">
      <c r="A345" s="371"/>
      <c r="B345" s="403" t="s">
        <v>47</v>
      </c>
      <c r="C345" s="406">
        <f t="shared" si="80"/>
        <v>688090726.53126025</v>
      </c>
      <c r="D345" s="406">
        <f t="shared" si="80"/>
        <v>105213575.0187066</v>
      </c>
      <c r="E345" s="406">
        <f t="shared" si="80"/>
        <v>235044988.94220915</v>
      </c>
      <c r="F345" s="406">
        <f t="shared" si="80"/>
        <v>185318650.00256997</v>
      </c>
      <c r="G345" s="406">
        <f t="shared" si="80"/>
        <v>68688225.671614796</v>
      </c>
      <c r="H345" s="406">
        <f t="shared" si="80"/>
        <v>18338345.85888629</v>
      </c>
      <c r="I345" s="406">
        <f t="shared" si="80"/>
        <v>21235809.937446747</v>
      </c>
      <c r="J345" s="406">
        <f t="shared" si="80"/>
        <v>5308450.3843202246</v>
      </c>
      <c r="K345" s="406">
        <f t="shared" si="80"/>
        <v>0</v>
      </c>
      <c r="L345" s="406">
        <f t="shared" si="80"/>
        <v>0</v>
      </c>
      <c r="M345" s="406">
        <f t="shared" si="81"/>
        <v>0</v>
      </c>
      <c r="N345" s="406">
        <f t="shared" si="81"/>
        <v>14644016.505160149</v>
      </c>
      <c r="O345" s="406">
        <f t="shared" si="81"/>
        <v>7618239.3718511397</v>
      </c>
      <c r="P345" s="406">
        <f t="shared" si="81"/>
        <v>7090725.0516909054</v>
      </c>
      <c r="Q345" s="406">
        <f t="shared" si="81"/>
        <v>1558868.8351465357</v>
      </c>
      <c r="R345" s="406">
        <f t="shared" si="81"/>
        <v>424715.07666496927</v>
      </c>
      <c r="S345" s="406">
        <f t="shared" si="81"/>
        <v>13694687.930010043</v>
      </c>
      <c r="T345" s="406">
        <f t="shared" si="81"/>
        <v>3032652.7847565091</v>
      </c>
      <c r="U345" s="406">
        <f t="shared" si="81"/>
        <v>878775.16022634774</v>
      </c>
      <c r="V345" s="407"/>
      <c r="W345" s="407"/>
    </row>
    <row r="346" spans="1:23" ht="13" x14ac:dyDescent="0.3">
      <c r="A346" s="371"/>
      <c r="B346" s="374" t="s">
        <v>206</v>
      </c>
      <c r="C346" s="435">
        <f>SUM(C337:C345)</f>
        <v>5692359185.2602024</v>
      </c>
      <c r="D346" s="435">
        <f t="shared" ref="D346:U346" si="82">SUM(D337:D345)</f>
        <v>460512109.51892501</v>
      </c>
      <c r="E346" s="435">
        <f t="shared" si="82"/>
        <v>1650209406.1728764</v>
      </c>
      <c r="F346" s="435">
        <f t="shared" si="82"/>
        <v>2787989451.3187451</v>
      </c>
      <c r="G346" s="435">
        <f t="shared" si="82"/>
        <v>359054982.66344726</v>
      </c>
      <c r="H346" s="435">
        <f t="shared" si="82"/>
        <v>32720631.365547337</v>
      </c>
      <c r="I346" s="435">
        <f t="shared" si="82"/>
        <v>46350073.857162148</v>
      </c>
      <c r="J346" s="435">
        <f t="shared" si="82"/>
        <v>7402564.9225407038</v>
      </c>
      <c r="K346" s="435">
        <f t="shared" si="82"/>
        <v>46842926.601864338</v>
      </c>
      <c r="L346" s="435">
        <f t="shared" si="82"/>
        <v>28553037.869242877</v>
      </c>
      <c r="M346" s="435">
        <f t="shared" si="82"/>
        <v>16924652.191702228</v>
      </c>
      <c r="N346" s="435">
        <f t="shared" si="82"/>
        <v>16037130.727597309</v>
      </c>
      <c r="O346" s="435">
        <f t="shared" si="82"/>
        <v>8774982.1053349748</v>
      </c>
      <c r="P346" s="435">
        <f t="shared" si="82"/>
        <v>58157383.660805985</v>
      </c>
      <c r="Q346" s="435">
        <f t="shared" si="82"/>
        <v>5619374.3428464662</v>
      </c>
      <c r="R346" s="435">
        <f t="shared" si="82"/>
        <v>876932.29752968764</v>
      </c>
      <c r="S346" s="435">
        <f t="shared" si="82"/>
        <v>149322511.68896261</v>
      </c>
      <c r="T346" s="435">
        <f t="shared" si="82"/>
        <v>15457058.129242912</v>
      </c>
      <c r="U346" s="435">
        <f t="shared" si="82"/>
        <v>1553975.8258284954</v>
      </c>
      <c r="V346" s="436"/>
      <c r="W346" s="436"/>
    </row>
    <row r="347" spans="1:23" ht="12.5" x14ac:dyDescent="0.25">
      <c r="A347" s="371"/>
      <c r="B347" s="322"/>
      <c r="C347" s="403"/>
      <c r="D347" s="403"/>
      <c r="E347" s="403"/>
      <c r="F347" s="403"/>
      <c r="G347" s="403"/>
      <c r="H347" s="403"/>
      <c r="I347" s="403"/>
      <c r="J347" s="403"/>
      <c r="K347" s="403"/>
      <c r="L347" s="403"/>
      <c r="M347" s="403"/>
      <c r="N347" s="403"/>
      <c r="O347" s="403"/>
      <c r="P347" s="403"/>
      <c r="Q347" s="403"/>
      <c r="R347" s="403"/>
      <c r="S347" s="403"/>
      <c r="T347" s="403"/>
      <c r="U347" s="403"/>
      <c r="V347" s="422"/>
      <c r="W347" s="422"/>
    </row>
    <row r="348" spans="1:23" ht="13" x14ac:dyDescent="0.3">
      <c r="A348" s="371"/>
      <c r="B348" s="369" t="s">
        <v>196</v>
      </c>
      <c r="C348" s="403"/>
      <c r="D348" s="403"/>
      <c r="E348" s="403"/>
      <c r="F348" s="403"/>
      <c r="G348" s="403"/>
      <c r="H348" s="403"/>
      <c r="I348" s="403"/>
      <c r="J348" s="403"/>
      <c r="K348" s="403"/>
      <c r="L348" s="403"/>
      <c r="M348" s="403"/>
      <c r="N348" s="403"/>
      <c r="O348" s="403"/>
      <c r="P348" s="403"/>
      <c r="Q348" s="403"/>
      <c r="R348" s="403"/>
      <c r="S348" s="403"/>
      <c r="T348" s="403"/>
      <c r="U348" s="403"/>
      <c r="V348" s="422"/>
      <c r="W348" s="422"/>
    </row>
    <row r="349" spans="1:23" ht="25" x14ac:dyDescent="0.25">
      <c r="A349" s="371"/>
      <c r="B349" s="423" t="s">
        <v>272</v>
      </c>
      <c r="C349" s="424">
        <f t="shared" ref="C349:U352" si="83">C168</f>
        <v>-2502004359.6195168</v>
      </c>
      <c r="D349" s="424">
        <f t="shared" si="83"/>
        <v>-209398663.15707839</v>
      </c>
      <c r="E349" s="424">
        <f t="shared" si="83"/>
        <v>-733964903.6497134</v>
      </c>
      <c r="F349" s="424">
        <f t="shared" si="83"/>
        <v>-1211352771.8565776</v>
      </c>
      <c r="G349" s="424">
        <f t="shared" si="83"/>
        <v>-147707277.10748038</v>
      </c>
      <c r="H349" s="424">
        <f t="shared" si="83"/>
        <v>-17932358.295019817</v>
      </c>
      <c r="I349" s="424">
        <f t="shared" si="83"/>
        <v>-20217353.057894733</v>
      </c>
      <c r="J349" s="424">
        <f t="shared" si="83"/>
        <v>-4823316.0401067873</v>
      </c>
      <c r="K349" s="424">
        <f t="shared" si="83"/>
        <v>-18329921.201710608</v>
      </c>
      <c r="L349" s="424">
        <f t="shared" si="83"/>
        <v>-11202413.186075091</v>
      </c>
      <c r="M349" s="424">
        <f t="shared" si="83"/>
        <v>-6688250.5599835105</v>
      </c>
      <c r="N349" s="424">
        <f t="shared" si="83"/>
        <v>-7074298.1364543512</v>
      </c>
      <c r="O349" s="424">
        <f t="shared" si="83"/>
        <v>-13734173.361637009</v>
      </c>
      <c r="P349" s="424">
        <f t="shared" si="83"/>
        <v>-24604968.335396364</v>
      </c>
      <c r="Q349" s="424">
        <f t="shared" si="83"/>
        <v>-2353035.7660508682</v>
      </c>
      <c r="R349" s="424">
        <f t="shared" si="83"/>
        <v>-583250.86333350057</v>
      </c>
      <c r="S349" s="424">
        <f t="shared" si="83"/>
        <v>-64541574.362267107</v>
      </c>
      <c r="T349" s="424">
        <f t="shared" si="83"/>
        <v>-6419169.3891690578</v>
      </c>
      <c r="U349" s="424">
        <f t="shared" si="83"/>
        <v>-1076661.2935677227</v>
      </c>
      <c r="V349" s="425"/>
      <c r="W349" s="425"/>
    </row>
    <row r="350" spans="1:23" ht="13" x14ac:dyDescent="0.25">
      <c r="A350" s="371"/>
      <c r="B350" s="426" t="s">
        <v>273</v>
      </c>
      <c r="C350" s="424">
        <f t="shared" si="83"/>
        <v>3190354825.6406856</v>
      </c>
      <c r="D350" s="424">
        <f t="shared" si="83"/>
        <v>251113446.36184663</v>
      </c>
      <c r="E350" s="424">
        <f t="shared" si="83"/>
        <v>916244502.52316296</v>
      </c>
      <c r="F350" s="424">
        <f t="shared" si="83"/>
        <v>1576636679.462168</v>
      </c>
      <c r="G350" s="424">
        <f t="shared" si="83"/>
        <v>211347705.55596688</v>
      </c>
      <c r="H350" s="424">
        <f t="shared" si="83"/>
        <v>14788273.07052752</v>
      </c>
      <c r="I350" s="424">
        <f t="shared" si="83"/>
        <v>26132720.799267415</v>
      </c>
      <c r="J350" s="424">
        <f t="shared" si="83"/>
        <v>2579248.8824339164</v>
      </c>
      <c r="K350" s="424">
        <f t="shared" si="83"/>
        <v>28513005.400153723</v>
      </c>
      <c r="L350" s="424">
        <f t="shared" si="83"/>
        <v>17350624.683167785</v>
      </c>
      <c r="M350" s="424">
        <f t="shared" si="83"/>
        <v>10236401.631718718</v>
      </c>
      <c r="N350" s="424">
        <f t="shared" si="83"/>
        <v>8962832.591142958</v>
      </c>
      <c r="O350" s="424">
        <f t="shared" si="83"/>
        <v>-4959191.2563020345</v>
      </c>
      <c r="P350" s="424">
        <f t="shared" si="83"/>
        <v>33552415.325409621</v>
      </c>
      <c r="Q350" s="424">
        <f t="shared" si="83"/>
        <v>3266338.576795598</v>
      </c>
      <c r="R350" s="424">
        <f t="shared" si="83"/>
        <v>293681.43419618707</v>
      </c>
      <c r="S350" s="424">
        <f t="shared" si="83"/>
        <v>84780937.326695502</v>
      </c>
      <c r="T350" s="424">
        <f t="shared" si="83"/>
        <v>9037888.7400738522</v>
      </c>
      <c r="U350" s="424">
        <f t="shared" si="83"/>
        <v>477314.53226077277</v>
      </c>
      <c r="V350" s="425"/>
      <c r="W350" s="425"/>
    </row>
    <row r="351" spans="1:23" ht="13" x14ac:dyDescent="0.25">
      <c r="A351" s="371"/>
      <c r="B351" s="426" t="s">
        <v>229</v>
      </c>
      <c r="C351" s="424">
        <f t="shared" si="83"/>
        <v>170179087.3958123</v>
      </c>
      <c r="D351" s="424">
        <f t="shared" si="83"/>
        <v>13234500.695462251</v>
      </c>
      <c r="E351" s="424">
        <f t="shared" si="83"/>
        <v>48496395.111779839</v>
      </c>
      <c r="F351" s="424">
        <f t="shared" si="83"/>
        <v>83631354.059629053</v>
      </c>
      <c r="G351" s="424">
        <f t="shared" si="83"/>
        <v>11145719.22571242</v>
      </c>
      <c r="H351" s="424">
        <f t="shared" si="83"/>
        <v>780447.59543703729</v>
      </c>
      <c r="I351" s="424">
        <f t="shared" si="83"/>
        <v>1372184.7894541151</v>
      </c>
      <c r="J351" s="424">
        <f t="shared" si="83"/>
        <v>135961.26744651687</v>
      </c>
      <c r="K351" s="424">
        <f t="shared" si="83"/>
        <v>1513345.2698086859</v>
      </c>
      <c r="L351" s="424">
        <f t="shared" si="83"/>
        <v>5777460.7574158311</v>
      </c>
      <c r="M351" s="424">
        <f t="shared" si="83"/>
        <v>544787.09858000476</v>
      </c>
      <c r="N351" s="424">
        <f t="shared" si="83"/>
        <v>447506.63372944383</v>
      </c>
      <c r="O351" s="424">
        <f t="shared" si="83"/>
        <v>-261377.3315910199</v>
      </c>
      <c r="P351" s="424">
        <f t="shared" si="83"/>
        <v>654423.974298927</v>
      </c>
      <c r="Q351" s="424">
        <f t="shared" si="83"/>
        <v>57631.656238843585</v>
      </c>
      <c r="R351" s="424">
        <f t="shared" si="83"/>
        <v>3038.0572412237539</v>
      </c>
      <c r="S351" s="424">
        <f t="shared" si="83"/>
        <v>2431663.5787637308</v>
      </c>
      <c r="T351" s="424">
        <f t="shared" si="83"/>
        <v>206316.87950423892</v>
      </c>
      <c r="U351" s="424">
        <f t="shared" si="83"/>
        <v>7728.0769011422972</v>
      </c>
      <c r="V351" s="425"/>
      <c r="W351" s="425"/>
    </row>
    <row r="352" spans="1:23" ht="13" x14ac:dyDescent="0.25">
      <c r="A352" s="371"/>
      <c r="B352" s="327" t="s">
        <v>274</v>
      </c>
      <c r="C352" s="437">
        <f t="shared" si="83"/>
        <v>3360533913.0364981</v>
      </c>
      <c r="D352" s="437">
        <f t="shared" si="83"/>
        <v>264347947.05730888</v>
      </c>
      <c r="E352" s="437">
        <f t="shared" si="83"/>
        <v>964740897.63494277</v>
      </c>
      <c r="F352" s="437">
        <f t="shared" si="83"/>
        <v>1660268033.5217969</v>
      </c>
      <c r="G352" s="437">
        <f t="shared" si="83"/>
        <v>222493424.7816793</v>
      </c>
      <c r="H352" s="437">
        <f t="shared" si="83"/>
        <v>15568720.665964557</v>
      </c>
      <c r="I352" s="437">
        <f t="shared" si="83"/>
        <v>27504905.588721529</v>
      </c>
      <c r="J352" s="437">
        <f t="shared" si="83"/>
        <v>2715210.1498804335</v>
      </c>
      <c r="K352" s="437">
        <f t="shared" si="83"/>
        <v>30026350.66996241</v>
      </c>
      <c r="L352" s="437">
        <f t="shared" si="83"/>
        <v>23128085.440583616</v>
      </c>
      <c r="M352" s="437">
        <f t="shared" si="83"/>
        <v>10781188.730298722</v>
      </c>
      <c r="N352" s="437">
        <f t="shared" si="83"/>
        <v>9410339.224872401</v>
      </c>
      <c r="O352" s="437">
        <f t="shared" si="83"/>
        <v>-5220568.5878930548</v>
      </c>
      <c r="P352" s="437">
        <f t="shared" si="83"/>
        <v>34206839.299708545</v>
      </c>
      <c r="Q352" s="437">
        <f t="shared" si="83"/>
        <v>3323970.2330344417</v>
      </c>
      <c r="R352" s="437">
        <f t="shared" si="83"/>
        <v>296719.49143741082</v>
      </c>
      <c r="S352" s="437">
        <f t="shared" si="83"/>
        <v>87212600.905459225</v>
      </c>
      <c r="T352" s="437">
        <f t="shared" si="83"/>
        <v>9244205.6195780914</v>
      </c>
      <c r="U352" s="437">
        <f t="shared" si="83"/>
        <v>485042.60916191508</v>
      </c>
      <c r="V352" s="438"/>
      <c r="W352" s="438"/>
    </row>
    <row r="353" spans="1:23" ht="13" x14ac:dyDescent="0.3">
      <c r="A353" s="371"/>
      <c r="B353" s="369" t="s">
        <v>199</v>
      </c>
      <c r="C353" s="403"/>
      <c r="D353" s="403"/>
      <c r="E353" s="403"/>
      <c r="F353" s="403"/>
      <c r="G353" s="403"/>
      <c r="H353" s="403"/>
      <c r="I353" s="403"/>
      <c r="J353" s="403"/>
      <c r="K353" s="403"/>
      <c r="L353" s="403"/>
      <c r="M353" s="403"/>
      <c r="N353" s="403"/>
      <c r="O353" s="403"/>
      <c r="P353" s="403"/>
      <c r="Q353" s="403"/>
      <c r="R353" s="403"/>
      <c r="S353" s="403"/>
      <c r="T353" s="403"/>
      <c r="U353" s="403"/>
      <c r="V353" s="422"/>
      <c r="W353" s="422"/>
    </row>
    <row r="354" spans="1:23" ht="12.5" x14ac:dyDescent="0.25">
      <c r="A354" s="371"/>
      <c r="B354" s="403" t="s">
        <v>51</v>
      </c>
      <c r="C354" s="406">
        <f t="shared" ref="C354:R356" si="84">SUMIF($X$174:$X$182,$B354,C$174:C$182)</f>
        <v>-1383530.0766045456</v>
      </c>
      <c r="D354" s="406">
        <f t="shared" si="84"/>
        <v>-258668.69419192086</v>
      </c>
      <c r="E354" s="406">
        <f t="shared" si="84"/>
        <v>-527836.28487977083</v>
      </c>
      <c r="F354" s="406">
        <f t="shared" si="84"/>
        <v>-380394.82801976788</v>
      </c>
      <c r="G354" s="406">
        <f t="shared" si="84"/>
        <v>-94053.964478368696</v>
      </c>
      <c r="H354" s="406">
        <f t="shared" si="84"/>
        <v>-11222.496255542206</v>
      </c>
      <c r="I354" s="406">
        <f t="shared" si="84"/>
        <v>-19523.690199881083</v>
      </c>
      <c r="J354" s="406">
        <f t="shared" si="84"/>
        <v>-3661.2211308778037</v>
      </c>
      <c r="K354" s="406">
        <f t="shared" si="84"/>
        <v>-5537.5823893268062</v>
      </c>
      <c r="L354" s="406">
        <f t="shared" si="84"/>
        <v>-9739.7185583835417</v>
      </c>
      <c r="M354" s="406">
        <f t="shared" si="84"/>
        <v>-5726.5154124371966</v>
      </c>
      <c r="N354" s="406">
        <f t="shared" si="84"/>
        <v>-1490.3186987508061</v>
      </c>
      <c r="O354" s="406">
        <f t="shared" si="84"/>
        <v>-1452.6673281712606</v>
      </c>
      <c r="P354" s="406">
        <f t="shared" si="84"/>
        <v>-16256.981129876205</v>
      </c>
      <c r="Q354" s="406">
        <f t="shared" si="84"/>
        <v>-1461.8397361595225</v>
      </c>
      <c r="R354" s="406">
        <f t="shared" si="84"/>
        <v>-435.44795083269656</v>
      </c>
      <c r="S354" s="406">
        <f t="shared" ref="M354:U356" si="85">SUMIF($X$174:$X$182,$B354,S$174:S$182)</f>
        <v>-40958.049619720179</v>
      </c>
      <c r="T354" s="406">
        <f t="shared" si="85"/>
        <v>-4472.9626388343677</v>
      </c>
      <c r="U354" s="406">
        <f t="shared" si="85"/>
        <v>-636.81398592402581</v>
      </c>
      <c r="V354" s="407"/>
      <c r="W354" s="407"/>
    </row>
    <row r="355" spans="1:23" ht="12.5" x14ac:dyDescent="0.25">
      <c r="A355" s="371"/>
      <c r="B355" s="403" t="s">
        <v>280</v>
      </c>
      <c r="C355" s="406">
        <f t="shared" si="84"/>
        <v>-2594946.2570532858</v>
      </c>
      <c r="D355" s="406">
        <f t="shared" si="84"/>
        <v>0</v>
      </c>
      <c r="E355" s="406">
        <f t="shared" si="84"/>
        <v>0</v>
      </c>
      <c r="F355" s="406">
        <f t="shared" si="84"/>
        <v>0</v>
      </c>
      <c r="G355" s="406">
        <f t="shared" si="84"/>
        <v>0</v>
      </c>
      <c r="H355" s="406">
        <f t="shared" si="84"/>
        <v>0</v>
      </c>
      <c r="I355" s="406">
        <f t="shared" si="84"/>
        <v>0</v>
      </c>
      <c r="J355" s="406">
        <f t="shared" si="84"/>
        <v>0</v>
      </c>
      <c r="K355" s="406">
        <f t="shared" si="84"/>
        <v>0</v>
      </c>
      <c r="L355" s="406">
        <f t="shared" si="84"/>
        <v>-2594946.2570532858</v>
      </c>
      <c r="M355" s="406">
        <f t="shared" si="85"/>
        <v>0</v>
      </c>
      <c r="N355" s="406">
        <f t="shared" si="85"/>
        <v>0</v>
      </c>
      <c r="O355" s="406">
        <f t="shared" si="85"/>
        <v>0</v>
      </c>
      <c r="P355" s="406">
        <f t="shared" si="85"/>
        <v>0</v>
      </c>
      <c r="Q355" s="406">
        <f t="shared" si="85"/>
        <v>0</v>
      </c>
      <c r="R355" s="406">
        <f t="shared" si="85"/>
        <v>0</v>
      </c>
      <c r="S355" s="406">
        <f t="shared" si="85"/>
        <v>0</v>
      </c>
      <c r="T355" s="406">
        <f t="shared" si="85"/>
        <v>0</v>
      </c>
      <c r="U355" s="406">
        <f t="shared" si="85"/>
        <v>0</v>
      </c>
      <c r="V355" s="407"/>
      <c r="W355" s="407"/>
    </row>
    <row r="356" spans="1:23" ht="12.5" x14ac:dyDescent="0.25">
      <c r="A356" s="371"/>
      <c r="B356" s="403" t="s">
        <v>283</v>
      </c>
      <c r="C356" s="406">
        <f t="shared" si="84"/>
        <v>-14829877.084986793</v>
      </c>
      <c r="D356" s="406">
        <f t="shared" si="84"/>
        <v>-1255296.73015223</v>
      </c>
      <c r="E356" s="406">
        <f t="shared" si="84"/>
        <v>-3842575.8238110482</v>
      </c>
      <c r="F356" s="406">
        <f t="shared" si="84"/>
        <v>-6165729.0955892345</v>
      </c>
      <c r="G356" s="406">
        <f t="shared" si="84"/>
        <v>-1334331.8030268664</v>
      </c>
      <c r="H356" s="406">
        <f t="shared" si="84"/>
        <v>-842962.66817927908</v>
      </c>
      <c r="I356" s="406">
        <f t="shared" si="84"/>
        <v>-189558.45904950029</v>
      </c>
      <c r="J356" s="406">
        <f t="shared" si="84"/>
        <v>-159933.12424994478</v>
      </c>
      <c r="K356" s="406">
        <f t="shared" si="84"/>
        <v>-96278.109351739084</v>
      </c>
      <c r="L356" s="406">
        <f t="shared" si="84"/>
        <v>-52958.272352033324</v>
      </c>
      <c r="M356" s="406">
        <f t="shared" si="85"/>
        <v>-33297.379932231139</v>
      </c>
      <c r="N356" s="406">
        <f t="shared" si="85"/>
        <v>-24805.979013243897</v>
      </c>
      <c r="O356" s="406">
        <f t="shared" si="85"/>
        <v>-451067.41247085575</v>
      </c>
      <c r="P356" s="406">
        <f t="shared" si="85"/>
        <v>-74716.220374438213</v>
      </c>
      <c r="Q356" s="406">
        <f t="shared" si="85"/>
        <v>-11007.347183346677</v>
      </c>
      <c r="R356" s="406">
        <f t="shared" si="85"/>
        <v>-8325.4714658557568</v>
      </c>
      <c r="S356" s="406">
        <f t="shared" si="85"/>
        <v>-227869.39019585768</v>
      </c>
      <c r="T356" s="406">
        <f t="shared" si="85"/>
        <v>-35502.228145558613</v>
      </c>
      <c r="U356" s="406">
        <f t="shared" si="85"/>
        <v>-23661.570443527107</v>
      </c>
      <c r="V356" s="407"/>
      <c r="W356" s="407"/>
    </row>
    <row r="357" spans="1:23" ht="12.5" x14ac:dyDescent="0.25">
      <c r="A357" s="371"/>
      <c r="B357" s="403" t="s">
        <v>204</v>
      </c>
      <c r="C357" s="406">
        <f t="shared" ref="C357:R358" si="86">SUMIF($X$174:$X$179,$B357,C$174:C$179)</f>
        <v>-174999.99999999997</v>
      </c>
      <c r="D357" s="406">
        <f t="shared" si="86"/>
        <v>-7134.8769417929198</v>
      </c>
      <c r="E357" s="406">
        <f t="shared" si="86"/>
        <v>-29983.451412562583</v>
      </c>
      <c r="F357" s="406">
        <f t="shared" si="86"/>
        <v>-57622.618121743602</v>
      </c>
      <c r="G357" s="406">
        <f t="shared" si="86"/>
        <v>-22325.988933392357</v>
      </c>
      <c r="H357" s="406">
        <f t="shared" si="86"/>
        <v>-40775.641466024776</v>
      </c>
      <c r="I357" s="406">
        <f t="shared" si="86"/>
        <v>-3883.5501630176691</v>
      </c>
      <c r="J357" s="406">
        <f t="shared" si="86"/>
        <v>-7011.5516097101736</v>
      </c>
      <c r="K357" s="406">
        <f t="shared" si="86"/>
        <v>-1175.1688639763647</v>
      </c>
      <c r="L357" s="406">
        <f t="shared" si="86"/>
        <v>-762.41044683449661</v>
      </c>
      <c r="M357" s="406">
        <f t="shared" si="86"/>
        <v>-451.91449326986424</v>
      </c>
      <c r="N357" s="406">
        <f t="shared" si="86"/>
        <v>-29.877912088902285</v>
      </c>
      <c r="O357" s="406">
        <f t="shared" si="86"/>
        <v>0</v>
      </c>
      <c r="P357" s="406">
        <f t="shared" si="86"/>
        <v>-430.37248331556782</v>
      </c>
      <c r="Q357" s="406">
        <f t="shared" si="86"/>
        <v>-195.22051970352044</v>
      </c>
      <c r="R357" s="406">
        <f t="shared" si="86"/>
        <v>-186.13012074607462</v>
      </c>
      <c r="S357" s="406">
        <f t="shared" ref="M357:U358" si="87">SUMIF($X$174:$X$179,$B357,S$174:S$179)</f>
        <v>-1627.649376273532</v>
      </c>
      <c r="T357" s="406">
        <f t="shared" si="87"/>
        <v>-657.82059216634218</v>
      </c>
      <c r="U357" s="406">
        <f t="shared" si="87"/>
        <v>-745.75654338122501</v>
      </c>
      <c r="V357" s="407"/>
      <c r="W357" s="407"/>
    </row>
    <row r="358" spans="1:23" ht="12.5" x14ac:dyDescent="0.25">
      <c r="A358" s="371"/>
      <c r="B358" s="403" t="s">
        <v>28</v>
      </c>
      <c r="C358" s="406">
        <f t="shared" si="86"/>
        <v>-10962171.953630852</v>
      </c>
      <c r="D358" s="406">
        <f t="shared" si="86"/>
        <v>-1337786.551428355</v>
      </c>
      <c r="E358" s="406">
        <f t="shared" si="86"/>
        <v>-3575626.6430005645</v>
      </c>
      <c r="F358" s="406">
        <f t="shared" si="86"/>
        <v>-2995412.694316952</v>
      </c>
      <c r="G358" s="406">
        <f t="shared" si="86"/>
        <v>-1032676.7198163163</v>
      </c>
      <c r="H358" s="406">
        <f t="shared" si="86"/>
        <v>-670817.04724170407</v>
      </c>
      <c r="I358" s="406">
        <f t="shared" si="86"/>
        <v>-202349.76900200962</v>
      </c>
      <c r="J358" s="406">
        <f t="shared" si="86"/>
        <v>-161862.792883224</v>
      </c>
      <c r="K358" s="406">
        <f t="shared" si="86"/>
        <v>-21980.971018440599</v>
      </c>
      <c r="L358" s="406">
        <f t="shared" si="86"/>
        <v>-15000.843507107047</v>
      </c>
      <c r="M358" s="406">
        <f t="shared" si="87"/>
        <v>-9228.7300109289445</v>
      </c>
      <c r="N358" s="406">
        <f t="shared" si="87"/>
        <v>-31047.909330412709</v>
      </c>
      <c r="O358" s="406">
        <f t="shared" si="87"/>
        <v>-516365.48274520959</v>
      </c>
      <c r="P358" s="406">
        <f t="shared" si="87"/>
        <v>-76900.705714878393</v>
      </c>
      <c r="Q358" s="406">
        <f t="shared" si="87"/>
        <v>-9632.8993293822932</v>
      </c>
      <c r="R358" s="406">
        <f t="shared" si="87"/>
        <v>-26534.619701587751</v>
      </c>
      <c r="S358" s="406">
        <f t="shared" si="87"/>
        <v>-191210.09631570481</v>
      </c>
      <c r="T358" s="406">
        <f t="shared" si="87"/>
        <v>-38748.264169252972</v>
      </c>
      <c r="U358" s="406">
        <f t="shared" si="87"/>
        <v>-48989.214098817902</v>
      </c>
      <c r="V358" s="407"/>
      <c r="W358" s="407"/>
    </row>
    <row r="359" spans="1:23" ht="13" x14ac:dyDescent="0.3">
      <c r="A359" s="40"/>
      <c r="B359" s="374" t="s">
        <v>206</v>
      </c>
      <c r="C359" s="435">
        <f>SUM(C354:C358)</f>
        <v>-29945525.372275479</v>
      </c>
      <c r="D359" s="435">
        <f t="shared" ref="D359:U359" si="88">SUM(D354:D358)</f>
        <v>-2858886.8527142988</v>
      </c>
      <c r="E359" s="435">
        <f t="shared" si="88"/>
        <v>-7976022.2031039456</v>
      </c>
      <c r="F359" s="435">
        <f t="shared" si="88"/>
        <v>-9599159.2360476982</v>
      </c>
      <c r="G359" s="435">
        <f t="shared" si="88"/>
        <v>-2483388.4762549438</v>
      </c>
      <c r="H359" s="435">
        <f t="shared" si="88"/>
        <v>-1565777.8531425502</v>
      </c>
      <c r="I359" s="435">
        <f t="shared" si="88"/>
        <v>-415315.46841440868</v>
      </c>
      <c r="J359" s="435">
        <f t="shared" si="88"/>
        <v>-332468.68987375672</v>
      </c>
      <c r="K359" s="435">
        <f t="shared" si="88"/>
        <v>-124971.83162348285</v>
      </c>
      <c r="L359" s="435">
        <f t="shared" si="88"/>
        <v>-2673407.5019176439</v>
      </c>
      <c r="M359" s="435">
        <f t="shared" si="88"/>
        <v>-48704.539848867142</v>
      </c>
      <c r="N359" s="435">
        <f t="shared" si="88"/>
        <v>-57374.084954496313</v>
      </c>
      <c r="O359" s="435">
        <f t="shared" si="88"/>
        <v>-968885.56254423666</v>
      </c>
      <c r="P359" s="435">
        <f t="shared" si="88"/>
        <v>-168304.27970250839</v>
      </c>
      <c r="Q359" s="435">
        <f t="shared" si="88"/>
        <v>-22297.30676859201</v>
      </c>
      <c r="R359" s="435">
        <f t="shared" si="88"/>
        <v>-35481.669239022282</v>
      </c>
      <c r="S359" s="435">
        <f t="shared" si="88"/>
        <v>-461665.18550755619</v>
      </c>
      <c r="T359" s="435">
        <f t="shared" si="88"/>
        <v>-79381.275545812299</v>
      </c>
      <c r="U359" s="435">
        <f t="shared" si="88"/>
        <v>-74033.355071650265</v>
      </c>
      <c r="V359" s="436"/>
      <c r="W359" s="436"/>
    </row>
    <row r="360" spans="1:23" ht="12.5" x14ac:dyDescent="0.25">
      <c r="A360" s="40"/>
      <c r="B360" s="32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81"/>
      <c r="W360" s="181"/>
    </row>
    <row r="361" spans="1:23" ht="13" x14ac:dyDescent="0.3">
      <c r="A361" s="40"/>
      <c r="B361" s="369" t="s">
        <v>284</v>
      </c>
      <c r="C361" s="403"/>
      <c r="D361" s="403"/>
      <c r="E361" s="403"/>
      <c r="F361" s="403"/>
      <c r="G361" s="403"/>
      <c r="H361" s="403"/>
      <c r="I361" s="403"/>
      <c r="J361" s="403"/>
      <c r="K361" s="403"/>
      <c r="L361" s="403"/>
      <c r="M361" s="403"/>
      <c r="N361" s="403"/>
      <c r="O361" s="403"/>
      <c r="P361" s="403"/>
      <c r="Q361" s="403"/>
      <c r="R361" s="403"/>
      <c r="S361" s="403"/>
      <c r="T361" s="403"/>
      <c r="U361" s="403"/>
      <c r="V361" s="422"/>
      <c r="W361" s="422"/>
    </row>
    <row r="362" spans="1:23" ht="12.5" x14ac:dyDescent="0.25">
      <c r="A362" s="331"/>
      <c r="B362" s="403" t="s">
        <v>286</v>
      </c>
      <c r="C362" s="406">
        <f t="shared" ref="C362:R374" si="89">SUMIF($X$187:$X$211,$B362,C$187:C$211)</f>
        <v>23878890.811894454</v>
      </c>
      <c r="D362" s="406">
        <f t="shared" si="89"/>
        <v>1738226.2277181987</v>
      </c>
      <c r="E362" s="406">
        <f t="shared" si="89"/>
        <v>6864564.283185971</v>
      </c>
      <c r="F362" s="406">
        <f t="shared" si="89"/>
        <v>12535752.867182704</v>
      </c>
      <c r="G362" s="406">
        <f t="shared" si="89"/>
        <v>1429960.1927072932</v>
      </c>
      <c r="H362" s="406">
        <f t="shared" si="89"/>
        <v>113217.53171556494</v>
      </c>
      <c r="I362" s="406">
        <f t="shared" si="89"/>
        <v>131325.87710648979</v>
      </c>
      <c r="J362" s="406">
        <f t="shared" si="89"/>
        <v>28006.188307817149</v>
      </c>
      <c r="K362" s="406">
        <f t="shared" si="89"/>
        <v>225819.28326687228</v>
      </c>
      <c r="L362" s="406">
        <f t="shared" si="89"/>
        <v>136843.85449963814</v>
      </c>
      <c r="M362" s="406">
        <f t="shared" si="89"/>
        <v>81641.561044961767</v>
      </c>
      <c r="N362" s="406">
        <f t="shared" si="89"/>
        <v>7281.0036678425859</v>
      </c>
      <c r="O362" s="406">
        <f t="shared" si="89"/>
        <v>115009.48307881309</v>
      </c>
      <c r="P362" s="406">
        <f t="shared" si="89"/>
        <v>87333.421433793876</v>
      </c>
      <c r="Q362" s="406">
        <f t="shared" si="89"/>
        <v>6494.1273303009202</v>
      </c>
      <c r="R362" s="406">
        <f t="shared" si="89"/>
        <v>765.85506596345908</v>
      </c>
      <c r="S362" s="406">
        <f t="shared" ref="M362:U374" si="90">SUMIF($X$187:$X$211,$B362,S$187:S$211)</f>
        <v>348424.30497662904</v>
      </c>
      <c r="T362" s="406">
        <f t="shared" si="90"/>
        <v>25978.25396339994</v>
      </c>
      <c r="U362" s="406">
        <f t="shared" si="90"/>
        <v>2246.4956421962879</v>
      </c>
      <c r="V362" s="407"/>
      <c r="W362" s="407"/>
    </row>
    <row r="363" spans="1:23" ht="12.5" x14ac:dyDescent="0.25">
      <c r="A363" s="331"/>
      <c r="B363" s="403" t="s">
        <v>289</v>
      </c>
      <c r="C363" s="406">
        <f t="shared" si="89"/>
        <v>72582637.698909417</v>
      </c>
      <c r="D363" s="406">
        <f t="shared" si="89"/>
        <v>4776793.0171134304</v>
      </c>
      <c r="E363" s="406">
        <f t="shared" si="89"/>
        <v>20073890.903085135</v>
      </c>
      <c r="F363" s="406">
        <f t="shared" si="89"/>
        <v>38578285.528575756</v>
      </c>
      <c r="G363" s="406">
        <f t="shared" si="89"/>
        <v>5190788.6646759622</v>
      </c>
      <c r="H363" s="406">
        <f t="shared" si="89"/>
        <v>222234.46024598245</v>
      </c>
      <c r="I363" s="406">
        <f t="shared" si="89"/>
        <v>448959.23289113306</v>
      </c>
      <c r="J363" s="406">
        <f t="shared" si="89"/>
        <v>32955.295706319892</v>
      </c>
      <c r="K363" s="406">
        <f t="shared" si="89"/>
        <v>881194.03723307932</v>
      </c>
      <c r="L363" s="406">
        <f t="shared" si="89"/>
        <v>510433.03596182115</v>
      </c>
      <c r="M363" s="406">
        <f t="shared" si="90"/>
        <v>302556.30382903037</v>
      </c>
      <c r="N363" s="406">
        <f t="shared" si="90"/>
        <v>27031.220207906252</v>
      </c>
      <c r="O363" s="406">
        <f t="shared" si="90"/>
        <v>38571.441213980142</v>
      </c>
      <c r="P363" s="406">
        <f t="shared" si="90"/>
        <v>288148.74460468179</v>
      </c>
      <c r="Q363" s="406">
        <f t="shared" si="90"/>
        <v>23274.405210151148</v>
      </c>
      <c r="R363" s="406">
        <f t="shared" si="90"/>
        <v>1268.6321579445344</v>
      </c>
      <c r="S363" s="406">
        <f t="shared" si="90"/>
        <v>1089765.5928571918</v>
      </c>
      <c r="T363" s="406">
        <f t="shared" si="90"/>
        <v>93343.362150199042</v>
      </c>
      <c r="U363" s="406">
        <f t="shared" si="90"/>
        <v>3143.8211897104075</v>
      </c>
      <c r="V363" s="407"/>
      <c r="W363" s="407"/>
    </row>
    <row r="364" spans="1:23" ht="12.5" x14ac:dyDescent="0.25">
      <c r="A364" s="322"/>
      <c r="B364" s="403">
        <v>1850</v>
      </c>
      <c r="C364" s="406">
        <f t="shared" si="89"/>
        <v>1836490.4217825709</v>
      </c>
      <c r="D364" s="406">
        <f t="shared" si="89"/>
        <v>120961.30315439665</v>
      </c>
      <c r="E364" s="406">
        <f t="shared" si="89"/>
        <v>508325.14499103877</v>
      </c>
      <c r="F364" s="406">
        <f t="shared" si="89"/>
        <v>976906.40441834228</v>
      </c>
      <c r="G364" s="406">
        <f t="shared" si="89"/>
        <v>131444.79131266597</v>
      </c>
      <c r="H364" s="406">
        <f t="shared" si="89"/>
        <v>7432.7074079750173</v>
      </c>
      <c r="I364" s="406">
        <f t="shared" si="89"/>
        <v>11368.860588924312</v>
      </c>
      <c r="J364" s="406">
        <f t="shared" si="89"/>
        <v>1059.0798093627914</v>
      </c>
      <c r="K364" s="406">
        <f t="shared" si="89"/>
        <v>19923.252828707115</v>
      </c>
      <c r="L364" s="406">
        <f t="shared" si="89"/>
        <v>12925.543347136145</v>
      </c>
      <c r="M364" s="406">
        <f t="shared" si="90"/>
        <v>7661.5429342702937</v>
      </c>
      <c r="N364" s="406">
        <f t="shared" si="90"/>
        <v>506.53588159825273</v>
      </c>
      <c r="O364" s="406">
        <f t="shared" si="90"/>
        <v>0</v>
      </c>
      <c r="P364" s="406">
        <f t="shared" si="90"/>
        <v>7296.3299645309889</v>
      </c>
      <c r="Q364" s="406">
        <f t="shared" si="90"/>
        <v>589.34055178494373</v>
      </c>
      <c r="R364" s="406">
        <f t="shared" si="90"/>
        <v>36.558350695792164</v>
      </c>
      <c r="S364" s="406">
        <f t="shared" si="90"/>
        <v>27594.391779798909</v>
      </c>
      <c r="T364" s="406">
        <f t="shared" si="90"/>
        <v>2363.584721428972</v>
      </c>
      <c r="U364" s="406">
        <f t="shared" si="90"/>
        <v>95.049739913597776</v>
      </c>
      <c r="V364" s="407"/>
      <c r="W364" s="407"/>
    </row>
    <row r="365" spans="1:23" ht="12.5" x14ac:dyDescent="0.25">
      <c r="A365" s="322"/>
      <c r="B365" s="403" t="s">
        <v>293</v>
      </c>
      <c r="C365" s="406">
        <f t="shared" si="89"/>
        <v>877179.31802155788</v>
      </c>
      <c r="D365" s="406">
        <f t="shared" si="89"/>
        <v>57729.662461979089</v>
      </c>
      <c r="E365" s="406">
        <f t="shared" si="89"/>
        <v>242601.87577354661</v>
      </c>
      <c r="F365" s="406">
        <f t="shared" si="89"/>
        <v>466235.69284824334</v>
      </c>
      <c r="G365" s="406">
        <f t="shared" si="89"/>
        <v>62732.983499522357</v>
      </c>
      <c r="H365" s="406">
        <f t="shared" si="89"/>
        <v>3922.3019551179714</v>
      </c>
      <c r="I365" s="406">
        <f t="shared" si="89"/>
        <v>5425.8714750961371</v>
      </c>
      <c r="J365" s="406">
        <f t="shared" si="89"/>
        <v>581.64076191116317</v>
      </c>
      <c r="K365" s="406">
        <f t="shared" si="89"/>
        <v>9508.5174427878665</v>
      </c>
      <c r="L365" s="406">
        <f t="shared" si="89"/>
        <v>6168.8096532442723</v>
      </c>
      <c r="M365" s="406">
        <f t="shared" si="90"/>
        <v>3656.5271371855956</v>
      </c>
      <c r="N365" s="406">
        <f t="shared" si="90"/>
        <v>477.084461848719</v>
      </c>
      <c r="O365" s="406">
        <f t="shared" si="90"/>
        <v>0</v>
      </c>
      <c r="P365" s="406">
        <f t="shared" si="90"/>
        <v>3482.0962186842567</v>
      </c>
      <c r="Q365" s="406">
        <f t="shared" si="90"/>
        <v>281.25653813129844</v>
      </c>
      <c r="R365" s="406">
        <f t="shared" si="90"/>
        <v>22.388745905213888</v>
      </c>
      <c r="S365" s="406">
        <f t="shared" si="90"/>
        <v>13169.131294832576</v>
      </c>
      <c r="T365" s="406">
        <f t="shared" si="90"/>
        <v>1127.995781582878</v>
      </c>
      <c r="U365" s="406">
        <f t="shared" si="90"/>
        <v>55.481971938891121</v>
      </c>
      <c r="V365" s="407"/>
      <c r="W365" s="407"/>
    </row>
    <row r="366" spans="1:23" ht="12.5" x14ac:dyDescent="0.25">
      <c r="A366" s="322"/>
      <c r="B366" s="403" t="s">
        <v>47</v>
      </c>
      <c r="C366" s="406">
        <f t="shared" si="89"/>
        <v>11562101.457821086</v>
      </c>
      <c r="D366" s="406">
        <f t="shared" si="89"/>
        <v>1767920.9764078832</v>
      </c>
      <c r="E366" s="406">
        <f t="shared" si="89"/>
        <v>3949499.5420183069</v>
      </c>
      <c r="F366" s="406">
        <f t="shared" si="89"/>
        <v>3113939.7040817505</v>
      </c>
      <c r="G366" s="406">
        <f t="shared" si="89"/>
        <v>1154179.5341095051</v>
      </c>
      <c r="H366" s="406">
        <f t="shared" si="89"/>
        <v>308142.2365011684</v>
      </c>
      <c r="I366" s="406">
        <f t="shared" si="89"/>
        <v>356828.8011575315</v>
      </c>
      <c r="J366" s="406">
        <f t="shared" si="89"/>
        <v>89198.763419944706</v>
      </c>
      <c r="K366" s="406">
        <f t="shared" si="89"/>
        <v>0</v>
      </c>
      <c r="L366" s="406">
        <f t="shared" si="89"/>
        <v>0</v>
      </c>
      <c r="M366" s="406">
        <f t="shared" si="90"/>
        <v>0</v>
      </c>
      <c r="N366" s="406">
        <f t="shared" si="90"/>
        <v>246065.81378622327</v>
      </c>
      <c r="O366" s="406">
        <f t="shared" si="90"/>
        <v>128010.52702940095</v>
      </c>
      <c r="P366" s="406">
        <f t="shared" si="90"/>
        <v>119146.6172934091</v>
      </c>
      <c r="Q366" s="406">
        <f t="shared" si="90"/>
        <v>26193.928992851765</v>
      </c>
      <c r="R366" s="406">
        <f t="shared" si="90"/>
        <v>7136.5571685895156</v>
      </c>
      <c r="S366" s="406">
        <f t="shared" si="90"/>
        <v>230114.08986454413</v>
      </c>
      <c r="T366" s="406">
        <f t="shared" si="90"/>
        <v>50958.162683660921</v>
      </c>
      <c r="U366" s="406">
        <f t="shared" si="90"/>
        <v>14766.203306314164</v>
      </c>
      <c r="V366" s="407"/>
      <c r="W366" s="407"/>
    </row>
    <row r="367" spans="1:23" ht="12.5" x14ac:dyDescent="0.25">
      <c r="A367" s="40"/>
      <c r="B367" s="403" t="s">
        <v>210</v>
      </c>
      <c r="C367" s="406">
        <f t="shared" si="89"/>
        <v>26572131.835277308</v>
      </c>
      <c r="D367" s="406">
        <f t="shared" si="89"/>
        <v>4612895.5220997185</v>
      </c>
      <c r="E367" s="406">
        <f t="shared" si="89"/>
        <v>10202700.863618795</v>
      </c>
      <c r="F367" s="406">
        <f t="shared" si="89"/>
        <v>7761378.8131273938</v>
      </c>
      <c r="G367" s="406">
        <f t="shared" si="89"/>
        <v>1662348.2148882663</v>
      </c>
      <c r="H367" s="406">
        <f t="shared" si="89"/>
        <v>100019.90049527395</v>
      </c>
      <c r="I367" s="406">
        <f t="shared" si="89"/>
        <v>345069.68134520442</v>
      </c>
      <c r="J367" s="406">
        <f t="shared" si="89"/>
        <v>32630.438439286416</v>
      </c>
      <c r="K367" s="406">
        <f t="shared" si="89"/>
        <v>386652.73359256331</v>
      </c>
      <c r="L367" s="406">
        <f t="shared" si="89"/>
        <v>181684.08053497615</v>
      </c>
      <c r="M367" s="406">
        <f t="shared" si="90"/>
        <v>107692.21425423144</v>
      </c>
      <c r="N367" s="406">
        <f t="shared" si="90"/>
        <v>27881.992424380678</v>
      </c>
      <c r="O367" s="406">
        <f t="shared" si="90"/>
        <v>17036.300439609913</v>
      </c>
      <c r="P367" s="406">
        <f t="shared" si="90"/>
        <v>289733.11147617723</v>
      </c>
      <c r="Q367" s="406">
        <f t="shared" si="90"/>
        <v>25837.153057130385</v>
      </c>
      <c r="R367" s="406">
        <f t="shared" si="90"/>
        <v>3880.9066825616865</v>
      </c>
      <c r="S367" s="406">
        <f t="shared" si="90"/>
        <v>729957.3679463052</v>
      </c>
      <c r="T367" s="406">
        <f t="shared" si="90"/>
        <v>79056.970103990941</v>
      </c>
      <c r="U367" s="406">
        <f t="shared" si="90"/>
        <v>5675.5707514417454</v>
      </c>
      <c r="V367" s="407"/>
      <c r="W367" s="407"/>
    </row>
    <row r="368" spans="1:23" ht="12.5" x14ac:dyDescent="0.25">
      <c r="A368" s="376"/>
      <c r="B368" s="403" t="s">
        <v>300</v>
      </c>
      <c r="C368" s="406">
        <f t="shared" si="89"/>
        <v>0</v>
      </c>
      <c r="D368" s="406">
        <f t="shared" si="89"/>
        <v>0</v>
      </c>
      <c r="E368" s="406">
        <f t="shared" si="89"/>
        <v>0</v>
      </c>
      <c r="F368" s="406">
        <f t="shared" si="89"/>
        <v>0</v>
      </c>
      <c r="G368" s="406">
        <f t="shared" si="89"/>
        <v>0</v>
      </c>
      <c r="H368" s="406">
        <f t="shared" si="89"/>
        <v>0</v>
      </c>
      <c r="I368" s="406">
        <f t="shared" si="89"/>
        <v>0</v>
      </c>
      <c r="J368" s="406">
        <f t="shared" si="89"/>
        <v>0</v>
      </c>
      <c r="K368" s="406">
        <f t="shared" si="89"/>
        <v>0</v>
      </c>
      <c r="L368" s="406">
        <f t="shared" si="89"/>
        <v>0</v>
      </c>
      <c r="M368" s="406">
        <f t="shared" si="90"/>
        <v>0</v>
      </c>
      <c r="N368" s="406">
        <f t="shared" si="90"/>
        <v>0</v>
      </c>
      <c r="O368" s="406">
        <f t="shared" si="90"/>
        <v>0</v>
      </c>
      <c r="P368" s="406">
        <f t="shared" si="90"/>
        <v>0</v>
      </c>
      <c r="Q368" s="406">
        <f t="shared" si="90"/>
        <v>0</v>
      </c>
      <c r="R368" s="406">
        <f t="shared" si="90"/>
        <v>0</v>
      </c>
      <c r="S368" s="406">
        <f t="shared" si="90"/>
        <v>0</v>
      </c>
      <c r="T368" s="406">
        <f t="shared" si="90"/>
        <v>0</v>
      </c>
      <c r="U368" s="406">
        <f t="shared" si="90"/>
        <v>0</v>
      </c>
      <c r="V368" s="407"/>
      <c r="W368" s="407"/>
    </row>
    <row r="369" spans="1:23" ht="12.5" x14ac:dyDescent="0.25">
      <c r="A369" s="331"/>
      <c r="B369" s="403">
        <v>1830</v>
      </c>
      <c r="C369" s="406">
        <f t="shared" si="89"/>
        <v>9397375.0771199185</v>
      </c>
      <c r="D369" s="406">
        <f t="shared" si="89"/>
        <v>618623.96262310515</v>
      </c>
      <c r="E369" s="406">
        <f t="shared" si="89"/>
        <v>2599691.8625615104</v>
      </c>
      <c r="F369" s="406">
        <f t="shared" si="89"/>
        <v>4996124.3410364026</v>
      </c>
      <c r="G369" s="406">
        <f t="shared" si="89"/>
        <v>672238.93549011357</v>
      </c>
      <c r="H369" s="406">
        <f t="shared" si="89"/>
        <v>24107.086617159996</v>
      </c>
      <c r="I369" s="406">
        <f t="shared" si="89"/>
        <v>58142.97138526132</v>
      </c>
      <c r="J369" s="406">
        <f t="shared" si="89"/>
        <v>3574.8558851180078</v>
      </c>
      <c r="K369" s="406">
        <f t="shared" si="89"/>
        <v>118433.09103776001</v>
      </c>
      <c r="L369" s="406">
        <f t="shared" si="89"/>
        <v>66104.205526422011</v>
      </c>
      <c r="M369" s="406">
        <f t="shared" si="90"/>
        <v>39182.895076416571</v>
      </c>
      <c r="N369" s="406">
        <f t="shared" si="90"/>
        <v>2932.2363696352168</v>
      </c>
      <c r="O369" s="406">
        <f t="shared" si="90"/>
        <v>4184.0724128243</v>
      </c>
      <c r="P369" s="406">
        <f t="shared" si="90"/>
        <v>37317.960371986926</v>
      </c>
      <c r="Q369" s="406">
        <f t="shared" si="90"/>
        <v>3014.2533936962859</v>
      </c>
      <c r="R369" s="406">
        <f t="shared" si="90"/>
        <v>137.62042119562295</v>
      </c>
      <c r="S369" s="406">
        <f t="shared" si="90"/>
        <v>141134.84778423273</v>
      </c>
      <c r="T369" s="406">
        <f t="shared" si="90"/>
        <v>12088.839375261168</v>
      </c>
      <c r="U369" s="406">
        <f t="shared" si="90"/>
        <v>341.0397518163706</v>
      </c>
      <c r="V369" s="407"/>
      <c r="W369" s="407"/>
    </row>
    <row r="370" spans="1:23" ht="12.5" x14ac:dyDescent="0.25">
      <c r="A370" s="331"/>
      <c r="B370" s="403">
        <v>1835</v>
      </c>
      <c r="C370" s="406">
        <f t="shared" si="89"/>
        <v>17542699.155589826</v>
      </c>
      <c r="D370" s="406">
        <f t="shared" si="89"/>
        <v>1153991.393112621</v>
      </c>
      <c r="E370" s="406">
        <f t="shared" si="89"/>
        <v>4849508.2883956367</v>
      </c>
      <c r="F370" s="406">
        <f t="shared" si="89"/>
        <v>9319853.1528418623</v>
      </c>
      <c r="G370" s="406">
        <f t="shared" si="89"/>
        <v>1254005.6521273325</v>
      </c>
      <c r="H370" s="406">
        <f t="shared" si="89"/>
        <v>68474.894530490987</v>
      </c>
      <c r="I370" s="406">
        <f t="shared" si="89"/>
        <v>108460.86249889305</v>
      </c>
      <c r="J370" s="406">
        <f t="shared" si="89"/>
        <v>10154.187587350965</v>
      </c>
      <c r="K370" s="406">
        <f t="shared" si="89"/>
        <v>199235.34773365731</v>
      </c>
      <c r="L370" s="406">
        <f t="shared" si="89"/>
        <v>123311.88061739273</v>
      </c>
      <c r="M370" s="406">
        <f t="shared" si="90"/>
        <v>73092.421903106544</v>
      </c>
      <c r="N370" s="406">
        <f t="shared" si="90"/>
        <v>8328.8611078502563</v>
      </c>
      <c r="O370" s="406">
        <f t="shared" si="90"/>
        <v>11884.634660587344</v>
      </c>
      <c r="P370" s="406">
        <f t="shared" si="90"/>
        <v>69608.852028026406</v>
      </c>
      <c r="Q370" s="406">
        <f t="shared" si="90"/>
        <v>5622.459436831482</v>
      </c>
      <c r="R370" s="406">
        <f t="shared" si="90"/>
        <v>390.87713605589039</v>
      </c>
      <c r="S370" s="406">
        <f t="shared" si="90"/>
        <v>263257.54777276999</v>
      </c>
      <c r="T370" s="406">
        <f t="shared" si="90"/>
        <v>22549.202123458123</v>
      </c>
      <c r="U370" s="406">
        <f t="shared" si="90"/>
        <v>968.63997590667464</v>
      </c>
      <c r="V370" s="407"/>
      <c r="W370" s="407"/>
    </row>
    <row r="371" spans="1:23" ht="12.5" x14ac:dyDescent="0.25">
      <c r="A371" s="331"/>
      <c r="B371" s="403">
        <v>1855</v>
      </c>
      <c r="C371" s="406">
        <f t="shared" si="89"/>
        <v>14724399.29774848</v>
      </c>
      <c r="D371" s="406">
        <f t="shared" si="89"/>
        <v>1547539.3717302191</v>
      </c>
      <c r="E371" s="406">
        <f t="shared" si="89"/>
        <v>5134220.3206617534</v>
      </c>
      <c r="F371" s="406">
        <f t="shared" si="89"/>
        <v>7811388.2493225168</v>
      </c>
      <c r="G371" s="406">
        <f t="shared" si="89"/>
        <v>0</v>
      </c>
      <c r="H371" s="406">
        <f t="shared" si="89"/>
        <v>0</v>
      </c>
      <c r="I371" s="406">
        <f t="shared" si="89"/>
        <v>0</v>
      </c>
      <c r="J371" s="406">
        <f t="shared" si="89"/>
        <v>0</v>
      </c>
      <c r="K371" s="406">
        <f t="shared" si="89"/>
        <v>0</v>
      </c>
      <c r="L371" s="406">
        <f t="shared" si="89"/>
        <v>0</v>
      </c>
      <c r="M371" s="406">
        <f t="shared" si="90"/>
        <v>0</v>
      </c>
      <c r="N371" s="406">
        <f t="shared" si="90"/>
        <v>0</v>
      </c>
      <c r="O371" s="406">
        <f t="shared" si="90"/>
        <v>0</v>
      </c>
      <c r="P371" s="406">
        <f t="shared" si="90"/>
        <v>34655.131711424714</v>
      </c>
      <c r="Q371" s="406">
        <f t="shared" si="90"/>
        <v>0</v>
      </c>
      <c r="R371" s="406">
        <f t="shared" si="90"/>
        <v>0</v>
      </c>
      <c r="S371" s="406">
        <f t="shared" si="90"/>
        <v>196596.22432256397</v>
      </c>
      <c r="T371" s="406">
        <f t="shared" si="90"/>
        <v>0</v>
      </c>
      <c r="U371" s="406">
        <f t="shared" si="90"/>
        <v>0</v>
      </c>
      <c r="V371" s="407"/>
      <c r="W371" s="407"/>
    </row>
    <row r="372" spans="1:23" ht="12.5" x14ac:dyDescent="0.25">
      <c r="A372" s="331"/>
      <c r="B372" s="403">
        <v>1840</v>
      </c>
      <c r="C372" s="406">
        <f t="shared" si="89"/>
        <v>0</v>
      </c>
      <c r="D372" s="406">
        <f t="shared" si="89"/>
        <v>0</v>
      </c>
      <c r="E372" s="406">
        <f t="shared" si="89"/>
        <v>0</v>
      </c>
      <c r="F372" s="406">
        <f t="shared" si="89"/>
        <v>0</v>
      </c>
      <c r="G372" s="406">
        <f t="shared" si="89"/>
        <v>0</v>
      </c>
      <c r="H372" s="406">
        <f t="shared" si="89"/>
        <v>0</v>
      </c>
      <c r="I372" s="406">
        <f t="shared" si="89"/>
        <v>0</v>
      </c>
      <c r="J372" s="406">
        <f t="shared" si="89"/>
        <v>0</v>
      </c>
      <c r="K372" s="406">
        <f t="shared" si="89"/>
        <v>0</v>
      </c>
      <c r="L372" s="406">
        <f t="shared" si="89"/>
        <v>0</v>
      </c>
      <c r="M372" s="406">
        <f t="shared" si="90"/>
        <v>0</v>
      </c>
      <c r="N372" s="406">
        <f t="shared" si="90"/>
        <v>0</v>
      </c>
      <c r="O372" s="406">
        <f t="shared" si="90"/>
        <v>0</v>
      </c>
      <c r="P372" s="406">
        <f t="shared" si="90"/>
        <v>0</v>
      </c>
      <c r="Q372" s="406">
        <f t="shared" si="90"/>
        <v>0</v>
      </c>
      <c r="R372" s="406">
        <f t="shared" si="90"/>
        <v>0</v>
      </c>
      <c r="S372" s="406">
        <f t="shared" si="90"/>
        <v>0</v>
      </c>
      <c r="T372" s="406">
        <f t="shared" si="90"/>
        <v>0</v>
      </c>
      <c r="U372" s="406">
        <f t="shared" si="90"/>
        <v>0</v>
      </c>
      <c r="V372" s="407"/>
      <c r="W372" s="407"/>
    </row>
    <row r="373" spans="1:23" ht="12.5" x14ac:dyDescent="0.25">
      <c r="A373" s="331"/>
      <c r="B373" s="403">
        <v>1845</v>
      </c>
      <c r="C373" s="406">
        <f t="shared" si="89"/>
        <v>677322.36769642995</v>
      </c>
      <c r="D373" s="406">
        <f t="shared" si="89"/>
        <v>44576.508886752395</v>
      </c>
      <c r="E373" s="406">
        <f t="shared" si="89"/>
        <v>187327.34975688896</v>
      </c>
      <c r="F373" s="406">
        <f t="shared" si="89"/>
        <v>360008.3322721438</v>
      </c>
      <c r="G373" s="406">
        <f t="shared" si="89"/>
        <v>48439.870894805201</v>
      </c>
      <c r="H373" s="406">
        <f t="shared" si="89"/>
        <v>3028.6428241979465</v>
      </c>
      <c r="I373" s="406">
        <f t="shared" si="89"/>
        <v>4189.6383542393487</v>
      </c>
      <c r="J373" s="406">
        <f t="shared" si="89"/>
        <v>449.11945586562763</v>
      </c>
      <c r="K373" s="406">
        <f t="shared" si="89"/>
        <v>7342.092335416417</v>
      </c>
      <c r="L373" s="406">
        <f t="shared" si="89"/>
        <v>4763.3051468061585</v>
      </c>
      <c r="M373" s="406">
        <f t="shared" si="90"/>
        <v>2823.4222663739638</v>
      </c>
      <c r="N373" s="406">
        <f t="shared" si="90"/>
        <v>368.38531261701473</v>
      </c>
      <c r="O373" s="406">
        <f t="shared" si="90"/>
        <v>0</v>
      </c>
      <c r="P373" s="406">
        <f t="shared" si="90"/>
        <v>2688.7337707705078</v>
      </c>
      <c r="Q373" s="406">
        <f t="shared" si="90"/>
        <v>217.17491557696576</v>
      </c>
      <c r="R373" s="406">
        <f t="shared" si="90"/>
        <v>17.287683458469925</v>
      </c>
      <c r="S373" s="406">
        <f t="shared" si="90"/>
        <v>10168.670197604835</v>
      </c>
      <c r="T373" s="406">
        <f t="shared" si="90"/>
        <v>870.99268967775981</v>
      </c>
      <c r="U373" s="406">
        <f t="shared" si="90"/>
        <v>42.840933234580724</v>
      </c>
      <c r="V373" s="407"/>
      <c r="W373" s="407"/>
    </row>
    <row r="374" spans="1:23" ht="12.5" x14ac:dyDescent="0.25">
      <c r="A374" s="331"/>
      <c r="B374" s="403">
        <v>1860</v>
      </c>
      <c r="C374" s="406">
        <f t="shared" si="89"/>
        <v>7543725.942152746</v>
      </c>
      <c r="D374" s="406">
        <f t="shared" si="89"/>
        <v>1178805.2265250101</v>
      </c>
      <c r="E374" s="406">
        <f t="shared" si="89"/>
        <v>2633426.9259867552</v>
      </c>
      <c r="F374" s="406">
        <f t="shared" si="89"/>
        <v>2076296.6485717087</v>
      </c>
      <c r="G374" s="406">
        <f t="shared" si="89"/>
        <v>769577.87441433023</v>
      </c>
      <c r="H374" s="406">
        <f t="shared" si="89"/>
        <v>205461.49050096388</v>
      </c>
      <c r="I374" s="406">
        <f t="shared" si="89"/>
        <v>237924.46686944354</v>
      </c>
      <c r="J374" s="406">
        <f t="shared" si="89"/>
        <v>59475.491225089499</v>
      </c>
      <c r="K374" s="406">
        <f t="shared" si="89"/>
        <v>0</v>
      </c>
      <c r="L374" s="406">
        <f t="shared" si="89"/>
        <v>0</v>
      </c>
      <c r="M374" s="406">
        <f t="shared" si="90"/>
        <v>0</v>
      </c>
      <c r="N374" s="406">
        <f t="shared" si="90"/>
        <v>164070.49366521474</v>
      </c>
      <c r="O374" s="406">
        <f t="shared" si="90"/>
        <v>85354.198703542264</v>
      </c>
      <c r="P374" s="406">
        <f t="shared" si="90"/>
        <v>28155.210619964353</v>
      </c>
      <c r="Q374" s="406">
        <f t="shared" si="90"/>
        <v>5606.51568436038</v>
      </c>
      <c r="R374" s="406">
        <f t="shared" si="90"/>
        <v>809.50538672690584</v>
      </c>
      <c r="S374" s="406">
        <f t="shared" si="90"/>
        <v>81627.645343948316</v>
      </c>
      <c r="T374" s="406">
        <f t="shared" si="90"/>
        <v>14296.031527299538</v>
      </c>
      <c r="U374" s="406">
        <f t="shared" si="90"/>
        <v>2838.2171283879156</v>
      </c>
      <c r="V374" s="407"/>
      <c r="W374" s="407"/>
    </row>
    <row r="375" spans="1:23" ht="13" x14ac:dyDescent="0.3">
      <c r="A375" s="331"/>
      <c r="B375" s="374" t="s">
        <v>206</v>
      </c>
      <c r="C375" s="435">
        <f>SUM(C362:C374)</f>
        <v>187194953.38401377</v>
      </c>
      <c r="D375" s="435">
        <f t="shared" ref="D375:U375" si="91">SUM(D362:D374)</f>
        <v>17618063.171833314</v>
      </c>
      <c r="E375" s="435">
        <f t="shared" si="91"/>
        <v>57245757.36003533</v>
      </c>
      <c r="F375" s="435">
        <f t="shared" si="91"/>
        <v>87996169.734278828</v>
      </c>
      <c r="G375" s="435">
        <f t="shared" si="91"/>
        <v>12375716.714119794</v>
      </c>
      <c r="H375" s="435">
        <f t="shared" si="91"/>
        <v>1056041.2527938955</v>
      </c>
      <c r="I375" s="435">
        <f t="shared" si="91"/>
        <v>1707696.2636722163</v>
      </c>
      <c r="J375" s="435">
        <f t="shared" si="91"/>
        <v>258085.06059806619</v>
      </c>
      <c r="K375" s="435">
        <f t="shared" si="91"/>
        <v>1848108.3554708436</v>
      </c>
      <c r="L375" s="435">
        <f t="shared" si="91"/>
        <v>1042234.7152874367</v>
      </c>
      <c r="M375" s="435">
        <f t="shared" si="91"/>
        <v>618306.88844557654</v>
      </c>
      <c r="N375" s="435">
        <f t="shared" si="91"/>
        <v>484943.62688511697</v>
      </c>
      <c r="O375" s="435">
        <f t="shared" si="91"/>
        <v>400050.65753875801</v>
      </c>
      <c r="P375" s="435">
        <f t="shared" si="91"/>
        <v>967566.20949345024</v>
      </c>
      <c r="Q375" s="435">
        <f t="shared" si="91"/>
        <v>97130.615110815575</v>
      </c>
      <c r="R375" s="435">
        <f t="shared" si="91"/>
        <v>14466.18879909709</v>
      </c>
      <c r="S375" s="435">
        <f t="shared" si="91"/>
        <v>3131809.8141404213</v>
      </c>
      <c r="T375" s="435">
        <f t="shared" si="91"/>
        <v>302633.39511995931</v>
      </c>
      <c r="U375" s="435">
        <f t="shared" si="91"/>
        <v>30173.360390860631</v>
      </c>
      <c r="V375" s="436"/>
      <c r="W375" s="436"/>
    </row>
    <row r="376" spans="1:23" ht="12.5" x14ac:dyDescent="0.25">
      <c r="A376" s="331"/>
      <c r="C376" s="403"/>
      <c r="D376" s="403"/>
      <c r="E376" s="403"/>
      <c r="F376" s="403"/>
      <c r="G376" s="403"/>
      <c r="H376" s="403"/>
      <c r="I376" s="403"/>
      <c r="J376" s="403"/>
      <c r="K376" s="403"/>
      <c r="L376" s="403"/>
      <c r="M376" s="403"/>
      <c r="N376" s="403"/>
      <c r="O376" s="403"/>
      <c r="P376" s="403"/>
      <c r="Q376" s="403"/>
      <c r="R376" s="403"/>
      <c r="S376" s="403"/>
      <c r="T376" s="403"/>
      <c r="U376" s="403"/>
      <c r="V376" s="422"/>
      <c r="W376" s="422"/>
    </row>
    <row r="377" spans="1:23" ht="13" x14ac:dyDescent="0.3">
      <c r="A377" s="40"/>
      <c r="B377" s="369" t="s">
        <v>214</v>
      </c>
      <c r="C377" s="403"/>
      <c r="D377" s="403"/>
      <c r="E377" s="403"/>
      <c r="F377" s="403"/>
      <c r="G377" s="403"/>
      <c r="H377" s="403"/>
      <c r="I377" s="403"/>
      <c r="J377" s="403"/>
      <c r="K377" s="403"/>
      <c r="L377" s="403"/>
      <c r="M377" s="403"/>
      <c r="N377" s="403"/>
      <c r="O377" s="403"/>
      <c r="P377" s="403"/>
      <c r="Q377" s="403"/>
      <c r="R377" s="403"/>
      <c r="S377" s="403"/>
      <c r="T377" s="403"/>
      <c r="U377" s="403"/>
      <c r="V377" s="422"/>
      <c r="W377" s="422"/>
    </row>
    <row r="378" spans="1:23" ht="12.5" x14ac:dyDescent="0.25">
      <c r="A378" s="331"/>
      <c r="B378" s="403" t="s">
        <v>51</v>
      </c>
      <c r="C378" s="406">
        <f t="shared" ref="C378:R380" si="92">SUMIF($X$216:$X$223,$B378,C$216:C$223)</f>
        <v>58707342.145051889</v>
      </c>
      <c r="D378" s="406">
        <f t="shared" si="92"/>
        <v>10976090.645898862</v>
      </c>
      <c r="E378" s="406">
        <f t="shared" si="92"/>
        <v>22397681.045763802</v>
      </c>
      <c r="F378" s="406">
        <f t="shared" si="92"/>
        <v>16141296.598026775</v>
      </c>
      <c r="G378" s="406">
        <f t="shared" si="92"/>
        <v>3990992.582019886</v>
      </c>
      <c r="H378" s="406">
        <f t="shared" si="92"/>
        <v>476204.26800739282</v>
      </c>
      <c r="I378" s="406">
        <f t="shared" si="92"/>
        <v>828448.8930745729</v>
      </c>
      <c r="J378" s="406">
        <f t="shared" si="92"/>
        <v>155356.62377983375</v>
      </c>
      <c r="K378" s="406">
        <f t="shared" si="92"/>
        <v>234976.27517030478</v>
      </c>
      <c r="L378" s="406">
        <f t="shared" si="92"/>
        <v>413285.55083300115</v>
      </c>
      <c r="M378" s="406">
        <f t="shared" si="92"/>
        <v>242993.27156077145</v>
      </c>
      <c r="N378" s="406">
        <f t="shared" si="92"/>
        <v>63238.704551661205</v>
      </c>
      <c r="O378" s="406">
        <f t="shared" si="92"/>
        <v>61641.043660711657</v>
      </c>
      <c r="P378" s="406">
        <f t="shared" si="92"/>
        <v>689832.60254058905</v>
      </c>
      <c r="Q378" s="406">
        <f t="shared" si="92"/>
        <v>62030.256517856375</v>
      </c>
      <c r="R378" s="406">
        <f t="shared" si="92"/>
        <v>18477.366172360991</v>
      </c>
      <c r="S378" s="406">
        <f t="shared" ref="M378:U380" si="93">SUMIF($X$216:$X$223,$B378,S$216:S$223)</f>
        <v>1737973.2275283332</v>
      </c>
      <c r="T378" s="406">
        <f t="shared" si="93"/>
        <v>189801.25729145319</v>
      </c>
      <c r="U378" s="406">
        <f t="shared" si="93"/>
        <v>27021.932653714164</v>
      </c>
      <c r="V378" s="407"/>
      <c r="W378" s="407"/>
    </row>
    <row r="379" spans="1:23" ht="12.5" x14ac:dyDescent="0.25">
      <c r="A379" s="331"/>
      <c r="B379" s="403" t="s">
        <v>49</v>
      </c>
      <c r="C379" s="406">
        <f t="shared" si="92"/>
        <v>11289223.297461346</v>
      </c>
      <c r="D379" s="406">
        <f t="shared" si="92"/>
        <v>87587.344672365012</v>
      </c>
      <c r="E379" s="406">
        <f t="shared" si="92"/>
        <v>804954.05544866063</v>
      </c>
      <c r="F379" s="406">
        <f t="shared" si="92"/>
        <v>8074370.1818479327</v>
      </c>
      <c r="G379" s="406">
        <f t="shared" si="92"/>
        <v>1533744.8653262795</v>
      </c>
      <c r="H379" s="406">
        <f t="shared" si="92"/>
        <v>418819.09432754049</v>
      </c>
      <c r="I379" s="406">
        <f t="shared" si="92"/>
        <v>147426.44550366176</v>
      </c>
      <c r="J379" s="406">
        <f t="shared" si="92"/>
        <v>89911.013053926261</v>
      </c>
      <c r="K379" s="406">
        <f t="shared" si="92"/>
        <v>0</v>
      </c>
      <c r="L379" s="406">
        <f t="shared" si="92"/>
        <v>0</v>
      </c>
      <c r="M379" s="406">
        <f t="shared" si="93"/>
        <v>0</v>
      </c>
      <c r="N379" s="406">
        <f t="shared" si="93"/>
        <v>0</v>
      </c>
      <c r="O379" s="406">
        <f t="shared" si="93"/>
        <v>0</v>
      </c>
      <c r="P379" s="406">
        <f t="shared" si="93"/>
        <v>2708.4829685471</v>
      </c>
      <c r="Q379" s="406">
        <f t="shared" si="93"/>
        <v>8550.3089791388829</v>
      </c>
      <c r="R379" s="406">
        <f t="shared" si="93"/>
        <v>5576.2884646557932</v>
      </c>
      <c r="S379" s="406">
        <f t="shared" si="93"/>
        <v>13409.646069767503</v>
      </c>
      <c r="T379" s="406">
        <f t="shared" si="93"/>
        <v>21309.38806136321</v>
      </c>
      <c r="U379" s="406">
        <f t="shared" si="93"/>
        <v>80856.182737509007</v>
      </c>
      <c r="V379" s="407"/>
      <c r="W379" s="407"/>
    </row>
    <row r="380" spans="1:23" ht="12.5" x14ac:dyDescent="0.25">
      <c r="A380" s="331"/>
      <c r="B380" s="403" t="s">
        <v>26</v>
      </c>
      <c r="C380" s="406">
        <f t="shared" si="92"/>
        <v>17621645.283171654</v>
      </c>
      <c r="D380" s="406">
        <f t="shared" si="92"/>
        <v>2142504.3426526506</v>
      </c>
      <c r="E380" s="406">
        <f t="shared" si="92"/>
        <v>6999417.1066802992</v>
      </c>
      <c r="F380" s="406">
        <f t="shared" si="92"/>
        <v>4605507.4800449545</v>
      </c>
      <c r="G380" s="406">
        <f t="shared" si="92"/>
        <v>1307391.4316598203</v>
      </c>
      <c r="H380" s="406">
        <f t="shared" si="92"/>
        <v>1434335.2306372498</v>
      </c>
      <c r="I380" s="406">
        <f t="shared" si="92"/>
        <v>216298.66055046907</v>
      </c>
      <c r="J380" s="406">
        <f t="shared" si="92"/>
        <v>257667.17313498232</v>
      </c>
      <c r="K380" s="406">
        <f t="shared" si="92"/>
        <v>18656.972956203052</v>
      </c>
      <c r="L380" s="406">
        <f t="shared" si="92"/>
        <v>24282.954604419847</v>
      </c>
      <c r="M380" s="406">
        <f t="shared" si="93"/>
        <v>4793.5265497980299</v>
      </c>
      <c r="N380" s="406">
        <f t="shared" si="93"/>
        <v>2825.3915147304042</v>
      </c>
      <c r="O380" s="406">
        <f t="shared" si="93"/>
        <v>113281.72919854852</v>
      </c>
      <c r="P380" s="406">
        <f t="shared" si="93"/>
        <v>146148.02687696277</v>
      </c>
      <c r="Q380" s="406">
        <f t="shared" si="93"/>
        <v>15952.405011798273</v>
      </c>
      <c r="R380" s="406">
        <f t="shared" si="93"/>
        <v>26972.757318916767</v>
      </c>
      <c r="S380" s="406">
        <f t="shared" si="93"/>
        <v>256551.96536446776</v>
      </c>
      <c r="T380" s="406">
        <f t="shared" si="93"/>
        <v>34198.481427858627</v>
      </c>
      <c r="U380" s="406">
        <f t="shared" si="93"/>
        <v>14859.646987523296</v>
      </c>
      <c r="V380" s="407"/>
      <c r="W380" s="407"/>
    </row>
    <row r="381" spans="1:23" ht="13" x14ac:dyDescent="0.3">
      <c r="A381" s="331"/>
      <c r="B381" s="374" t="s">
        <v>206</v>
      </c>
      <c r="C381" s="435">
        <f>SUM(C378:C380)</f>
        <v>87618210.725684881</v>
      </c>
      <c r="D381" s="435">
        <f t="shared" ref="D381:U381" si="94">SUM(D378:D380)</f>
        <v>13206182.333223877</v>
      </c>
      <c r="E381" s="435">
        <f t="shared" si="94"/>
        <v>30202052.207892764</v>
      </c>
      <c r="F381" s="435">
        <f t="shared" si="94"/>
        <v>28821174.259919662</v>
      </c>
      <c r="G381" s="435">
        <f t="shared" si="94"/>
        <v>6832128.8790059863</v>
      </c>
      <c r="H381" s="435">
        <f t="shared" si="94"/>
        <v>2329358.5929721831</v>
      </c>
      <c r="I381" s="435">
        <f t="shared" si="94"/>
        <v>1192173.9991287037</v>
      </c>
      <c r="J381" s="435">
        <f t="shared" si="94"/>
        <v>502934.80996874231</v>
      </c>
      <c r="K381" s="435">
        <f t="shared" si="94"/>
        <v>253633.24812650782</v>
      </c>
      <c r="L381" s="435">
        <f t="shared" si="94"/>
        <v>437568.50543742097</v>
      </c>
      <c r="M381" s="435">
        <f t="shared" si="94"/>
        <v>247786.79811056948</v>
      </c>
      <c r="N381" s="435">
        <f t="shared" si="94"/>
        <v>66064.096066391605</v>
      </c>
      <c r="O381" s="435">
        <f t="shared" si="94"/>
        <v>174922.77285926018</v>
      </c>
      <c r="P381" s="435">
        <f t="shared" si="94"/>
        <v>838689.11238609895</v>
      </c>
      <c r="Q381" s="435">
        <f t="shared" si="94"/>
        <v>86532.970508793529</v>
      </c>
      <c r="R381" s="435">
        <f t="shared" si="94"/>
        <v>51026.411955933552</v>
      </c>
      <c r="S381" s="435">
        <f t="shared" si="94"/>
        <v>2007934.8389625684</v>
      </c>
      <c r="T381" s="435">
        <f t="shared" si="94"/>
        <v>245309.12678067503</v>
      </c>
      <c r="U381" s="435">
        <f t="shared" si="94"/>
        <v>122737.76237874647</v>
      </c>
      <c r="V381" s="436"/>
      <c r="W381" s="436"/>
    </row>
    <row r="382" spans="1:23" ht="12.5" x14ac:dyDescent="0.2">
      <c r="A382" s="33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81"/>
      <c r="W382" s="181"/>
    </row>
    <row r="383" spans="1:23" ht="13" x14ac:dyDescent="0.3">
      <c r="A383" s="331"/>
      <c r="B383" s="374" t="s">
        <v>313</v>
      </c>
      <c r="C383" s="435">
        <f>SUM(C381,C375)</f>
        <v>274813164.10969865</v>
      </c>
      <c r="D383" s="435">
        <f t="shared" ref="D383:U383" si="95">SUM(D381,D375)</f>
        <v>30824245.505057193</v>
      </c>
      <c r="E383" s="435">
        <f t="shared" si="95"/>
        <v>87447809.567928091</v>
      </c>
      <c r="F383" s="435">
        <f t="shared" si="95"/>
        <v>116817343.99419849</v>
      </c>
      <c r="G383" s="435">
        <f t="shared" si="95"/>
        <v>19207845.593125779</v>
      </c>
      <c r="H383" s="435">
        <f t="shared" si="95"/>
        <v>3385399.8457660787</v>
      </c>
      <c r="I383" s="435">
        <f t="shared" si="95"/>
        <v>2899870.2628009198</v>
      </c>
      <c r="J383" s="435">
        <f t="shared" si="95"/>
        <v>761019.8705668085</v>
      </c>
      <c r="K383" s="435">
        <f t="shared" si="95"/>
        <v>2101741.6035973513</v>
      </c>
      <c r="L383" s="435">
        <f t="shared" si="95"/>
        <v>1479803.2207248576</v>
      </c>
      <c r="M383" s="435">
        <f t="shared" si="95"/>
        <v>866093.68655614601</v>
      </c>
      <c r="N383" s="435">
        <f t="shared" si="95"/>
        <v>551007.72295150859</v>
      </c>
      <c r="O383" s="435">
        <f t="shared" si="95"/>
        <v>574973.43039801822</v>
      </c>
      <c r="P383" s="435">
        <f t="shared" si="95"/>
        <v>1806255.3218795492</v>
      </c>
      <c r="Q383" s="435">
        <f t="shared" si="95"/>
        <v>183663.5856196091</v>
      </c>
      <c r="R383" s="435">
        <f t="shared" si="95"/>
        <v>65492.600755030639</v>
      </c>
      <c r="S383" s="435">
        <f t="shared" si="95"/>
        <v>5139744.6531029902</v>
      </c>
      <c r="T383" s="435">
        <f t="shared" si="95"/>
        <v>547942.52190063428</v>
      </c>
      <c r="U383" s="435">
        <f t="shared" si="95"/>
        <v>152911.12276960711</v>
      </c>
      <c r="V383" s="436"/>
      <c r="W383" s="436"/>
    </row>
    <row r="384" spans="1:23" ht="12.5" x14ac:dyDescent="0.25">
      <c r="A384" s="331"/>
      <c r="C384" s="403"/>
      <c r="D384" s="403"/>
      <c r="E384" s="403"/>
      <c r="F384" s="403"/>
      <c r="G384" s="403"/>
      <c r="H384" s="403"/>
      <c r="I384" s="403"/>
      <c r="J384" s="403"/>
      <c r="K384" s="403"/>
      <c r="L384" s="403"/>
      <c r="M384" s="403"/>
      <c r="N384" s="403"/>
      <c r="O384" s="403"/>
      <c r="P384" s="403"/>
      <c r="Q384" s="403"/>
      <c r="R384" s="403"/>
      <c r="S384" s="403"/>
      <c r="T384" s="403"/>
      <c r="U384" s="403"/>
      <c r="V384" s="422"/>
      <c r="W384" s="422"/>
    </row>
    <row r="385" spans="1:23" ht="13" x14ac:dyDescent="0.25">
      <c r="A385" s="331"/>
      <c r="B385" s="327" t="s">
        <v>314</v>
      </c>
      <c r="C385" s="406">
        <f t="shared" ref="C385:U390" si="96">C229</f>
        <v>166946584.85771587</v>
      </c>
      <c r="D385" s="406">
        <f t="shared" si="96"/>
        <v>15804584.692189516</v>
      </c>
      <c r="E385" s="406">
        <f t="shared" si="96"/>
        <v>49793531.329215266</v>
      </c>
      <c r="F385" s="406">
        <f t="shared" si="96"/>
        <v>73884324.309770137</v>
      </c>
      <c r="G385" s="406">
        <f t="shared" si="96"/>
        <v>11841479.40361825</v>
      </c>
      <c r="H385" s="406">
        <f t="shared" si="96"/>
        <v>1866296.8412904709</v>
      </c>
      <c r="I385" s="406">
        <f t="shared" si="96"/>
        <v>2138399.5234759636</v>
      </c>
      <c r="J385" s="406">
        <f t="shared" si="96"/>
        <v>518190.43748148641</v>
      </c>
      <c r="K385" s="406">
        <f t="shared" si="96"/>
        <v>1098991.6698894254</v>
      </c>
      <c r="L385" s="406">
        <f t="shared" si="96"/>
        <v>670275.20790972863</v>
      </c>
      <c r="M385" s="406">
        <f t="shared" si="96"/>
        <v>400117.4730114353</v>
      </c>
      <c r="N385" s="406">
        <f t="shared" si="96"/>
        <v>1062951.0677636929</v>
      </c>
      <c r="O385" s="406">
        <f t="shared" si="96"/>
        <v>1142037.6116143321</v>
      </c>
      <c r="P385" s="406">
        <f t="shared" si="96"/>
        <v>1699104.8457337369</v>
      </c>
      <c r="Q385" s="406">
        <f t="shared" si="96"/>
        <v>208966.5098583581</v>
      </c>
      <c r="R385" s="406">
        <f t="shared" si="96"/>
        <v>52981.863912176254</v>
      </c>
      <c r="S385" s="406">
        <f t="shared" si="96"/>
        <v>4145667.5180831244</v>
      </c>
      <c r="T385" s="406">
        <f t="shared" si="96"/>
        <v>516627.34487948788</v>
      </c>
      <c r="U385" s="406">
        <f t="shared" si="96"/>
        <v>102057.20801928309</v>
      </c>
      <c r="V385" s="407"/>
      <c r="W385" s="407"/>
    </row>
    <row r="386" spans="1:23" ht="26" x14ac:dyDescent="0.2">
      <c r="A386" s="331"/>
      <c r="B386" s="327" t="s">
        <v>315</v>
      </c>
      <c r="C386" s="424">
        <f t="shared" si="96"/>
        <v>43726938.36132364</v>
      </c>
      <c r="D386" s="424">
        <f t="shared" si="96"/>
        <v>3473149.4672864117</v>
      </c>
      <c r="E386" s="424">
        <f t="shared" si="96"/>
        <v>12726980.240783967</v>
      </c>
      <c r="F386" s="424">
        <f t="shared" si="96"/>
        <v>21947499.152743589</v>
      </c>
      <c r="G386" s="424">
        <f t="shared" si="96"/>
        <v>2924987.4764508423</v>
      </c>
      <c r="H386" s="424">
        <f t="shared" si="96"/>
        <v>204814.00943720553</v>
      </c>
      <c r="I386" s="424">
        <f t="shared" si="96"/>
        <v>360104.47089591721</v>
      </c>
      <c r="J386" s="424">
        <f t="shared" si="96"/>
        <v>35680.515228305121</v>
      </c>
      <c r="K386" s="424">
        <f t="shared" si="96"/>
        <v>397149.42320858507</v>
      </c>
      <c r="L386" s="424">
        <f t="shared" si="96"/>
        <v>582777.87358085695</v>
      </c>
      <c r="M386" s="424">
        <f t="shared" si="96"/>
        <v>142969.27891404435</v>
      </c>
      <c r="N386" s="424">
        <f t="shared" si="96"/>
        <v>117439.82355733808</v>
      </c>
      <c r="O386" s="424">
        <f t="shared" si="96"/>
        <v>-68593.637256549875</v>
      </c>
      <c r="P386" s="424">
        <f t="shared" si="96"/>
        <v>171741.4453342465</v>
      </c>
      <c r="Q386" s="424">
        <f t="shared" si="96"/>
        <v>15124.360243783427</v>
      </c>
      <c r="R386" s="424">
        <f t="shared" si="96"/>
        <v>797.28182662454208</v>
      </c>
      <c r="S386" s="424">
        <f t="shared" si="96"/>
        <v>638145.04661280988</v>
      </c>
      <c r="T386" s="424">
        <f t="shared" si="96"/>
        <v>54144.041897102703</v>
      </c>
      <c r="U386" s="424">
        <f t="shared" si="96"/>
        <v>2028.0905785553184</v>
      </c>
      <c r="V386" s="425"/>
      <c r="W386" s="425"/>
    </row>
    <row r="387" spans="1:23" ht="13" x14ac:dyDescent="0.25">
      <c r="A387" s="331"/>
      <c r="B387" s="349" t="s">
        <v>232</v>
      </c>
      <c r="C387" s="406">
        <f t="shared" si="96"/>
        <v>113615643.45012549</v>
      </c>
      <c r="D387" s="406">
        <f t="shared" si="96"/>
        <v>12455456.121205376</v>
      </c>
      <c r="E387" s="406">
        <f t="shared" si="96"/>
        <v>35766369.890398279</v>
      </c>
      <c r="F387" s="406">
        <f t="shared" si="96"/>
        <v>48593441.666099809</v>
      </c>
      <c r="G387" s="406">
        <f t="shared" si="96"/>
        <v>8105657.389757392</v>
      </c>
      <c r="H387" s="406">
        <f t="shared" si="96"/>
        <v>1515483.2484138631</v>
      </c>
      <c r="I387" s="406">
        <f t="shared" si="96"/>
        <v>1222822.8394135071</v>
      </c>
      <c r="J387" s="406">
        <f t="shared" si="96"/>
        <v>340147.11170318496</v>
      </c>
      <c r="K387" s="406">
        <f t="shared" si="96"/>
        <v>867822.76877305983</v>
      </c>
      <c r="L387" s="406">
        <f t="shared" si="96"/>
        <v>599221.3023324915</v>
      </c>
      <c r="M387" s="406">
        <f t="shared" si="96"/>
        <v>352877.68480149901</v>
      </c>
      <c r="N387" s="406">
        <f t="shared" si="96"/>
        <v>312369.72683653003</v>
      </c>
      <c r="O387" s="406">
        <f t="shared" si="96"/>
        <v>256615.97175963974</v>
      </c>
      <c r="P387" s="406">
        <f t="shared" si="96"/>
        <v>727583.99123208481</v>
      </c>
      <c r="Q387" s="406">
        <f t="shared" si="96"/>
        <v>76622.489462575832</v>
      </c>
      <c r="R387" s="406">
        <f t="shared" si="96"/>
        <v>31094.15344902236</v>
      </c>
      <c r="S387" s="406">
        <f t="shared" si="96"/>
        <v>2093601.1168025371</v>
      </c>
      <c r="T387" s="406">
        <f t="shared" si="96"/>
        <v>229988.40519646506</v>
      </c>
      <c r="U387" s="406">
        <f t="shared" si="96"/>
        <v>68467.572488145306</v>
      </c>
      <c r="V387" s="407"/>
      <c r="W387" s="407"/>
    </row>
    <row r="388" spans="1:23" ht="13" x14ac:dyDescent="0.25">
      <c r="A388" s="331"/>
      <c r="B388" s="349" t="s">
        <v>223</v>
      </c>
      <c r="C388" s="406">
        <f t="shared" si="96"/>
        <v>14209888.59797349</v>
      </c>
      <c r="D388" s="406">
        <f t="shared" si="96"/>
        <v>1142801.9281190028</v>
      </c>
      <c r="E388" s="406">
        <f t="shared" si="96"/>
        <v>4169772.6636394006</v>
      </c>
      <c r="F388" s="406">
        <f t="shared" si="96"/>
        <v>7175177.0498031955</v>
      </c>
      <c r="G388" s="406">
        <f t="shared" si="96"/>
        <v>961830.47507878602</v>
      </c>
      <c r="H388" s="406">
        <f t="shared" si="96"/>
        <v>67300.525811734944</v>
      </c>
      <c r="I388" s="406">
        <f t="shared" si="96"/>
        <v>118928.41322947128</v>
      </c>
      <c r="J388" s="406">
        <f t="shared" si="96"/>
        <v>11738.003833123717</v>
      </c>
      <c r="K388" s="406">
        <f t="shared" si="96"/>
        <v>129760.94279240487</v>
      </c>
      <c r="L388" s="406">
        <f t="shared" si="96"/>
        <v>78961.631204014877</v>
      </c>
      <c r="M388" s="406">
        <f t="shared" si="96"/>
        <v>46585.237434366391</v>
      </c>
      <c r="N388" s="406">
        <f t="shared" si="96"/>
        <v>40789.302663651622</v>
      </c>
      <c r="O388" s="406">
        <f t="shared" si="96"/>
        <v>-22568.975941839279</v>
      </c>
      <c r="P388" s="406">
        <f t="shared" si="96"/>
        <v>56317.055217064277</v>
      </c>
      <c r="Q388" s="406">
        <f t="shared" si="96"/>
        <v>4973.1575097590885</v>
      </c>
      <c r="R388" s="406">
        <f t="shared" si="96"/>
        <v>262.34906870185648</v>
      </c>
      <c r="S388" s="406">
        <f t="shared" si="96"/>
        <v>208805.56083206681</v>
      </c>
      <c r="T388" s="406">
        <f t="shared" si="96"/>
        <v>17786.331084113273</v>
      </c>
      <c r="U388" s="406">
        <f t="shared" si="96"/>
        <v>666.9465944690719</v>
      </c>
      <c r="V388" s="407"/>
      <c r="W388" s="407"/>
    </row>
    <row r="389" spans="1:23" ht="13" x14ac:dyDescent="0.25">
      <c r="A389" s="331"/>
      <c r="B389" s="349" t="s">
        <v>224</v>
      </c>
      <c r="C389" s="406">
        <f t="shared" si="96"/>
        <v>83878343.327726781</v>
      </c>
      <c r="D389" s="406">
        <f t="shared" si="96"/>
        <v>6745748.3442920297</v>
      </c>
      <c r="E389" s="406">
        <f t="shared" si="96"/>
        <v>24613396.556057077</v>
      </c>
      <c r="F389" s="406">
        <f t="shared" si="96"/>
        <v>42353742.597704001</v>
      </c>
      <c r="G389" s="406">
        <f t="shared" si="96"/>
        <v>5677507.3397292159</v>
      </c>
      <c r="H389" s="406">
        <f t="shared" si="96"/>
        <v>397262.55214824824</v>
      </c>
      <c r="I389" s="406">
        <f t="shared" si="96"/>
        <v>702012.41955591331</v>
      </c>
      <c r="J389" s="406">
        <f t="shared" si="96"/>
        <v>69287.264900678783</v>
      </c>
      <c r="K389" s="406">
        <f t="shared" si="96"/>
        <v>765954.837367484</v>
      </c>
      <c r="L389" s="406">
        <f t="shared" si="96"/>
        <v>466095.89978011884</v>
      </c>
      <c r="M389" s="406">
        <f t="shared" si="96"/>
        <v>274984.03753008397</v>
      </c>
      <c r="N389" s="406">
        <f t="shared" si="96"/>
        <v>240771.70692304071</v>
      </c>
      <c r="O389" s="406">
        <f t="shared" si="96"/>
        <v>-133220.4893481553</v>
      </c>
      <c r="P389" s="406">
        <f t="shared" si="96"/>
        <v>332429.15735293907</v>
      </c>
      <c r="Q389" s="406">
        <f t="shared" si="96"/>
        <v>29355.628663121613</v>
      </c>
      <c r="R389" s="406">
        <f t="shared" si="96"/>
        <v>1548.5980135989205</v>
      </c>
      <c r="S389" s="406">
        <f t="shared" si="96"/>
        <v>1232540.5930844804</v>
      </c>
      <c r="T389" s="406">
        <f t="shared" si="96"/>
        <v>104989.42162197064</v>
      </c>
      <c r="U389" s="406">
        <f t="shared" si="96"/>
        <v>3936.8623509204053</v>
      </c>
      <c r="V389" s="407"/>
      <c r="W389" s="407"/>
    </row>
    <row r="390" spans="1:23" ht="13" x14ac:dyDescent="0.25">
      <c r="A390" s="376"/>
      <c r="B390" s="349" t="s">
        <v>225</v>
      </c>
      <c r="C390" s="406">
        <f t="shared" si="96"/>
        <v>119501456.73711213</v>
      </c>
      <c r="D390" s="406">
        <f t="shared" si="96"/>
        <v>9610666.1379229594</v>
      </c>
      <c r="E390" s="406">
        <f t="shared" si="96"/>
        <v>35066700.497466236</v>
      </c>
      <c r="F390" s="406">
        <f t="shared" si="96"/>
        <v>60341367.48408141</v>
      </c>
      <c r="G390" s="406">
        <f t="shared" si="96"/>
        <v>8088743.4207229139</v>
      </c>
      <c r="H390" s="406">
        <f t="shared" si="96"/>
        <v>565979.86804927583</v>
      </c>
      <c r="I390" s="406">
        <f t="shared" si="96"/>
        <v>1000156.935106577</v>
      </c>
      <c r="J390" s="406">
        <f t="shared" si="96"/>
        <v>98713.550607577228</v>
      </c>
      <c r="K390" s="406">
        <f t="shared" si="96"/>
        <v>1091255.6832771299</v>
      </c>
      <c r="L390" s="406">
        <f t="shared" si="96"/>
        <v>664046.72282681288</v>
      </c>
      <c r="M390" s="406">
        <f t="shared" si="96"/>
        <v>391769.69597389793</v>
      </c>
      <c r="N390" s="406">
        <f t="shared" si="96"/>
        <v>343027.39630854578</v>
      </c>
      <c r="O390" s="406">
        <f t="shared" si="96"/>
        <v>-189799.20099438794</v>
      </c>
      <c r="P390" s="406">
        <f t="shared" si="96"/>
        <v>473611.74517183355</v>
      </c>
      <c r="Q390" s="406">
        <f t="shared" si="96"/>
        <v>41822.957506090148</v>
      </c>
      <c r="R390" s="406">
        <f t="shared" si="96"/>
        <v>2206.2872391531369</v>
      </c>
      <c r="S390" s="406">
        <f t="shared" si="96"/>
        <v>1756000.3037462395</v>
      </c>
      <c r="T390" s="406">
        <f t="shared" si="96"/>
        <v>149578.40520039247</v>
      </c>
      <c r="U390" s="406">
        <f t="shared" si="96"/>
        <v>5608.846899494798</v>
      </c>
      <c r="V390" s="407"/>
      <c r="W390" s="407"/>
    </row>
    <row r="391" spans="1:23" ht="13" x14ac:dyDescent="0.25">
      <c r="A391" s="376"/>
      <c r="B391" s="349"/>
      <c r="C391" s="406"/>
      <c r="D391" s="406"/>
      <c r="E391" s="406"/>
      <c r="F391" s="406"/>
      <c r="G391" s="406"/>
      <c r="H391" s="406"/>
      <c r="I391" s="406"/>
      <c r="J391" s="406"/>
      <c r="K391" s="406"/>
      <c r="L391" s="406"/>
      <c r="M391" s="406"/>
      <c r="N391" s="406"/>
      <c r="O391" s="406"/>
      <c r="P391" s="406"/>
      <c r="Q391" s="406"/>
      <c r="R391" s="406"/>
      <c r="S391" s="406"/>
      <c r="T391" s="406"/>
      <c r="U391" s="406"/>
      <c r="V391" s="407"/>
      <c r="W391" s="407"/>
    </row>
    <row r="392" spans="1:23" ht="13" x14ac:dyDescent="0.25">
      <c r="A392" s="376"/>
      <c r="B392" s="349" t="s">
        <v>316</v>
      </c>
      <c r="C392" s="406">
        <f t="shared" ref="C392:U394" si="97">C236</f>
        <v>25368063.661147155</v>
      </c>
      <c r="D392" s="406">
        <f t="shared" si="97"/>
        <v>0</v>
      </c>
      <c r="E392" s="406">
        <f t="shared" si="97"/>
        <v>0</v>
      </c>
      <c r="F392" s="406">
        <f t="shared" si="97"/>
        <v>0</v>
      </c>
      <c r="G392" s="406">
        <f t="shared" si="97"/>
        <v>17390927.360662159</v>
      </c>
      <c r="H392" s="406">
        <f t="shared" si="97"/>
        <v>2432258.4569251998</v>
      </c>
      <c r="I392" s="406">
        <f t="shared" si="97"/>
        <v>3833035.2128927726</v>
      </c>
      <c r="J392" s="406">
        <f t="shared" si="97"/>
        <v>346520.21288250247</v>
      </c>
      <c r="K392" s="406">
        <f t="shared" si="97"/>
        <v>0</v>
      </c>
      <c r="L392" s="406">
        <f t="shared" si="97"/>
        <v>0</v>
      </c>
      <c r="M392" s="406">
        <f t="shared" si="97"/>
        <v>0</v>
      </c>
      <c r="N392" s="406">
        <f t="shared" si="97"/>
        <v>0</v>
      </c>
      <c r="O392" s="406">
        <f t="shared" si="97"/>
        <v>0</v>
      </c>
      <c r="P392" s="406">
        <f t="shared" si="97"/>
        <v>0</v>
      </c>
      <c r="Q392" s="406">
        <f t="shared" si="97"/>
        <v>327500.46281657199</v>
      </c>
      <c r="R392" s="406">
        <f t="shared" si="97"/>
        <v>32001.489023592691</v>
      </c>
      <c r="S392" s="406">
        <f t="shared" si="97"/>
        <v>0</v>
      </c>
      <c r="T392" s="406">
        <f t="shared" si="97"/>
        <v>948942.76881841174</v>
      </c>
      <c r="U392" s="406">
        <f t="shared" si="97"/>
        <v>56877.697125943014</v>
      </c>
      <c r="V392" s="407"/>
      <c r="W392" s="407"/>
    </row>
    <row r="393" spans="1:23" ht="13" x14ac:dyDescent="0.25">
      <c r="A393" s="376"/>
      <c r="B393" s="349" t="s">
        <v>317</v>
      </c>
      <c r="C393" s="406">
        <f t="shared" si="97"/>
        <v>111337422.19797015</v>
      </c>
      <c r="D393" s="406">
        <f t="shared" si="97"/>
        <v>7211372.3024097579</v>
      </c>
      <c r="E393" s="406">
        <f t="shared" si="97"/>
        <v>30348321.00286511</v>
      </c>
      <c r="F393" s="406">
        <f t="shared" si="97"/>
        <v>58380666.657904781</v>
      </c>
      <c r="G393" s="406">
        <f t="shared" si="97"/>
        <v>9327983.1418943498</v>
      </c>
      <c r="H393" s="406">
        <f t="shared" si="97"/>
        <v>573724.23719632486</v>
      </c>
      <c r="I393" s="406">
        <f t="shared" si="97"/>
        <v>806247.09848441894</v>
      </c>
      <c r="J393" s="406">
        <f t="shared" si="97"/>
        <v>85060.992938438372</v>
      </c>
      <c r="K393" s="406">
        <f t="shared" si="97"/>
        <v>1343766.6818036817</v>
      </c>
      <c r="L393" s="406">
        <f t="shared" si="97"/>
        <v>0</v>
      </c>
      <c r="M393" s="406">
        <f t="shared" si="97"/>
        <v>0</v>
      </c>
      <c r="N393" s="406">
        <f t="shared" si="97"/>
        <v>69287.010288649806</v>
      </c>
      <c r="O393" s="406">
        <f t="shared" si="97"/>
        <v>1697.2157106148031</v>
      </c>
      <c r="P393" s="406">
        <f t="shared" si="97"/>
        <v>688142.66003981477</v>
      </c>
      <c r="Q393" s="406">
        <f t="shared" si="97"/>
        <v>58085.618614881518</v>
      </c>
      <c r="R393" s="406">
        <f t="shared" si="97"/>
        <v>6662.1189037500117</v>
      </c>
      <c r="S393" s="406">
        <f t="shared" si="97"/>
        <v>2216864.3293930092</v>
      </c>
      <c r="T393" s="406">
        <f t="shared" si="97"/>
        <v>207360.75948284019</v>
      </c>
      <c r="U393" s="406">
        <f t="shared" si="97"/>
        <v>12180.370039700132</v>
      </c>
      <c r="V393" s="407"/>
      <c r="W393" s="407"/>
    </row>
    <row r="394" spans="1:23" ht="13" x14ac:dyDescent="0.25">
      <c r="A394" s="376"/>
      <c r="B394" s="349" t="s">
        <v>318</v>
      </c>
      <c r="C394" s="406">
        <f t="shared" si="97"/>
        <v>71577712.687892273</v>
      </c>
      <c r="D394" s="406">
        <f t="shared" si="97"/>
        <v>4692735.8171531195</v>
      </c>
      <c r="E394" s="406">
        <f t="shared" si="97"/>
        <v>19760925.985520877</v>
      </c>
      <c r="F394" s="406">
        <f t="shared" si="97"/>
        <v>37459762.268379375</v>
      </c>
      <c r="G394" s="406">
        <f t="shared" si="97"/>
        <v>5861697.5405303221</v>
      </c>
      <c r="H394" s="406">
        <f t="shared" si="97"/>
        <v>0</v>
      </c>
      <c r="I394" s="406">
        <f t="shared" si="97"/>
        <v>504778.08197396446</v>
      </c>
      <c r="J394" s="406">
        <f t="shared" si="97"/>
        <v>0</v>
      </c>
      <c r="K394" s="406">
        <f t="shared" si="97"/>
        <v>1242886.3901707625</v>
      </c>
      <c r="L394" s="406">
        <f t="shared" si="97"/>
        <v>0</v>
      </c>
      <c r="M394" s="406">
        <f t="shared" si="97"/>
        <v>0</v>
      </c>
      <c r="N394" s="406">
        <f t="shared" si="97"/>
        <v>0</v>
      </c>
      <c r="O394" s="406">
        <f t="shared" si="97"/>
        <v>0</v>
      </c>
      <c r="P394" s="406">
        <f t="shared" si="97"/>
        <v>453106.10563061194</v>
      </c>
      <c r="Q394" s="406">
        <f t="shared" si="97"/>
        <v>35992.676675267983</v>
      </c>
      <c r="R394" s="406">
        <f t="shared" si="97"/>
        <v>0</v>
      </c>
      <c r="S394" s="406">
        <f t="shared" si="97"/>
        <v>1436887.8187497514</v>
      </c>
      <c r="T394" s="406">
        <f t="shared" si="97"/>
        <v>128940.00310820379</v>
      </c>
      <c r="U394" s="406">
        <f t="shared" si="97"/>
        <v>0</v>
      </c>
      <c r="V394" s="407"/>
      <c r="W394" s="407"/>
    </row>
    <row r="395" spans="1:23" ht="13" x14ac:dyDescent="0.25">
      <c r="A395" s="376"/>
      <c r="B395" s="349"/>
      <c r="C395" s="406"/>
      <c r="D395" s="406"/>
      <c r="E395" s="406"/>
      <c r="F395" s="406"/>
      <c r="G395" s="406"/>
      <c r="H395" s="406"/>
      <c r="I395" s="406"/>
      <c r="J395" s="406"/>
      <c r="K395" s="406"/>
      <c r="L395" s="406"/>
      <c r="M395" s="406"/>
      <c r="N395" s="406"/>
      <c r="O395" s="406"/>
      <c r="P395" s="406"/>
      <c r="Q395" s="406"/>
      <c r="R395" s="406"/>
      <c r="S395" s="406"/>
      <c r="T395" s="406"/>
      <c r="U395" s="406"/>
      <c r="V395" s="407"/>
      <c r="W395" s="407"/>
    </row>
    <row r="396" spans="1:23" ht="13" x14ac:dyDescent="0.25">
      <c r="A396" s="376"/>
      <c r="B396" s="349"/>
      <c r="C396" s="403"/>
      <c r="D396" s="403"/>
      <c r="E396" s="403"/>
      <c r="F396" s="403"/>
      <c r="G396" s="403"/>
      <c r="H396" s="403"/>
      <c r="I396" s="403"/>
      <c r="J396" s="403"/>
      <c r="K396" s="403"/>
      <c r="L396" s="403"/>
      <c r="M396" s="403"/>
      <c r="N396" s="403"/>
      <c r="O396" s="403"/>
      <c r="P396" s="403"/>
      <c r="Q396" s="403"/>
      <c r="R396" s="403"/>
      <c r="S396" s="403"/>
      <c r="T396" s="403"/>
      <c r="U396" s="403"/>
      <c r="V396" s="422"/>
      <c r="W396" s="422"/>
    </row>
    <row r="397" spans="1:23" ht="13.5" thickBot="1" x14ac:dyDescent="0.35">
      <c r="A397" s="376"/>
      <c r="B397" s="351" t="s">
        <v>5</v>
      </c>
      <c r="C397" s="414">
        <f t="shared" ref="C397:U397" si="98">SUM(C383:C390)+C359-SUM(C392:C394)</f>
        <v>578463295.52239096</v>
      </c>
      <c r="D397" s="414">
        <f t="shared" si="98"/>
        <v>65293657.22379531</v>
      </c>
      <c r="E397" s="414">
        <f t="shared" si="98"/>
        <v>191499291.55399835</v>
      </c>
      <c r="F397" s="414">
        <f t="shared" si="98"/>
        <v>265673308.09206876</v>
      </c>
      <c r="G397" s="414">
        <f t="shared" si="98"/>
        <v>21744054.579141416</v>
      </c>
      <c r="H397" s="414">
        <f t="shared" si="98"/>
        <v>3430776.3436528025</v>
      </c>
      <c r="I397" s="414">
        <f t="shared" si="98"/>
        <v>2882919.0027127042</v>
      </c>
      <c r="J397" s="414">
        <f t="shared" si="98"/>
        <v>1070726.8586264667</v>
      </c>
      <c r="K397" s="414">
        <f t="shared" si="98"/>
        <v>3741052.0253075138</v>
      </c>
      <c r="L397" s="414">
        <f t="shared" si="98"/>
        <v>1867774.3564412366</v>
      </c>
      <c r="M397" s="414">
        <f t="shared" si="98"/>
        <v>2426692.5543726054</v>
      </c>
      <c r="N397" s="414">
        <f t="shared" si="98"/>
        <v>2541695.6517611616</v>
      </c>
      <c r="O397" s="414">
        <f t="shared" si="98"/>
        <v>588861.9319762059</v>
      </c>
      <c r="P397" s="414">
        <f t="shared" si="98"/>
        <v>3957490.5165485186</v>
      </c>
      <c r="Q397" s="414">
        <f t="shared" si="98"/>
        <v>116652.62398798374</v>
      </c>
      <c r="R397" s="414">
        <f t="shared" si="98"/>
        <v>80237.857097942731</v>
      </c>
      <c r="S397" s="414">
        <f t="shared" si="98"/>
        <v>11099087.458613934</v>
      </c>
      <c r="T397" s="414">
        <f t="shared" si="98"/>
        <v>256431.66482489835</v>
      </c>
      <c r="U397" s="414">
        <f t="shared" si="98"/>
        <v>192585.22746318168</v>
      </c>
      <c r="V397" s="415"/>
      <c r="W397" s="415"/>
    </row>
    <row r="398" spans="1:23" ht="13" thickTop="1" x14ac:dyDescent="0.25">
      <c r="A398" s="376"/>
      <c r="C398" s="403"/>
      <c r="D398" s="284"/>
    </row>
    <row r="399" spans="1:23" ht="12.5" x14ac:dyDescent="0.25">
      <c r="A399" s="376"/>
      <c r="C399" s="403"/>
      <c r="D399" s="284"/>
    </row>
    <row r="400" spans="1:23" ht="12.5" x14ac:dyDescent="0.25">
      <c r="A400" s="376"/>
      <c r="C400" s="403"/>
      <c r="D400" s="284"/>
    </row>
    <row r="401" spans="1:4" ht="12.5" x14ac:dyDescent="0.25">
      <c r="A401" s="376"/>
      <c r="C401" s="403"/>
      <c r="D401" s="284"/>
    </row>
    <row r="402" spans="1:4" ht="12.5" x14ac:dyDescent="0.25">
      <c r="A402" s="376"/>
      <c r="C402" s="403"/>
      <c r="D402" s="284"/>
    </row>
    <row r="403" spans="1:4" ht="12.5" x14ac:dyDescent="0.25">
      <c r="A403" s="376"/>
      <c r="C403" s="403"/>
      <c r="D403" s="284"/>
    </row>
    <row r="404" spans="1:4" ht="12.5" x14ac:dyDescent="0.25">
      <c r="A404" s="376"/>
      <c r="C404" s="403"/>
      <c r="D404" s="284"/>
    </row>
    <row r="405" spans="1:4" ht="12.5" x14ac:dyDescent="0.25">
      <c r="A405" s="330"/>
      <c r="C405" s="403"/>
      <c r="D405" s="284"/>
    </row>
    <row r="406" spans="1:4" ht="13" x14ac:dyDescent="0.3">
      <c r="A406" s="418"/>
      <c r="C406" s="403"/>
      <c r="D406" s="284"/>
    </row>
    <row r="407" spans="1:4" ht="12.5" x14ac:dyDescent="0.25">
      <c r="B407" s="187"/>
      <c r="C407" s="267"/>
      <c r="D407" s="284"/>
    </row>
    <row r="408" spans="1:4" ht="12.5" x14ac:dyDescent="0.25">
      <c r="B408" s="187"/>
      <c r="C408" s="267"/>
      <c r="D408" s="284"/>
    </row>
    <row r="409" spans="1:4" ht="12.5" x14ac:dyDescent="0.25">
      <c r="B409" s="187"/>
      <c r="C409" s="267"/>
      <c r="D409" s="284"/>
    </row>
    <row r="410" spans="1:4" ht="12.5" x14ac:dyDescent="0.25">
      <c r="B410" s="187"/>
      <c r="C410" s="267"/>
      <c r="D410" s="284"/>
    </row>
    <row r="411" spans="1:4" ht="12.5" x14ac:dyDescent="0.25">
      <c r="B411" s="187"/>
      <c r="C411" s="267"/>
      <c r="D411" s="284"/>
    </row>
    <row r="412" spans="1:4" ht="12.5" x14ac:dyDescent="0.25">
      <c r="B412" s="187"/>
      <c r="C412" s="267"/>
      <c r="D412" s="284"/>
    </row>
    <row r="413" spans="1:4" ht="12.5" x14ac:dyDescent="0.25">
      <c r="B413" s="187"/>
      <c r="C413" s="267"/>
      <c r="D413" s="284"/>
    </row>
    <row r="414" spans="1:4" ht="12.5" x14ac:dyDescent="0.25">
      <c r="B414" s="187"/>
      <c r="C414" s="267"/>
      <c r="D414" s="284"/>
    </row>
    <row r="415" spans="1:4" ht="12.5" x14ac:dyDescent="0.25">
      <c r="B415" s="187"/>
      <c r="C415" s="267"/>
      <c r="D415" s="284"/>
    </row>
    <row r="416" spans="1:4" ht="12.5" x14ac:dyDescent="0.25">
      <c r="B416" s="187"/>
      <c r="C416" s="267"/>
      <c r="D416" s="284"/>
    </row>
    <row r="417" spans="2:4" ht="12.5" x14ac:dyDescent="0.25">
      <c r="B417" s="187"/>
      <c r="C417" s="267"/>
      <c r="D417" s="284"/>
    </row>
    <row r="418" spans="2:4" ht="12.5" x14ac:dyDescent="0.25">
      <c r="B418" s="187"/>
      <c r="C418" s="267"/>
      <c r="D418" s="284"/>
    </row>
    <row r="419" spans="2:4" ht="12.5" x14ac:dyDescent="0.25">
      <c r="B419" s="187"/>
      <c r="C419" s="267"/>
      <c r="D419" s="284"/>
    </row>
    <row r="420" spans="2:4" ht="12.5" x14ac:dyDescent="0.25">
      <c r="B420" s="187"/>
      <c r="C420" s="267"/>
      <c r="D420" s="284"/>
    </row>
    <row r="421" spans="2:4" ht="12.5" x14ac:dyDescent="0.25">
      <c r="B421" s="187"/>
      <c r="C421" s="267"/>
      <c r="D421" s="284"/>
    </row>
    <row r="422" spans="2:4" ht="12.5" x14ac:dyDescent="0.25">
      <c r="B422" s="187"/>
      <c r="C422" s="267"/>
      <c r="D422" s="284"/>
    </row>
    <row r="423" spans="2:4" ht="12.5" x14ac:dyDescent="0.25">
      <c r="B423" s="187"/>
      <c r="C423" s="267"/>
      <c r="D423" s="284"/>
    </row>
    <row r="424" spans="2:4" ht="12.5" x14ac:dyDescent="0.25">
      <c r="B424" s="187"/>
      <c r="C424" s="267"/>
      <c r="D424" s="284"/>
    </row>
    <row r="425" spans="2:4" ht="12.5" x14ac:dyDescent="0.25">
      <c r="B425" s="187"/>
      <c r="C425" s="267"/>
      <c r="D425" s="284"/>
    </row>
    <row r="426" spans="2:4" ht="12.5" x14ac:dyDescent="0.25">
      <c r="B426" s="187"/>
      <c r="C426" s="267"/>
      <c r="D426" s="284"/>
    </row>
    <row r="427" spans="2:4" ht="12.5" x14ac:dyDescent="0.25">
      <c r="B427" s="187"/>
      <c r="C427" s="267"/>
      <c r="D427" s="284"/>
    </row>
    <row r="428" spans="2:4" ht="12.5" x14ac:dyDescent="0.25">
      <c r="B428" s="187"/>
      <c r="C428" s="267"/>
      <c r="D428" s="284"/>
    </row>
    <row r="429" spans="2:4" ht="12.5" x14ac:dyDescent="0.25">
      <c r="B429" s="187"/>
      <c r="C429" s="267"/>
      <c r="D429" s="284"/>
    </row>
    <row r="430" spans="2:4" ht="12.5" x14ac:dyDescent="0.25">
      <c r="B430" s="265"/>
      <c r="C430" s="297"/>
      <c r="D430" s="284"/>
    </row>
    <row r="431" spans="2:4" ht="12.5" x14ac:dyDescent="0.25">
      <c r="B431" s="265"/>
      <c r="C431" s="297"/>
      <c r="D431" s="284"/>
    </row>
    <row r="432" spans="2:4" ht="12.5" x14ac:dyDescent="0.25">
      <c r="B432" s="265"/>
      <c r="C432" s="297"/>
      <c r="D432" s="284"/>
    </row>
    <row r="433" spans="2:4" ht="12.5" x14ac:dyDescent="0.25">
      <c r="B433" s="265"/>
      <c r="C433" s="297"/>
      <c r="D433" s="284"/>
    </row>
    <row r="434" spans="2:4" ht="12.5" x14ac:dyDescent="0.25">
      <c r="B434" s="265"/>
      <c r="C434" s="297"/>
      <c r="D434" s="284"/>
    </row>
    <row r="435" spans="2:4" ht="12.5" x14ac:dyDescent="0.25">
      <c r="B435" s="265"/>
      <c r="C435" s="297"/>
      <c r="D435" s="284"/>
    </row>
    <row r="436" spans="2:4" ht="12.5" x14ac:dyDescent="0.25">
      <c r="B436" s="265"/>
      <c r="C436" s="297"/>
      <c r="D436" s="284"/>
    </row>
    <row r="437" spans="2:4" ht="12.5" x14ac:dyDescent="0.25">
      <c r="B437" s="265"/>
      <c r="C437" s="297"/>
      <c r="D437" s="284"/>
    </row>
    <row r="438" spans="2:4" ht="12.5" x14ac:dyDescent="0.25">
      <c r="B438" s="265"/>
      <c r="C438" s="297"/>
      <c r="D438" s="284"/>
    </row>
    <row r="439" spans="2:4" ht="12.5" x14ac:dyDescent="0.25">
      <c r="B439" s="265"/>
      <c r="C439" s="297"/>
      <c r="D439" s="284"/>
    </row>
    <row r="440" spans="2:4" ht="12.5" x14ac:dyDescent="0.25">
      <c r="B440" s="265"/>
      <c r="C440" s="297"/>
      <c r="D440" s="284"/>
    </row>
    <row r="441" spans="2:4" ht="12.5" x14ac:dyDescent="0.25">
      <c r="B441" s="265"/>
      <c r="C441" s="297"/>
      <c r="D441" s="284"/>
    </row>
    <row r="442" spans="2:4" ht="12.5" x14ac:dyDescent="0.25">
      <c r="C442" s="297"/>
    </row>
    <row r="443" spans="2:4" ht="12.5" x14ac:dyDescent="0.25">
      <c r="C443" s="297"/>
    </row>
    <row r="444" spans="2:4" ht="12.5" x14ac:dyDescent="0.25">
      <c r="C444" s="297"/>
    </row>
    <row r="445" spans="2:4" ht="12.5" x14ac:dyDescent="0.25">
      <c r="C445" s="297"/>
    </row>
    <row r="446" spans="2:4" ht="12.5" x14ac:dyDescent="0.25">
      <c r="C446" s="297"/>
    </row>
    <row r="447" spans="2:4" ht="12.5" x14ac:dyDescent="0.25">
      <c r="C447" s="297"/>
    </row>
    <row r="448" spans="2:4" ht="12.5" x14ac:dyDescent="0.25">
      <c r="C448" s="297"/>
    </row>
    <row r="449" spans="3:3" ht="12.5" x14ac:dyDescent="0.25">
      <c r="C449" s="297"/>
    </row>
    <row r="450" spans="3:3" ht="12.5" x14ac:dyDescent="0.25">
      <c r="C450" s="297"/>
    </row>
    <row r="451" spans="3:3" ht="12.5" x14ac:dyDescent="0.25">
      <c r="C451" s="297"/>
    </row>
    <row r="452" spans="3:3" ht="12.5" x14ac:dyDescent="0.25">
      <c r="C452" s="297"/>
    </row>
    <row r="453" spans="3:3" ht="12.5" x14ac:dyDescent="0.25">
      <c r="C453" s="297"/>
    </row>
    <row r="454" spans="3:3" ht="12.5" x14ac:dyDescent="0.25">
      <c r="C454" s="297"/>
    </row>
    <row r="455" spans="3:3" ht="12.5" x14ac:dyDescent="0.25">
      <c r="C455" s="297"/>
    </row>
    <row r="456" spans="3:3" ht="12.5" x14ac:dyDescent="0.25">
      <c r="C456" s="297"/>
    </row>
    <row r="457" spans="3:3" ht="12.5" x14ac:dyDescent="0.25">
      <c r="C457" s="297"/>
    </row>
    <row r="458" spans="3:3" ht="12.5" x14ac:dyDescent="0.25">
      <c r="C458" s="297"/>
    </row>
    <row r="459" spans="3:3" ht="12.5" x14ac:dyDescent="0.25">
      <c r="C459" s="297"/>
    </row>
    <row r="460" spans="3:3" ht="12.5" x14ac:dyDescent="0.25">
      <c r="C460" s="297"/>
    </row>
    <row r="461" spans="3:3" ht="12.5" x14ac:dyDescent="0.25">
      <c r="C461" s="297"/>
    </row>
    <row r="462" spans="3:3" ht="12.5" x14ac:dyDescent="0.25">
      <c r="C462" s="297"/>
    </row>
    <row r="463" spans="3:3" ht="12.5" x14ac:dyDescent="0.25">
      <c r="C463" s="297"/>
    </row>
    <row r="464" spans="3:3" ht="12.5" x14ac:dyDescent="0.25">
      <c r="C464" s="297"/>
    </row>
    <row r="465" spans="3:3" ht="12.5" x14ac:dyDescent="0.25">
      <c r="C465" s="297"/>
    </row>
    <row r="466" spans="3:3" ht="12.5" x14ac:dyDescent="0.25">
      <c r="C466" s="297"/>
    </row>
    <row r="467" spans="3:3" ht="12.5" x14ac:dyDescent="0.25">
      <c r="C467" s="297"/>
    </row>
    <row r="468" spans="3:3" ht="12.5" x14ac:dyDescent="0.25">
      <c r="C468" s="297"/>
    </row>
    <row r="469" spans="3:3" ht="12.5" x14ac:dyDescent="0.25">
      <c r="C469" s="297"/>
    </row>
    <row r="470" spans="3:3" ht="12.5" x14ac:dyDescent="0.25">
      <c r="C470" s="297"/>
    </row>
    <row r="471" spans="3:3" ht="12.5" x14ac:dyDescent="0.25">
      <c r="C471" s="297"/>
    </row>
    <row r="472" spans="3:3" ht="12.5" x14ac:dyDescent="0.25">
      <c r="C472" s="297"/>
    </row>
    <row r="473" spans="3:3" ht="12.5" x14ac:dyDescent="0.25">
      <c r="C473" s="297"/>
    </row>
    <row r="474" spans="3:3" ht="12.5" x14ac:dyDescent="0.25">
      <c r="C474" s="297"/>
    </row>
    <row r="475" spans="3:3" ht="12.5" x14ac:dyDescent="0.25">
      <c r="C475" s="297"/>
    </row>
    <row r="476" spans="3:3" ht="12.5" x14ac:dyDescent="0.25">
      <c r="C476" s="297"/>
    </row>
    <row r="477" spans="3:3" ht="12.5" x14ac:dyDescent="0.25">
      <c r="C477" s="297"/>
    </row>
    <row r="478" spans="3:3" ht="12.5" x14ac:dyDescent="0.25">
      <c r="C478" s="297"/>
    </row>
    <row r="479" spans="3:3" ht="12.5" x14ac:dyDescent="0.25">
      <c r="C479" s="297"/>
    </row>
    <row r="480" spans="3:3" ht="12.5" x14ac:dyDescent="0.25">
      <c r="C480" s="297"/>
    </row>
    <row r="481" spans="3:3" ht="12.5" x14ac:dyDescent="0.25">
      <c r="C481" s="297"/>
    </row>
    <row r="482" spans="3:3" ht="12.5" x14ac:dyDescent="0.25">
      <c r="C482" s="297"/>
    </row>
    <row r="483" spans="3:3" ht="12.5" x14ac:dyDescent="0.25">
      <c r="C483" s="297"/>
    </row>
    <row r="484" spans="3:3" ht="12.5" x14ac:dyDescent="0.25">
      <c r="C484" s="297"/>
    </row>
    <row r="485" spans="3:3" ht="12.5" x14ac:dyDescent="0.25">
      <c r="C485" s="297"/>
    </row>
    <row r="486" spans="3:3" ht="12.5" x14ac:dyDescent="0.25">
      <c r="C486" s="297"/>
    </row>
    <row r="487" spans="3:3" ht="12.5" x14ac:dyDescent="0.25">
      <c r="C487" s="297"/>
    </row>
    <row r="488" spans="3:3" ht="12.5" x14ac:dyDescent="0.25">
      <c r="C488" s="297"/>
    </row>
    <row r="489" spans="3:3" ht="12.5" x14ac:dyDescent="0.25">
      <c r="C489" s="297"/>
    </row>
    <row r="490" spans="3:3" ht="12.5" x14ac:dyDescent="0.25">
      <c r="C490" s="297"/>
    </row>
    <row r="491" spans="3:3" ht="12.5" x14ac:dyDescent="0.25">
      <c r="C491" s="297"/>
    </row>
    <row r="492" spans="3:3" ht="12.5" x14ac:dyDescent="0.25">
      <c r="C492" s="297"/>
    </row>
    <row r="493" spans="3:3" ht="12.5" x14ac:dyDescent="0.25">
      <c r="C493" s="297"/>
    </row>
    <row r="494" spans="3:3" ht="12.5" x14ac:dyDescent="0.25">
      <c r="C494" s="297"/>
    </row>
    <row r="495" spans="3:3" ht="12.5" x14ac:dyDescent="0.25">
      <c r="C495" s="297"/>
    </row>
    <row r="496" spans="3:3" ht="12.5" x14ac:dyDescent="0.25">
      <c r="C496" s="297"/>
    </row>
    <row r="497" spans="3:3" ht="12.5" x14ac:dyDescent="0.25">
      <c r="C497" s="297"/>
    </row>
    <row r="498" spans="3:3" ht="12.5" x14ac:dyDescent="0.25">
      <c r="C498" s="297"/>
    </row>
    <row r="499" spans="3:3" ht="12.5" x14ac:dyDescent="0.25">
      <c r="C499" s="297"/>
    </row>
    <row r="500" spans="3:3" ht="12.5" x14ac:dyDescent="0.25">
      <c r="C500" s="297"/>
    </row>
    <row r="501" spans="3:3" ht="12.5" x14ac:dyDescent="0.25">
      <c r="C501" s="297"/>
    </row>
    <row r="502" spans="3:3" ht="12.5" x14ac:dyDescent="0.25">
      <c r="C502" s="297"/>
    </row>
    <row r="503" spans="3:3" ht="12.5" x14ac:dyDescent="0.25">
      <c r="C503" s="297"/>
    </row>
    <row r="504" spans="3:3" ht="12.5" x14ac:dyDescent="0.25">
      <c r="C504" s="297"/>
    </row>
    <row r="505" spans="3:3" ht="12.5" x14ac:dyDescent="0.25">
      <c r="C505" s="297"/>
    </row>
    <row r="506" spans="3:3" ht="12.5" x14ac:dyDescent="0.25">
      <c r="C506" s="297"/>
    </row>
    <row r="507" spans="3:3" ht="12.5" x14ac:dyDescent="0.25">
      <c r="C507" s="297"/>
    </row>
    <row r="508" spans="3:3" ht="12.5" x14ac:dyDescent="0.25">
      <c r="C508" s="297"/>
    </row>
    <row r="509" spans="3:3" ht="12.5" x14ac:dyDescent="0.25">
      <c r="C509" s="297"/>
    </row>
    <row r="510" spans="3:3" ht="12.5" x14ac:dyDescent="0.25">
      <c r="C510" s="297"/>
    </row>
    <row r="511" spans="3:3" ht="12.5" x14ac:dyDescent="0.25">
      <c r="C511" s="297"/>
    </row>
    <row r="512" spans="3:3" ht="12.5" x14ac:dyDescent="0.25">
      <c r="C512" s="297"/>
    </row>
    <row r="513" spans="3:3" ht="12.5" x14ac:dyDescent="0.25">
      <c r="C513" s="297"/>
    </row>
    <row r="514" spans="3:3" ht="12.5" x14ac:dyDescent="0.25">
      <c r="C514" s="297"/>
    </row>
    <row r="515" spans="3:3" ht="12.5" x14ac:dyDescent="0.25">
      <c r="C515" s="297"/>
    </row>
    <row r="516" spans="3:3" ht="12.5" x14ac:dyDescent="0.25">
      <c r="C516" s="297"/>
    </row>
    <row r="517" spans="3:3" ht="12.5" x14ac:dyDescent="0.25">
      <c r="C517" s="297"/>
    </row>
    <row r="518" spans="3:3" ht="12.5" x14ac:dyDescent="0.25">
      <c r="C518" s="297"/>
    </row>
    <row r="519" spans="3:3" ht="12.5" x14ac:dyDescent="0.25">
      <c r="C519" s="297"/>
    </row>
    <row r="520" spans="3:3" ht="12.5" x14ac:dyDescent="0.25">
      <c r="C520" s="297"/>
    </row>
    <row r="521" spans="3:3" ht="12.5" x14ac:dyDescent="0.25">
      <c r="C521" s="297"/>
    </row>
    <row r="522" spans="3:3" ht="12.5" x14ac:dyDescent="0.25">
      <c r="C522" s="297"/>
    </row>
    <row r="523" spans="3:3" ht="12.5" x14ac:dyDescent="0.25">
      <c r="C523" s="297"/>
    </row>
    <row r="524" spans="3:3" ht="12.5" x14ac:dyDescent="0.25">
      <c r="C524" s="297"/>
    </row>
    <row r="525" spans="3:3" ht="12.5" x14ac:dyDescent="0.25">
      <c r="C525" s="297"/>
    </row>
    <row r="526" spans="3:3" ht="12.5" x14ac:dyDescent="0.25">
      <c r="C526" s="297"/>
    </row>
    <row r="527" spans="3:3" ht="12.5" x14ac:dyDescent="0.25">
      <c r="C527" s="297"/>
    </row>
    <row r="528" spans="3:3" ht="12.5" x14ac:dyDescent="0.25">
      <c r="C528" s="297"/>
    </row>
    <row r="529" spans="3:3" ht="12.5" x14ac:dyDescent="0.25">
      <c r="C529" s="297"/>
    </row>
    <row r="530" spans="3:3" ht="12.5" x14ac:dyDescent="0.25">
      <c r="C530" s="297"/>
    </row>
    <row r="531" spans="3:3" ht="12.5" x14ac:dyDescent="0.25">
      <c r="C531" s="297"/>
    </row>
    <row r="532" spans="3:3" ht="12.5" x14ac:dyDescent="0.25">
      <c r="C532" s="297"/>
    </row>
    <row r="533" spans="3:3" ht="12.5" x14ac:dyDescent="0.25">
      <c r="C533" s="297"/>
    </row>
    <row r="534" spans="3:3" ht="12.5" x14ac:dyDescent="0.25">
      <c r="C534" s="297"/>
    </row>
    <row r="535" spans="3:3" ht="12.5" x14ac:dyDescent="0.25">
      <c r="C535" s="297"/>
    </row>
    <row r="536" spans="3:3" ht="12.5" x14ac:dyDescent="0.25">
      <c r="C536" s="297"/>
    </row>
    <row r="537" spans="3:3" ht="12.5" x14ac:dyDescent="0.25">
      <c r="C537" s="297"/>
    </row>
    <row r="538" spans="3:3" ht="12.5" x14ac:dyDescent="0.25">
      <c r="C538" s="297"/>
    </row>
    <row r="539" spans="3:3" ht="12.5" x14ac:dyDescent="0.25">
      <c r="C539" s="297"/>
    </row>
    <row r="540" spans="3:3" ht="12.5" x14ac:dyDescent="0.25">
      <c r="C540" s="297"/>
    </row>
    <row r="541" spans="3:3" ht="12.5" x14ac:dyDescent="0.25">
      <c r="C541" s="297"/>
    </row>
    <row r="542" spans="3:3" ht="12.5" x14ac:dyDescent="0.25">
      <c r="C542" s="297"/>
    </row>
    <row r="543" spans="3:3" ht="12.5" x14ac:dyDescent="0.25">
      <c r="C543" s="297"/>
    </row>
    <row r="544" spans="3:3" ht="12.5" x14ac:dyDescent="0.25">
      <c r="C544" s="297"/>
    </row>
    <row r="545" spans="3:3" ht="12.5" x14ac:dyDescent="0.25">
      <c r="C545" s="297"/>
    </row>
    <row r="546" spans="3:3" ht="12.5" x14ac:dyDescent="0.25">
      <c r="C546" s="297"/>
    </row>
    <row r="547" spans="3:3" ht="12.5" x14ac:dyDescent="0.25">
      <c r="C547" s="297"/>
    </row>
    <row r="548" spans="3:3" ht="12.5" x14ac:dyDescent="0.25">
      <c r="C548" s="297"/>
    </row>
    <row r="549" spans="3:3" ht="12.5" x14ac:dyDescent="0.25">
      <c r="C549" s="297"/>
    </row>
    <row r="550" spans="3:3" ht="12.5" x14ac:dyDescent="0.25">
      <c r="C550" s="297"/>
    </row>
    <row r="551" spans="3:3" ht="12.5" x14ac:dyDescent="0.25">
      <c r="C551" s="297"/>
    </row>
    <row r="552" spans="3:3" ht="12.5" x14ac:dyDescent="0.25">
      <c r="C552" s="297"/>
    </row>
    <row r="553" spans="3:3" ht="12.5" x14ac:dyDescent="0.25">
      <c r="C553" s="297"/>
    </row>
    <row r="554" spans="3:3" ht="12.5" x14ac:dyDescent="0.25">
      <c r="C554" s="297"/>
    </row>
    <row r="555" spans="3:3" ht="12.5" x14ac:dyDescent="0.25">
      <c r="C555" s="297"/>
    </row>
    <row r="556" spans="3:3" ht="12.5" x14ac:dyDescent="0.25">
      <c r="C556" s="297"/>
    </row>
    <row r="557" spans="3:3" ht="12.5" x14ac:dyDescent="0.25">
      <c r="C557" s="297"/>
    </row>
    <row r="558" spans="3:3" ht="12.5" x14ac:dyDescent="0.25">
      <c r="C558" s="297"/>
    </row>
    <row r="559" spans="3:3" ht="12.5" x14ac:dyDescent="0.25">
      <c r="C559" s="297"/>
    </row>
    <row r="560" spans="3:3" ht="12.5" x14ac:dyDescent="0.25">
      <c r="C560" s="297"/>
    </row>
    <row r="561" spans="3:3" ht="12.5" x14ac:dyDescent="0.25">
      <c r="C561" s="297"/>
    </row>
    <row r="562" spans="3:3" ht="12.5" x14ac:dyDescent="0.25">
      <c r="C562" s="297"/>
    </row>
    <row r="563" spans="3:3" ht="12.5" x14ac:dyDescent="0.25">
      <c r="C563" s="297"/>
    </row>
    <row r="564" spans="3:3" ht="12.5" x14ac:dyDescent="0.25">
      <c r="C564" s="297"/>
    </row>
    <row r="565" spans="3:3" ht="12.5" x14ac:dyDescent="0.25">
      <c r="C565" s="297"/>
    </row>
    <row r="566" spans="3:3" ht="12.5" x14ac:dyDescent="0.25">
      <c r="C566" s="297"/>
    </row>
    <row r="567" spans="3:3" ht="12.5" x14ac:dyDescent="0.25">
      <c r="C567" s="297"/>
    </row>
    <row r="568" spans="3:3" ht="12.5" x14ac:dyDescent="0.25">
      <c r="C568" s="297"/>
    </row>
    <row r="569" spans="3:3" ht="12.5" x14ac:dyDescent="0.25">
      <c r="C569" s="297"/>
    </row>
    <row r="570" spans="3:3" ht="12.5" x14ac:dyDescent="0.25">
      <c r="C570" s="297"/>
    </row>
    <row r="571" spans="3:3" ht="12.5" x14ac:dyDescent="0.25">
      <c r="C571" s="297"/>
    </row>
    <row r="572" spans="3:3" ht="12.5" x14ac:dyDescent="0.25">
      <c r="C572" s="297"/>
    </row>
    <row r="573" spans="3:3" ht="12.5" x14ac:dyDescent="0.25">
      <c r="C573" s="297"/>
    </row>
    <row r="574" spans="3:3" ht="12.5" x14ac:dyDescent="0.25">
      <c r="C574" s="297"/>
    </row>
    <row r="575" spans="3:3" ht="12.5" x14ac:dyDescent="0.25">
      <c r="C575" s="297"/>
    </row>
    <row r="576" spans="3:3" ht="12.5" x14ac:dyDescent="0.25">
      <c r="C576" s="297"/>
    </row>
    <row r="577" spans="3:3" ht="12.5" x14ac:dyDescent="0.25">
      <c r="C577" s="297"/>
    </row>
    <row r="578" spans="3:3" ht="12.5" x14ac:dyDescent="0.25">
      <c r="C578" s="297"/>
    </row>
    <row r="579" spans="3:3" ht="12.5" x14ac:dyDescent="0.25">
      <c r="C579" s="297"/>
    </row>
    <row r="580" spans="3:3" ht="12.5" x14ac:dyDescent="0.25">
      <c r="C580" s="297"/>
    </row>
    <row r="581" spans="3:3" ht="12.5" x14ac:dyDescent="0.25">
      <c r="C581" s="297"/>
    </row>
    <row r="582" spans="3:3" ht="12.5" x14ac:dyDescent="0.25">
      <c r="C582" s="297"/>
    </row>
    <row r="583" spans="3:3" ht="12.5" x14ac:dyDescent="0.25">
      <c r="C583" s="297"/>
    </row>
    <row r="584" spans="3:3" ht="12.5" x14ac:dyDescent="0.25">
      <c r="C584" s="297"/>
    </row>
    <row r="585" spans="3:3" ht="12.5" x14ac:dyDescent="0.25">
      <c r="C585" s="297"/>
    </row>
    <row r="586" spans="3:3" ht="12.5" x14ac:dyDescent="0.25">
      <c r="C586" s="297"/>
    </row>
    <row r="587" spans="3:3" ht="12.5" x14ac:dyDescent="0.25">
      <c r="C587" s="297"/>
    </row>
    <row r="588" spans="3:3" ht="12.5" x14ac:dyDescent="0.25">
      <c r="C588" s="297"/>
    </row>
    <row r="589" spans="3:3" ht="12.5" x14ac:dyDescent="0.25">
      <c r="C589" s="297"/>
    </row>
    <row r="590" spans="3:3" ht="12.5" x14ac:dyDescent="0.25">
      <c r="C590" s="297"/>
    </row>
    <row r="591" spans="3:3" ht="12.5" x14ac:dyDescent="0.25">
      <c r="C591" s="297"/>
    </row>
    <row r="592" spans="3:3" ht="12.5" x14ac:dyDescent="0.25">
      <c r="C592" s="297"/>
    </row>
    <row r="593" spans="3:3" ht="12.5" x14ac:dyDescent="0.25">
      <c r="C593" s="297"/>
    </row>
    <row r="594" spans="3:3" ht="12.5" x14ac:dyDescent="0.25">
      <c r="C594" s="297"/>
    </row>
    <row r="595" spans="3:3" ht="12.5" x14ac:dyDescent="0.25">
      <c r="C595" s="297"/>
    </row>
    <row r="596" spans="3:3" ht="12.5" x14ac:dyDescent="0.25">
      <c r="C596" s="297"/>
    </row>
    <row r="597" spans="3:3" ht="12.5" x14ac:dyDescent="0.25">
      <c r="C597" s="297"/>
    </row>
    <row r="598" spans="3:3" ht="12.5" x14ac:dyDescent="0.25">
      <c r="C598" s="297"/>
    </row>
    <row r="599" spans="3:3" ht="12.5" x14ac:dyDescent="0.25">
      <c r="C599" s="297"/>
    </row>
    <row r="600" spans="3:3" ht="12.5" x14ac:dyDescent="0.25">
      <c r="C600" s="297"/>
    </row>
    <row r="601" spans="3:3" ht="12.5" x14ac:dyDescent="0.25">
      <c r="C601" s="297"/>
    </row>
    <row r="602" spans="3:3" ht="12.5" x14ac:dyDescent="0.25">
      <c r="C602" s="297"/>
    </row>
    <row r="603" spans="3:3" ht="12.5" x14ac:dyDescent="0.25">
      <c r="C603" s="297"/>
    </row>
    <row r="604" spans="3:3" ht="12.5" x14ac:dyDescent="0.25">
      <c r="C604" s="297"/>
    </row>
    <row r="605" spans="3:3" ht="12.5" x14ac:dyDescent="0.25">
      <c r="C605" s="297"/>
    </row>
    <row r="606" spans="3:3" ht="12.5" x14ac:dyDescent="0.25">
      <c r="C606" s="297"/>
    </row>
    <row r="607" spans="3:3" ht="12.5" x14ac:dyDescent="0.25">
      <c r="C607" s="297"/>
    </row>
    <row r="608" spans="3:3" ht="12.5" x14ac:dyDescent="0.25">
      <c r="C608" s="297"/>
    </row>
    <row r="609" spans="3:3" ht="12.5" x14ac:dyDescent="0.25">
      <c r="C609" s="297"/>
    </row>
    <row r="610" spans="3:3" ht="12.5" x14ac:dyDescent="0.25">
      <c r="C610" s="297"/>
    </row>
    <row r="611" spans="3:3" ht="12.5" x14ac:dyDescent="0.25">
      <c r="C611" s="297"/>
    </row>
    <row r="612" spans="3:3" ht="12.5" x14ac:dyDescent="0.25">
      <c r="C612" s="297"/>
    </row>
    <row r="613" spans="3:3" ht="12.5" x14ac:dyDescent="0.25">
      <c r="C613" s="297"/>
    </row>
    <row r="614" spans="3:3" ht="12.5" x14ac:dyDescent="0.25">
      <c r="C614" s="297"/>
    </row>
    <row r="615" spans="3:3" ht="12.5" x14ac:dyDescent="0.25">
      <c r="C615" s="297"/>
    </row>
    <row r="616" spans="3:3" ht="12.5" x14ac:dyDescent="0.25">
      <c r="C616" s="297"/>
    </row>
    <row r="617" spans="3:3" ht="12.5" x14ac:dyDescent="0.25">
      <c r="C617" s="297"/>
    </row>
    <row r="618" spans="3:3" ht="12.5" x14ac:dyDescent="0.25">
      <c r="C618" s="297"/>
    </row>
    <row r="619" spans="3:3" ht="12.5" x14ac:dyDescent="0.25">
      <c r="C619" s="297"/>
    </row>
    <row r="620" spans="3:3" ht="12.5" x14ac:dyDescent="0.25">
      <c r="C620" s="297"/>
    </row>
    <row r="621" spans="3:3" ht="12.5" x14ac:dyDescent="0.25">
      <c r="C621" s="297"/>
    </row>
    <row r="622" spans="3:3" ht="12.5" x14ac:dyDescent="0.25">
      <c r="C622" s="297"/>
    </row>
    <row r="623" spans="3:3" ht="12.5" x14ac:dyDescent="0.25">
      <c r="C623" s="297"/>
    </row>
    <row r="624" spans="3:3" ht="12.5" x14ac:dyDescent="0.25">
      <c r="C624" s="297"/>
    </row>
    <row r="625" spans="3:3" ht="12.5" x14ac:dyDescent="0.25">
      <c r="C625" s="297"/>
    </row>
    <row r="626" spans="3:3" ht="12.5" x14ac:dyDescent="0.25">
      <c r="C626" s="297"/>
    </row>
    <row r="627" spans="3:3" ht="12.5" x14ac:dyDescent="0.25">
      <c r="C627" s="297"/>
    </row>
    <row r="628" spans="3:3" ht="12.5" x14ac:dyDescent="0.25">
      <c r="C628" s="297"/>
    </row>
    <row r="629" spans="3:3" ht="12.5" x14ac:dyDescent="0.25">
      <c r="C629" s="297"/>
    </row>
    <row r="630" spans="3:3" ht="12.5" x14ac:dyDescent="0.25">
      <c r="C630" s="297"/>
    </row>
    <row r="631" spans="3:3" ht="12.5" x14ac:dyDescent="0.25">
      <c r="C631" s="297"/>
    </row>
    <row r="632" spans="3:3" ht="12.5" x14ac:dyDescent="0.25">
      <c r="C632" s="297"/>
    </row>
    <row r="633" spans="3:3" ht="12.5" x14ac:dyDescent="0.25">
      <c r="C633" s="297"/>
    </row>
    <row r="634" spans="3:3" ht="12.5" x14ac:dyDescent="0.25">
      <c r="C634" s="297"/>
    </row>
    <row r="635" spans="3:3" ht="12.5" x14ac:dyDescent="0.25">
      <c r="C635" s="297"/>
    </row>
    <row r="636" spans="3:3" ht="12.5" x14ac:dyDescent="0.25">
      <c r="C636" s="297"/>
    </row>
    <row r="637" spans="3:3" ht="12.5" x14ac:dyDescent="0.25">
      <c r="C637" s="297"/>
    </row>
    <row r="638" spans="3:3" ht="12.5" x14ac:dyDescent="0.25">
      <c r="C638" s="297"/>
    </row>
    <row r="639" spans="3:3" ht="12.5" x14ac:dyDescent="0.25">
      <c r="C639" s="297"/>
    </row>
    <row r="640" spans="3:3" ht="12.5" x14ac:dyDescent="0.25">
      <c r="C640" s="297"/>
    </row>
    <row r="641" spans="3:3" ht="12.5" x14ac:dyDescent="0.25">
      <c r="C641" s="297"/>
    </row>
    <row r="642" spans="3:3" ht="12.5" x14ac:dyDescent="0.25">
      <c r="C642" s="297"/>
    </row>
    <row r="643" spans="3:3" ht="12.5" x14ac:dyDescent="0.25">
      <c r="C643" s="297"/>
    </row>
    <row r="644" spans="3:3" ht="12.5" x14ac:dyDescent="0.25">
      <c r="C644" s="297"/>
    </row>
    <row r="645" spans="3:3" ht="12.5" x14ac:dyDescent="0.25">
      <c r="C645" s="297"/>
    </row>
    <row r="646" spans="3:3" ht="12.5" x14ac:dyDescent="0.25">
      <c r="C646" s="297"/>
    </row>
    <row r="647" spans="3:3" ht="12.5" x14ac:dyDescent="0.25">
      <c r="C647" s="297"/>
    </row>
    <row r="648" spans="3:3" ht="12.5" x14ac:dyDescent="0.25">
      <c r="C648" s="297"/>
    </row>
    <row r="649" spans="3:3" ht="12.5" x14ac:dyDescent="0.25">
      <c r="C649" s="297"/>
    </row>
    <row r="650" spans="3:3" ht="12.5" x14ac:dyDescent="0.25">
      <c r="C650" s="297"/>
    </row>
    <row r="651" spans="3:3" ht="12.5" x14ac:dyDescent="0.25">
      <c r="C651" s="297"/>
    </row>
    <row r="652" spans="3:3" ht="12.5" x14ac:dyDescent="0.25">
      <c r="C652" s="297"/>
    </row>
    <row r="653" spans="3:3" ht="12.5" x14ac:dyDescent="0.25">
      <c r="C653" s="297"/>
    </row>
    <row r="654" spans="3:3" ht="12.5" x14ac:dyDescent="0.25">
      <c r="C654" s="297"/>
    </row>
    <row r="655" spans="3:3" ht="12.5" x14ac:dyDescent="0.25">
      <c r="C655" s="297"/>
    </row>
    <row r="656" spans="3:3" ht="12.5" x14ac:dyDescent="0.25">
      <c r="C656" s="297"/>
    </row>
    <row r="657" spans="3:3" ht="12.5" x14ac:dyDescent="0.25">
      <c r="C657" s="297"/>
    </row>
    <row r="658" spans="3:3" ht="12.5" x14ac:dyDescent="0.25">
      <c r="C658" s="297"/>
    </row>
    <row r="659" spans="3:3" ht="12.5" x14ac:dyDescent="0.25">
      <c r="C659" s="297"/>
    </row>
    <row r="660" spans="3:3" ht="12.5" x14ac:dyDescent="0.25">
      <c r="C660" s="297"/>
    </row>
    <row r="661" spans="3:3" ht="12.5" x14ac:dyDescent="0.25">
      <c r="C661" s="297"/>
    </row>
    <row r="662" spans="3:3" ht="12.5" x14ac:dyDescent="0.25">
      <c r="C662" s="297"/>
    </row>
    <row r="663" spans="3:3" ht="12.5" x14ac:dyDescent="0.25">
      <c r="C663" s="297"/>
    </row>
    <row r="664" spans="3:3" ht="12.5" x14ac:dyDescent="0.25">
      <c r="C664" s="297"/>
    </row>
    <row r="665" spans="3:3" ht="12.5" x14ac:dyDescent="0.25">
      <c r="C665" s="297"/>
    </row>
    <row r="666" spans="3:3" ht="12.5" x14ac:dyDescent="0.25">
      <c r="C666" s="297"/>
    </row>
    <row r="667" spans="3:3" ht="12.5" x14ac:dyDescent="0.25">
      <c r="C667" s="297"/>
    </row>
    <row r="668" spans="3:3" ht="12.5" x14ac:dyDescent="0.25">
      <c r="C668" s="297"/>
    </row>
    <row r="669" spans="3:3" ht="12.5" x14ac:dyDescent="0.25">
      <c r="C669" s="297"/>
    </row>
    <row r="670" spans="3:3" ht="12.5" x14ac:dyDescent="0.25">
      <c r="C670" s="297"/>
    </row>
    <row r="671" spans="3:3" ht="12.5" x14ac:dyDescent="0.25">
      <c r="C671" s="297"/>
    </row>
    <row r="672" spans="3:3" ht="12.5" x14ac:dyDescent="0.25">
      <c r="C672" s="297"/>
    </row>
    <row r="673" spans="3:3" ht="12.5" x14ac:dyDescent="0.25">
      <c r="C673" s="297"/>
    </row>
    <row r="674" spans="3:3" ht="12.5" x14ac:dyDescent="0.25">
      <c r="C674" s="297"/>
    </row>
    <row r="675" spans="3:3" ht="12.5" x14ac:dyDescent="0.25">
      <c r="C675" s="297"/>
    </row>
    <row r="676" spans="3:3" ht="12.5" x14ac:dyDescent="0.25">
      <c r="C676" s="297"/>
    </row>
    <row r="677" spans="3:3" ht="12.5" x14ac:dyDescent="0.25">
      <c r="C677" s="297"/>
    </row>
    <row r="678" spans="3:3" ht="12.5" x14ac:dyDescent="0.25">
      <c r="C678" s="297"/>
    </row>
    <row r="679" spans="3:3" ht="12.5" x14ac:dyDescent="0.25">
      <c r="C679" s="297"/>
    </row>
    <row r="680" spans="3:3" ht="12.5" x14ac:dyDescent="0.25">
      <c r="C680" s="297"/>
    </row>
    <row r="681" spans="3:3" ht="12.5" x14ac:dyDescent="0.25">
      <c r="C681" s="297"/>
    </row>
    <row r="682" spans="3:3" ht="12.5" x14ac:dyDescent="0.25">
      <c r="C682" s="297"/>
    </row>
    <row r="683" spans="3:3" ht="12.5" x14ac:dyDescent="0.25">
      <c r="C683" s="297"/>
    </row>
    <row r="684" spans="3:3" ht="12.5" x14ac:dyDescent="0.25">
      <c r="C684" s="297"/>
    </row>
    <row r="685" spans="3:3" ht="12.5" x14ac:dyDescent="0.25">
      <c r="C685" s="297"/>
    </row>
    <row r="686" spans="3:3" ht="12.5" x14ac:dyDescent="0.25">
      <c r="C686" s="297"/>
    </row>
    <row r="687" spans="3:3" ht="12.5" x14ac:dyDescent="0.25">
      <c r="C687" s="297"/>
    </row>
    <row r="688" spans="3:3" ht="12.5" x14ac:dyDescent="0.25">
      <c r="C688" s="297"/>
    </row>
    <row r="689" spans="3:3" ht="12.5" x14ac:dyDescent="0.25">
      <c r="C689" s="297"/>
    </row>
    <row r="690" spans="3:3" ht="12.5" x14ac:dyDescent="0.25">
      <c r="C690" s="297"/>
    </row>
    <row r="691" spans="3:3" ht="12.5" x14ac:dyDescent="0.25">
      <c r="C691" s="297"/>
    </row>
    <row r="692" spans="3:3" ht="12.5" x14ac:dyDescent="0.25">
      <c r="C692" s="297"/>
    </row>
    <row r="693" spans="3:3" ht="12.5" x14ac:dyDescent="0.25">
      <c r="C693" s="297"/>
    </row>
    <row r="694" spans="3:3" ht="12.5" x14ac:dyDescent="0.25">
      <c r="C694" s="297"/>
    </row>
    <row r="695" spans="3:3" ht="12.5" x14ac:dyDescent="0.25">
      <c r="C695" s="297"/>
    </row>
    <row r="696" spans="3:3" ht="12.5" x14ac:dyDescent="0.25">
      <c r="C696" s="297"/>
    </row>
    <row r="697" spans="3:3" ht="12.5" x14ac:dyDescent="0.25">
      <c r="C697" s="297"/>
    </row>
    <row r="698" spans="3:3" ht="12.5" x14ac:dyDescent="0.25">
      <c r="C698" s="297"/>
    </row>
    <row r="699" spans="3:3" ht="12.5" x14ac:dyDescent="0.25">
      <c r="C699" s="297"/>
    </row>
    <row r="700" spans="3:3" ht="12.5" x14ac:dyDescent="0.25">
      <c r="C700" s="297"/>
    </row>
    <row r="701" spans="3:3" ht="12.5" x14ac:dyDescent="0.25">
      <c r="C701" s="297"/>
    </row>
    <row r="702" spans="3:3" ht="12.5" x14ac:dyDescent="0.25">
      <c r="C702" s="297"/>
    </row>
    <row r="703" spans="3:3" ht="12.5" x14ac:dyDescent="0.25">
      <c r="C703" s="297"/>
    </row>
    <row r="704" spans="3:3" ht="12.5" x14ac:dyDescent="0.25">
      <c r="C704" s="297"/>
    </row>
    <row r="705" spans="3:3" ht="12.5" x14ac:dyDescent="0.25">
      <c r="C705" s="297"/>
    </row>
    <row r="706" spans="3:3" ht="12.5" x14ac:dyDescent="0.25">
      <c r="C706" s="297"/>
    </row>
    <row r="707" spans="3:3" ht="12.5" x14ac:dyDescent="0.25">
      <c r="C707" s="297"/>
    </row>
    <row r="708" spans="3:3" ht="12.5" x14ac:dyDescent="0.25">
      <c r="C708" s="297"/>
    </row>
    <row r="709" spans="3:3" ht="12.5" x14ac:dyDescent="0.25">
      <c r="C709" s="297"/>
    </row>
    <row r="710" spans="3:3" ht="12.5" x14ac:dyDescent="0.25">
      <c r="C710" s="297"/>
    </row>
    <row r="711" spans="3:3" ht="12.5" x14ac:dyDescent="0.25">
      <c r="C711" s="297"/>
    </row>
    <row r="712" spans="3:3" ht="12.5" x14ac:dyDescent="0.25">
      <c r="C712" s="297"/>
    </row>
    <row r="713" spans="3:3" ht="12.5" x14ac:dyDescent="0.25">
      <c r="C713" s="297"/>
    </row>
    <row r="714" spans="3:3" ht="12.5" x14ac:dyDescent="0.25">
      <c r="C714" s="297"/>
    </row>
    <row r="715" spans="3:3" ht="12.5" x14ac:dyDescent="0.25">
      <c r="C715" s="297"/>
    </row>
    <row r="716" spans="3:3" ht="12.5" x14ac:dyDescent="0.25">
      <c r="C716" s="297"/>
    </row>
    <row r="717" spans="3:3" ht="12.5" x14ac:dyDescent="0.25">
      <c r="C717" s="297"/>
    </row>
    <row r="718" spans="3:3" ht="12.5" x14ac:dyDescent="0.25">
      <c r="C718" s="297"/>
    </row>
    <row r="719" spans="3:3" ht="12.5" x14ac:dyDescent="0.25">
      <c r="C719" s="297"/>
    </row>
    <row r="720" spans="3:3" ht="12.5" x14ac:dyDescent="0.25">
      <c r="C720" s="297"/>
    </row>
    <row r="721" spans="3:3" ht="12.5" x14ac:dyDescent="0.25">
      <c r="C721" s="297"/>
    </row>
    <row r="722" spans="3:3" ht="12.5" x14ac:dyDescent="0.25">
      <c r="C722" s="297"/>
    </row>
    <row r="723" spans="3:3" ht="12.5" x14ac:dyDescent="0.25">
      <c r="C723" s="297"/>
    </row>
    <row r="724" spans="3:3" ht="12.5" x14ac:dyDescent="0.25">
      <c r="C724" s="297"/>
    </row>
    <row r="725" spans="3:3" ht="12.5" x14ac:dyDescent="0.25">
      <c r="C725" s="297"/>
    </row>
    <row r="726" spans="3:3" ht="12.5" x14ac:dyDescent="0.25">
      <c r="C726" s="297"/>
    </row>
    <row r="727" spans="3:3" ht="12.5" x14ac:dyDescent="0.25">
      <c r="C727" s="297"/>
    </row>
    <row r="728" spans="3:3" ht="12.5" x14ac:dyDescent="0.25">
      <c r="C728" s="297"/>
    </row>
    <row r="729" spans="3:3" ht="12.5" x14ac:dyDescent="0.25">
      <c r="C729" s="297"/>
    </row>
    <row r="730" spans="3:3" ht="12.5" x14ac:dyDescent="0.25">
      <c r="C730" s="297"/>
    </row>
    <row r="731" spans="3:3" ht="12.5" x14ac:dyDescent="0.25">
      <c r="C731" s="297"/>
    </row>
    <row r="732" spans="3:3" ht="12.5" x14ac:dyDescent="0.25">
      <c r="C732" s="297"/>
    </row>
    <row r="733" spans="3:3" ht="12.5" x14ac:dyDescent="0.25">
      <c r="C733" s="297"/>
    </row>
    <row r="734" spans="3:3" ht="12.5" x14ac:dyDescent="0.25">
      <c r="C734" s="297"/>
    </row>
    <row r="735" spans="3:3" ht="12.5" x14ac:dyDescent="0.25">
      <c r="C735" s="297"/>
    </row>
    <row r="736" spans="3:3" ht="12.5" x14ac:dyDescent="0.25">
      <c r="C736" s="297"/>
    </row>
    <row r="737" spans="3:3" ht="12.5" x14ac:dyDescent="0.25">
      <c r="C737" s="297"/>
    </row>
    <row r="738" spans="3:3" ht="12.5" x14ac:dyDescent="0.25">
      <c r="C738" s="297"/>
    </row>
    <row r="739" spans="3:3" ht="12.5" x14ac:dyDescent="0.25">
      <c r="C739" s="297"/>
    </row>
    <row r="740" spans="3:3" ht="12.5" x14ac:dyDescent="0.25">
      <c r="C740" s="297"/>
    </row>
    <row r="741" spans="3:3" ht="12.5" x14ac:dyDescent="0.25">
      <c r="C741" s="297"/>
    </row>
    <row r="742" spans="3:3" ht="12.5" x14ac:dyDescent="0.25">
      <c r="C742" s="297"/>
    </row>
    <row r="743" spans="3:3" ht="12.5" x14ac:dyDescent="0.25">
      <c r="C743" s="297"/>
    </row>
    <row r="744" spans="3:3" ht="12.5" x14ac:dyDescent="0.25">
      <c r="C744" s="297"/>
    </row>
    <row r="745" spans="3:3" ht="12.5" x14ac:dyDescent="0.25">
      <c r="C745" s="297"/>
    </row>
    <row r="746" spans="3:3" ht="12.5" x14ac:dyDescent="0.25">
      <c r="C746" s="297"/>
    </row>
    <row r="747" spans="3:3" ht="12.5" x14ac:dyDescent="0.25">
      <c r="C747" s="297"/>
    </row>
    <row r="748" spans="3:3" ht="12.5" x14ac:dyDescent="0.25">
      <c r="C748" s="297"/>
    </row>
    <row r="749" spans="3:3" ht="12.5" x14ac:dyDescent="0.25">
      <c r="C749" s="297"/>
    </row>
    <row r="750" spans="3:3" ht="12.5" x14ac:dyDescent="0.25">
      <c r="C750" s="297"/>
    </row>
    <row r="751" spans="3:3" ht="12.5" x14ac:dyDescent="0.25">
      <c r="C751" s="297"/>
    </row>
    <row r="752" spans="3:3" ht="12.5" x14ac:dyDescent="0.25">
      <c r="C752" s="297"/>
    </row>
    <row r="753" spans="3:3" ht="12.5" x14ac:dyDescent="0.25">
      <c r="C753" s="297"/>
    </row>
    <row r="754" spans="3:3" ht="12.5" x14ac:dyDescent="0.25">
      <c r="C754" s="297"/>
    </row>
    <row r="755" spans="3:3" ht="12.5" x14ac:dyDescent="0.25">
      <c r="C755" s="297"/>
    </row>
    <row r="756" spans="3:3" ht="12.5" x14ac:dyDescent="0.25">
      <c r="C756" s="297"/>
    </row>
    <row r="757" spans="3:3" ht="12.5" x14ac:dyDescent="0.25">
      <c r="C757" s="297"/>
    </row>
    <row r="758" spans="3:3" ht="12.5" x14ac:dyDescent="0.25">
      <c r="C758" s="297"/>
    </row>
    <row r="759" spans="3:3" ht="12.5" x14ac:dyDescent="0.25">
      <c r="C759" s="297"/>
    </row>
    <row r="760" spans="3:3" ht="12.5" x14ac:dyDescent="0.25">
      <c r="C760" s="297"/>
    </row>
    <row r="761" spans="3:3" ht="12.5" x14ac:dyDescent="0.25">
      <c r="C761" s="297"/>
    </row>
    <row r="762" spans="3:3" ht="12.5" x14ac:dyDescent="0.25">
      <c r="C762" s="297"/>
    </row>
    <row r="763" spans="3:3" ht="12.5" x14ac:dyDescent="0.25">
      <c r="C763" s="297"/>
    </row>
    <row r="764" spans="3:3" ht="12.5" x14ac:dyDescent="0.25">
      <c r="C764" s="297"/>
    </row>
    <row r="765" spans="3:3" ht="12.5" x14ac:dyDescent="0.25">
      <c r="C765" s="297"/>
    </row>
    <row r="766" spans="3:3" ht="12.5" x14ac:dyDescent="0.25">
      <c r="C766" s="297"/>
    </row>
    <row r="767" spans="3:3" ht="12.5" x14ac:dyDescent="0.25">
      <c r="C767" s="297"/>
    </row>
    <row r="768" spans="3:3" ht="12.5" x14ac:dyDescent="0.25">
      <c r="C768" s="297"/>
    </row>
    <row r="769" spans="3:3" ht="12.5" x14ac:dyDescent="0.25">
      <c r="C769" s="297"/>
    </row>
    <row r="770" spans="3:3" ht="12.5" x14ac:dyDescent="0.25">
      <c r="C770" s="297"/>
    </row>
    <row r="771" spans="3:3" ht="12.5" x14ac:dyDescent="0.25">
      <c r="C771" s="297"/>
    </row>
    <row r="772" spans="3:3" ht="12.5" x14ac:dyDescent="0.25">
      <c r="C772" s="297"/>
    </row>
    <row r="773" spans="3:3" ht="12.5" x14ac:dyDescent="0.25">
      <c r="C773" s="297"/>
    </row>
    <row r="774" spans="3:3" ht="12.5" x14ac:dyDescent="0.25">
      <c r="C774" s="297"/>
    </row>
    <row r="775" spans="3:3" ht="12.5" x14ac:dyDescent="0.25">
      <c r="C775" s="297"/>
    </row>
    <row r="776" spans="3:3" ht="12.5" x14ac:dyDescent="0.25">
      <c r="C776" s="297"/>
    </row>
    <row r="777" spans="3:3" ht="12.5" x14ac:dyDescent="0.25">
      <c r="C777" s="297"/>
    </row>
    <row r="778" spans="3:3" ht="12.5" x14ac:dyDescent="0.25">
      <c r="C778" s="297"/>
    </row>
    <row r="779" spans="3:3" ht="12.5" x14ac:dyDescent="0.25">
      <c r="C779" s="297"/>
    </row>
    <row r="780" spans="3:3" ht="12.5" x14ac:dyDescent="0.25">
      <c r="C780" s="297"/>
    </row>
    <row r="781" spans="3:3" ht="12.5" x14ac:dyDescent="0.25">
      <c r="C781" s="297"/>
    </row>
    <row r="782" spans="3:3" ht="12.5" x14ac:dyDescent="0.25">
      <c r="C782" s="297"/>
    </row>
    <row r="783" spans="3:3" ht="12.5" x14ac:dyDescent="0.25">
      <c r="C783" s="297"/>
    </row>
    <row r="784" spans="3:3" ht="12.5" x14ac:dyDescent="0.25">
      <c r="C784" s="297"/>
    </row>
    <row r="785" spans="3:3" ht="12.5" x14ac:dyDescent="0.25">
      <c r="C785" s="297"/>
    </row>
    <row r="786" spans="3:3" ht="12.5" x14ac:dyDescent="0.25">
      <c r="C786" s="297"/>
    </row>
    <row r="787" spans="3:3" ht="12.5" x14ac:dyDescent="0.25">
      <c r="C787" s="297"/>
    </row>
    <row r="788" spans="3:3" ht="12.5" x14ac:dyDescent="0.25">
      <c r="C788" s="297"/>
    </row>
    <row r="789" spans="3:3" ht="12.5" x14ac:dyDescent="0.25">
      <c r="C789" s="297"/>
    </row>
    <row r="790" spans="3:3" ht="12.5" x14ac:dyDescent="0.25">
      <c r="C790" s="297"/>
    </row>
    <row r="791" spans="3:3" ht="12.5" x14ac:dyDescent="0.25">
      <c r="C791" s="297"/>
    </row>
    <row r="792" spans="3:3" ht="12.5" x14ac:dyDescent="0.25">
      <c r="C792" s="297"/>
    </row>
    <row r="793" spans="3:3" ht="12.5" x14ac:dyDescent="0.25">
      <c r="C793" s="297"/>
    </row>
    <row r="794" spans="3:3" ht="12.5" x14ac:dyDescent="0.25">
      <c r="C794" s="297"/>
    </row>
    <row r="795" spans="3:3" ht="12.5" x14ac:dyDescent="0.25">
      <c r="C795" s="297"/>
    </row>
    <row r="796" spans="3:3" ht="12.5" x14ac:dyDescent="0.25">
      <c r="C796" s="297"/>
    </row>
    <row r="797" spans="3:3" ht="12.5" x14ac:dyDescent="0.25">
      <c r="C797" s="297"/>
    </row>
    <row r="798" spans="3:3" ht="12.5" x14ac:dyDescent="0.25">
      <c r="C798" s="297"/>
    </row>
    <row r="799" spans="3:3" ht="12.5" x14ac:dyDescent="0.25">
      <c r="C799" s="297"/>
    </row>
    <row r="800" spans="3:3" ht="12.5" x14ac:dyDescent="0.25">
      <c r="C800" s="297"/>
    </row>
    <row r="801" spans="3:3" ht="12.5" x14ac:dyDescent="0.25">
      <c r="C801" s="297"/>
    </row>
    <row r="802" spans="3:3" ht="12.5" x14ac:dyDescent="0.25">
      <c r="C802" s="297"/>
    </row>
    <row r="803" spans="3:3" ht="12.5" x14ac:dyDescent="0.25">
      <c r="C803" s="297"/>
    </row>
    <row r="804" spans="3:3" ht="12.5" x14ac:dyDescent="0.25">
      <c r="C804" s="297"/>
    </row>
    <row r="805" spans="3:3" ht="12.5" x14ac:dyDescent="0.25">
      <c r="C805" s="297"/>
    </row>
    <row r="806" spans="3:3" ht="12.5" x14ac:dyDescent="0.25">
      <c r="C806" s="297"/>
    </row>
    <row r="807" spans="3:3" ht="12.5" x14ac:dyDescent="0.25">
      <c r="C807" s="297"/>
    </row>
    <row r="808" spans="3:3" ht="12.5" x14ac:dyDescent="0.25">
      <c r="C808" s="297"/>
    </row>
  </sheetData>
  <mergeCells count="15">
    <mergeCell ref="A41:B41"/>
    <mergeCell ref="A1:F1"/>
    <mergeCell ref="A2:E2"/>
    <mergeCell ref="A4:E4"/>
    <mergeCell ref="A23:B23"/>
    <mergeCell ref="A39:B39"/>
    <mergeCell ref="A288:B288"/>
    <mergeCell ref="A290:B290"/>
    <mergeCell ref="A331:B331"/>
    <mergeCell ref="A86:B86"/>
    <mergeCell ref="A88:B88"/>
    <mergeCell ref="A137:B137"/>
    <mergeCell ref="A245:C245"/>
    <mergeCell ref="A247:B247"/>
    <mergeCell ref="A249:B249"/>
  </mergeCells>
  <conditionalFormatting sqref="A369:A376 B360 A265 X64 X57 B314 A302:A307 B302:B304 A312:A314 B306 B269 A184 A174:B183 A111:B113 A101:B106 A62:B64 A52:B57 A260:A263 A270:A272">
    <cfRule type="expression" dxfId="0" priority="1" stopIfTrue="1">
      <formula>#REF!="NO"</formula>
    </cfRule>
  </conditionalFormatting>
  <pageMargins left="0.39370078740157483" right="0.39370078740157483" top="0.98425196850393704" bottom="0.98425196850393704" header="0.51181102362204722" footer="0.51181102362204722"/>
  <pageSetup paperSize="17" scale="59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PMCN44DTZYCH-1328676621-915</_dlc_DocId>
    <_dlc_DocIdUrl xmlns="f0af1d65-dfd0-4b99-b523-def3a954563f">
      <Url>https://teams.hydroone.com/sites/ra/ra/DxTx23-27/_layouts/DocIdRedir.aspx?ID=PMCN44DTZYCH-1328676621-915</Url>
      <Description>PMCN44DTZYCH-1328676621-915</Description>
    </_dlc_DocIdUrl>
    <Approved xmlns="878c78c9-770a-480c-bd6e-e30127a1e6fe">No</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6EA614-4A04-4FC3-AA3D-A26599901CE2}"/>
</file>

<file path=customXml/itemProps2.xml><?xml version="1.0" encoding="utf-8"?>
<ds:datastoreItem xmlns:ds="http://schemas.openxmlformats.org/officeDocument/2006/customXml" ds:itemID="{4E208160-D231-4C83-9F87-FAE6200B9EFF}"/>
</file>

<file path=customXml/itemProps3.xml><?xml version="1.0" encoding="utf-8"?>
<ds:datastoreItem xmlns:ds="http://schemas.openxmlformats.org/officeDocument/2006/customXml" ds:itemID="{3E3E8E2A-D13A-4BDC-8E66-E81C07EC63DD}"/>
</file>

<file path=customXml/itemProps4.xml><?xml version="1.0" encoding="utf-8"?>
<ds:datastoreItem xmlns:ds="http://schemas.openxmlformats.org/officeDocument/2006/customXml" ds:itemID="{E26EA614-4A04-4FC3-AA3D-A26599901CE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BCC9AC6-C26B-4989-8E8A-381BD0DCBA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I6.1 Revenue</vt:lpstr>
      <vt:lpstr>I6.2 Customer Data</vt:lpstr>
      <vt:lpstr>I8 Demand Data</vt:lpstr>
      <vt:lpstr>O1 Revenue to cost|RR</vt:lpstr>
      <vt:lpstr>O2 Fixed Charge|Floor|Ceiling</vt:lpstr>
      <vt:lpstr>ccar</vt:lpstr>
      <vt:lpstr>'I6.1 Revenue'!Print_Area</vt:lpstr>
      <vt:lpstr>'I6.2 Customer Data'!Print_Area</vt:lpstr>
      <vt:lpstr>'I8 Demand Data'!Print_Area</vt:lpstr>
      <vt:lpstr>'O1 Revenue to cost|RR'!Print_Area</vt:lpstr>
      <vt:lpstr>'O2 Fixed Charge|Floor|Ceiling'!Print_Area</vt:lpstr>
      <vt:lpstr>'O1 Revenue to cost|RR'!Print_Titles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Cost Allocation Model Inputs and Outputs</dc:title>
  <dc:creator>SHETH Nikita</dc:creator>
  <cp:lastModifiedBy>MOLINA Carla</cp:lastModifiedBy>
  <cp:lastPrinted>2021-08-02T15:31:35Z</cp:lastPrinted>
  <dcterms:created xsi:type="dcterms:W3CDTF">2021-07-27T21:19:55Z</dcterms:created>
  <dcterms:modified xsi:type="dcterms:W3CDTF">2021-08-02T15:41:12Z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fc764954-1456-4584-8270-d9fdaed978a8</vt:lpwstr>
  </property>
  <property fmtid="{D5CDD505-2E9C-101B-9397-08002B2CF9AE}" pid="4" name="Torys_OK">
    <vt:lpwstr/>
  </property>
</Properties>
</file>