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.hydroone.com/sites/ra/ra/DxTx23-27/Prefiled Evidence/"/>
    </mc:Choice>
  </mc:AlternateContent>
  <bookViews>
    <workbookView xWindow="0" yWindow="195" windowWidth="22980" windowHeight="9405" tabRatio="828"/>
  </bookViews>
  <sheets>
    <sheet name="R1_2023" sheetId="19" r:id="rId1"/>
    <sheet name="R1_2024" sheetId="24" r:id="rId2"/>
    <sheet name="R2_2023" sheetId="20" r:id="rId3"/>
    <sheet name="R2_2024" sheetId="25" r:id="rId4"/>
  </sheets>
  <calcPr calcId="162913"/>
</workbook>
</file>

<file path=xl/calcChain.xml><?xml version="1.0" encoding="utf-8"?>
<calcChain xmlns="http://schemas.openxmlformats.org/spreadsheetml/2006/main">
  <c r="C31" i="25" l="1"/>
  <c r="C32" i="25"/>
  <c r="C32" i="24"/>
  <c r="C31" i="24"/>
  <c r="C32" i="19" l="1"/>
  <c r="C32" i="20"/>
  <c r="C31" i="19" l="1"/>
  <c r="C31" i="20"/>
  <c r="B32" i="19" l="1"/>
  <c r="D32" i="19" s="1"/>
  <c r="B32" i="20"/>
  <c r="D32" i="20" s="1"/>
  <c r="B31" i="19" l="1"/>
  <c r="D31" i="19" s="1"/>
  <c r="D33" i="19" l="1"/>
  <c r="E32" i="19" s="1"/>
  <c r="B31" i="20"/>
  <c r="D31" i="20" s="1"/>
  <c r="E31" i="19" l="1"/>
  <c r="B45" i="19" s="1"/>
  <c r="D33" i="20"/>
  <c r="E32" i="20" s="1"/>
  <c r="E31" i="20" l="1"/>
  <c r="B45" i="20" s="1"/>
  <c r="B46" i="19"/>
  <c r="B46" i="20" l="1"/>
  <c r="C46" i="20" l="1"/>
  <c r="B41" i="20"/>
  <c r="C41" i="20" s="1"/>
  <c r="D41" i="20" s="1"/>
  <c r="C46" i="19"/>
  <c r="B40" i="19"/>
  <c r="C45" i="19"/>
  <c r="B41" i="19"/>
  <c r="C41" i="19" s="1"/>
  <c r="D41" i="19" s="1"/>
  <c r="C45" i="20" l="1"/>
  <c r="B40" i="20"/>
  <c r="D46" i="20"/>
  <c r="D46" i="19"/>
  <c r="C47" i="19"/>
  <c r="D45" i="19"/>
  <c r="B42" i="20"/>
  <c r="C40" i="20"/>
  <c r="D40" i="20" s="1"/>
  <c r="D42" i="20" s="1"/>
  <c r="D45" i="20"/>
  <c r="C47" i="20"/>
  <c r="C40" i="19"/>
  <c r="D40" i="19" s="1"/>
  <c r="D42" i="19" s="1"/>
  <c r="B42" i="19"/>
  <c r="E45" i="20" l="1"/>
  <c r="B50" i="20"/>
  <c r="B51" i="20"/>
  <c r="B52" i="20" s="1"/>
  <c r="B25" i="25"/>
  <c r="B31" i="25" s="1"/>
  <c r="D31" i="25" s="1"/>
  <c r="E46" i="19"/>
  <c r="B26" i="24"/>
  <c r="B32" i="24" s="1"/>
  <c r="D32" i="24" s="1"/>
  <c r="B25" i="24"/>
  <c r="B31" i="24" s="1"/>
  <c r="D31" i="24" s="1"/>
  <c r="E45" i="19"/>
  <c r="B51" i="19"/>
  <c r="B52" i="19" s="1"/>
  <c r="B50" i="19"/>
  <c r="E46" i="20"/>
  <c r="B26" i="25"/>
  <c r="B32" i="25" s="1"/>
  <c r="D32" i="25" s="1"/>
  <c r="D33" i="25" l="1"/>
  <c r="E31" i="25" s="1"/>
  <c r="B45" i="25" s="1"/>
  <c r="E47" i="19"/>
  <c r="D33" i="24"/>
  <c r="E32" i="24" s="1"/>
  <c r="B41" i="24" s="1"/>
  <c r="C41" i="24" s="1"/>
  <c r="D41" i="24" s="1"/>
  <c r="E47" i="20"/>
  <c r="E32" i="25" l="1"/>
  <c r="B41" i="25" s="1"/>
  <c r="C41" i="25" s="1"/>
  <c r="D41" i="25" s="1"/>
  <c r="E31" i="24"/>
  <c r="B40" i="24" s="1"/>
  <c r="B40" i="25"/>
  <c r="C40" i="25" s="1"/>
  <c r="D40" i="25" s="1"/>
  <c r="D42" i="25" s="1"/>
  <c r="B46" i="25"/>
  <c r="C46" i="25" s="1"/>
  <c r="C45" i="25"/>
  <c r="B42" i="25" l="1"/>
  <c r="B45" i="24"/>
  <c r="B46" i="24" s="1"/>
  <c r="C46" i="24" s="1"/>
  <c r="D46" i="25"/>
  <c r="C40" i="24"/>
  <c r="D40" i="24" s="1"/>
  <c r="D42" i="24" s="1"/>
  <c r="B42" i="24"/>
  <c r="C47" i="25"/>
  <c r="D45" i="25"/>
  <c r="C45" i="24" l="1"/>
  <c r="D45" i="24" s="1"/>
  <c r="D46" i="24"/>
  <c r="C47" i="24"/>
  <c r="B50" i="25"/>
  <c r="B51" i="25"/>
  <c r="B52" i="25" s="1"/>
  <c r="E45" i="25"/>
  <c r="E46" i="25"/>
  <c r="E46" i="24" l="1"/>
  <c r="E47" i="25"/>
  <c r="B51" i="24"/>
  <c r="B52" i="24" s="1"/>
  <c r="E45" i="24"/>
  <c r="B50" i="24"/>
  <c r="E47" i="24" l="1"/>
</calcChain>
</file>

<file path=xl/sharedStrings.xml><?xml version="1.0" encoding="utf-8"?>
<sst xmlns="http://schemas.openxmlformats.org/spreadsheetml/2006/main" count="172" uniqueCount="35">
  <si>
    <t>New Rate Design Policy For Residential Customers</t>
  </si>
  <si>
    <t>Please complete the following tables.</t>
  </si>
  <si>
    <t>Test Year Billing Determinants for Residential Class</t>
  </si>
  <si>
    <t>Customers</t>
  </si>
  <si>
    <t>kWh</t>
  </si>
  <si>
    <r>
      <t>Proposed Residential Class Specific Revenue Requirement</t>
    </r>
    <r>
      <rPr>
        <vertAlign val="superscript"/>
        <sz val="10"/>
        <rFont val="Arial"/>
        <family val="2"/>
      </rPr>
      <t>1</t>
    </r>
  </si>
  <si>
    <t>Residential Base Rates on Current Tariff</t>
  </si>
  <si>
    <t>Monthly Fixed Charge ($)</t>
  </si>
  <si>
    <t>Distribution Volumetric Rate ($/kWh)</t>
  </si>
  <si>
    <t>Base Rates</t>
  </si>
  <si>
    <t>Billing Determinants</t>
  </si>
  <si>
    <t>Revenue</t>
  </si>
  <si>
    <t>% of Total Revenue</t>
  </si>
  <si>
    <t>Fixed</t>
  </si>
  <si>
    <t>Variable</t>
  </si>
  <si>
    <t>TOTAL</t>
  </si>
  <si>
    <t>-</t>
  </si>
  <si>
    <r>
      <t>Number of Remaining Rate Design Policy Transition Years</t>
    </r>
    <r>
      <rPr>
        <vertAlign val="superscript"/>
        <sz val="10"/>
        <rFont val="Arial"/>
        <family val="2"/>
      </rPr>
      <t>2</t>
    </r>
  </si>
  <si>
    <t>Test Year Revenue @ Current F/V Split</t>
  </si>
  <si>
    <t>Test Year Base Rates @ Current F/V Split</t>
  </si>
  <si>
    <t>Reconciliation - Test Year Base Rates @ Current F/V Split</t>
  </si>
  <si>
    <t>New F/V Split</t>
  </si>
  <si>
    <t>Revenue @ new
 F/V Split</t>
  </si>
  <si>
    <t>Final Adjusted 
Base Rates</t>
  </si>
  <si>
    <t>Revenue Reconciliation @ Adjusted Rates</t>
  </si>
  <si>
    <r>
      <t>Checks</t>
    </r>
    <r>
      <rPr>
        <b/>
        <vertAlign val="superscript"/>
        <sz val="10"/>
        <rFont val="Arial"/>
        <family val="2"/>
      </rPr>
      <t>3</t>
    </r>
  </si>
  <si>
    <t>Change in Fixed Rate</t>
  </si>
  <si>
    <t>Difference Between Revenues @ Proposed Rates and Class Specific Revenue Requirement</t>
  </si>
  <si>
    <t>A Data Inputs (from Sheet 10. Load Forecast)</t>
  </si>
  <si>
    <t>B Current Fixed/Variable Split</t>
  </si>
  <si>
    <t>C Calculating Test Year Base Rates</t>
  </si>
  <si>
    <t>Year-Round Medium Density Residential (R1) - Proposed 2023 Distribution Rates</t>
  </si>
  <si>
    <t>Year-Round Medium Density Residential (R1) - Proposed 2024 Distribution Rates</t>
  </si>
  <si>
    <t>Year-Round Low Density Residential (R2) - Proposed 2024 Distribution Rates</t>
  </si>
  <si>
    <t>Year-Round Low Density Residential (R2) - Proposed 2023 Distribution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</si>
</sst>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&quot;$&quot;#,##0.00;[Red]\(&quot;$&quot;#,##0.00\)"/>
    <numFmt numFmtId="168" formatCode="_-&quot;$&quot;* #,##0.0000_-;\-&quot;$&quot;* #,##0.0000_-;_-&quot;$&quot;* &quot;-&quot;????_-;_-@_-"/>
    <numFmt numFmtId="169" formatCode="_(&quot;$&quot;* #,##0.0000_);_(&quot;$&quot;* \(#,##0.0000\);_(&quot;$&quot;* &quot;-&quot;??_);_(@_)"/>
    <numFmt numFmtId="170" formatCode="_-&quot;$&quot;* #,##0.0000_-;\-&quot;$&quot;* #,##0.0000_-;_-&quot;$&quot;* &quot;-&quot;??_-;_-@_-"/>
    <numFmt numFmtId="171" formatCode="_-&quot;$&quot;* #,##0.000_-;\-&quot;$&quot;* #,##0.000_-;_-&quot;$&quot;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lightGrid">
        <fgColor theme="6" tint="0.79982909634693444"/>
        <bgColor auto="1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6" fillId="0" borderId="0" applyFont="0" applyFill="0" applyBorder="0" applyAlignment="0" applyProtection="0"/>
  </cellStyleXfs>
  <cellXfs count="70">
    <xf numFmtId="0" fontId="0" fillId="0" borderId="0" xfId="0"/>
    <xf numFmtId="166" fontId="0" fillId="0" borderId="0" xfId="0" applyNumberFormat="1"/>
    <xf numFmtId="166" fontId="2" fillId="0" borderId="8" xfId="2" applyNumberFormat="1" applyFont="1" applyFill="1" applyBorder="1" applyAlignment="1" applyProtection="1">
      <alignment horizontal="right" vertical="top"/>
    </xf>
    <xf numFmtId="166" fontId="2" fillId="0" borderId="10" xfId="2" applyNumberFormat="1" applyFont="1" applyFill="1" applyBorder="1" applyAlignment="1" applyProtection="1">
      <alignment horizontal="right" vertical="top"/>
    </xf>
    <xf numFmtId="0" fontId="2" fillId="0" borderId="9" xfId="5" applyFont="1" applyBorder="1" applyProtection="1"/>
    <xf numFmtId="164" fontId="2" fillId="2" borderId="8" xfId="5" applyNumberFormat="1" applyFont="1" applyFill="1" applyBorder="1" applyAlignment="1" applyProtection="1">
      <alignment horizontal="right" vertical="top"/>
      <protection locked="0"/>
    </xf>
    <xf numFmtId="168" fontId="2" fillId="2" borderId="10" xfId="5" applyNumberFormat="1" applyFont="1" applyFill="1" applyBorder="1" applyAlignment="1" applyProtection="1">
      <alignment horizontal="right" vertical="top"/>
      <protection locked="0"/>
    </xf>
    <xf numFmtId="0" fontId="3" fillId="0" borderId="16" xfId="5" applyFont="1" applyBorder="1" applyAlignment="1" applyProtection="1">
      <alignment horizontal="center"/>
    </xf>
    <xf numFmtId="166" fontId="1" fillId="0" borderId="4" xfId="2" applyNumberFormat="1" applyFont="1" applyBorder="1" applyProtection="1"/>
    <xf numFmtId="10" fontId="1" fillId="0" borderId="8" xfId="4" applyNumberFormat="1" applyFont="1" applyBorder="1" applyProtection="1"/>
    <xf numFmtId="166" fontId="1" fillId="0" borderId="3" xfId="2" applyNumberFormat="1" applyFont="1" applyBorder="1" applyProtection="1"/>
    <xf numFmtId="166" fontId="2" fillId="0" borderId="20" xfId="2" applyNumberFormat="1" applyFont="1" applyBorder="1" applyAlignment="1" applyProtection="1">
      <alignment horizontal="center"/>
    </xf>
    <xf numFmtId="0" fontId="2" fillId="0" borderId="10" xfId="5" applyFont="1" applyBorder="1" applyAlignment="1" applyProtection="1">
      <alignment horizontal="center"/>
    </xf>
    <xf numFmtId="0" fontId="2" fillId="0" borderId="13" xfId="5" applyBorder="1" applyAlignment="1" applyProtection="1">
      <alignment horizontal="center"/>
    </xf>
    <xf numFmtId="0" fontId="3" fillId="0" borderId="14" xfId="5" applyFont="1" applyBorder="1" applyAlignment="1" applyProtection="1">
      <alignment horizontal="center"/>
    </xf>
    <xf numFmtId="0" fontId="3" fillId="0" borderId="9" xfId="5" applyFont="1" applyBorder="1" applyProtection="1"/>
    <xf numFmtId="0" fontId="2" fillId="0" borderId="19" xfId="5" applyFont="1" applyBorder="1" applyAlignment="1" applyProtection="1">
      <alignment horizontal="center"/>
    </xf>
    <xf numFmtId="0" fontId="3" fillId="0" borderId="17" xfId="5" applyFont="1" applyBorder="1" applyAlignment="1" applyProtection="1">
      <alignment horizontal="center"/>
    </xf>
    <xf numFmtId="0" fontId="3" fillId="0" borderId="0" xfId="5" applyFont="1" applyFill="1" applyBorder="1" applyProtection="1"/>
    <xf numFmtId="0" fontId="2" fillId="2" borderId="12" xfId="5" applyFont="1" applyFill="1" applyBorder="1" applyAlignment="1" applyProtection="1">
      <alignment horizontal="center" vertical="center"/>
      <protection locked="0"/>
    </xf>
    <xf numFmtId="164" fontId="1" fillId="0" borderId="18" xfId="3" applyFont="1" applyBorder="1" applyProtection="1"/>
    <xf numFmtId="0" fontId="3" fillId="0" borderId="14" xfId="5" applyFont="1" applyBorder="1" applyAlignment="1" applyProtection="1">
      <alignment horizontal="center" vertical="center" wrapText="1"/>
    </xf>
    <xf numFmtId="0" fontId="3" fillId="0" borderId="22" xfId="5" applyFont="1" applyBorder="1" applyAlignment="1" applyProtection="1">
      <alignment horizontal="center" wrapText="1"/>
    </xf>
    <xf numFmtId="164" fontId="1" fillId="0" borderId="27" xfId="3" applyFont="1" applyBorder="1" applyProtection="1"/>
    <xf numFmtId="0" fontId="3" fillId="0" borderId="15" xfId="5" applyFont="1" applyBorder="1" applyAlignment="1" applyProtection="1">
      <alignment horizontal="center" vertical="center" wrapText="1"/>
    </xf>
    <xf numFmtId="164" fontId="1" fillId="0" borderId="3" xfId="3" applyFont="1" applyBorder="1" applyProtection="1"/>
    <xf numFmtId="164" fontId="1" fillId="0" borderId="20" xfId="3" applyFont="1" applyBorder="1" applyProtection="1"/>
    <xf numFmtId="0" fontId="3" fillId="0" borderId="15" xfId="5" applyFont="1" applyBorder="1" applyAlignment="1" applyProtection="1">
      <alignment horizontal="center"/>
    </xf>
    <xf numFmtId="164" fontId="1" fillId="0" borderId="21" xfId="3" applyFont="1" applyBorder="1" applyProtection="1"/>
    <xf numFmtId="0" fontId="2" fillId="0" borderId="26" xfId="5" applyBorder="1" applyAlignment="1" applyProtection="1">
      <alignment horizontal="center"/>
    </xf>
    <xf numFmtId="0" fontId="3" fillId="0" borderId="15" xfId="5" applyFont="1" applyBorder="1" applyAlignment="1" applyProtection="1">
      <alignment horizontal="center" wrapText="1"/>
    </xf>
    <xf numFmtId="0" fontId="3" fillId="0" borderId="14" xfId="5" applyFont="1" applyBorder="1" applyAlignment="1" applyProtection="1">
      <alignment horizontal="center" wrapText="1"/>
    </xf>
    <xf numFmtId="0" fontId="3" fillId="0" borderId="17" xfId="5" applyFont="1" applyBorder="1" applyAlignment="1" applyProtection="1">
      <alignment horizontal="center" wrapText="1"/>
    </xf>
    <xf numFmtId="164" fontId="2" fillId="0" borderId="18" xfId="5" applyNumberFormat="1" applyBorder="1" applyProtection="1"/>
    <xf numFmtId="164" fontId="2" fillId="0" borderId="3" xfId="5" applyNumberFormat="1" applyBorder="1" applyProtection="1"/>
    <xf numFmtId="164" fontId="1" fillId="0" borderId="28" xfId="3" applyFont="1" applyBorder="1" applyProtection="1"/>
    <xf numFmtId="164" fontId="1" fillId="0" borderId="10" xfId="3" applyFont="1" applyBorder="1" applyProtection="1"/>
    <xf numFmtId="0" fontId="2" fillId="0" borderId="13" xfId="5" applyFont="1" applyBorder="1" applyProtection="1"/>
    <xf numFmtId="0" fontId="2" fillId="0" borderId="24" xfId="5" applyFont="1" applyBorder="1" applyProtection="1"/>
    <xf numFmtId="0" fontId="2" fillId="0" borderId="25" xfId="5" applyFont="1" applyFill="1" applyBorder="1" applyProtection="1"/>
    <xf numFmtId="10" fontId="1" fillId="0" borderId="18" xfId="4" applyNumberFormat="1" applyFont="1" applyBorder="1" applyProtection="1"/>
    <xf numFmtId="10" fontId="1" fillId="0" borderId="3" xfId="4" applyNumberFormat="1" applyFont="1" applyBorder="1" applyProtection="1"/>
    <xf numFmtId="0" fontId="2" fillId="0" borderId="20" xfId="5" applyBorder="1" applyAlignment="1" applyProtection="1">
      <alignment horizontal="center"/>
    </xf>
    <xf numFmtId="164" fontId="2" fillId="0" borderId="23" xfId="5" applyNumberFormat="1" applyBorder="1" applyProtection="1"/>
    <xf numFmtId="168" fontId="2" fillId="0" borderId="1" xfId="5" applyNumberFormat="1" applyBorder="1" applyProtection="1"/>
    <xf numFmtId="0" fontId="2" fillId="0" borderId="7" xfId="5" applyFont="1" applyBorder="1" applyProtection="1"/>
    <xf numFmtId="164" fontId="1" fillId="0" borderId="8" xfId="3" applyFont="1" applyBorder="1" applyProtection="1"/>
    <xf numFmtId="10" fontId="1" fillId="0" borderId="10" xfId="4" applyNumberFormat="1" applyFont="1" applyBorder="1" applyProtection="1"/>
    <xf numFmtId="167" fontId="1" fillId="0" borderId="28" xfId="3" applyNumberFormat="1" applyFont="1" applyBorder="1" applyProtection="1"/>
    <xf numFmtId="0" fontId="3" fillId="0" borderId="0" xfId="5" applyFont="1" applyProtection="1"/>
    <xf numFmtId="164" fontId="2" fillId="3" borderId="12" xfId="3" applyFont="1" applyFill="1" applyBorder="1" applyAlignment="1" applyProtection="1">
      <alignment horizontal="right" vertical="top"/>
      <protection locked="0"/>
    </xf>
    <xf numFmtId="44" fontId="2" fillId="0" borderId="18" xfId="6" applyFont="1" applyBorder="1" applyProtection="1"/>
    <xf numFmtId="44" fontId="2" fillId="0" borderId="23" xfId="6" applyFont="1" applyBorder="1" applyProtection="1"/>
    <xf numFmtId="169" fontId="2" fillId="0" borderId="18" xfId="6" applyNumberFormat="1" applyFont="1" applyBorder="1" applyProtection="1"/>
    <xf numFmtId="169" fontId="2" fillId="0" borderId="1" xfId="6" applyNumberFormat="1" applyFont="1" applyBorder="1" applyProtection="1"/>
    <xf numFmtId="0" fontId="7" fillId="0" borderId="0" xfId="0" applyFont="1"/>
    <xf numFmtId="0" fontId="3" fillId="0" borderId="17" xfId="5" applyFont="1" applyBorder="1" applyAlignment="1" applyProtection="1">
      <alignment horizontal="center"/>
    </xf>
    <xf numFmtId="0" fontId="1" fillId="2" borderId="12" xfId="5" applyFont="1" applyFill="1" applyBorder="1" applyAlignment="1" applyProtection="1">
      <alignment horizontal="center" vertical="center"/>
      <protection locked="0"/>
    </xf>
    <xf numFmtId="170" fontId="2" fillId="2" borderId="10" xfId="5" applyNumberFormat="1" applyFont="1" applyFill="1" applyBorder="1" applyAlignment="1" applyProtection="1">
      <alignment horizontal="right" vertical="top"/>
      <protection locked="0"/>
    </xf>
    <xf numFmtId="171" fontId="2" fillId="2" borderId="8" xfId="5" applyNumberFormat="1" applyFont="1" applyFill="1" applyBorder="1" applyAlignment="1" applyProtection="1">
      <alignment horizontal="right" vertical="top"/>
      <protection locked="0"/>
    </xf>
    <xf numFmtId="0" fontId="2" fillId="0" borderId="11" xfId="5" applyFont="1" applyFill="1" applyBorder="1" applyAlignment="1" applyProtection="1">
      <alignment vertical="top" wrapText="1"/>
    </xf>
    <xf numFmtId="0" fontId="2" fillId="0" borderId="11" xfId="5" applyFont="1" applyBorder="1" applyAlignment="1" applyProtection="1">
      <alignment vertical="top" wrapText="1"/>
    </xf>
    <xf numFmtId="0" fontId="3" fillId="0" borderId="5" xfId="5" applyFont="1" applyBorder="1" applyAlignment="1" applyProtection="1">
      <alignment horizontal="center"/>
    </xf>
    <xf numFmtId="0" fontId="3" fillId="0" borderId="6" xfId="5" applyFont="1" applyBorder="1" applyAlignment="1" applyProtection="1">
      <alignment horizontal="center"/>
    </xf>
    <xf numFmtId="0" fontId="3" fillId="0" borderId="13" xfId="5" applyFont="1" applyBorder="1" applyAlignment="1" applyProtection="1">
      <alignment horizontal="center"/>
    </xf>
    <xf numFmtId="0" fontId="3" fillId="0" borderId="17" xfId="5" applyFont="1" applyBorder="1" applyAlignment="1" applyProtection="1">
      <alignment horizontal="center"/>
    </xf>
    <xf numFmtId="0" fontId="2" fillId="0" borderId="24" xfId="5" applyFont="1" applyBorder="1" applyAlignment="1" applyProtection="1">
      <alignment wrapText="1"/>
    </xf>
    <xf numFmtId="0" fontId="2" fillId="0" borderId="2" xfId="5" applyFont="1" applyBorder="1" applyAlignment="1" applyProtection="1">
      <alignment wrapText="1"/>
    </xf>
    <xf numFmtId="0" fontId="3" fillId="0" borderId="22" xfId="5" applyFont="1" applyBorder="1" applyAlignment="1" applyProtection="1">
      <alignment horizontal="center" vertical="top" wrapText="1"/>
    </xf>
    <xf numFmtId="0" fontId="3" fillId="0" borderId="17" xfId="5" applyFont="1" applyBorder="1" applyAlignment="1" applyProtection="1">
      <alignment horizontal="center" vertical="top" wrapText="1"/>
    </xf>
  </cellXfs>
  <cellStyles count="7">
    <cellStyle name="Comma 2" xfId="2"/>
    <cellStyle name="Currency" xfId="6" builtinId="4"/>
    <cellStyle name="Currency 2" xfId="3"/>
    <cellStyle name="Normal" xfId="0" builtinId="0"/>
    <cellStyle name="Normal 2" xfId="5"/>
    <cellStyle name="Normal 3" xfId="1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211454</xdr:colOff>
      <xdr:row>0</xdr:row>
      <xdr:rowOff>0</xdr:rowOff>
    </xdr:from>
    <xdr:to>
      <xdr:col>4</xdr:col>
      <xdr:colOff>1263650</xdr:colOff>
      <xdr:row>10</xdr:row>
      <xdr:rowOff>1905</xdr:rowOff>
    </xdr:to>
    <xdr:grpSp>
      <xdr:nvGrpSpPr>
        <xdr:cNvPr id="2" name="Group 1"/>
        <xdr:cNvGrpSpPr/>
      </xdr:nvGrpSpPr>
      <xdr:grpSpPr>
        <a:xfrm>
          <a:off x="211454" y="0"/>
          <a:ext cx="7776846" cy="1906905"/>
          <a:chOff x="0" y="0"/>
          <a:chExt cx="8857420" cy="1915766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>
        <xdr:nvSpPr>
          <xdr:cNvPr id="4" name="Rectangle 3"/>
          <xdr:cNvSpPr/>
        </xdr:nvSpPr>
        <xdr:spPr>
          <a:xfrm>
            <a:off x="109899" y="453911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Revenue Requirement Workform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(RRWF) for 2023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5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178512" y="150375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/>
          <xdr:cNvSpPr/>
        </xdr:nvSpPr>
        <xdr:spPr>
          <a:xfrm>
            <a:off x="519059" y="120121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211454</xdr:colOff>
      <xdr:row>0</xdr:row>
      <xdr:rowOff>0</xdr:rowOff>
    </xdr:from>
    <xdr:to>
      <xdr:col>4</xdr:col>
      <xdr:colOff>1212850</xdr:colOff>
      <xdr:row>10</xdr:row>
      <xdr:rowOff>1905</xdr:rowOff>
    </xdr:to>
    <xdr:grpSp>
      <xdr:nvGrpSpPr>
        <xdr:cNvPr id="2" name="Group 1"/>
        <xdr:cNvGrpSpPr/>
      </xdr:nvGrpSpPr>
      <xdr:grpSpPr>
        <a:xfrm>
          <a:off x="222483" y="0"/>
          <a:ext cx="8162692" cy="1846747"/>
          <a:chOff x="0" y="0"/>
          <a:chExt cx="8857420" cy="1915766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>
        <xdr:nvSpPr>
          <xdr:cNvPr id="4" name="Rectangle 3"/>
          <xdr:cNvSpPr/>
        </xdr:nvSpPr>
        <xdr:spPr>
          <a:xfrm>
            <a:off x="109899" y="453911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Revenue Requirement Workform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(RRWF) for 2023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5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178512" y="150375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/>
          <xdr:cNvSpPr/>
        </xdr:nvSpPr>
        <xdr:spPr>
          <a:xfrm>
            <a:off x="519059" y="120121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211454</xdr:colOff>
      <xdr:row>0</xdr:row>
      <xdr:rowOff>0</xdr:rowOff>
    </xdr:from>
    <xdr:to>
      <xdr:col>4</xdr:col>
      <xdr:colOff>1206500</xdr:colOff>
      <xdr:row>10</xdr:row>
      <xdr:rowOff>1905</xdr:rowOff>
    </xdr:to>
    <xdr:grpSp>
      <xdr:nvGrpSpPr>
        <xdr:cNvPr id="2" name="Group 1"/>
        <xdr:cNvGrpSpPr/>
      </xdr:nvGrpSpPr>
      <xdr:grpSpPr>
        <a:xfrm>
          <a:off x="222483" y="0"/>
          <a:ext cx="8156342" cy="1846747"/>
          <a:chOff x="0" y="0"/>
          <a:chExt cx="8857420" cy="1915766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>
        <xdr:nvSpPr>
          <xdr:cNvPr id="4" name="Rectangle 3"/>
          <xdr:cNvSpPr/>
        </xdr:nvSpPr>
        <xdr:spPr>
          <a:xfrm>
            <a:off x="109899" y="453911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Revenue Requirement Workform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(RRWF) for 2023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5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178512" y="150375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/>
          <xdr:cNvSpPr/>
        </xdr:nvSpPr>
        <xdr:spPr>
          <a:xfrm>
            <a:off x="519059" y="120121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211454</xdr:colOff>
      <xdr:row>0</xdr:row>
      <xdr:rowOff>0</xdr:rowOff>
    </xdr:from>
    <xdr:to>
      <xdr:col>4</xdr:col>
      <xdr:colOff>1244600</xdr:colOff>
      <xdr:row>10</xdr:row>
      <xdr:rowOff>1905</xdr:rowOff>
    </xdr:to>
    <xdr:grpSp>
      <xdr:nvGrpSpPr>
        <xdr:cNvPr id="2" name="Group 1"/>
        <xdr:cNvGrpSpPr/>
      </xdr:nvGrpSpPr>
      <xdr:grpSpPr>
        <a:xfrm>
          <a:off x="222483" y="0"/>
          <a:ext cx="8186421" cy="1846747"/>
          <a:chOff x="0" y="0"/>
          <a:chExt cx="8857420" cy="1915766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>
        <xdr:nvSpPr>
          <xdr:cNvPr id="4" name="Rectangle 3"/>
          <xdr:cNvSpPr/>
        </xdr:nvSpPr>
        <xdr:spPr>
          <a:xfrm>
            <a:off x="109899" y="453911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Revenue Requirement Workform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(RRWF) for 2023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5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178512" y="150375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/>
          <xdr:cNvSpPr/>
        </xdr:nvSpPr>
        <xdr:spPr>
          <a:xfrm>
            <a:off x="519059" y="120121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1:E52"/>
  <sheetViews>
    <sheetView tabSelected="1" topLeftCell="A22" zoomScaleNormal="100" workbookViewId="0">
      <selection activeCell="E44" sqref="E44"/>
    </sheetView>
  </sheetViews>
  <sheetFormatPr defaultRowHeight="15" x14ac:dyDescent="0.25"/>
  <cols>
    <col min="1" max="1" width="45.85546875" customWidth="1"/>
    <col min="2" max="2" width="16.140625" bestFit="1" customWidth="1"/>
    <col min="3" max="3" width="22.42578125" customWidth="1"/>
    <col min="4" max="4" width="16.85546875" customWidth="1"/>
    <col min="5" max="5" width="18.5703125" bestFit="1" customWidth="1"/>
    <col min="6" max="6" width="13.5703125" customWidth="1"/>
    <col min="7" max="7" width="18.42578125" bestFit="1" customWidth="1"/>
  </cols>
  <sheetData>
    <row r="11" spans="1:1" x14ac:dyDescent="0.25">
      <c r="A11" t="s">
        <v>0</v>
      </c>
    </row>
    <row r="12" spans="1:1" x14ac:dyDescent="0.25">
      <c r="A12" t="s">
        <v>1</v>
      </c>
    </row>
    <row r="14" spans="1:1" x14ac:dyDescent="0.25">
      <c r="A14" s="55" t="s">
        <v>31</v>
      </c>
    </row>
    <row r="16" spans="1:1" x14ac:dyDescent="0.25">
      <c r="A16" s="49" t="s">
        <v>28</v>
      </c>
    </row>
    <row r="17" spans="1:5" ht="15.75" thickBot="1" x14ac:dyDescent="0.3"/>
    <row r="18" spans="1:5" x14ac:dyDescent="0.25">
      <c r="A18" s="62" t="s">
        <v>2</v>
      </c>
      <c r="B18" s="63"/>
    </row>
    <row r="19" spans="1:5" x14ac:dyDescent="0.25">
      <c r="A19" s="45" t="s">
        <v>3</v>
      </c>
      <c r="B19" s="2">
        <v>544980.86710812268</v>
      </c>
    </row>
    <row r="20" spans="1:5" ht="15.75" thickBot="1" x14ac:dyDescent="0.3">
      <c r="A20" s="4" t="s">
        <v>4</v>
      </c>
      <c r="B20" s="3">
        <v>5124449212.330574</v>
      </c>
      <c r="D20" s="1"/>
    </row>
    <row r="21" spans="1:5" ht="15.75" thickBot="1" x14ac:dyDescent="0.3"/>
    <row r="22" spans="1:5" ht="30" customHeight="1" thickBot="1" x14ac:dyDescent="0.3">
      <c r="A22" s="61" t="s">
        <v>5</v>
      </c>
      <c r="B22" s="50">
        <v>401066592.00609672</v>
      </c>
    </row>
    <row r="23" spans="1:5" ht="15.75" thickBot="1" x14ac:dyDescent="0.3"/>
    <row r="24" spans="1:5" x14ac:dyDescent="0.25">
      <c r="A24" s="62" t="s">
        <v>6</v>
      </c>
      <c r="B24" s="63"/>
    </row>
    <row r="25" spans="1:5" x14ac:dyDescent="0.25">
      <c r="A25" s="45" t="s">
        <v>7</v>
      </c>
      <c r="B25" s="59">
        <v>55.79</v>
      </c>
    </row>
    <row r="26" spans="1:5" ht="15.75" thickBot="1" x14ac:dyDescent="0.3">
      <c r="A26" s="4" t="s">
        <v>8</v>
      </c>
      <c r="B26" s="58">
        <v>1.0999999999999999E-2</v>
      </c>
    </row>
    <row r="28" spans="1:5" x14ac:dyDescent="0.25">
      <c r="A28" s="49" t="s">
        <v>29</v>
      </c>
    </row>
    <row r="29" spans="1:5" ht="15.75" thickBot="1" x14ac:dyDescent="0.3"/>
    <row r="30" spans="1:5" x14ac:dyDescent="0.25">
      <c r="A30" s="13"/>
      <c r="B30" s="14" t="s">
        <v>9</v>
      </c>
      <c r="C30" s="27" t="s">
        <v>10</v>
      </c>
      <c r="D30" s="7" t="s">
        <v>11</v>
      </c>
      <c r="E30" s="17" t="s">
        <v>12</v>
      </c>
    </row>
    <row r="31" spans="1:5" x14ac:dyDescent="0.25">
      <c r="A31" s="45" t="s">
        <v>13</v>
      </c>
      <c r="B31" s="51">
        <f>IF(B25="","",B25)</f>
        <v>55.79</v>
      </c>
      <c r="C31" s="8">
        <f>IF(B19="","",B19)</f>
        <v>544980.86710812268</v>
      </c>
      <c r="D31" s="20">
        <f>IF(ISERROR(B31*C31*12),"",B31*C31*12)</f>
        <v>364853790.91154599</v>
      </c>
      <c r="E31" s="9">
        <f>IF(ISERROR(D31/D33),"",D31/D33)</f>
        <v>0.86617782702535184</v>
      </c>
    </row>
    <row r="32" spans="1:5" x14ac:dyDescent="0.25">
      <c r="A32" s="45" t="s">
        <v>14</v>
      </c>
      <c r="B32" s="53">
        <f>IF(B26="","",B26)</f>
        <v>1.0999999999999999E-2</v>
      </c>
      <c r="C32" s="10">
        <f>IF(B20="","",B20)</f>
        <v>5124449212.330574</v>
      </c>
      <c r="D32" s="20">
        <f>IF(ISERROR(B32*C32),"",B32*C32)</f>
        <v>56368941.33563631</v>
      </c>
      <c r="E32" s="9">
        <f>IF(ISERROR(D32/D33),"",D32/D33)</f>
        <v>0.1338221729746481</v>
      </c>
    </row>
    <row r="33" spans="1:5" ht="15.75" thickBot="1" x14ac:dyDescent="0.3">
      <c r="A33" s="15" t="s">
        <v>15</v>
      </c>
      <c r="B33" s="16" t="s">
        <v>16</v>
      </c>
      <c r="C33" s="11" t="s">
        <v>16</v>
      </c>
      <c r="D33" s="28">
        <f>IF(ISERROR(D31+D32),"",D31+D32)</f>
        <v>421222732.24718231</v>
      </c>
      <c r="E33" s="12" t="s">
        <v>16</v>
      </c>
    </row>
    <row r="35" spans="1:5" x14ac:dyDescent="0.25">
      <c r="A35" s="18" t="s">
        <v>30</v>
      </c>
    </row>
    <row r="36" spans="1:5" ht="15.75" thickBot="1" x14ac:dyDescent="0.3"/>
    <row r="37" spans="1:5" ht="27.75" thickBot="1" x14ac:dyDescent="0.3">
      <c r="A37" s="60" t="s">
        <v>17</v>
      </c>
      <c r="B37" s="19">
        <v>2</v>
      </c>
    </row>
    <row r="38" spans="1:5" ht="15.75" thickBot="1" x14ac:dyDescent="0.3"/>
    <row r="39" spans="1:5" ht="51" x14ac:dyDescent="0.25">
      <c r="A39" s="37"/>
      <c r="B39" s="24" t="s">
        <v>18</v>
      </c>
      <c r="C39" s="21" t="s">
        <v>19</v>
      </c>
      <c r="D39" s="68" t="s">
        <v>20</v>
      </c>
    </row>
    <row r="40" spans="1:5" x14ac:dyDescent="0.25">
      <c r="A40" s="45" t="s">
        <v>13</v>
      </c>
      <c r="B40" s="20">
        <f>IF(ISERROR(B$22*E31),"",B$22*E31)</f>
        <v>347394989.15630418</v>
      </c>
      <c r="C40" s="52">
        <f>IF(ISERROR(ROUND(B40/B19/12,2)),"",ROUND(B40/B19/12,2))</f>
        <v>53.12</v>
      </c>
      <c r="D40" s="46">
        <f>IF(ISERROR(C40*B19*12),"",C40*B19*12)</f>
        <v>347392603.92940176</v>
      </c>
    </row>
    <row r="41" spans="1:5" x14ac:dyDescent="0.25">
      <c r="A41" s="38" t="s">
        <v>14</v>
      </c>
      <c r="B41" s="25">
        <f>IF(ISERROR(B$22*E32),"",B$22*E32)</f>
        <v>53671602.849792495</v>
      </c>
      <c r="C41" s="54">
        <f>IF(ISERROR(ROUND(B41/B20,4)),"",ROUND(B41/B20,4))</f>
        <v>1.0500000000000001E-2</v>
      </c>
      <c r="D41" s="46">
        <f>IF(ISERROR(C41*B20),"",C41*B20)</f>
        <v>53806716.729471028</v>
      </c>
    </row>
    <row r="42" spans="1:5" ht="15.75" thickBot="1" x14ac:dyDescent="0.3">
      <c r="A42" s="39" t="s">
        <v>15</v>
      </c>
      <c r="B42" s="26">
        <f>IF(ISERROR(B40+B41),"",B40+B41)</f>
        <v>401066592.00609666</v>
      </c>
      <c r="C42" s="29" t="s">
        <v>16</v>
      </c>
      <c r="D42" s="23">
        <f>IF(ISERROR(D40+D41),"",D40+D41)</f>
        <v>401199320.65887278</v>
      </c>
    </row>
    <row r="43" spans="1:5" ht="15.75" thickBot="1" x14ac:dyDescent="0.3"/>
    <row r="44" spans="1:5" ht="38.25" x14ac:dyDescent="0.25">
      <c r="A44" s="37"/>
      <c r="B44" s="27" t="s">
        <v>21</v>
      </c>
      <c r="C44" s="30" t="s">
        <v>22</v>
      </c>
      <c r="D44" s="31" t="s">
        <v>23</v>
      </c>
      <c r="E44" s="69" t="s">
        <v>24</v>
      </c>
    </row>
    <row r="45" spans="1:5" x14ac:dyDescent="0.25">
      <c r="A45" s="45" t="s">
        <v>13</v>
      </c>
      <c r="B45" s="40">
        <f>IF(ISERROR(((1-E31)/B37)+E31),"",((1-E31)/B37)+E31)</f>
        <v>0.93308891351267587</v>
      </c>
      <c r="C45" s="33">
        <f>IF(ISERROR(B45*B$22),"",B45*B$22)</f>
        <v>374230790.58120042</v>
      </c>
      <c r="D45" s="43">
        <f>IF(ISERROR(ROUND(C45/B19/12,2)),"",ROUND(C45/B19/12,2))</f>
        <v>57.22</v>
      </c>
      <c r="E45" s="46">
        <f>IF(ISERROR(D45*12*B19),"",D45*12*B19)</f>
        <v>374205662.59112138</v>
      </c>
    </row>
    <row r="46" spans="1:5" x14ac:dyDescent="0.25">
      <c r="A46" s="38" t="s">
        <v>14</v>
      </c>
      <c r="B46" s="41">
        <f>IF(ISERROR(1-B45),"",1-B45)</f>
        <v>6.6911086487324134E-2</v>
      </c>
      <c r="C46" s="34">
        <f>IF(ISERROR(B46*B$22),"",B46*B$22)</f>
        <v>26835801.424896281</v>
      </c>
      <c r="D46" s="44">
        <f>IF(ISERROR(ROUND(C46/B20,4)),"",ROUND(C46/B20,4))</f>
        <v>5.1999999999999998E-3</v>
      </c>
      <c r="E46" s="35">
        <f>IF(ISERROR(D46*B20),"",D46*B20)</f>
        <v>26647135.904118985</v>
      </c>
    </row>
    <row r="47" spans="1:5" ht="15.75" thickBot="1" x14ac:dyDescent="0.3">
      <c r="A47" s="39" t="s">
        <v>15</v>
      </c>
      <c r="B47" s="42" t="s">
        <v>16</v>
      </c>
      <c r="C47" s="28">
        <f>IF(ISERROR(SUM(C45:C46)),"",SUM(C45:C46))</f>
        <v>401066592.00609672</v>
      </c>
      <c r="D47" s="29" t="s">
        <v>16</v>
      </c>
      <c r="E47" s="36">
        <f>IF(ISERROR(E45+E46),"",E45+E46)</f>
        <v>400852798.49524033</v>
      </c>
    </row>
    <row r="48" spans="1:5" ht="15.75" thickBot="1" x14ac:dyDescent="0.3"/>
    <row r="49" spans="1:2" x14ac:dyDescent="0.25">
      <c r="A49" s="64" t="s">
        <v>25</v>
      </c>
      <c r="B49" s="65"/>
    </row>
    <row r="50" spans="1:2" x14ac:dyDescent="0.25">
      <c r="A50" s="45" t="s">
        <v>26</v>
      </c>
      <c r="B50" s="46">
        <f>IF(ISERROR(D45-C40),"",D45-C40)</f>
        <v>4.1000000000000014</v>
      </c>
    </row>
    <row r="51" spans="1:2" x14ac:dyDescent="0.25">
      <c r="A51" s="66" t="s">
        <v>27</v>
      </c>
      <c r="B51" s="48">
        <f>IF(ISERROR((D45*12*B19)+(D46*B20)-B22),"",(D45*12*B19)+(D46*B20)-B22)</f>
        <v>-213793.51085639</v>
      </c>
    </row>
    <row r="52" spans="1:2" ht="15.75" thickBot="1" x14ac:dyDescent="0.3">
      <c r="A52" s="67"/>
      <c r="B52" s="47">
        <f>IF(ISERROR(B51/B22), "", B51/B22)</f>
        <v>-5.3306237696591806E-4</v>
      </c>
    </row>
  </sheetData>
  <mergeCells count="4">
    <mergeCell ref="A18:B18"/>
    <mergeCell ref="A24:B24"/>
    <mergeCell ref="A49:B49"/>
    <mergeCell ref="A51:A52"/>
  </mergeCells>
  <printOptions horizontalCentered="1"/>
  <pageMargins left="0.7" right="0.7" top="0.75" bottom="0.75" header="0.3" footer="0.3"/>
  <pageSetup scale="76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E52"/>
  <sheetViews>
    <sheetView zoomScaleNormal="100" workbookViewId="0">
      <selection activeCell="B22" sqref="B22"/>
    </sheetView>
  </sheetViews>
  <sheetFormatPr defaultRowHeight="15" x14ac:dyDescent="0.25"/>
  <cols>
    <col min="1" max="1" width="45.85546875" customWidth="1"/>
    <col min="2" max="2" width="16.140625" bestFit="1" customWidth="1"/>
    <col min="3" max="3" width="22.42578125" customWidth="1"/>
    <col min="4" max="4" width="16.85546875" customWidth="1"/>
    <col min="5" max="5" width="18.5703125" bestFit="1" customWidth="1"/>
    <col min="6" max="6" width="13.5703125" customWidth="1"/>
    <col min="7" max="7" width="18.42578125" bestFit="1" customWidth="1"/>
  </cols>
  <sheetData>
    <row r="11" spans="1:1" x14ac:dyDescent="0.25">
      <c r="A11" t="s">
        <v>0</v>
      </c>
    </row>
    <row r="12" spans="1:1" x14ac:dyDescent="0.25">
      <c r="A12" t="s">
        <v>1</v>
      </c>
    </row>
    <row r="14" spans="1:1" x14ac:dyDescent="0.25">
      <c r="A14" s="55" t="s">
        <v>32</v>
      </c>
    </row>
    <row r="16" spans="1:1" x14ac:dyDescent="0.25">
      <c r="A16" s="49" t="s">
        <v>28</v>
      </c>
    </row>
    <row r="17" spans="1:5" ht="15.75" thickBot="1" x14ac:dyDescent="0.3"/>
    <row r="18" spans="1:5" x14ac:dyDescent="0.25">
      <c r="A18" s="62" t="s">
        <v>2</v>
      </c>
      <c r="B18" s="63"/>
    </row>
    <row r="19" spans="1:5" x14ac:dyDescent="0.25">
      <c r="A19" s="45" t="s">
        <v>3</v>
      </c>
      <c r="B19" s="2">
        <v>549782.95946049714</v>
      </c>
    </row>
    <row r="20" spans="1:5" ht="15.75" thickBot="1" x14ac:dyDescent="0.3">
      <c r="A20" s="4" t="s">
        <v>4</v>
      </c>
      <c r="B20" s="3">
        <v>5167160046.2756405</v>
      </c>
      <c r="D20" s="1"/>
    </row>
    <row r="21" spans="1:5" ht="15.75" thickBot="1" x14ac:dyDescent="0.3"/>
    <row r="22" spans="1:5" ht="30" customHeight="1" thickBot="1" x14ac:dyDescent="0.3">
      <c r="A22" s="61" t="s">
        <v>5</v>
      </c>
      <c r="B22" s="50">
        <v>422576336.95366436</v>
      </c>
    </row>
    <row r="23" spans="1:5" ht="15.75" thickBot="1" x14ac:dyDescent="0.3"/>
    <row r="24" spans="1:5" x14ac:dyDescent="0.25">
      <c r="A24" s="62" t="s">
        <v>6</v>
      </c>
      <c r="B24" s="63"/>
    </row>
    <row r="25" spans="1:5" x14ac:dyDescent="0.25">
      <c r="A25" s="45" t="s">
        <v>7</v>
      </c>
      <c r="B25" s="5">
        <f>'R1_2023'!D45</f>
        <v>57.22</v>
      </c>
    </row>
    <row r="26" spans="1:5" ht="15.75" thickBot="1" x14ac:dyDescent="0.3">
      <c r="A26" s="4" t="s">
        <v>8</v>
      </c>
      <c r="B26" s="6">
        <f>'R1_2023'!D46</f>
        <v>5.1999999999999998E-3</v>
      </c>
    </row>
    <row r="28" spans="1:5" x14ac:dyDescent="0.25">
      <c r="A28" s="49" t="s">
        <v>29</v>
      </c>
    </row>
    <row r="29" spans="1:5" ht="15.75" thickBot="1" x14ac:dyDescent="0.3"/>
    <row r="30" spans="1:5" x14ac:dyDescent="0.25">
      <c r="A30" s="13"/>
      <c r="B30" s="14" t="s">
        <v>9</v>
      </c>
      <c r="C30" s="27" t="s">
        <v>10</v>
      </c>
      <c r="D30" s="7" t="s">
        <v>11</v>
      </c>
      <c r="E30" s="56" t="s">
        <v>12</v>
      </c>
    </row>
    <row r="31" spans="1:5" x14ac:dyDescent="0.25">
      <c r="A31" s="45" t="s">
        <v>13</v>
      </c>
      <c r="B31" s="51">
        <f>IF(B25="","",B25)</f>
        <v>57.22</v>
      </c>
      <c r="C31" s="8">
        <f>IF(B19="","",B19)</f>
        <v>549782.95946049714</v>
      </c>
      <c r="D31" s="20">
        <f>IF(ISERROR(B31*C31*12),"",B31*C31*12)</f>
        <v>377502971.28395575</v>
      </c>
      <c r="E31" s="9">
        <f>IF(ISERROR(D31/D33),"",D31/D33)</f>
        <v>0.93355321655040657</v>
      </c>
    </row>
    <row r="32" spans="1:5" x14ac:dyDescent="0.25">
      <c r="A32" s="45" t="s">
        <v>14</v>
      </c>
      <c r="B32" s="53">
        <f>IF(B26="","",B26)</f>
        <v>5.1999999999999998E-3</v>
      </c>
      <c r="C32" s="10">
        <f>IF(B20="","",B20)</f>
        <v>5167160046.2756405</v>
      </c>
      <c r="D32" s="20">
        <f>IF(ISERROR(B32*C32),"",B32*C32)</f>
        <v>26869232.240633328</v>
      </c>
      <c r="E32" s="9">
        <f>IF(ISERROR(D32/D33),"",D32/D33)</f>
        <v>6.6446783449593524E-2</v>
      </c>
    </row>
    <row r="33" spans="1:5" ht="15.75" thickBot="1" x14ac:dyDescent="0.3">
      <c r="A33" s="15" t="s">
        <v>15</v>
      </c>
      <c r="B33" s="16" t="s">
        <v>16</v>
      </c>
      <c r="C33" s="11" t="s">
        <v>16</v>
      </c>
      <c r="D33" s="28">
        <f>IF(ISERROR(D31+D32),"",D31+D32)</f>
        <v>404372203.52458906</v>
      </c>
      <c r="E33" s="12" t="s">
        <v>16</v>
      </c>
    </row>
    <row r="35" spans="1:5" x14ac:dyDescent="0.25">
      <c r="A35" s="18" t="s">
        <v>30</v>
      </c>
    </row>
    <row r="36" spans="1:5" ht="15.75" thickBot="1" x14ac:dyDescent="0.3"/>
    <row r="37" spans="1:5" ht="27.75" thickBot="1" x14ac:dyDescent="0.3">
      <c r="A37" s="60" t="s">
        <v>17</v>
      </c>
      <c r="B37" s="19">
        <v>1</v>
      </c>
    </row>
    <row r="38" spans="1:5" ht="15.75" thickBot="1" x14ac:dyDescent="0.3"/>
    <row r="39" spans="1:5" ht="51.75" x14ac:dyDescent="0.25">
      <c r="A39" s="37"/>
      <c r="B39" s="24" t="s">
        <v>18</v>
      </c>
      <c r="C39" s="21" t="s">
        <v>19</v>
      </c>
      <c r="D39" s="22" t="s">
        <v>20</v>
      </c>
    </row>
    <row r="40" spans="1:5" x14ac:dyDescent="0.25">
      <c r="A40" s="45" t="s">
        <v>13</v>
      </c>
      <c r="B40" s="20">
        <f>IF(ISERROR(B$22*E31),"",B$22*E31)</f>
        <v>394497498.60118181</v>
      </c>
      <c r="C40" s="52">
        <f>IF(ISERROR(ROUND(B40/B19/12,2)),"",ROUND(B40/B19/12,2))</f>
        <v>59.8</v>
      </c>
      <c r="D40" s="46">
        <f>IF(ISERROR(C40*B19*12),"",C40*B19*12)</f>
        <v>394524251.70885277</v>
      </c>
    </row>
    <row r="41" spans="1:5" x14ac:dyDescent="0.25">
      <c r="A41" s="38" t="s">
        <v>14</v>
      </c>
      <c r="B41" s="25">
        <f>IF(ISERROR(B$22*E32),"",B$22*E32)</f>
        <v>28078838.352482602</v>
      </c>
      <c r="C41" s="54">
        <f>IF(ISERROR(ROUND(B41/B20,4)),"",ROUND(B41/B20,4))</f>
        <v>5.4000000000000003E-3</v>
      </c>
      <c r="D41" s="46">
        <f>IF(ISERROR(C41*B20),"",C41*B20)</f>
        <v>27902664.249888461</v>
      </c>
    </row>
    <row r="42" spans="1:5" ht="15.75" thickBot="1" x14ac:dyDescent="0.3">
      <c r="A42" s="39" t="s">
        <v>15</v>
      </c>
      <c r="B42" s="26">
        <f>IF(ISERROR(B40+B41),"",B40+B41)</f>
        <v>422576336.95366442</v>
      </c>
      <c r="C42" s="29" t="s">
        <v>16</v>
      </c>
      <c r="D42" s="23">
        <f>IF(ISERROR(D40+D41),"",D40+D41)</f>
        <v>422426915.95874125</v>
      </c>
    </row>
    <row r="43" spans="1:5" ht="15.75" thickBot="1" x14ac:dyDescent="0.3"/>
    <row r="44" spans="1:5" ht="39" x14ac:dyDescent="0.25">
      <c r="A44" s="37"/>
      <c r="B44" s="27" t="s">
        <v>21</v>
      </c>
      <c r="C44" s="30" t="s">
        <v>22</v>
      </c>
      <c r="D44" s="31" t="s">
        <v>23</v>
      </c>
      <c r="E44" s="32" t="s">
        <v>24</v>
      </c>
    </row>
    <row r="45" spans="1:5" x14ac:dyDescent="0.25">
      <c r="A45" s="45" t="s">
        <v>13</v>
      </c>
      <c r="B45" s="40">
        <f>IF(ISERROR(((1-E31)/B37)+E31),"",((1-E31)/B37)+E31)</f>
        <v>1</v>
      </c>
      <c r="C45" s="33">
        <f>IF(ISERROR(B45*B$22),"",B45*B$22)</f>
        <v>422576336.95366436</v>
      </c>
      <c r="D45" s="43">
        <f>IF(ISERROR(ROUND(C45/B19/12,2)),"",ROUND(C45/B19/12,2))</f>
        <v>64.05</v>
      </c>
      <c r="E45" s="46">
        <f>IF(ISERROR(D45*12*B19),"",D45*12*B19)</f>
        <v>422563182.64133805</v>
      </c>
    </row>
    <row r="46" spans="1:5" x14ac:dyDescent="0.25">
      <c r="A46" s="38" t="s">
        <v>14</v>
      </c>
      <c r="B46" s="41">
        <f>IF(ISERROR(1-B45),"",1-B45)</f>
        <v>0</v>
      </c>
      <c r="C46" s="34">
        <f>IF(ISERROR(B46*B$22),"",B46*B$22)</f>
        <v>0</v>
      </c>
      <c r="D46" s="44">
        <f>IF(ISERROR(ROUND(C46/B20,4)),"",ROUND(C46/B20,4))</f>
        <v>0</v>
      </c>
      <c r="E46" s="35">
        <f>IF(ISERROR(D46*B20),"",D46*B20)</f>
        <v>0</v>
      </c>
    </row>
    <row r="47" spans="1:5" ht="15.75" thickBot="1" x14ac:dyDescent="0.3">
      <c r="A47" s="39" t="s">
        <v>15</v>
      </c>
      <c r="B47" s="42" t="s">
        <v>16</v>
      </c>
      <c r="C47" s="28">
        <f>IF(ISERROR(SUM(C45:C46)),"",SUM(C45:C46))</f>
        <v>422576336.95366436</v>
      </c>
      <c r="D47" s="29" t="s">
        <v>16</v>
      </c>
      <c r="E47" s="36">
        <f>IF(ISERROR(E45+E46),"",E45+E46)</f>
        <v>422563182.64133805</v>
      </c>
    </row>
    <row r="48" spans="1:5" ht="15.75" thickBot="1" x14ac:dyDescent="0.3"/>
    <row r="49" spans="1:2" x14ac:dyDescent="0.25">
      <c r="A49" s="64" t="s">
        <v>25</v>
      </c>
      <c r="B49" s="65"/>
    </row>
    <row r="50" spans="1:2" x14ac:dyDescent="0.25">
      <c r="A50" s="45" t="s">
        <v>26</v>
      </c>
      <c r="B50" s="46">
        <f>IF(ISERROR(D45-C40),"",D45-C40)</f>
        <v>4.25</v>
      </c>
    </row>
    <row r="51" spans="1:2" x14ac:dyDescent="0.25">
      <c r="A51" s="66" t="s">
        <v>27</v>
      </c>
      <c r="B51" s="48">
        <f>IF(ISERROR((D45*12*B19)+(D46*B20)-B22),"",(D45*12*B19)+(D46*B20)-B22)</f>
        <v>-13154.312326312065</v>
      </c>
    </row>
    <row r="52" spans="1:2" ht="15.75" thickBot="1" x14ac:dyDescent="0.3">
      <c r="A52" s="67"/>
      <c r="B52" s="47">
        <f>IF(ISERROR(B51/B22), "", B51/B22)</f>
        <v>-3.1128842710741843E-5</v>
      </c>
    </row>
  </sheetData>
  <mergeCells count="4">
    <mergeCell ref="A18:B18"/>
    <mergeCell ref="A24:B24"/>
    <mergeCell ref="A49:B49"/>
    <mergeCell ref="A51:A52"/>
  </mergeCells>
  <pageMargins left="0.7" right="0.7" top="0.75" bottom="0.75" header="0.3" footer="0.3"/>
  <pageSetup scale="7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1:E52"/>
  <sheetViews>
    <sheetView topLeftCell="A4" zoomScaleNormal="100" workbookViewId="0">
      <selection activeCell="A22" sqref="A22"/>
    </sheetView>
  </sheetViews>
  <sheetFormatPr defaultRowHeight="15" x14ac:dyDescent="0.25"/>
  <cols>
    <col min="1" max="1" width="45.85546875" customWidth="1"/>
    <col min="2" max="2" width="16.140625" bestFit="1" customWidth="1"/>
    <col min="3" max="3" width="22.42578125" customWidth="1"/>
    <col min="4" max="4" width="16.85546875" customWidth="1"/>
    <col min="5" max="5" width="18.5703125" bestFit="1" customWidth="1"/>
    <col min="6" max="6" width="13.5703125" customWidth="1"/>
    <col min="7" max="7" width="18.42578125" bestFit="1" customWidth="1"/>
  </cols>
  <sheetData>
    <row r="11" spans="1:1" x14ac:dyDescent="0.25">
      <c r="A11" t="s">
        <v>0</v>
      </c>
    </row>
    <row r="12" spans="1:1" x14ac:dyDescent="0.25">
      <c r="A12" t="s">
        <v>1</v>
      </c>
    </row>
    <row r="14" spans="1:1" x14ac:dyDescent="0.25">
      <c r="A14" s="55" t="s">
        <v>34</v>
      </c>
    </row>
    <row r="16" spans="1:1" x14ac:dyDescent="0.25">
      <c r="A16" s="49" t="s">
        <v>28</v>
      </c>
    </row>
    <row r="17" spans="1:5" ht="15.75" thickBot="1" x14ac:dyDescent="0.3"/>
    <row r="18" spans="1:5" x14ac:dyDescent="0.25">
      <c r="A18" s="62" t="s">
        <v>2</v>
      </c>
      <c r="B18" s="63"/>
    </row>
    <row r="19" spans="1:5" x14ac:dyDescent="0.25">
      <c r="A19" s="45" t="s">
        <v>3</v>
      </c>
      <c r="B19" s="2">
        <v>414576.7882517837</v>
      </c>
    </row>
    <row r="20" spans="1:5" ht="15.75" thickBot="1" x14ac:dyDescent="0.3">
      <c r="A20" s="4" t="s">
        <v>4</v>
      </c>
      <c r="B20" s="3">
        <v>4867286070.8326902</v>
      </c>
      <c r="D20" s="1"/>
    </row>
    <row r="21" spans="1:5" ht="15.75" thickBot="1" x14ac:dyDescent="0.3"/>
    <row r="22" spans="1:5" ht="30" customHeight="1" thickBot="1" x14ac:dyDescent="0.3">
      <c r="A22" s="61" t="s">
        <v>5</v>
      </c>
      <c r="B22" s="50">
        <v>619355364.43162119</v>
      </c>
    </row>
    <row r="23" spans="1:5" ht="15.75" thickBot="1" x14ac:dyDescent="0.3"/>
    <row r="24" spans="1:5" x14ac:dyDescent="0.25">
      <c r="A24" s="62" t="s">
        <v>6</v>
      </c>
      <c r="B24" s="63"/>
    </row>
    <row r="25" spans="1:5" x14ac:dyDescent="0.25">
      <c r="A25" s="45" t="s">
        <v>7</v>
      </c>
      <c r="B25" s="5">
        <v>114.12</v>
      </c>
    </row>
    <row r="26" spans="1:5" ht="15.75" thickBot="1" x14ac:dyDescent="0.3">
      <c r="A26" s="4" t="s">
        <v>8</v>
      </c>
      <c r="B26" s="6">
        <v>1.7000000000000001E-2</v>
      </c>
    </row>
    <row r="28" spans="1:5" x14ac:dyDescent="0.25">
      <c r="A28" s="49" t="s">
        <v>29</v>
      </c>
    </row>
    <row r="29" spans="1:5" ht="15.75" thickBot="1" x14ac:dyDescent="0.3"/>
    <row r="30" spans="1:5" x14ac:dyDescent="0.25">
      <c r="A30" s="13"/>
      <c r="B30" s="14" t="s">
        <v>9</v>
      </c>
      <c r="C30" s="27" t="s">
        <v>10</v>
      </c>
      <c r="D30" s="7" t="s">
        <v>11</v>
      </c>
      <c r="E30" s="17" t="s">
        <v>12</v>
      </c>
    </row>
    <row r="31" spans="1:5" x14ac:dyDescent="0.25">
      <c r="A31" s="45" t="s">
        <v>13</v>
      </c>
      <c r="B31" s="51">
        <f>IF(B25="","",B25)</f>
        <v>114.12</v>
      </c>
      <c r="C31" s="8">
        <f>IF(B19="","",B19)</f>
        <v>414576.7882517837</v>
      </c>
      <c r="D31" s="20">
        <f>IF(ISERROR(B31*C31*12),"",B31*C31*12)</f>
        <v>567738036.90352273</v>
      </c>
      <c r="E31" s="9">
        <f>IF(ISERROR(D31/D33),"",D31/D33)</f>
        <v>0.87279605598486509</v>
      </c>
    </row>
    <row r="32" spans="1:5" x14ac:dyDescent="0.25">
      <c r="A32" s="45" t="s">
        <v>14</v>
      </c>
      <c r="B32" s="53">
        <f>IF(B26="","",B26)</f>
        <v>1.7000000000000001E-2</v>
      </c>
      <c r="C32" s="10">
        <f>IF(B20="","",B20)</f>
        <v>4867286070.8326902</v>
      </c>
      <c r="D32" s="20">
        <f>IF(ISERROR(B32*C32),"",B32*C32)</f>
        <v>82743863.204155743</v>
      </c>
      <c r="E32" s="9">
        <f>IF(ISERROR(D32/D33),"",D32/D33)</f>
        <v>0.12720394401513496</v>
      </c>
    </row>
    <row r="33" spans="1:5" ht="15.75" thickBot="1" x14ac:dyDescent="0.3">
      <c r="A33" s="15" t="s">
        <v>15</v>
      </c>
      <c r="B33" s="16" t="s">
        <v>16</v>
      </c>
      <c r="C33" s="11" t="s">
        <v>16</v>
      </c>
      <c r="D33" s="28">
        <f>IF(ISERROR(D31+D32),"",D31+D32)</f>
        <v>650481900.10767841</v>
      </c>
      <c r="E33" s="12" t="s">
        <v>16</v>
      </c>
    </row>
    <row r="35" spans="1:5" x14ac:dyDescent="0.25">
      <c r="A35" s="18" t="s">
        <v>30</v>
      </c>
    </row>
    <row r="36" spans="1:5" ht="15.75" thickBot="1" x14ac:dyDescent="0.3"/>
    <row r="37" spans="1:5" ht="27.75" thickBot="1" x14ac:dyDescent="0.3">
      <c r="A37" s="60" t="s">
        <v>17</v>
      </c>
      <c r="B37" s="19">
        <v>2</v>
      </c>
    </row>
    <row r="38" spans="1:5" ht="15.75" thickBot="1" x14ac:dyDescent="0.3"/>
    <row r="39" spans="1:5" ht="51.75" x14ac:dyDescent="0.25">
      <c r="A39" s="37"/>
      <c r="B39" s="24" t="s">
        <v>18</v>
      </c>
      <c r="C39" s="21" t="s">
        <v>19</v>
      </c>
      <c r="D39" s="22" t="s">
        <v>20</v>
      </c>
    </row>
    <row r="40" spans="1:5" x14ac:dyDescent="0.25">
      <c r="A40" s="45" t="s">
        <v>13</v>
      </c>
      <c r="B40" s="20">
        <f>IF(ISERROR(B$22*E31),"",B$22*E31)</f>
        <v>540570919.32898772</v>
      </c>
      <c r="C40" s="52">
        <f>IF(ISERROR(ROUND(B40/B19/12,2)),"",ROUND(B40/B19/12,2))</f>
        <v>108.66</v>
      </c>
      <c r="D40" s="46">
        <f>IF(ISERROR(C40*B19*12),"",C40*B19*12)</f>
        <v>540574965.73726583</v>
      </c>
    </row>
    <row r="41" spans="1:5" x14ac:dyDescent="0.25">
      <c r="A41" s="38" t="s">
        <v>14</v>
      </c>
      <c r="B41" s="25">
        <f>IF(ISERROR(B$22*E32),"",B$22*E32)</f>
        <v>78784445.102633461</v>
      </c>
      <c r="C41" s="54">
        <f>IF(ISERROR(ROUND(B41/B20,4)),"",ROUND(B41/B20,4))</f>
        <v>1.6199999999999999E-2</v>
      </c>
      <c r="D41" s="46">
        <f>IF(ISERROR(C41*B20),"",C41*B20)</f>
        <v>78850034.347489581</v>
      </c>
    </row>
    <row r="42" spans="1:5" ht="15.75" thickBot="1" x14ac:dyDescent="0.3">
      <c r="A42" s="39" t="s">
        <v>15</v>
      </c>
      <c r="B42" s="26">
        <f>IF(ISERROR(B40+B41),"",B40+B41)</f>
        <v>619355364.43162119</v>
      </c>
      <c r="C42" s="29" t="s">
        <v>16</v>
      </c>
      <c r="D42" s="23">
        <f>IF(ISERROR(D40+D41),"",D40+D41)</f>
        <v>619425000.08475542</v>
      </c>
    </row>
    <row r="43" spans="1:5" ht="15.75" thickBot="1" x14ac:dyDescent="0.3"/>
    <row r="44" spans="1:5" ht="39" x14ac:dyDescent="0.25">
      <c r="A44" s="37"/>
      <c r="B44" s="27" t="s">
        <v>21</v>
      </c>
      <c r="C44" s="30" t="s">
        <v>22</v>
      </c>
      <c r="D44" s="31" t="s">
        <v>23</v>
      </c>
      <c r="E44" s="32" t="s">
        <v>24</v>
      </c>
    </row>
    <row r="45" spans="1:5" x14ac:dyDescent="0.25">
      <c r="A45" s="45" t="s">
        <v>13</v>
      </c>
      <c r="B45" s="40">
        <f>IF(ISERROR(((1-E31)/B37)+E31),"",((1-E31)/B37)+E31)</f>
        <v>0.93639802799243255</v>
      </c>
      <c r="C45" s="33">
        <f>IF(ISERROR(B45*B$22),"",B45*B$22)</f>
        <v>579963141.88030446</v>
      </c>
      <c r="D45" s="43">
        <f>IF(ISERROR(ROUND(C45/B19/12,2)),"",ROUND(C45/B19/12,2))</f>
        <v>116.58</v>
      </c>
      <c r="E45" s="46">
        <f>IF(ISERROR(D45*12*B19),"",D45*12*B19)</f>
        <v>579976343.69271529</v>
      </c>
    </row>
    <row r="46" spans="1:5" x14ac:dyDescent="0.25">
      <c r="A46" s="38" t="s">
        <v>14</v>
      </c>
      <c r="B46" s="41">
        <f>IF(ISERROR(1-B45),"",1-B45)</f>
        <v>6.3601972007567453E-2</v>
      </c>
      <c r="C46" s="34">
        <f>IF(ISERROR(B46*B$22),"",B46*B$22)</f>
        <v>39392222.551316708</v>
      </c>
      <c r="D46" s="44">
        <f>IF(ISERROR(ROUND(C46/B20,4)),"",ROUND(C46/B20,4))</f>
        <v>8.0999999999999996E-3</v>
      </c>
      <c r="E46" s="35">
        <f>IF(ISERROR(D46*B20),"",D46*B20)</f>
        <v>39425017.17374479</v>
      </c>
    </row>
    <row r="47" spans="1:5" ht="15.75" thickBot="1" x14ac:dyDescent="0.3">
      <c r="A47" s="39" t="s">
        <v>15</v>
      </c>
      <c r="B47" s="42" t="s">
        <v>16</v>
      </c>
      <c r="C47" s="28">
        <f>IF(ISERROR(SUM(C45:C46)),"",SUM(C45:C46))</f>
        <v>619355364.43162119</v>
      </c>
      <c r="D47" s="29" t="s">
        <v>16</v>
      </c>
      <c r="E47" s="36">
        <f>IF(ISERROR(E45+E46),"",E45+E46)</f>
        <v>619401360.86646008</v>
      </c>
    </row>
    <row r="48" spans="1:5" ht="15.75" thickBot="1" x14ac:dyDescent="0.3"/>
    <row r="49" spans="1:2" x14ac:dyDescent="0.25">
      <c r="A49" s="64" t="s">
        <v>25</v>
      </c>
      <c r="B49" s="65"/>
    </row>
    <row r="50" spans="1:2" x14ac:dyDescent="0.25">
      <c r="A50" s="45" t="s">
        <v>26</v>
      </c>
      <c r="B50" s="46">
        <f>IF(ISERROR(D45-C40),"",D45-C40)</f>
        <v>7.9200000000000017</v>
      </c>
    </row>
    <row r="51" spans="1:2" x14ac:dyDescent="0.25">
      <c r="A51" s="66" t="s">
        <v>27</v>
      </c>
      <c r="B51" s="48">
        <f>IF(ISERROR((D45*12*B19)+(D46*B20)-B22),"",(D45*12*B19)+(D46*B20)-B22)</f>
        <v>45996.434838891029</v>
      </c>
    </row>
    <row r="52" spans="1:2" ht="15.75" thickBot="1" x14ac:dyDescent="0.3">
      <c r="A52" s="67"/>
      <c r="B52" s="47">
        <f>IF(ISERROR(B51/B22), "", B51/B22)</f>
        <v>7.4265014045856676E-5</v>
      </c>
    </row>
  </sheetData>
  <mergeCells count="4">
    <mergeCell ref="A18:B18"/>
    <mergeCell ref="A24:B24"/>
    <mergeCell ref="A49:B49"/>
    <mergeCell ref="A51:A52"/>
  </mergeCells>
  <printOptions horizontalCentered="1"/>
  <pageMargins left="0.7" right="0.7" top="0.75" bottom="0.75" header="0.3" footer="0.3"/>
  <pageSetup scale="7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E52"/>
  <sheetViews>
    <sheetView topLeftCell="A13" zoomScaleNormal="100" workbookViewId="0">
      <selection activeCell="B22" sqref="B22"/>
    </sheetView>
  </sheetViews>
  <sheetFormatPr defaultRowHeight="15" x14ac:dyDescent="0.25"/>
  <cols>
    <col min="1" max="1" width="45.85546875" customWidth="1"/>
    <col min="2" max="2" width="16.140625" bestFit="1" customWidth="1"/>
    <col min="3" max="3" width="22.42578125" customWidth="1"/>
    <col min="4" max="4" width="16.85546875" customWidth="1"/>
    <col min="5" max="5" width="18.5703125" bestFit="1" customWidth="1"/>
    <col min="6" max="6" width="13.5703125" customWidth="1"/>
    <col min="7" max="7" width="18.42578125" bestFit="1" customWidth="1"/>
  </cols>
  <sheetData>
    <row r="11" spans="1:1" x14ac:dyDescent="0.25">
      <c r="A11" t="s">
        <v>0</v>
      </c>
    </row>
    <row r="12" spans="1:1" x14ac:dyDescent="0.25">
      <c r="A12" t="s">
        <v>1</v>
      </c>
    </row>
    <row r="14" spans="1:1" x14ac:dyDescent="0.25">
      <c r="A14" s="55" t="s">
        <v>33</v>
      </c>
    </row>
    <row r="16" spans="1:1" x14ac:dyDescent="0.25">
      <c r="A16" s="49" t="s">
        <v>28</v>
      </c>
    </row>
    <row r="17" spans="1:5" ht="15.75" thickBot="1" x14ac:dyDescent="0.3"/>
    <row r="18" spans="1:5" x14ac:dyDescent="0.25">
      <c r="A18" s="62" t="s">
        <v>2</v>
      </c>
      <c r="B18" s="63"/>
    </row>
    <row r="19" spans="1:5" x14ac:dyDescent="0.25">
      <c r="A19" s="45" t="s">
        <v>3</v>
      </c>
      <c r="B19" s="2">
        <v>416658.39959658915</v>
      </c>
    </row>
    <row r="20" spans="1:5" ht="15.75" thickBot="1" x14ac:dyDescent="0.3">
      <c r="A20" s="4" t="s">
        <v>4</v>
      </c>
      <c r="B20" s="3">
        <v>4866831850.8054085</v>
      </c>
      <c r="D20" s="1"/>
    </row>
    <row r="21" spans="1:5" ht="15.75" thickBot="1" x14ac:dyDescent="0.3"/>
    <row r="22" spans="1:5" ht="30" customHeight="1" thickBot="1" x14ac:dyDescent="0.3">
      <c r="A22" s="61" t="s">
        <v>5</v>
      </c>
      <c r="B22" s="50">
        <v>649985021.51797116</v>
      </c>
    </row>
    <row r="23" spans="1:5" ht="15.75" thickBot="1" x14ac:dyDescent="0.3"/>
    <row r="24" spans="1:5" x14ac:dyDescent="0.25">
      <c r="A24" s="62" t="s">
        <v>6</v>
      </c>
      <c r="B24" s="63"/>
    </row>
    <row r="25" spans="1:5" x14ac:dyDescent="0.25">
      <c r="A25" s="45" t="s">
        <v>7</v>
      </c>
      <c r="B25" s="5">
        <f>'R2_2023'!D45</f>
        <v>116.58</v>
      </c>
    </row>
    <row r="26" spans="1:5" ht="15.75" thickBot="1" x14ac:dyDescent="0.3">
      <c r="A26" s="4" t="s">
        <v>8</v>
      </c>
      <c r="B26" s="6">
        <f>'R2_2023'!D46</f>
        <v>8.0999999999999996E-3</v>
      </c>
    </row>
    <row r="28" spans="1:5" x14ac:dyDescent="0.25">
      <c r="A28" s="49" t="s">
        <v>29</v>
      </c>
    </row>
    <row r="29" spans="1:5" ht="15.75" thickBot="1" x14ac:dyDescent="0.3"/>
    <row r="30" spans="1:5" x14ac:dyDescent="0.25">
      <c r="A30" s="13"/>
      <c r="B30" s="14" t="s">
        <v>9</v>
      </c>
      <c r="C30" s="27" t="s">
        <v>10</v>
      </c>
      <c r="D30" s="7" t="s">
        <v>11</v>
      </c>
      <c r="E30" s="56" t="s">
        <v>12</v>
      </c>
    </row>
    <row r="31" spans="1:5" x14ac:dyDescent="0.25">
      <c r="A31" s="45" t="s">
        <v>13</v>
      </c>
      <c r="B31" s="51">
        <f>IF(B25="","",B25)</f>
        <v>116.58</v>
      </c>
      <c r="C31" s="8">
        <f>IF(B19="","",B19)</f>
        <v>416658.39959658915</v>
      </c>
      <c r="D31" s="20">
        <f>IF(ISERROR(B31*C31*12),"",B31*C31*12)</f>
        <v>582888434.69964433</v>
      </c>
      <c r="E31" s="9">
        <f>IF(ISERROR(D31/D33),"",D31/D33)</f>
        <v>0.93665319151096249</v>
      </c>
    </row>
    <row r="32" spans="1:5" x14ac:dyDescent="0.25">
      <c r="A32" s="45" t="s">
        <v>14</v>
      </c>
      <c r="B32" s="53">
        <f>IF(B26="","",B26)</f>
        <v>8.0999999999999996E-3</v>
      </c>
      <c r="C32" s="10">
        <f>IF(B20="","",B20)</f>
        <v>4866831850.8054085</v>
      </c>
      <c r="D32" s="20">
        <f>IF(ISERROR(B32*C32),"",B32*C32)</f>
        <v>39421337.99152381</v>
      </c>
      <c r="E32" s="9">
        <f>IF(ISERROR(D32/D33),"",D32/D33)</f>
        <v>6.3346808489037371E-2</v>
      </c>
    </row>
    <row r="33" spans="1:5" ht="15.75" thickBot="1" x14ac:dyDescent="0.3">
      <c r="A33" s="15" t="s">
        <v>15</v>
      </c>
      <c r="B33" s="16" t="s">
        <v>16</v>
      </c>
      <c r="C33" s="11" t="s">
        <v>16</v>
      </c>
      <c r="D33" s="28">
        <f>IF(ISERROR(D31+D32),"",D31+D32)</f>
        <v>622309772.69116819</v>
      </c>
      <c r="E33" s="12" t="s">
        <v>16</v>
      </c>
    </row>
    <row r="35" spans="1:5" x14ac:dyDescent="0.25">
      <c r="A35" s="18" t="s">
        <v>30</v>
      </c>
    </row>
    <row r="36" spans="1:5" ht="15.75" thickBot="1" x14ac:dyDescent="0.3"/>
    <row r="37" spans="1:5" ht="27.75" thickBot="1" x14ac:dyDescent="0.3">
      <c r="A37" s="60" t="s">
        <v>17</v>
      </c>
      <c r="B37" s="57">
        <v>1</v>
      </c>
    </row>
    <row r="38" spans="1:5" ht="15.75" thickBot="1" x14ac:dyDescent="0.3"/>
    <row r="39" spans="1:5" ht="51.75" x14ac:dyDescent="0.25">
      <c r="A39" s="37"/>
      <c r="B39" s="24" t="s">
        <v>18</v>
      </c>
      <c r="C39" s="21" t="s">
        <v>19</v>
      </c>
      <c r="D39" s="22" t="s">
        <v>20</v>
      </c>
    </row>
    <row r="40" spans="1:5" x14ac:dyDescent="0.25">
      <c r="A40" s="45" t="s">
        <v>13</v>
      </c>
      <c r="B40" s="20">
        <f>IF(ISERROR(B$22*E31),"",B$22*E31)</f>
        <v>608810544.83912933</v>
      </c>
      <c r="C40" s="52">
        <f>IF(ISERROR(ROUND(B40/B19/12,2)),"",ROUND(B40/B19/12,2))</f>
        <v>121.76</v>
      </c>
      <c r="D40" s="46">
        <f>IF(ISERROR(C40*B19*12),"",C40*B19*12)</f>
        <v>608787920.81856847</v>
      </c>
    </row>
    <row r="41" spans="1:5" x14ac:dyDescent="0.25">
      <c r="A41" s="38" t="s">
        <v>14</v>
      </c>
      <c r="B41" s="25">
        <f>IF(ISERROR(B$22*E32),"",B$22*E32)</f>
        <v>41174476.678841755</v>
      </c>
      <c r="C41" s="54">
        <f>IF(ISERROR(ROUND(B41/B20,4)),"",ROUND(B41/B20,4))</f>
        <v>8.5000000000000006E-3</v>
      </c>
      <c r="D41" s="46">
        <f>IF(ISERROR(C41*B20),"",C41*B20)</f>
        <v>41368070.731845975</v>
      </c>
    </row>
    <row r="42" spans="1:5" ht="15.75" thickBot="1" x14ac:dyDescent="0.3">
      <c r="A42" s="39" t="s">
        <v>15</v>
      </c>
      <c r="B42" s="26">
        <f>IF(ISERROR(B40+B41),"",B40+B41)</f>
        <v>649985021.51797104</v>
      </c>
      <c r="C42" s="29" t="s">
        <v>16</v>
      </c>
      <c r="D42" s="23">
        <f>IF(ISERROR(D40+D41),"",D40+D41)</f>
        <v>650155991.55041444</v>
      </c>
    </row>
    <row r="43" spans="1:5" ht="15.75" thickBot="1" x14ac:dyDescent="0.3"/>
    <row r="44" spans="1:5" ht="39" x14ac:dyDescent="0.25">
      <c r="A44" s="37"/>
      <c r="B44" s="27" t="s">
        <v>21</v>
      </c>
      <c r="C44" s="30" t="s">
        <v>22</v>
      </c>
      <c r="D44" s="31" t="s">
        <v>23</v>
      </c>
      <c r="E44" s="32" t="s">
        <v>24</v>
      </c>
    </row>
    <row r="45" spans="1:5" x14ac:dyDescent="0.25">
      <c r="A45" s="45" t="s">
        <v>13</v>
      </c>
      <c r="B45" s="40">
        <f>IF(ISERROR(((1-E31)/B37)+E31),"",((1-E31)/B37)+E31)</f>
        <v>1</v>
      </c>
      <c r="C45" s="33">
        <f>IF(ISERROR(B45*B$22),"",B45*B$22)</f>
        <v>649985021.51797116</v>
      </c>
      <c r="D45" s="43">
        <f>IF(ISERROR(ROUND(C45/B19/12,2)),"",ROUND(C45/B19/12,2))</f>
        <v>130</v>
      </c>
      <c r="E45" s="46">
        <f>IF(ISERROR(D45*12*B19),"",D45*12*B19)</f>
        <v>649987103.37067902</v>
      </c>
    </row>
    <row r="46" spans="1:5" x14ac:dyDescent="0.25">
      <c r="A46" s="38" t="s">
        <v>14</v>
      </c>
      <c r="B46" s="41">
        <f>IF(ISERROR(1-B45),"",1-B45)</f>
        <v>0</v>
      </c>
      <c r="C46" s="34">
        <f>IF(ISERROR(B46*B$22),"",B46*B$22)</f>
        <v>0</v>
      </c>
      <c r="D46" s="44">
        <f>IF(ISERROR(ROUND(C46/B20,4)),"",ROUND(C46/B20,4))</f>
        <v>0</v>
      </c>
      <c r="E46" s="35">
        <f>IF(ISERROR(D46*B20),"",D46*B20)</f>
        <v>0</v>
      </c>
    </row>
    <row r="47" spans="1:5" ht="15.75" thickBot="1" x14ac:dyDescent="0.3">
      <c r="A47" s="39" t="s">
        <v>15</v>
      </c>
      <c r="B47" s="42" t="s">
        <v>16</v>
      </c>
      <c r="C47" s="28">
        <f>IF(ISERROR(SUM(C45:C46)),"",SUM(C45:C46))</f>
        <v>649985021.51797116</v>
      </c>
      <c r="D47" s="29" t="s">
        <v>16</v>
      </c>
      <c r="E47" s="36">
        <f>IF(ISERROR(E45+E46),"",E45+E46)</f>
        <v>649987103.37067902</v>
      </c>
    </row>
    <row r="48" spans="1:5" ht="15.75" thickBot="1" x14ac:dyDescent="0.3"/>
    <row r="49" spans="1:2" x14ac:dyDescent="0.25">
      <c r="A49" s="64" t="s">
        <v>25</v>
      </c>
      <c r="B49" s="65"/>
    </row>
    <row r="50" spans="1:2" x14ac:dyDescent="0.25">
      <c r="A50" s="45" t="s">
        <v>26</v>
      </c>
      <c r="B50" s="46">
        <f>IF(ISERROR(D45-C40),"",D45-C40)</f>
        <v>8.2399999999999949</v>
      </c>
    </row>
    <row r="51" spans="1:2" x14ac:dyDescent="0.25">
      <c r="A51" s="66" t="s">
        <v>27</v>
      </c>
      <c r="B51" s="48">
        <f>IF(ISERROR((D45*12*B19)+(D46*B20)-B22),"",(D45*12*B19)+(D46*B20)-B22)</f>
        <v>2081.852707862854</v>
      </c>
    </row>
    <row r="52" spans="1:2" ht="15.75" thickBot="1" x14ac:dyDescent="0.3">
      <c r="A52" s="67"/>
      <c r="B52" s="47">
        <f>IF(ISERROR(B51/B22), "", B51/B22)</f>
        <v>3.2029241273912858E-6</v>
      </c>
    </row>
  </sheetData>
  <mergeCells count="4">
    <mergeCell ref="A18:B18"/>
    <mergeCell ref="A24:B24"/>
    <mergeCell ref="A49:B49"/>
    <mergeCell ref="A51:A52"/>
  </mergeCells>
  <printOptions horizontalCentered="1"/>
  <pageMargins left="0.7" right="0.7" top="0.75" bottom="0.75" header="0.3" footer="0.3"/>
  <pageSetup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66B9355B235D47B3019B2A3C293B15" ma:contentTypeVersion="6" ma:contentTypeDescription="Create a new document." ma:contentTypeScope="" ma:versionID="b20db7d2113b5a6363de73aca5f1413e">
  <xsd:schema xmlns:xsd="http://www.w3.org/2001/XMLSchema" xmlns:xs="http://www.w3.org/2001/XMLSchema" xmlns:p="http://schemas.microsoft.com/office/2006/metadata/properties" xmlns:ns2="f0af1d65-dfd0-4b99-b523-def3a954563f" xmlns:ns3="878c78c9-770a-480c-bd6e-e30127a1e6fe" targetNamespace="http://schemas.microsoft.com/office/2006/metadata/properties" ma:root="true" ma:fieldsID="664b9434337b3dd4a2715cd666c8dd2b" ns2:_="" ns3:_="">
    <xsd:import namespace="f0af1d65-dfd0-4b99-b523-def3a954563f"/>
    <xsd:import namespace="878c78c9-770a-480c-bd6e-e30127a1e6fe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  <xsd:element ref="ns2:_dlc_DocId" minOccurs="0"/>
                <xsd:element ref="ns2:_dlc_DocIdUrl" minOccurs="0"/>
                <xsd:element ref="ns2:_dlc_DocIdPersistId" minOccurs="0"/>
                <xsd:element ref="ns3:Appro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8c78c9-770a-480c-bd6e-e30127a1e6fe" elementFormDefault="qualified">
    <xsd:import namespace="http://schemas.microsoft.com/office/2006/documentManagement/types"/>
    <xsd:import namespace="http://schemas.microsoft.com/office/infopath/2007/PartnerControls"/>
    <xsd:element name="Approved" ma:index="12" nillable="true" ma:displayName="Approved" ma:default="No" ma:format="RadioButtons" ma:internalName="Approved">
      <xsd:simpleType>
        <xsd:restriction base="dms:Choice">
          <xsd:enumeration value="Yes"/>
          <xsd:enumeration value="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</Hydro_x0020_One_x0020_Data_x0020_Classification>
    <_dlc_DocId xmlns="f0af1d65-dfd0-4b99-b523-def3a954563f">PMCN44DTZYCH-1328676621-963</_dlc_DocId>
    <_dlc_DocIdUrl xmlns="f0af1d65-dfd0-4b99-b523-def3a954563f">
      <Url>https://teams.hydroone.com/sites/ra/ra/DxTx23-27/_layouts/DocIdRedir.aspx?ID=PMCN44DTZYCH-1328676621-963</Url>
      <Description>PMCN44DTZYCH-1328676621-963</Description>
    </_dlc_DocIdUrl>
    <Approved xmlns="878c78c9-770a-480c-bd6e-e30127a1e6fe">No</Approved>
  </documentManagement>
</p:properties>
</file>

<file path=customXml/itemProps1.xml><?xml version="1.0" encoding="utf-8"?>
<ds:datastoreItem xmlns:ds="http://schemas.openxmlformats.org/officeDocument/2006/customXml" ds:itemID="{7AD56D2F-BF1E-45CF-A188-B93AB26B3A0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505FBFD-3A9A-4EE1-BE58-6EA5222999ED}"/>
</file>

<file path=customXml/itemProps3.xml><?xml version="1.0" encoding="utf-8"?>
<ds:datastoreItem xmlns:ds="http://schemas.openxmlformats.org/officeDocument/2006/customXml" ds:itemID="{7AD56D2F-BF1E-45CF-A188-B93AB26B3A05}"/>
</file>

<file path=customXml/itemProps4.xml><?xml version="1.0" encoding="utf-8"?>
<ds:datastoreItem xmlns:ds="http://schemas.openxmlformats.org/officeDocument/2006/customXml" ds:itemID="{C621D470-6A02-4FB4-91DB-C6881DEF2A75}"/>
</file>

<file path=customXml/itemProps5.xml><?xml version="1.0" encoding="utf-8"?>
<ds:datastoreItem xmlns:ds="http://schemas.openxmlformats.org/officeDocument/2006/customXml" ds:itemID="{104984F2-71C9-4BF5-9D2D-BB52F7EDFA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R1_2023</vt:lpstr>
      <vt:lpstr>R1_2024</vt:lpstr>
      <vt:lpstr>R2_2023</vt:lpstr>
      <vt:lpstr>R2_2024</vt:lpstr>
    </vt:vector>
  </TitlesOfParts>
  <Company>Hydro 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2023-2024 RRWF Move to All-Fixed Residential Distribution Rates</dc:title>
  <dc:creator>KIM Susan</dc:creator>
  <cp:lastModifiedBy>AUBIN Danielle</cp:lastModifiedBy>
  <cp:lastPrinted>2021-08-05T12:44:50Z</cp:lastPrinted>
  <dcterms:created xsi:type="dcterms:W3CDTF">2018-01-22T16:44:20Z</dcterms:created>
  <dcterms:modified xsi:type="dcterms:W3CDTF">2021-08-05T12:55:14Z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0x0101001C66B9355B235D47B3019B2A3C293B15</vt:lpwstr>
  </property>
  <property fmtid="{D5CDD505-2E9C-101B-9397-08002B2CF9AE}" pid="3" name="Interrogatory Number">
    <vt:r8>245</vt:r8>
  </property>
  <property fmtid="{D5CDD505-2E9C-101B-9397-08002B2CF9AE}" pid="4" name="CLOReview">
    <vt:bool>false</vt:bool>
  </property>
  <property fmtid="{D5CDD505-2E9C-101B-9397-08002B2CF9AE}" pid="5" name="Actors">
    <vt:lpwstr>64;#ANDRE Henry</vt:lpwstr>
  </property>
  <property fmtid="{D5CDD505-2E9C-101B-9397-08002B2CF9AE}" pid="6" name="Intervenor Acronym">
    <vt:lpwstr>Staff</vt:lpwstr>
  </property>
  <property fmtid="{D5CDD505-2E9C-101B-9397-08002B2CF9AE}" pid="7" name="Dir_1">
    <vt:bool>true</vt:bool>
  </property>
  <property fmtid="{D5CDD505-2E9C-101B-9397-08002B2CF9AE}" pid="8" name="Issue Additional">
    <vt:bool>false</vt:bool>
  </property>
  <property fmtid="{D5CDD505-2E9C-101B-9397-08002B2CF9AE}" pid="9" name="Intervenor Name">
    <vt:lpwstr>OEB Staff</vt:lpwstr>
  </property>
  <property fmtid="{D5CDD505-2E9C-101B-9397-08002B2CF9AE}" pid="10" name="Document_Type">
    <vt:lpwstr>Interrogatory Response</vt:lpwstr>
  </property>
  <property fmtid="{D5CDD505-2E9C-101B-9397-08002B2CF9AE}" pid="11" name="Exhibit_Ref_Additional">
    <vt:bool>false</vt:bool>
  </property>
  <property fmtid="{D5CDD505-2E9C-101B-9397-08002B2CF9AE}" pid="12" name="RA_Contact">
    <vt:lpwstr>Stephen Vetsis</vt:lpwstr>
  </property>
  <property fmtid="{D5CDD505-2E9C-101B-9397-08002B2CF9AE}" pid="13" name="Author(s)">
    <vt:lpwstr>513;#CORP\188691</vt:lpwstr>
  </property>
  <property fmtid="{D5CDD505-2E9C-101B-9397-08002B2CF9AE}" pid="14" name="Case_Number">
    <vt:lpwstr>EB-2017-0049</vt:lpwstr>
  </property>
  <property fmtid="{D5CDD505-2E9C-101B-9397-08002B2CF9AE}" pid="15" name="RA_Final">
    <vt:bool>true</vt:bool>
  </property>
  <property fmtid="{D5CDD505-2E9C-101B-9397-08002B2CF9AE}" pid="16" name="IR_Tab">
    <vt:lpwstr>49</vt:lpwstr>
  </property>
  <property fmtid="{D5CDD505-2E9C-101B-9397-08002B2CF9AE}" pid="17" name="2017_Update_Req">
    <vt:bool>false</vt:bool>
  </property>
  <property fmtid="{D5CDD505-2E9C-101B-9397-08002B2CF9AE}" pid="18" name="_dlc_DocIdItemGuid">
    <vt:lpwstr>ba20102a-5bcd-4154-888b-13e715b9041c</vt:lpwstr>
  </property>
  <property fmtid="{D5CDD505-2E9C-101B-9397-08002B2CF9AE}" pid="19" name="Torys_OK">
    <vt:lpwstr/>
  </property>
</Properties>
</file>