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50" yWindow="320" windowWidth="9480" windowHeight="11020" firstSheet="6" activeTab="10"/>
  </bookViews>
  <sheets>
    <sheet name="CDM Worksheet--simple ex." sheetId="26" state="hidden" r:id="rId1"/>
    <sheet name="Summary" sheetId="11" r:id="rId2"/>
    <sheet name="Embedded Distributor Forecast" sheetId="30" r:id="rId3"/>
    <sheet name="Rate Class Energy Model" sheetId="9" r:id="rId4"/>
    <sheet name="Rate Class Customer Model" sheetId="17" r:id="rId5"/>
    <sheet name="Rate Class Load Model" sheetId="18" r:id="rId6"/>
    <sheet name="HDD&amp;CDD" sheetId="24" r:id="rId7"/>
    <sheet name="WMP Forecast" sheetId="31" r:id="rId8"/>
    <sheet name="CDM Results - update" sheetId="51" r:id="rId9"/>
    <sheet name="Negative Impact Var" sheetId="28" r:id="rId10"/>
    <sheet name="Purch. Power Model " sheetId="47" r:id="rId11"/>
  </sheets>
  <externalReferences>
    <externalReference r:id="rId12"/>
    <externalReference r:id="rId13"/>
    <externalReference r:id="rId14"/>
    <externalReference r:id="rId15"/>
    <externalReference r:id="rId16"/>
    <externalReference r:id="rId17"/>
    <externalReference r:id="rId18"/>
  </externalReferences>
  <definedNames>
    <definedName name="_xlnm._FilterDatabase" localSheetId="10" hidden="1">'Purch. Power Model '!$B$34:$Q$190</definedName>
    <definedName name="_Order1" hidden="1">255</definedName>
    <definedName name="_Sort" hidden="1">[2]Sheet1!$G$40:$K$40</definedName>
    <definedName name="CAfile">[3]Refs!$B$2</definedName>
    <definedName name="CArevReq">[3]Refs!$B$6</definedName>
    <definedName name="ClassRange1">[3]Refs!$B$3</definedName>
    <definedName name="ClassRange2">[3]Refs!$B$4</definedName>
    <definedName name="FolderPath">[3]Menu!$C$8</definedName>
    <definedName name="GDP_Used">#REF!</definedName>
    <definedName name="NewRevReq">[3]Refs!$B$8</definedName>
    <definedName name="PAGE11" localSheetId="8">#REF!</definedName>
    <definedName name="PAGE11">#REF!</definedName>
    <definedName name="PAGE2">[1]Sheet1!$A$1:$I$40</definedName>
    <definedName name="PAGE3" localSheetId="8">#REF!</definedName>
    <definedName name="PAGE3">#REF!</definedName>
    <definedName name="PAGE4" localSheetId="8">#REF!</definedName>
    <definedName name="PAGE4">#REF!</definedName>
    <definedName name="PAGE7" localSheetId="8">#REF!</definedName>
    <definedName name="PAGE7">#REF!</definedName>
    <definedName name="PAGE9" localSheetId="8">#REF!</definedName>
    <definedName name="PAGE9">#REF!</definedName>
    <definedName name="RevReqLookupKey">[3]Refs!$B$5</definedName>
    <definedName name="RevReqRange">[3]Refs!$B$7</definedName>
    <definedName name="solver_eng" localSheetId="10" hidden="1">1</definedName>
    <definedName name="solver_neg" localSheetId="10" hidden="1">1</definedName>
    <definedName name="solver_num" localSheetId="10" hidden="1">0</definedName>
    <definedName name="solver_opt" localSheetId="10" hidden="1">'Purch. Power Model '!$E$34</definedName>
    <definedName name="solver_typ" localSheetId="10" hidden="1">1</definedName>
    <definedName name="solver_val" localSheetId="10" hidden="1">0</definedName>
    <definedName name="solver_ver" localSheetId="10" hidden="1">3</definedName>
    <definedName name="Total_for_half_Yr">'Negative Impact Var'!$T$14</definedName>
  </definedNames>
  <calcPr calcId="145621"/>
  <pivotCaches>
    <pivotCache cacheId="8" r:id="rId19"/>
    <pivotCache cacheId="19" r:id="rId20"/>
  </pivotCaches>
</workbook>
</file>

<file path=xl/calcChain.xml><?xml version="1.0" encoding="utf-8"?>
<calcChain xmlns="http://schemas.openxmlformats.org/spreadsheetml/2006/main">
  <c r="O33" i="47" l="1"/>
  <c r="O156" i="47"/>
  <c r="O157" i="47" s="1"/>
  <c r="O155" i="47"/>
  <c r="P35" i="47"/>
  <c r="O158" i="47" l="1"/>
  <c r="O159" i="47" l="1"/>
  <c r="K39" i="51"/>
  <c r="L39" i="51"/>
  <c r="M39" i="51"/>
  <c r="N39" i="51"/>
  <c r="O39" i="51"/>
  <c r="P39" i="51"/>
  <c r="Q39" i="51"/>
  <c r="R39" i="51"/>
  <c r="S39" i="51"/>
  <c r="T39" i="51"/>
  <c r="K41" i="51"/>
  <c r="L41" i="51"/>
  <c r="M41" i="51"/>
  <c r="N41" i="51"/>
  <c r="O41" i="51"/>
  <c r="P41" i="51"/>
  <c r="P45" i="51" s="1"/>
  <c r="Q41" i="51"/>
  <c r="Q45" i="51" s="1"/>
  <c r="R41" i="51"/>
  <c r="S41" i="51"/>
  <c r="T41" i="51"/>
  <c r="K43" i="51"/>
  <c r="K45" i="51" s="1"/>
  <c r="L43" i="51"/>
  <c r="M43" i="51"/>
  <c r="M45" i="51" s="1"/>
  <c r="N43" i="51"/>
  <c r="N45" i="51" s="1"/>
  <c r="O43" i="51"/>
  <c r="P43" i="51"/>
  <c r="Q43" i="51"/>
  <c r="R43" i="51"/>
  <c r="S43" i="51"/>
  <c r="S45" i="51" s="1"/>
  <c r="T43" i="51"/>
  <c r="L45" i="51"/>
  <c r="R45" i="51"/>
  <c r="T45" i="51"/>
  <c r="O160" i="47" l="1"/>
  <c r="O45" i="51"/>
  <c r="O161" i="47" l="1"/>
  <c r="O162" i="47" l="1"/>
  <c r="O163" i="47" l="1"/>
  <c r="O164" i="47" l="1"/>
  <c r="O165" i="47" l="1"/>
  <c r="O166" i="47" l="1"/>
  <c r="O167" i="47" l="1"/>
  <c r="O168" i="47" l="1"/>
  <c r="O169" i="47" l="1"/>
  <c r="O170" i="47" l="1"/>
  <c r="O171" i="47" l="1"/>
  <c r="O172" i="47" l="1"/>
  <c r="O173" i="47" l="1"/>
  <c r="O174" i="47" l="1"/>
  <c r="O175" i="47" l="1"/>
  <c r="O176" i="47" l="1"/>
  <c r="O177" i="47" l="1"/>
  <c r="O178" i="47" l="1"/>
  <c r="O179" i="47" l="1"/>
  <c r="O180" i="47" l="1"/>
  <c r="O181" i="47" l="1"/>
  <c r="O182" i="47" l="1"/>
  <c r="O183" i="47" l="1"/>
  <c r="O184" i="47" l="1"/>
  <c r="O185" i="47" l="1"/>
  <c r="O186" i="47" l="1"/>
  <c r="O187" i="47" l="1"/>
  <c r="O188" i="47" l="1"/>
  <c r="O189" i="47" l="1"/>
  <c r="O190" i="47" l="1"/>
  <c r="K72" i="11" l="1"/>
  <c r="J72" i="11"/>
  <c r="I72" i="11"/>
  <c r="H72" i="11"/>
  <c r="G72" i="11"/>
  <c r="F72" i="11"/>
  <c r="E72" i="11"/>
  <c r="D72" i="11"/>
  <c r="C72" i="11"/>
  <c r="B72" i="11"/>
  <c r="B16" i="18"/>
  <c r="AD42" i="24" l="1"/>
  <c r="AC42" i="24"/>
  <c r="AB42" i="24"/>
  <c r="AA42" i="24"/>
  <c r="Z42" i="24"/>
  <c r="Y42" i="24"/>
  <c r="X42" i="24"/>
  <c r="W42" i="24"/>
  <c r="V42" i="24"/>
  <c r="U42" i="24"/>
  <c r="T42" i="24"/>
  <c r="S42" i="24"/>
  <c r="R42" i="24"/>
  <c r="Q42" i="24"/>
  <c r="AF42" i="24"/>
  <c r="AF44" i="24"/>
  <c r="AF22" i="24"/>
  <c r="AD44" i="24"/>
  <c r="AC44" i="24"/>
  <c r="AB44" i="24"/>
  <c r="AA44" i="24"/>
  <c r="Z44" i="24"/>
  <c r="Y44" i="24"/>
  <c r="X44" i="24"/>
  <c r="W44" i="24"/>
  <c r="V44" i="24"/>
  <c r="U44" i="24"/>
  <c r="T44" i="24"/>
  <c r="S44" i="24"/>
  <c r="R44" i="24"/>
  <c r="Q44" i="24"/>
  <c r="AB22" i="24"/>
  <c r="AJ42" i="24"/>
  <c r="AI42" i="24"/>
  <c r="AJ22" i="24"/>
  <c r="AI22" i="24"/>
  <c r="AJ43" i="24"/>
  <c r="AI43" i="24"/>
  <c r="AJ41" i="24"/>
  <c r="AI41" i="24"/>
  <c r="AJ21" i="24"/>
  <c r="AI21" i="24"/>
  <c r="R22" i="24"/>
  <c r="S22" i="24"/>
  <c r="T22" i="24"/>
  <c r="U22" i="24"/>
  <c r="V22" i="24"/>
  <c r="W22" i="24"/>
  <c r="X22" i="24"/>
  <c r="Y22" i="24"/>
  <c r="Z22" i="24"/>
  <c r="AA22" i="24"/>
  <c r="AC22" i="24"/>
  <c r="AD22" i="24"/>
  <c r="Q22" i="24"/>
  <c r="AG43" i="24"/>
  <c r="AF43" i="24"/>
  <c r="AG21" i="24"/>
  <c r="AF21" i="24"/>
  <c r="AG41" i="24"/>
  <c r="AF41" i="24"/>
  <c r="Q43" i="24"/>
  <c r="R43" i="24"/>
  <c r="S43" i="24"/>
  <c r="T43" i="24"/>
  <c r="U43" i="24"/>
  <c r="V43" i="24"/>
  <c r="W43" i="24"/>
  <c r="X43" i="24"/>
  <c r="Y43" i="24"/>
  <c r="Z43" i="24"/>
  <c r="AA43" i="24"/>
  <c r="AB43" i="24"/>
  <c r="AC43" i="24"/>
  <c r="AD43" i="24"/>
  <c r="P43" i="24"/>
  <c r="C36" i="47" l="1"/>
  <c r="C37" i="47"/>
  <c r="C38" i="47"/>
  <c r="C39" i="47"/>
  <c r="C40" i="47"/>
  <c r="C41" i="47"/>
  <c r="C42" i="47"/>
  <c r="C43" i="47"/>
  <c r="C44" i="47"/>
  <c r="C45" i="47"/>
  <c r="C46" i="47"/>
  <c r="C47" i="47"/>
  <c r="C48" i="47"/>
  <c r="C49" i="47"/>
  <c r="C50" i="47"/>
  <c r="C51" i="47"/>
  <c r="C52" i="47"/>
  <c r="C53" i="47"/>
  <c r="C54" i="47"/>
  <c r="C55" i="47"/>
  <c r="C56" i="47"/>
  <c r="C57" i="47"/>
  <c r="C58" i="47"/>
  <c r="C59" i="47"/>
  <c r="C60" i="47"/>
  <c r="C61" i="47"/>
  <c r="C62" i="47"/>
  <c r="C63" i="47"/>
  <c r="C64" i="47"/>
  <c r="C65" i="47"/>
  <c r="C66" i="47"/>
  <c r="C67" i="47"/>
  <c r="C68" i="47"/>
  <c r="C69" i="47"/>
  <c r="C70" i="47"/>
  <c r="C71" i="47"/>
  <c r="C72" i="47"/>
  <c r="C73" i="47"/>
  <c r="C74" i="47"/>
  <c r="C75" i="47"/>
  <c r="C76" i="47"/>
  <c r="C77" i="47"/>
  <c r="C78" i="47"/>
  <c r="C79" i="47"/>
  <c r="C80" i="47"/>
  <c r="C81" i="47"/>
  <c r="C82" i="47"/>
  <c r="C83" i="47"/>
  <c r="C84" i="47"/>
  <c r="C85" i="47"/>
  <c r="C86" i="47"/>
  <c r="C87" i="47"/>
  <c r="C88" i="47"/>
  <c r="C89" i="47"/>
  <c r="C90" i="47"/>
  <c r="C91" i="47"/>
  <c r="C92" i="47"/>
  <c r="C93" i="47"/>
  <c r="C94" i="47"/>
  <c r="C95" i="47"/>
  <c r="C96" i="47"/>
  <c r="C97" i="47"/>
  <c r="C98" i="47"/>
  <c r="C99" i="47"/>
  <c r="C100" i="47"/>
  <c r="C101" i="47"/>
  <c r="C102" i="47"/>
  <c r="C103" i="47"/>
  <c r="C104" i="47"/>
  <c r="C105" i="47"/>
  <c r="C106" i="47"/>
  <c r="C107" i="47"/>
  <c r="C108" i="47"/>
  <c r="C109" i="47"/>
  <c r="C110" i="47"/>
  <c r="C111" i="47"/>
  <c r="C112" i="47"/>
  <c r="C113" i="47"/>
  <c r="C114" i="47"/>
  <c r="C115" i="47"/>
  <c r="C116" i="47"/>
  <c r="C117" i="47"/>
  <c r="C118" i="47"/>
  <c r="C119" i="47"/>
  <c r="C120" i="47"/>
  <c r="C121" i="47"/>
  <c r="C122" i="47"/>
  <c r="C123" i="47"/>
  <c r="C124" i="47"/>
  <c r="C125" i="47"/>
  <c r="C126" i="47"/>
  <c r="C127" i="47"/>
  <c r="C128" i="47"/>
  <c r="C129" i="47"/>
  <c r="C130" i="47"/>
  <c r="C131" i="47"/>
  <c r="C132" i="47"/>
  <c r="C133" i="47"/>
  <c r="C134" i="47"/>
  <c r="C135" i="47"/>
  <c r="C136" i="47"/>
  <c r="C137" i="47"/>
  <c r="C138" i="47"/>
  <c r="C139" i="47"/>
  <c r="C140" i="47"/>
  <c r="C141" i="47"/>
  <c r="C142" i="47"/>
  <c r="C143" i="47"/>
  <c r="C144" i="47"/>
  <c r="C145" i="47"/>
  <c r="C146" i="47"/>
  <c r="C147" i="47"/>
  <c r="C148" i="47"/>
  <c r="C149" i="47"/>
  <c r="C150" i="47"/>
  <c r="C151" i="47"/>
  <c r="C152" i="47"/>
  <c r="C153" i="47"/>
  <c r="C154" i="47"/>
  <c r="C155" i="47"/>
  <c r="C156" i="47"/>
  <c r="C157" i="47"/>
  <c r="C158" i="47"/>
  <c r="C159" i="47"/>
  <c r="C160" i="47"/>
  <c r="C161" i="47"/>
  <c r="C162" i="47"/>
  <c r="C163" i="47"/>
  <c r="C164" i="47"/>
  <c r="C165" i="47"/>
  <c r="C166" i="47"/>
  <c r="C167" i="47"/>
  <c r="C168" i="47"/>
  <c r="C169" i="47"/>
  <c r="C170" i="47"/>
  <c r="C171" i="47"/>
  <c r="C172" i="47"/>
  <c r="C173" i="47"/>
  <c r="C174" i="47"/>
  <c r="C175" i="47"/>
  <c r="C176" i="47"/>
  <c r="C177" i="47"/>
  <c r="C178" i="47"/>
  <c r="C179" i="47"/>
  <c r="C180" i="47"/>
  <c r="C181" i="47"/>
  <c r="C182" i="47"/>
  <c r="C183" i="47"/>
  <c r="C184" i="47"/>
  <c r="C185" i="47"/>
  <c r="C186" i="47"/>
  <c r="C187" i="47"/>
  <c r="C188" i="47"/>
  <c r="C189" i="47"/>
  <c r="C190" i="47"/>
  <c r="C35" i="47"/>
  <c r="T14" i="28"/>
  <c r="Y10" i="28"/>
  <c r="Y12" i="28"/>
  <c r="Y5" i="28"/>
  <c r="Y14" i="28"/>
  <c r="Y11" i="28"/>
  <c r="Y4" i="28"/>
  <c r="Y13" i="28"/>
  <c r="Y6" i="28"/>
  <c r="Y7" i="28"/>
  <c r="Y8" i="28"/>
  <c r="Y9" i="28"/>
  <c r="Y3" i="28"/>
  <c r="C4" i="28" l="1"/>
  <c r="C5" i="28"/>
  <c r="B4" i="28"/>
  <c r="B8" i="28"/>
  <c r="C7" i="28"/>
  <c r="C8" i="28"/>
  <c r="C3" i="28"/>
  <c r="D3" i="28" s="1"/>
  <c r="B6" i="28"/>
  <c r="B7" i="28"/>
  <c r="B9" i="28"/>
  <c r="B10" i="28"/>
  <c r="B11" i="28"/>
  <c r="B12" i="28"/>
  <c r="B3" i="28"/>
  <c r="B5" i="28" l="1"/>
  <c r="D45" i="28" s="1"/>
  <c r="C6" i="28"/>
  <c r="C9" i="28"/>
  <c r="C12" i="28"/>
  <c r="D12" i="28" s="1"/>
  <c r="H12" i="28" s="1"/>
  <c r="C129" i="28" s="1"/>
  <c r="C11" i="28"/>
  <c r="D11" i="28" s="1"/>
  <c r="H11" i="28" s="1"/>
  <c r="C117" i="28" s="1"/>
  <c r="C10" i="28"/>
  <c r="D110" i="28"/>
  <c r="D109" i="28"/>
  <c r="D116" i="28"/>
  <c r="D108" i="28"/>
  <c r="D111" i="28"/>
  <c r="D115" i="28"/>
  <c r="D107" i="28"/>
  <c r="D114" i="28"/>
  <c r="D106" i="28"/>
  <c r="D113" i="28"/>
  <c r="D105" i="28"/>
  <c r="D112" i="28"/>
  <c r="D102" i="28"/>
  <c r="D94" i="28"/>
  <c r="D101" i="28"/>
  <c r="D93" i="28"/>
  <c r="D103" i="28"/>
  <c r="D100" i="28"/>
  <c r="D99" i="28"/>
  <c r="D96" i="28"/>
  <c r="D98" i="28"/>
  <c r="D97" i="28"/>
  <c r="D95" i="28"/>
  <c r="D104" i="28"/>
  <c r="D86" i="28"/>
  <c r="D85" i="28"/>
  <c r="D92" i="28"/>
  <c r="D84" i="28"/>
  <c r="D91" i="28"/>
  <c r="D83" i="28"/>
  <c r="D90" i="28"/>
  <c r="D82" i="28"/>
  <c r="D88" i="28"/>
  <c r="D87" i="28"/>
  <c r="D89" i="28"/>
  <c r="D81" i="28"/>
  <c r="D78" i="28"/>
  <c r="D70" i="28"/>
  <c r="D77" i="28"/>
  <c r="D79" i="28"/>
  <c r="D69" i="28"/>
  <c r="D76" i="28"/>
  <c r="D75" i="28"/>
  <c r="D74" i="28"/>
  <c r="D73" i="28"/>
  <c r="D80" i="28"/>
  <c r="D72" i="28"/>
  <c r="D71" i="28"/>
  <c r="D62" i="28"/>
  <c r="D61" i="28"/>
  <c r="D68" i="28"/>
  <c r="D60" i="28"/>
  <c r="D67" i="28"/>
  <c r="D59" i="28"/>
  <c r="D64" i="28"/>
  <c r="D63" i="28"/>
  <c r="D66" i="28"/>
  <c r="D58" i="28"/>
  <c r="D65" i="28"/>
  <c r="D57" i="28"/>
  <c r="D46" i="28"/>
  <c r="D51" i="28"/>
  <c r="D56" i="28"/>
  <c r="D134" i="28"/>
  <c r="D133" i="28"/>
  <c r="D140" i="28"/>
  <c r="D132" i="28"/>
  <c r="D139" i="28"/>
  <c r="D131" i="28"/>
  <c r="D138" i="28"/>
  <c r="D130" i="28"/>
  <c r="D136" i="28"/>
  <c r="D135" i="28"/>
  <c r="D137" i="28"/>
  <c r="D129" i="28"/>
  <c r="D38" i="28"/>
  <c r="D37" i="28"/>
  <c r="D36" i="28"/>
  <c r="D44" i="28"/>
  <c r="D39" i="28"/>
  <c r="D43" i="28"/>
  <c r="D35" i="28"/>
  <c r="D42" i="28"/>
  <c r="D34" i="28"/>
  <c r="D41" i="28"/>
  <c r="D33" i="28"/>
  <c r="D40" i="28"/>
  <c r="D30" i="28"/>
  <c r="D22" i="28"/>
  <c r="D29" i="28"/>
  <c r="D28" i="28"/>
  <c r="D23" i="28"/>
  <c r="D21" i="28"/>
  <c r="D27" i="28"/>
  <c r="D25" i="28"/>
  <c r="D32" i="28"/>
  <c r="D26" i="28"/>
  <c r="D24" i="28"/>
  <c r="D31" i="28"/>
  <c r="D126" i="28"/>
  <c r="D118" i="28"/>
  <c r="D125" i="28"/>
  <c r="D117" i="28"/>
  <c r="D124" i="28"/>
  <c r="D123" i="28"/>
  <c r="D120" i="28"/>
  <c r="D127" i="28"/>
  <c r="D122" i="28"/>
  <c r="D121" i="28"/>
  <c r="D128" i="28"/>
  <c r="D119" i="28"/>
  <c r="E3" i="28"/>
  <c r="G3" i="28" s="1"/>
  <c r="H3" i="28"/>
  <c r="E12" i="28"/>
  <c r="D54" i="28" l="1"/>
  <c r="D49" i="28"/>
  <c r="D50" i="28"/>
  <c r="D55" i="28"/>
  <c r="D53" i="28"/>
  <c r="D47" i="28"/>
  <c r="D52" i="28"/>
  <c r="D48" i="28"/>
  <c r="E11" i="28"/>
  <c r="B117" i="28"/>
  <c r="B118" i="28" s="1"/>
  <c r="B129" i="28"/>
  <c r="B130" i="28" s="1"/>
  <c r="B21" i="28"/>
  <c r="C21" i="28"/>
  <c r="E117" i="28" l="1"/>
  <c r="E129" i="28"/>
  <c r="E130" i="28"/>
  <c r="B131" i="28"/>
  <c r="E118" i="28"/>
  <c r="B119" i="28"/>
  <c r="E21" i="28"/>
  <c r="B22" i="28"/>
  <c r="B23" i="28" s="1"/>
  <c r="B24" i="28" s="1"/>
  <c r="B25" i="28" s="1"/>
  <c r="B26" i="28" s="1"/>
  <c r="B27" i="28" s="1"/>
  <c r="B28" i="28" s="1"/>
  <c r="B29" i="28" s="1"/>
  <c r="B30" i="28" s="1"/>
  <c r="B31" i="28" s="1"/>
  <c r="B32" i="28" s="1"/>
  <c r="O144" i="47" l="1"/>
  <c r="O132" i="47"/>
  <c r="O143" i="47"/>
  <c r="O131" i="47"/>
  <c r="O35" i="47"/>
  <c r="E131" i="28"/>
  <c r="B132" i="28"/>
  <c r="B120" i="28"/>
  <c r="E119" i="28"/>
  <c r="O133" i="47" l="1"/>
  <c r="O145" i="47"/>
  <c r="B133" i="28"/>
  <c r="E132" i="28"/>
  <c r="E120" i="28"/>
  <c r="B121" i="28"/>
  <c r="O146" i="47" l="1"/>
  <c r="O134" i="47"/>
  <c r="B122" i="28"/>
  <c r="E121" i="28"/>
  <c r="B134" i="28"/>
  <c r="E133" i="28"/>
  <c r="O135" i="47" l="1"/>
  <c r="O147" i="47"/>
  <c r="E122" i="28"/>
  <c r="B123" i="28"/>
  <c r="B135" i="28"/>
  <c r="E134" i="28"/>
  <c r="O136" i="47" l="1"/>
  <c r="O148" i="47"/>
  <c r="B124" i="28"/>
  <c r="E123" i="28"/>
  <c r="E135" i="28"/>
  <c r="B136" i="28"/>
  <c r="O137" i="47" l="1"/>
  <c r="O149" i="47"/>
  <c r="B125" i="28"/>
  <c r="E124" i="28"/>
  <c r="B137" i="28"/>
  <c r="E136" i="28"/>
  <c r="O150" i="47" l="1"/>
  <c r="O138" i="47"/>
  <c r="B138" i="28"/>
  <c r="E137" i="28"/>
  <c r="B126" i="28"/>
  <c r="E125" i="28"/>
  <c r="O139" i="47" l="1"/>
  <c r="O151" i="47"/>
  <c r="B139" i="28"/>
  <c r="E138" i="28"/>
  <c r="E126" i="28"/>
  <c r="B127" i="28"/>
  <c r="O152" i="47" l="1"/>
  <c r="O140" i="47"/>
  <c r="B140" i="28"/>
  <c r="E139" i="28"/>
  <c r="B128" i="28"/>
  <c r="E128" i="28" s="1"/>
  <c r="E127" i="28"/>
  <c r="F12" i="28"/>
  <c r="O153" i="47" l="1"/>
  <c r="O141" i="47"/>
  <c r="O142" i="47"/>
  <c r="C128" i="28"/>
  <c r="E140" i="28"/>
  <c r="C140" i="28"/>
  <c r="F11" i="28"/>
  <c r="G12" i="28" s="1"/>
  <c r="O154" i="47" l="1"/>
  <c r="AF35" i="24" l="1"/>
  <c r="AG29" i="24" l="1"/>
  <c r="AG30" i="24"/>
  <c r="AG31" i="24"/>
  <c r="AG32" i="24"/>
  <c r="AG33" i="24"/>
  <c r="AG34" i="24"/>
  <c r="AG35" i="24"/>
  <c r="AG36" i="24"/>
  <c r="AG37" i="24"/>
  <c r="AG38" i="24"/>
  <c r="AG39" i="24"/>
  <c r="AG28" i="24"/>
  <c r="AF28" i="24"/>
  <c r="AF29" i="24"/>
  <c r="AF30" i="24"/>
  <c r="AF31" i="24"/>
  <c r="AF32" i="24"/>
  <c r="AF34" i="24"/>
  <c r="AF36" i="24"/>
  <c r="AF37" i="24"/>
  <c r="AF38" i="24"/>
  <c r="AF39" i="24"/>
  <c r="AF33" i="24"/>
  <c r="J36" i="47" l="1"/>
  <c r="J37" i="47"/>
  <c r="J38" i="47"/>
  <c r="J39" i="47"/>
  <c r="J40" i="47"/>
  <c r="J41" i="47"/>
  <c r="J42" i="47"/>
  <c r="J43" i="47"/>
  <c r="J44" i="47"/>
  <c r="J45" i="47"/>
  <c r="J46" i="47"/>
  <c r="J47" i="47"/>
  <c r="J48" i="47"/>
  <c r="J49" i="47"/>
  <c r="J50" i="47"/>
  <c r="J51" i="47"/>
  <c r="J52" i="47"/>
  <c r="J53" i="47"/>
  <c r="J54" i="47"/>
  <c r="J55" i="47"/>
  <c r="J56" i="47"/>
  <c r="J57" i="47"/>
  <c r="J58" i="47"/>
  <c r="J59" i="47"/>
  <c r="J60" i="47"/>
  <c r="J61" i="47"/>
  <c r="J62" i="47"/>
  <c r="J63" i="47"/>
  <c r="J64" i="47"/>
  <c r="J65" i="47"/>
  <c r="J66" i="47"/>
  <c r="J67" i="47"/>
  <c r="J68" i="47"/>
  <c r="J69" i="47"/>
  <c r="J70" i="47"/>
  <c r="J71" i="47"/>
  <c r="J72" i="47"/>
  <c r="J73" i="47"/>
  <c r="J74" i="47"/>
  <c r="J75" i="47"/>
  <c r="J76" i="47"/>
  <c r="J77" i="47"/>
  <c r="J78" i="47"/>
  <c r="J79" i="47"/>
  <c r="J80" i="47"/>
  <c r="J81" i="47"/>
  <c r="J82" i="47"/>
  <c r="J83" i="47"/>
  <c r="J84" i="47"/>
  <c r="J85" i="47"/>
  <c r="J86" i="47"/>
  <c r="J87" i="47"/>
  <c r="J88" i="47"/>
  <c r="J89" i="47"/>
  <c r="J90" i="47"/>
  <c r="J91" i="47"/>
  <c r="J92" i="47"/>
  <c r="J93" i="47"/>
  <c r="J94" i="47"/>
  <c r="J95" i="47"/>
  <c r="J96" i="47"/>
  <c r="J97" i="47"/>
  <c r="J98" i="47"/>
  <c r="J99" i="47"/>
  <c r="J100" i="47"/>
  <c r="J101" i="47"/>
  <c r="J102" i="47"/>
  <c r="J103" i="47"/>
  <c r="J104" i="47"/>
  <c r="J105" i="47"/>
  <c r="J106" i="47"/>
  <c r="J107" i="47"/>
  <c r="J108" i="47"/>
  <c r="J109" i="47"/>
  <c r="J110" i="47"/>
  <c r="J111" i="47"/>
  <c r="J112" i="47"/>
  <c r="J113" i="47"/>
  <c r="J114" i="47"/>
  <c r="J115" i="47"/>
  <c r="J116" i="47"/>
  <c r="J117" i="47"/>
  <c r="J118" i="47"/>
  <c r="J119" i="47"/>
  <c r="J120" i="47"/>
  <c r="J121" i="47"/>
  <c r="J122" i="47"/>
  <c r="J123" i="47"/>
  <c r="J124" i="47"/>
  <c r="J125" i="47"/>
  <c r="J126" i="47"/>
  <c r="J127" i="47"/>
  <c r="J128" i="47"/>
  <c r="J129" i="47"/>
  <c r="J130" i="47"/>
  <c r="J131" i="47"/>
  <c r="J132" i="47"/>
  <c r="J133" i="47"/>
  <c r="J134" i="47"/>
  <c r="J135" i="47"/>
  <c r="J136" i="47"/>
  <c r="J137" i="47"/>
  <c r="J138" i="47"/>
  <c r="J139" i="47"/>
  <c r="J140" i="47"/>
  <c r="J141" i="47"/>
  <c r="J142" i="47"/>
  <c r="J143" i="47"/>
  <c r="J144" i="47"/>
  <c r="J145" i="47"/>
  <c r="J146" i="47"/>
  <c r="J147" i="47"/>
  <c r="J148" i="47"/>
  <c r="J149" i="47"/>
  <c r="J150" i="47"/>
  <c r="J151" i="47"/>
  <c r="J152" i="47"/>
  <c r="J153" i="47"/>
  <c r="J154" i="47"/>
  <c r="J155" i="47"/>
  <c r="J156" i="47"/>
  <c r="J157" i="47"/>
  <c r="J158" i="47"/>
  <c r="J159" i="47"/>
  <c r="J160" i="47"/>
  <c r="J161" i="47"/>
  <c r="J162" i="47"/>
  <c r="J163" i="47"/>
  <c r="J164" i="47"/>
  <c r="J165" i="47"/>
  <c r="J166" i="47"/>
  <c r="J167" i="47"/>
  <c r="J168" i="47"/>
  <c r="J169" i="47"/>
  <c r="J170" i="47"/>
  <c r="J171" i="47"/>
  <c r="J172" i="47"/>
  <c r="J173" i="47"/>
  <c r="J174" i="47"/>
  <c r="J175" i="47"/>
  <c r="J176" i="47"/>
  <c r="J177" i="47"/>
  <c r="J178" i="47"/>
  <c r="J179" i="47"/>
  <c r="J180" i="47"/>
  <c r="J181" i="47"/>
  <c r="J182" i="47"/>
  <c r="J183" i="47"/>
  <c r="J184" i="47"/>
  <c r="J185" i="47"/>
  <c r="J186" i="47"/>
  <c r="J187" i="47"/>
  <c r="J188" i="47"/>
  <c r="J189" i="47"/>
  <c r="J190" i="47"/>
  <c r="I42" i="47"/>
  <c r="I43" i="47"/>
  <c r="I44" i="47"/>
  <c r="I45" i="47"/>
  <c r="I46" i="47"/>
  <c r="I47" i="47"/>
  <c r="I48" i="47"/>
  <c r="I49" i="47"/>
  <c r="I50" i="47"/>
  <c r="I51" i="47"/>
  <c r="I52" i="47"/>
  <c r="I53" i="47"/>
  <c r="I54" i="47"/>
  <c r="I55" i="47"/>
  <c r="I56" i="47"/>
  <c r="I57" i="47"/>
  <c r="I58" i="47"/>
  <c r="I59" i="47"/>
  <c r="I60" i="47"/>
  <c r="I61" i="47"/>
  <c r="I62" i="47"/>
  <c r="I63" i="47"/>
  <c r="I64" i="47"/>
  <c r="I65" i="47"/>
  <c r="I66" i="47"/>
  <c r="I67" i="47"/>
  <c r="I68" i="47"/>
  <c r="I69" i="47"/>
  <c r="I70" i="47"/>
  <c r="I71" i="47"/>
  <c r="I72" i="47"/>
  <c r="I73" i="47"/>
  <c r="I74" i="47"/>
  <c r="I75" i="47"/>
  <c r="I76" i="47"/>
  <c r="I77" i="47"/>
  <c r="I78" i="47"/>
  <c r="I79" i="47"/>
  <c r="I80" i="47"/>
  <c r="I81" i="47"/>
  <c r="I82" i="47"/>
  <c r="I83" i="47"/>
  <c r="I84" i="47"/>
  <c r="I85" i="47"/>
  <c r="I86" i="47"/>
  <c r="I87" i="47"/>
  <c r="I88" i="47"/>
  <c r="I89" i="47"/>
  <c r="I90" i="47"/>
  <c r="I91" i="47"/>
  <c r="I92" i="47"/>
  <c r="I93" i="47"/>
  <c r="I94" i="47"/>
  <c r="I95" i="47"/>
  <c r="I96" i="47"/>
  <c r="I97" i="47"/>
  <c r="I98" i="47"/>
  <c r="I99" i="47"/>
  <c r="I100" i="47"/>
  <c r="I101" i="47"/>
  <c r="I102" i="47"/>
  <c r="I103" i="47"/>
  <c r="I104" i="47"/>
  <c r="I105" i="47"/>
  <c r="I106" i="47"/>
  <c r="I107" i="47"/>
  <c r="I108" i="47"/>
  <c r="I109" i="47"/>
  <c r="I110" i="47"/>
  <c r="I111" i="47"/>
  <c r="I112" i="47"/>
  <c r="I113" i="47"/>
  <c r="I114" i="47"/>
  <c r="I115" i="47"/>
  <c r="I116" i="47"/>
  <c r="I117" i="47"/>
  <c r="I118" i="47"/>
  <c r="I119" i="47"/>
  <c r="I120" i="47"/>
  <c r="I121" i="47"/>
  <c r="I122" i="47"/>
  <c r="I123" i="47"/>
  <c r="I124" i="47"/>
  <c r="I125" i="47"/>
  <c r="I126" i="47"/>
  <c r="I127" i="47"/>
  <c r="I128" i="47"/>
  <c r="I129" i="47"/>
  <c r="I130" i="47"/>
  <c r="I131" i="47"/>
  <c r="I132" i="47"/>
  <c r="I133" i="47"/>
  <c r="I134" i="47"/>
  <c r="I135" i="47"/>
  <c r="I136" i="47"/>
  <c r="I137" i="47"/>
  <c r="I138" i="47"/>
  <c r="I139" i="47"/>
  <c r="I140" i="47"/>
  <c r="I141" i="47"/>
  <c r="I142" i="47"/>
  <c r="I143" i="47"/>
  <c r="I144" i="47"/>
  <c r="I145" i="47"/>
  <c r="I146" i="47"/>
  <c r="I147" i="47"/>
  <c r="I148" i="47"/>
  <c r="I149" i="47"/>
  <c r="I150" i="47"/>
  <c r="I151" i="47"/>
  <c r="I152" i="47"/>
  <c r="I153" i="47"/>
  <c r="I154" i="47"/>
  <c r="I155" i="47"/>
  <c r="I156" i="47"/>
  <c r="I157" i="47"/>
  <c r="I158" i="47"/>
  <c r="I159" i="47"/>
  <c r="I160" i="47"/>
  <c r="I161" i="47"/>
  <c r="I162" i="47"/>
  <c r="I163" i="47"/>
  <c r="I164" i="47"/>
  <c r="I165" i="47"/>
  <c r="I166" i="47"/>
  <c r="I167" i="47"/>
  <c r="I168" i="47"/>
  <c r="I169" i="47"/>
  <c r="I170" i="47"/>
  <c r="I171" i="47"/>
  <c r="I172" i="47"/>
  <c r="I173" i="47"/>
  <c r="I174" i="47"/>
  <c r="I175" i="47"/>
  <c r="I176" i="47"/>
  <c r="I177" i="47"/>
  <c r="I178" i="47"/>
  <c r="I179" i="47"/>
  <c r="I180" i="47"/>
  <c r="I181" i="47"/>
  <c r="I182" i="47"/>
  <c r="I183" i="47"/>
  <c r="I184" i="47"/>
  <c r="I185" i="47"/>
  <c r="I186" i="47"/>
  <c r="I187" i="47"/>
  <c r="I188" i="47"/>
  <c r="I189" i="47"/>
  <c r="I190" i="47"/>
  <c r="I41" i="47"/>
  <c r="M36" i="47"/>
  <c r="M37" i="47"/>
  <c r="M38" i="47"/>
  <c r="M39" i="47"/>
  <c r="M40" i="47"/>
  <c r="M41" i="47"/>
  <c r="M42" i="47"/>
  <c r="M43" i="47"/>
  <c r="M44" i="47"/>
  <c r="M45" i="47"/>
  <c r="M46" i="47"/>
  <c r="M47" i="47"/>
  <c r="M48" i="47"/>
  <c r="M49" i="47"/>
  <c r="M50" i="47"/>
  <c r="M51" i="47"/>
  <c r="M52" i="47"/>
  <c r="M53" i="47"/>
  <c r="M54" i="47"/>
  <c r="M55" i="47"/>
  <c r="M56" i="47"/>
  <c r="M57" i="47"/>
  <c r="M58" i="47"/>
  <c r="M59" i="47"/>
  <c r="M60" i="47"/>
  <c r="M61" i="47"/>
  <c r="M62" i="47"/>
  <c r="M63" i="47"/>
  <c r="M64" i="47"/>
  <c r="M65" i="47"/>
  <c r="M66" i="47"/>
  <c r="M67" i="47"/>
  <c r="M68" i="47"/>
  <c r="M69" i="47"/>
  <c r="M70" i="47"/>
  <c r="M71" i="47"/>
  <c r="M72" i="47"/>
  <c r="M73" i="47"/>
  <c r="M74" i="47"/>
  <c r="M75" i="47"/>
  <c r="M76" i="47"/>
  <c r="M77" i="47"/>
  <c r="M78" i="47"/>
  <c r="M79" i="47"/>
  <c r="M80" i="47"/>
  <c r="M81" i="47"/>
  <c r="M82" i="47"/>
  <c r="M83" i="47"/>
  <c r="M84" i="47"/>
  <c r="M85" i="47"/>
  <c r="M86" i="47"/>
  <c r="M87" i="47"/>
  <c r="M88" i="47"/>
  <c r="M89" i="47"/>
  <c r="M90" i="47"/>
  <c r="M91" i="47"/>
  <c r="M92" i="47"/>
  <c r="M93" i="47"/>
  <c r="M94" i="47"/>
  <c r="M95" i="47"/>
  <c r="M96" i="47"/>
  <c r="M97" i="47"/>
  <c r="M98" i="47"/>
  <c r="M99" i="47"/>
  <c r="M100" i="47"/>
  <c r="M101" i="47"/>
  <c r="M102" i="47"/>
  <c r="M103" i="47"/>
  <c r="M104" i="47"/>
  <c r="M105" i="47"/>
  <c r="M106" i="47"/>
  <c r="M107" i="47"/>
  <c r="M108" i="47"/>
  <c r="M109" i="47"/>
  <c r="M110" i="47"/>
  <c r="M111" i="47"/>
  <c r="M112" i="47"/>
  <c r="M113" i="47"/>
  <c r="M114" i="47"/>
  <c r="M115" i="47"/>
  <c r="M116" i="47"/>
  <c r="M117" i="47"/>
  <c r="M118" i="47"/>
  <c r="M119" i="47"/>
  <c r="M120" i="47"/>
  <c r="M121" i="47"/>
  <c r="M122" i="47"/>
  <c r="M123" i="47"/>
  <c r="M124" i="47"/>
  <c r="M125" i="47"/>
  <c r="M126" i="47"/>
  <c r="M127" i="47"/>
  <c r="M128" i="47"/>
  <c r="M129" i="47"/>
  <c r="M130" i="47"/>
  <c r="M131" i="47"/>
  <c r="M132" i="47"/>
  <c r="M133" i="47"/>
  <c r="M134" i="47"/>
  <c r="M135" i="47"/>
  <c r="M136" i="47"/>
  <c r="M137" i="47"/>
  <c r="M138" i="47"/>
  <c r="M139" i="47"/>
  <c r="M140" i="47"/>
  <c r="M141" i="47"/>
  <c r="M142" i="47"/>
  <c r="M143" i="47"/>
  <c r="M144" i="47"/>
  <c r="M145" i="47"/>
  <c r="M146" i="47"/>
  <c r="M147" i="47"/>
  <c r="M148" i="47"/>
  <c r="M149" i="47"/>
  <c r="M150" i="47"/>
  <c r="M151" i="47"/>
  <c r="M152" i="47"/>
  <c r="M153" i="47"/>
  <c r="M154" i="47"/>
  <c r="M155" i="47"/>
  <c r="M156" i="47"/>
  <c r="M157" i="47"/>
  <c r="M158" i="47"/>
  <c r="M159" i="47"/>
  <c r="M160" i="47"/>
  <c r="M161" i="47"/>
  <c r="M162" i="47"/>
  <c r="M163" i="47"/>
  <c r="M164" i="47"/>
  <c r="M165" i="47"/>
  <c r="M166" i="47"/>
  <c r="M167" i="47"/>
  <c r="M168" i="47"/>
  <c r="M169" i="47"/>
  <c r="M170" i="47"/>
  <c r="M171" i="47"/>
  <c r="M172" i="47"/>
  <c r="M173" i="47"/>
  <c r="M174" i="47"/>
  <c r="M175" i="47"/>
  <c r="M176" i="47"/>
  <c r="M177" i="47"/>
  <c r="M178" i="47"/>
  <c r="M179" i="47"/>
  <c r="M180" i="47"/>
  <c r="M181" i="47"/>
  <c r="M182" i="47"/>
  <c r="M183" i="47"/>
  <c r="M184" i="47"/>
  <c r="M185" i="47"/>
  <c r="M186" i="47"/>
  <c r="M187" i="47"/>
  <c r="M188" i="47"/>
  <c r="M189" i="47"/>
  <c r="M190" i="47"/>
  <c r="M35" i="47"/>
  <c r="L36" i="47"/>
  <c r="L37" i="47"/>
  <c r="L38" i="47"/>
  <c r="L39" i="47"/>
  <c r="L40" i="47"/>
  <c r="L41" i="47"/>
  <c r="L42" i="47"/>
  <c r="L43" i="47"/>
  <c r="L44" i="47"/>
  <c r="L45" i="47"/>
  <c r="L46" i="47"/>
  <c r="L47" i="47"/>
  <c r="L48" i="47"/>
  <c r="L49" i="47"/>
  <c r="L50" i="47"/>
  <c r="L51" i="47"/>
  <c r="L52" i="47"/>
  <c r="L53" i="47"/>
  <c r="L54" i="47"/>
  <c r="L55" i="47"/>
  <c r="L56" i="47"/>
  <c r="L57" i="47"/>
  <c r="L58" i="47"/>
  <c r="L59" i="47"/>
  <c r="L60" i="47"/>
  <c r="L61" i="47"/>
  <c r="L62" i="47"/>
  <c r="L63" i="47"/>
  <c r="L64" i="47"/>
  <c r="L65" i="47"/>
  <c r="L66" i="47"/>
  <c r="L67" i="47"/>
  <c r="L68" i="47"/>
  <c r="L69" i="47"/>
  <c r="L70" i="47"/>
  <c r="L71" i="47"/>
  <c r="L72" i="47"/>
  <c r="L73" i="47"/>
  <c r="L74" i="47"/>
  <c r="L75" i="47"/>
  <c r="L76" i="47"/>
  <c r="L77" i="47"/>
  <c r="L78" i="47"/>
  <c r="L79" i="47"/>
  <c r="L80" i="47"/>
  <c r="L81" i="47"/>
  <c r="L82" i="47"/>
  <c r="L83" i="47"/>
  <c r="L84" i="47"/>
  <c r="L85" i="47"/>
  <c r="L86" i="47"/>
  <c r="L87" i="47"/>
  <c r="L88" i="47"/>
  <c r="L89" i="47"/>
  <c r="L90" i="47"/>
  <c r="L91" i="47"/>
  <c r="L92" i="47"/>
  <c r="L93" i="47"/>
  <c r="L94" i="47"/>
  <c r="L95" i="47"/>
  <c r="L96" i="47"/>
  <c r="L97" i="47"/>
  <c r="L98" i="47"/>
  <c r="L99" i="47"/>
  <c r="L100" i="47"/>
  <c r="L101" i="47"/>
  <c r="L102" i="47"/>
  <c r="L103" i="47"/>
  <c r="L104" i="47"/>
  <c r="L105" i="47"/>
  <c r="L106" i="47"/>
  <c r="L107" i="47"/>
  <c r="L108" i="47"/>
  <c r="L109" i="47"/>
  <c r="L110" i="47"/>
  <c r="L111" i="47"/>
  <c r="L112" i="47"/>
  <c r="L113" i="47"/>
  <c r="L114" i="47"/>
  <c r="L115" i="47"/>
  <c r="L116" i="47"/>
  <c r="L117" i="47"/>
  <c r="L118" i="47"/>
  <c r="L119" i="47"/>
  <c r="L120" i="47"/>
  <c r="L121" i="47"/>
  <c r="L122" i="47"/>
  <c r="L123" i="47"/>
  <c r="L124" i="47"/>
  <c r="L125" i="47"/>
  <c r="L126" i="47"/>
  <c r="L127" i="47"/>
  <c r="L128" i="47"/>
  <c r="L129" i="47"/>
  <c r="L130" i="47"/>
  <c r="L131" i="47"/>
  <c r="L132" i="47"/>
  <c r="L133" i="47"/>
  <c r="L134" i="47"/>
  <c r="L135" i="47"/>
  <c r="L136" i="47"/>
  <c r="L137" i="47"/>
  <c r="L138" i="47"/>
  <c r="L139" i="47"/>
  <c r="L140" i="47"/>
  <c r="L141" i="47"/>
  <c r="L142" i="47"/>
  <c r="L143" i="47"/>
  <c r="L144" i="47"/>
  <c r="L145" i="47"/>
  <c r="L146" i="47"/>
  <c r="L147" i="47"/>
  <c r="L148" i="47"/>
  <c r="L149" i="47"/>
  <c r="L150" i="47"/>
  <c r="L151" i="47"/>
  <c r="L152" i="47"/>
  <c r="L153" i="47"/>
  <c r="L154" i="47"/>
  <c r="L155" i="47"/>
  <c r="L156" i="47"/>
  <c r="L157" i="47"/>
  <c r="L158" i="47"/>
  <c r="L159" i="47"/>
  <c r="L160" i="47"/>
  <c r="L161" i="47"/>
  <c r="L162" i="47"/>
  <c r="L163" i="47"/>
  <c r="L164" i="47"/>
  <c r="L165" i="47"/>
  <c r="L166" i="47"/>
  <c r="L167" i="47"/>
  <c r="L168" i="47"/>
  <c r="L169" i="47"/>
  <c r="L170" i="47"/>
  <c r="L171" i="47"/>
  <c r="L172" i="47"/>
  <c r="L173" i="47"/>
  <c r="L174" i="47"/>
  <c r="L175" i="47"/>
  <c r="L176" i="47"/>
  <c r="L177" i="47"/>
  <c r="L178" i="47"/>
  <c r="L179" i="47"/>
  <c r="L180" i="47"/>
  <c r="L181" i="47"/>
  <c r="L182" i="47"/>
  <c r="L183" i="47"/>
  <c r="L184" i="47"/>
  <c r="L185" i="47"/>
  <c r="L186" i="47"/>
  <c r="L187" i="47"/>
  <c r="L188" i="47"/>
  <c r="L189" i="47"/>
  <c r="L190" i="47"/>
  <c r="K36" i="47"/>
  <c r="K37" i="47"/>
  <c r="K38" i="47"/>
  <c r="K39" i="47"/>
  <c r="K40" i="47"/>
  <c r="K41" i="47"/>
  <c r="K42" i="47"/>
  <c r="K43" i="47"/>
  <c r="K44" i="47"/>
  <c r="K45" i="47"/>
  <c r="K46" i="47"/>
  <c r="K47" i="47"/>
  <c r="K48" i="47"/>
  <c r="K49" i="47"/>
  <c r="K50" i="47"/>
  <c r="K51" i="47"/>
  <c r="K52" i="47"/>
  <c r="K53" i="47"/>
  <c r="K54" i="47"/>
  <c r="K55" i="47"/>
  <c r="K56" i="47"/>
  <c r="K57" i="47"/>
  <c r="K58" i="47"/>
  <c r="K59" i="47"/>
  <c r="K60" i="47"/>
  <c r="K61" i="47"/>
  <c r="K62" i="47"/>
  <c r="K63" i="47"/>
  <c r="K64" i="47"/>
  <c r="K65" i="47"/>
  <c r="K66" i="47"/>
  <c r="K67" i="47"/>
  <c r="K68" i="47"/>
  <c r="K69" i="47"/>
  <c r="K70" i="47"/>
  <c r="K71" i="47"/>
  <c r="K72" i="47"/>
  <c r="K73" i="47"/>
  <c r="K74" i="47"/>
  <c r="K75" i="47"/>
  <c r="K76" i="47"/>
  <c r="K77" i="47"/>
  <c r="K78" i="47"/>
  <c r="K79" i="47"/>
  <c r="K80" i="47"/>
  <c r="K81" i="47"/>
  <c r="K82" i="47"/>
  <c r="K83" i="47"/>
  <c r="K84" i="47"/>
  <c r="K85" i="47"/>
  <c r="K86" i="47"/>
  <c r="K87" i="47"/>
  <c r="K88" i="47"/>
  <c r="K89" i="47"/>
  <c r="K90" i="47"/>
  <c r="K91" i="47"/>
  <c r="K92" i="47"/>
  <c r="K93" i="47"/>
  <c r="K94" i="47"/>
  <c r="K95" i="47"/>
  <c r="K96" i="47"/>
  <c r="K97" i="47"/>
  <c r="K98" i="47"/>
  <c r="K99" i="47"/>
  <c r="K100" i="47"/>
  <c r="K101" i="47"/>
  <c r="K102" i="47"/>
  <c r="K103" i="47"/>
  <c r="K104" i="47"/>
  <c r="K105" i="47"/>
  <c r="K106" i="47"/>
  <c r="K107" i="47"/>
  <c r="K108" i="47"/>
  <c r="K109" i="47"/>
  <c r="K110" i="47"/>
  <c r="K111" i="47"/>
  <c r="K112" i="47"/>
  <c r="K113" i="47"/>
  <c r="K114" i="47"/>
  <c r="K115" i="47"/>
  <c r="K116" i="47"/>
  <c r="K117" i="47"/>
  <c r="K118" i="47"/>
  <c r="K119" i="47"/>
  <c r="K120" i="47"/>
  <c r="K121" i="47"/>
  <c r="K122" i="47"/>
  <c r="K123" i="47"/>
  <c r="K124" i="47"/>
  <c r="K125" i="47"/>
  <c r="K126" i="47"/>
  <c r="K127" i="47"/>
  <c r="K128" i="47"/>
  <c r="K129" i="47"/>
  <c r="K130" i="47"/>
  <c r="K131" i="47"/>
  <c r="K132" i="47"/>
  <c r="K133" i="47"/>
  <c r="K134" i="47"/>
  <c r="K135" i="47"/>
  <c r="K136" i="47"/>
  <c r="K137" i="47"/>
  <c r="K138" i="47"/>
  <c r="K139" i="47"/>
  <c r="K140" i="47"/>
  <c r="K141" i="47"/>
  <c r="K142" i="47"/>
  <c r="K143" i="47"/>
  <c r="K144" i="47"/>
  <c r="K145" i="47"/>
  <c r="K146" i="47"/>
  <c r="K147" i="47"/>
  <c r="K148" i="47"/>
  <c r="K149" i="47"/>
  <c r="K150" i="47"/>
  <c r="K151" i="47"/>
  <c r="K152" i="47"/>
  <c r="K153" i="47"/>
  <c r="K154" i="47"/>
  <c r="K155" i="47"/>
  <c r="K156" i="47"/>
  <c r="K157" i="47"/>
  <c r="K158" i="47"/>
  <c r="K159" i="47"/>
  <c r="K160" i="47"/>
  <c r="K161" i="47"/>
  <c r="K162" i="47"/>
  <c r="K163" i="47"/>
  <c r="K164" i="47"/>
  <c r="K165" i="47"/>
  <c r="K166" i="47"/>
  <c r="K167" i="47"/>
  <c r="K168" i="47"/>
  <c r="K169" i="47"/>
  <c r="K170" i="47"/>
  <c r="K171" i="47"/>
  <c r="K172" i="47"/>
  <c r="K173" i="47"/>
  <c r="K174" i="47"/>
  <c r="K175" i="47"/>
  <c r="K176" i="47"/>
  <c r="K177" i="47"/>
  <c r="K178" i="47"/>
  <c r="K179" i="47"/>
  <c r="K180" i="47"/>
  <c r="K181" i="47"/>
  <c r="K182" i="47"/>
  <c r="K183" i="47"/>
  <c r="K184" i="47"/>
  <c r="K185" i="47"/>
  <c r="K186" i="47"/>
  <c r="K187" i="47"/>
  <c r="K188" i="47"/>
  <c r="K189" i="47"/>
  <c r="K190" i="47"/>
  <c r="L35" i="47"/>
  <c r="K35" i="47"/>
  <c r="J35" i="47"/>
  <c r="M16" i="9" l="1"/>
  <c r="L16" i="9"/>
  <c r="K16" i="9"/>
  <c r="J16" i="9"/>
  <c r="I16" i="9"/>
  <c r="H16" i="9"/>
  <c r="J17" i="9"/>
  <c r="Q9" i="9"/>
  <c r="Q10" i="9"/>
  <c r="Q11" i="9"/>
  <c r="Q12" i="9"/>
  <c r="Q13" i="9"/>
  <c r="Q14" i="9"/>
  <c r="Q15" i="9"/>
  <c r="Q8" i="9"/>
  <c r="D12" i="31"/>
  <c r="D16" i="31" s="1"/>
  <c r="D13" i="31" s="1"/>
  <c r="B12" i="31"/>
  <c r="L46" i="11" s="1"/>
  <c r="E23" i="30"/>
  <c r="B23" i="30"/>
  <c r="C16" i="18"/>
  <c r="D16" i="18"/>
  <c r="M17" i="9"/>
  <c r="L17" i="9"/>
  <c r="K17" i="9"/>
  <c r="I17" i="9"/>
  <c r="H17" i="9"/>
  <c r="G18" i="18"/>
  <c r="E19" i="30"/>
  <c r="B19" i="30"/>
  <c r="H27" i="11" s="1"/>
  <c r="B20" i="30"/>
  <c r="I27" i="11" s="1"/>
  <c r="E20" i="30"/>
  <c r="E21" i="30"/>
  <c r="B21" i="30"/>
  <c r="J27" i="11" s="1"/>
  <c r="E22" i="30"/>
  <c r="B22" i="30"/>
  <c r="K27" i="11" s="1"/>
  <c r="C17" i="17"/>
  <c r="M59" i="11"/>
  <c r="N7" i="9"/>
  <c r="O7" i="9"/>
  <c r="P7" i="9"/>
  <c r="N8" i="9"/>
  <c r="O8" i="9"/>
  <c r="P8" i="9"/>
  <c r="N9" i="9"/>
  <c r="O9" i="9"/>
  <c r="P9" i="9"/>
  <c r="N10" i="9"/>
  <c r="O10" i="9"/>
  <c r="P10" i="9"/>
  <c r="N11" i="9"/>
  <c r="O11" i="9"/>
  <c r="P11" i="9"/>
  <c r="N12" i="9"/>
  <c r="O12" i="9"/>
  <c r="P12" i="9"/>
  <c r="N13" i="9"/>
  <c r="O13" i="9"/>
  <c r="P13" i="9"/>
  <c r="N14" i="9"/>
  <c r="O14" i="9"/>
  <c r="P14" i="9"/>
  <c r="AC41" i="24"/>
  <c r="AG8" i="24"/>
  <c r="AF8" i="24"/>
  <c r="G190" i="47"/>
  <c r="F190" i="47"/>
  <c r="G189" i="47"/>
  <c r="F189" i="47"/>
  <c r="G188" i="47"/>
  <c r="F188" i="47"/>
  <c r="G187" i="47"/>
  <c r="F187" i="47"/>
  <c r="G186" i="47"/>
  <c r="F186" i="47"/>
  <c r="G185" i="47"/>
  <c r="F185" i="47"/>
  <c r="G184" i="47"/>
  <c r="F184" i="47"/>
  <c r="G183" i="47"/>
  <c r="F183" i="47"/>
  <c r="G182" i="47"/>
  <c r="F182" i="47"/>
  <c r="G181" i="47"/>
  <c r="F181" i="47"/>
  <c r="G180" i="47"/>
  <c r="F180" i="47"/>
  <c r="G179" i="47"/>
  <c r="F179" i="47"/>
  <c r="G178" i="47"/>
  <c r="F178" i="47"/>
  <c r="G177" i="47"/>
  <c r="F177" i="47"/>
  <c r="G176" i="47"/>
  <c r="F176" i="47"/>
  <c r="G175" i="47"/>
  <c r="F175" i="47"/>
  <c r="G174" i="47"/>
  <c r="F174" i="47"/>
  <c r="G173" i="47"/>
  <c r="F173" i="47"/>
  <c r="G172" i="47"/>
  <c r="F172" i="47"/>
  <c r="G171" i="47"/>
  <c r="F171" i="47"/>
  <c r="G170" i="47"/>
  <c r="F170" i="47"/>
  <c r="G169" i="47"/>
  <c r="F169" i="47"/>
  <c r="G168" i="47"/>
  <c r="F168" i="47"/>
  <c r="G167" i="47"/>
  <c r="F167" i="47"/>
  <c r="E194" i="47"/>
  <c r="E201" i="47"/>
  <c r="E204" i="47"/>
  <c r="E203" i="47"/>
  <c r="E199" i="47"/>
  <c r="E198" i="47"/>
  <c r="E197" i="47"/>
  <c r="E192" i="47"/>
  <c r="E196" i="47"/>
  <c r="E193" i="47"/>
  <c r="E195" i="47"/>
  <c r="E202" i="47"/>
  <c r="G17" i="17"/>
  <c r="F17" i="17"/>
  <c r="E17" i="17"/>
  <c r="D17" i="17"/>
  <c r="B17" i="17"/>
  <c r="D16" i="17"/>
  <c r="G27" i="11"/>
  <c r="K37" i="11"/>
  <c r="J37" i="11"/>
  <c r="I37" i="11"/>
  <c r="H37" i="11"/>
  <c r="K32" i="11"/>
  <c r="J32" i="11"/>
  <c r="I32" i="11"/>
  <c r="H32" i="11"/>
  <c r="B12" i="18"/>
  <c r="H22" i="11"/>
  <c r="B15" i="18"/>
  <c r="K22" i="11"/>
  <c r="B14" i="18"/>
  <c r="E14" i="18"/>
  <c r="J56" i="11"/>
  <c r="B13" i="18"/>
  <c r="I22" i="11"/>
  <c r="C27" i="18"/>
  <c r="D27" i="18"/>
  <c r="C28" i="18"/>
  <c r="D28" i="18"/>
  <c r="C29" i="18"/>
  <c r="D29" i="18"/>
  <c r="L59" i="11"/>
  <c r="K59" i="11"/>
  <c r="J59" i="11"/>
  <c r="I59" i="11"/>
  <c r="H59" i="11"/>
  <c r="J41" i="11"/>
  <c r="I41" i="11"/>
  <c r="J36" i="11"/>
  <c r="I36" i="11"/>
  <c r="J31" i="11"/>
  <c r="I31" i="11"/>
  <c r="I21" i="11"/>
  <c r="I71" i="11" s="1"/>
  <c r="J17" i="11"/>
  <c r="I17" i="11"/>
  <c r="J13" i="11"/>
  <c r="I13" i="11"/>
  <c r="K46" i="11"/>
  <c r="J46" i="11"/>
  <c r="I46" i="11"/>
  <c r="H46" i="11"/>
  <c r="K45" i="11"/>
  <c r="J45" i="11"/>
  <c r="I45" i="11"/>
  <c r="H45" i="11"/>
  <c r="H41" i="11"/>
  <c r="H36" i="11"/>
  <c r="H31" i="11"/>
  <c r="H21" i="11"/>
  <c r="H71" i="11" s="1"/>
  <c r="H17" i="11"/>
  <c r="H13" i="11"/>
  <c r="G16" i="17"/>
  <c r="F16" i="17"/>
  <c r="E16" i="17"/>
  <c r="C16" i="17"/>
  <c r="B16" i="17"/>
  <c r="G15" i="17"/>
  <c r="F15" i="17"/>
  <c r="E15" i="17"/>
  <c r="D15" i="17"/>
  <c r="C15" i="17"/>
  <c r="B15" i="17"/>
  <c r="G14" i="17"/>
  <c r="F14" i="17"/>
  <c r="E14" i="17"/>
  <c r="D14" i="17"/>
  <c r="C14" i="17"/>
  <c r="B14" i="17"/>
  <c r="G13" i="17"/>
  <c r="F13" i="17"/>
  <c r="E13" i="17"/>
  <c r="D13" i="17"/>
  <c r="C13" i="17"/>
  <c r="B13" i="17"/>
  <c r="H33" i="9"/>
  <c r="J15" i="9"/>
  <c r="P15" i="9"/>
  <c r="G13" i="9"/>
  <c r="H55" i="11" s="1"/>
  <c r="G14" i="9"/>
  <c r="I8" i="11"/>
  <c r="G12" i="9"/>
  <c r="G8" i="11"/>
  <c r="B26" i="18"/>
  <c r="C7" i="31"/>
  <c r="AF15" i="24"/>
  <c r="AG15" i="24"/>
  <c r="AF16" i="24"/>
  <c r="AG16" i="24"/>
  <c r="AF17" i="24"/>
  <c r="AG17" i="24"/>
  <c r="AF18" i="24"/>
  <c r="AG18" i="24"/>
  <c r="AF19" i="24"/>
  <c r="AG19" i="24"/>
  <c r="AF13" i="24"/>
  <c r="AG13" i="24"/>
  <c r="AG14" i="24"/>
  <c r="AF14" i="24"/>
  <c r="AG12" i="24"/>
  <c r="AF9" i="24"/>
  <c r="AG9" i="24"/>
  <c r="AF10" i="24"/>
  <c r="AG10" i="24"/>
  <c r="AF11" i="24"/>
  <c r="AG11" i="24"/>
  <c r="AF12" i="24"/>
  <c r="Z41" i="24"/>
  <c r="AA41" i="24"/>
  <c r="AB41" i="24"/>
  <c r="AD41" i="24"/>
  <c r="Z21" i="24"/>
  <c r="AA21" i="24"/>
  <c r="AB21" i="24"/>
  <c r="AC21" i="24"/>
  <c r="AD21" i="24"/>
  <c r="N25" i="11"/>
  <c r="N59" i="11"/>
  <c r="M25" i="11"/>
  <c r="J33" i="9"/>
  <c r="F37" i="11"/>
  <c r="E37" i="11"/>
  <c r="D37" i="11"/>
  <c r="D23" i="18"/>
  <c r="F32" i="11"/>
  <c r="C32" i="11"/>
  <c r="E32" i="11"/>
  <c r="C22" i="11"/>
  <c r="C26" i="11"/>
  <c r="C60" i="11"/>
  <c r="F21" i="11"/>
  <c r="F71" i="11" s="1"/>
  <c r="J31" i="9"/>
  <c r="J30" i="9"/>
  <c r="J43" i="9" s="1"/>
  <c r="C21" i="11"/>
  <c r="C71" i="11" s="1"/>
  <c r="J29" i="9"/>
  <c r="G41" i="11"/>
  <c r="E41" i="11"/>
  <c r="L33" i="9"/>
  <c r="L32" i="9"/>
  <c r="E36" i="11"/>
  <c r="D36" i="11"/>
  <c r="E31" i="11"/>
  <c r="D31" i="11"/>
  <c r="I31" i="9"/>
  <c r="D17" i="11"/>
  <c r="C17" i="11"/>
  <c r="G13" i="11"/>
  <c r="C13" i="11"/>
  <c r="G59" i="11"/>
  <c r="F59" i="11"/>
  <c r="E59" i="11"/>
  <c r="D59" i="11"/>
  <c r="C59" i="11"/>
  <c r="B59" i="11"/>
  <c r="D27" i="11"/>
  <c r="B16" i="11"/>
  <c r="B17" i="11"/>
  <c r="E5" i="18"/>
  <c r="F12" i="11"/>
  <c r="E27" i="11"/>
  <c r="G7" i="9"/>
  <c r="B55" i="11" s="1"/>
  <c r="B22" i="11"/>
  <c r="E35" i="11"/>
  <c r="B40" i="11"/>
  <c r="E25" i="17"/>
  <c r="G16" i="11"/>
  <c r="G30" i="11"/>
  <c r="B31" i="17"/>
  <c r="F27" i="11"/>
  <c r="F40" i="11"/>
  <c r="H31" i="9"/>
  <c r="G29" i="17"/>
  <c r="E16" i="11"/>
  <c r="D30" i="11"/>
  <c r="H8" i="17"/>
  <c r="C54" i="11"/>
  <c r="D26" i="17"/>
  <c r="B30" i="11"/>
  <c r="B37" i="11"/>
  <c r="B51" i="11"/>
  <c r="B36" i="11"/>
  <c r="G25" i="17"/>
  <c r="C27" i="11"/>
  <c r="C61" i="11"/>
  <c r="C43" i="11"/>
  <c r="B32" i="11"/>
  <c r="B27" i="11"/>
  <c r="B61" i="11"/>
  <c r="D46" i="11"/>
  <c r="C30" i="11"/>
  <c r="W21" i="24"/>
  <c r="V41" i="24"/>
  <c r="Y41" i="24"/>
  <c r="V21" i="24"/>
  <c r="X21" i="24"/>
  <c r="D10" i="28"/>
  <c r="D9" i="28"/>
  <c r="B150" i="26"/>
  <c r="B151" i="26"/>
  <c r="B152" i="26"/>
  <c r="B153" i="26"/>
  <c r="B154" i="26"/>
  <c r="B155" i="26"/>
  <c r="B156" i="26"/>
  <c r="B157" i="26"/>
  <c r="B158" i="26"/>
  <c r="B159" i="26"/>
  <c r="B160" i="26"/>
  <c r="B149" i="26"/>
  <c r="B138" i="26"/>
  <c r="B139" i="26"/>
  <c r="B140" i="26"/>
  <c r="B141" i="26"/>
  <c r="B142" i="26"/>
  <c r="B143" i="26"/>
  <c r="B144" i="26"/>
  <c r="B145" i="26"/>
  <c r="B146" i="26"/>
  <c r="B147" i="26"/>
  <c r="B148" i="26"/>
  <c r="B137" i="26"/>
  <c r="B126" i="26"/>
  <c r="B127" i="26"/>
  <c r="B128" i="26"/>
  <c r="B129" i="26"/>
  <c r="B130" i="26"/>
  <c r="B131" i="26"/>
  <c r="B132" i="26"/>
  <c r="B133" i="26"/>
  <c r="B134" i="26"/>
  <c r="B135" i="26"/>
  <c r="B136" i="26"/>
  <c r="B125" i="26"/>
  <c r="B114" i="26"/>
  <c r="B115" i="26"/>
  <c r="B116" i="26"/>
  <c r="B117" i="26"/>
  <c r="B118" i="26"/>
  <c r="B119" i="26"/>
  <c r="B120" i="26"/>
  <c r="B121" i="26"/>
  <c r="B122" i="26"/>
  <c r="B123" i="26"/>
  <c r="B124" i="26"/>
  <c r="B113" i="26"/>
  <c r="B102" i="26"/>
  <c r="B103" i="26"/>
  <c r="B104" i="26"/>
  <c r="B105" i="26"/>
  <c r="B106" i="26"/>
  <c r="B107" i="26"/>
  <c r="B108" i="26"/>
  <c r="B109" i="26"/>
  <c r="B110" i="26"/>
  <c r="B111" i="26"/>
  <c r="B112" i="26"/>
  <c r="B101" i="26"/>
  <c r="B90" i="26"/>
  <c r="B91" i="26"/>
  <c r="B92" i="26"/>
  <c r="B93" i="26"/>
  <c r="B94" i="26"/>
  <c r="B95" i="26"/>
  <c r="B96" i="26"/>
  <c r="B97" i="26"/>
  <c r="B98" i="26"/>
  <c r="B99" i="26"/>
  <c r="B100" i="26"/>
  <c r="B89" i="26"/>
  <c r="B78" i="26"/>
  <c r="B79" i="26"/>
  <c r="B80" i="26"/>
  <c r="B81" i="26"/>
  <c r="B82" i="26"/>
  <c r="B83" i="26"/>
  <c r="B84" i="26"/>
  <c r="B85" i="26"/>
  <c r="B86" i="26"/>
  <c r="B87" i="26"/>
  <c r="B88" i="26"/>
  <c r="B77" i="26"/>
  <c r="B66" i="26"/>
  <c r="B67" i="26"/>
  <c r="B68" i="26"/>
  <c r="B69" i="26"/>
  <c r="B70" i="26"/>
  <c r="B71" i="26"/>
  <c r="B72" i="26"/>
  <c r="B73" i="26"/>
  <c r="B74" i="26"/>
  <c r="B75" i="26"/>
  <c r="B76" i="26"/>
  <c r="B65" i="26"/>
  <c r="B54" i="26"/>
  <c r="B55" i="26"/>
  <c r="B56" i="26"/>
  <c r="B57" i="26"/>
  <c r="B58" i="26"/>
  <c r="B59" i="26"/>
  <c r="B60" i="26"/>
  <c r="B61" i="26"/>
  <c r="B62" i="26"/>
  <c r="B63" i="26"/>
  <c r="B64" i="26"/>
  <c r="B53" i="26"/>
  <c r="C53" i="26"/>
  <c r="C41" i="26"/>
  <c r="B41" i="26"/>
  <c r="C40" i="26"/>
  <c r="G5" i="26"/>
  <c r="G4" i="26"/>
  <c r="G3" i="26"/>
  <c r="F3" i="26"/>
  <c r="D28" i="26"/>
  <c r="C17" i="26"/>
  <c r="B18" i="26"/>
  <c r="B19" i="26"/>
  <c r="B20" i="26"/>
  <c r="B21" i="26"/>
  <c r="B22" i="26"/>
  <c r="B23" i="26"/>
  <c r="B24" i="26"/>
  <c r="B25" i="26"/>
  <c r="B26" i="26"/>
  <c r="B27" i="26"/>
  <c r="B28" i="26"/>
  <c r="B17" i="26"/>
  <c r="H3" i="26"/>
  <c r="E5" i="26"/>
  <c r="E6" i="26"/>
  <c r="E8" i="26"/>
  <c r="E9" i="26"/>
  <c r="E13" i="26"/>
  <c r="E14" i="26"/>
  <c r="D4" i="26"/>
  <c r="E4" i="26"/>
  <c r="H4" i="26"/>
  <c r="C29" i="26"/>
  <c r="B29" i="26"/>
  <c r="D5" i="26"/>
  <c r="D6" i="26"/>
  <c r="D7" i="26"/>
  <c r="E7" i="26"/>
  <c r="D8" i="26"/>
  <c r="D9" i="26"/>
  <c r="D10" i="26"/>
  <c r="E10" i="26"/>
  <c r="D11" i="26"/>
  <c r="E11" i="26"/>
  <c r="D12" i="26"/>
  <c r="E12" i="26"/>
  <c r="D13" i="26"/>
  <c r="D14" i="26"/>
  <c r="D3" i="26"/>
  <c r="E3" i="26"/>
  <c r="A31" i="9"/>
  <c r="A28" i="9"/>
  <c r="A29" i="11"/>
  <c r="E2" i="17"/>
  <c r="C1" i="18" s="1"/>
  <c r="A15" i="11"/>
  <c r="A11" i="11"/>
  <c r="C2" i="17"/>
  <c r="D2" i="17"/>
  <c r="B1" i="18" s="1"/>
  <c r="F2" i="17"/>
  <c r="D1" i="18" s="1"/>
  <c r="G2" i="17"/>
  <c r="B2" i="17"/>
  <c r="A39" i="11"/>
  <c r="A34" i="11"/>
  <c r="A19" i="11"/>
  <c r="B42" i="26"/>
  <c r="B43" i="26"/>
  <c r="B44" i="26"/>
  <c r="B45" i="26"/>
  <c r="B46" i="26"/>
  <c r="B47" i="26"/>
  <c r="B48" i="26"/>
  <c r="B49" i="26"/>
  <c r="B50" i="26"/>
  <c r="B51" i="26"/>
  <c r="B52" i="26"/>
  <c r="B30" i="26"/>
  <c r="B31" i="26"/>
  <c r="B32" i="26"/>
  <c r="B33" i="26"/>
  <c r="B34" i="26"/>
  <c r="B35" i="26"/>
  <c r="B36" i="26"/>
  <c r="B37" i="26"/>
  <c r="B38" i="26"/>
  <c r="B39" i="26"/>
  <c r="B40" i="26"/>
  <c r="C52" i="26"/>
  <c r="D40" i="26"/>
  <c r="C28" i="26"/>
  <c r="H5" i="26"/>
  <c r="F4" i="26"/>
  <c r="D52" i="26"/>
  <c r="F5" i="26"/>
  <c r="G6" i="26"/>
  <c r="H6" i="26"/>
  <c r="C64" i="26"/>
  <c r="D64" i="26"/>
  <c r="F6" i="26"/>
  <c r="G7" i="26"/>
  <c r="H7" i="26"/>
  <c r="C65" i="26"/>
  <c r="C76" i="26"/>
  <c r="D76" i="26"/>
  <c r="F7" i="26"/>
  <c r="G8" i="26"/>
  <c r="H8" i="26"/>
  <c r="C77" i="26"/>
  <c r="D88" i="26"/>
  <c r="F8" i="26"/>
  <c r="G9" i="26"/>
  <c r="H9" i="26"/>
  <c r="C89" i="26"/>
  <c r="C88" i="26"/>
  <c r="C100" i="26"/>
  <c r="D100" i="26"/>
  <c r="F9" i="26"/>
  <c r="G10" i="26"/>
  <c r="H10" i="26"/>
  <c r="C101" i="26"/>
  <c r="D112" i="26"/>
  <c r="F10" i="26"/>
  <c r="G11" i="26"/>
  <c r="H11" i="26"/>
  <c r="C113" i="26"/>
  <c r="C112" i="26"/>
  <c r="D124" i="26"/>
  <c r="F11" i="26"/>
  <c r="G12" i="26"/>
  <c r="H12" i="26"/>
  <c r="C125" i="26"/>
  <c r="C124" i="26"/>
  <c r="C136" i="26"/>
  <c r="D136" i="26"/>
  <c r="F12" i="26"/>
  <c r="G13" i="26"/>
  <c r="H13" i="26"/>
  <c r="C137" i="26"/>
  <c r="C148" i="26"/>
  <c r="D148" i="26"/>
  <c r="F13" i="26"/>
  <c r="G14" i="26"/>
  <c r="H14" i="26"/>
  <c r="C149" i="26"/>
  <c r="D160" i="26"/>
  <c r="F14" i="26"/>
  <c r="C160" i="26"/>
  <c r="W41" i="24"/>
  <c r="Y21" i="24"/>
  <c r="X41" i="24"/>
  <c r="C12" i="11"/>
  <c r="E45" i="11"/>
  <c r="E60" i="11"/>
  <c r="D45" i="11"/>
  <c r="F45" i="11"/>
  <c r="B26" i="11"/>
  <c r="C40" i="11"/>
  <c r="D26" i="11"/>
  <c r="E26" i="11"/>
  <c r="F26" i="11"/>
  <c r="B31" i="11"/>
  <c r="C24" i="18"/>
  <c r="B21" i="11"/>
  <c r="B71" i="11" s="1"/>
  <c r="D8" i="28"/>
  <c r="D7" i="28"/>
  <c r="C23" i="17"/>
  <c r="D6" i="28"/>
  <c r="D5" i="28"/>
  <c r="D4" i="28"/>
  <c r="H32" i="9"/>
  <c r="E20" i="11"/>
  <c r="E70" i="11" s="1"/>
  <c r="B21" i="18"/>
  <c r="D24" i="18"/>
  <c r="D35" i="11"/>
  <c r="I29" i="9"/>
  <c r="C36" i="11"/>
  <c r="G32" i="11"/>
  <c r="L31" i="9"/>
  <c r="D22" i="11"/>
  <c r="G46" i="11"/>
  <c r="G61" i="11"/>
  <c r="F17" i="11"/>
  <c r="E9" i="18"/>
  <c r="E56" i="11"/>
  <c r="E46" i="11"/>
  <c r="B41" i="11"/>
  <c r="M28" i="9"/>
  <c r="B27" i="17"/>
  <c r="I30" i="9"/>
  <c r="C41" i="11"/>
  <c r="C50" i="11" s="1"/>
  <c r="J32" i="9"/>
  <c r="J45" i="9" s="1"/>
  <c r="D20" i="11"/>
  <c r="D70" i="11" s="1"/>
  <c r="G35" i="11"/>
  <c r="F24" i="17"/>
  <c r="F23" i="17"/>
  <c r="B26" i="17"/>
  <c r="D13" i="11"/>
  <c r="E28" i="17"/>
  <c r="C29" i="17"/>
  <c r="B30" i="17"/>
  <c r="E3" i="18"/>
  <c r="K29" i="9"/>
  <c r="C31" i="11"/>
  <c r="B20" i="11"/>
  <c r="B70" i="11" s="1"/>
  <c r="E13" i="11"/>
  <c r="J28" i="9"/>
  <c r="J42" i="9" s="1"/>
  <c r="M29" i="9"/>
  <c r="E22" i="11"/>
  <c r="B35" i="11"/>
  <c r="C20" i="11"/>
  <c r="D27" i="17"/>
  <c r="C31" i="17"/>
  <c r="D16" i="11"/>
  <c r="B24" i="18"/>
  <c r="C5" i="31" s="1"/>
  <c r="C21" i="18"/>
  <c r="D32" i="11"/>
  <c r="D51" i="11" s="1"/>
  <c r="D66" i="11" s="1"/>
  <c r="D28" i="17"/>
  <c r="F41" i="11"/>
  <c r="G8" i="9"/>
  <c r="C55" i="11" s="1"/>
  <c r="B22" i="18"/>
  <c r="C3" i="31" s="1"/>
  <c r="G45" i="11"/>
  <c r="D12" i="11"/>
  <c r="D25" i="17"/>
  <c r="M30" i="9"/>
  <c r="D41" i="11"/>
  <c r="G12" i="11"/>
  <c r="D25" i="18"/>
  <c r="F36" i="11"/>
  <c r="L28" i="9"/>
  <c r="E27" i="17"/>
  <c r="E30" i="17"/>
  <c r="E8" i="18"/>
  <c r="D56" i="11"/>
  <c r="H6" i="17"/>
  <c r="G17" i="11"/>
  <c r="G36" i="11"/>
  <c r="D21" i="11"/>
  <c r="D71" i="11" s="1"/>
  <c r="B28" i="17"/>
  <c r="B29" i="17"/>
  <c r="D40" i="11"/>
  <c r="G28" i="17"/>
  <c r="E4" i="18"/>
  <c r="D29" i="17"/>
  <c r="K31" i="9"/>
  <c r="F46" i="11"/>
  <c r="E10" i="18"/>
  <c r="F56" i="11"/>
  <c r="B12" i="11"/>
  <c r="B49" i="11" s="1"/>
  <c r="B64" i="11" s="1"/>
  <c r="H28" i="9"/>
  <c r="H7" i="17"/>
  <c r="B54" i="11"/>
  <c r="F35" i="11"/>
  <c r="F31" i="17"/>
  <c r="H4" i="17"/>
  <c r="C26" i="17"/>
  <c r="E17" i="11"/>
  <c r="G10" i="9"/>
  <c r="E8" i="11"/>
  <c r="C16" i="11"/>
  <c r="M33" i="9"/>
  <c r="H29" i="9"/>
  <c r="D26" i="18"/>
  <c r="G37" i="11"/>
  <c r="D24" i="17"/>
  <c r="F20" i="11"/>
  <c r="F70" i="11" s="1"/>
  <c r="D30" i="17"/>
  <c r="E2" i="18"/>
  <c r="E24" i="17"/>
  <c r="I28" i="9"/>
  <c r="B25" i="18"/>
  <c r="C27" i="17"/>
  <c r="B24" i="17"/>
  <c r="B23" i="18"/>
  <c r="C4" i="31"/>
  <c r="H12" i="17"/>
  <c r="G54" i="11"/>
  <c r="K30" i="9"/>
  <c r="G27" i="17"/>
  <c r="H10" i="17"/>
  <c r="E54" i="11"/>
  <c r="G30" i="17"/>
  <c r="E40" i="11"/>
  <c r="K33" i="9"/>
  <c r="M32" i="9"/>
  <c r="C23" i="18"/>
  <c r="C37" i="11"/>
  <c r="D22" i="18"/>
  <c r="C24" i="17"/>
  <c r="D31" i="17"/>
  <c r="G20" i="11"/>
  <c r="G70" i="11" s="1"/>
  <c r="C28" i="17"/>
  <c r="F30" i="17"/>
  <c r="H11" i="17"/>
  <c r="F54" i="11"/>
  <c r="G26" i="17"/>
  <c r="B23" i="17"/>
  <c r="G9" i="9"/>
  <c r="D8" i="11" s="1"/>
  <c r="C22" i="18"/>
  <c r="L30" i="9"/>
  <c r="C35" i="11"/>
  <c r="F27" i="17"/>
  <c r="E26" i="17"/>
  <c r="F16" i="11"/>
  <c r="C30" i="17"/>
  <c r="B25" i="17"/>
  <c r="H5" i="17"/>
  <c r="H3" i="17"/>
  <c r="F28" i="17"/>
  <c r="H30" i="9"/>
  <c r="H44" i="9" s="1"/>
  <c r="C25" i="18"/>
  <c r="F31" i="11"/>
  <c r="E12" i="11"/>
  <c r="G22" i="11"/>
  <c r="E11" i="18"/>
  <c r="G56" i="11"/>
  <c r="D23" i="17"/>
  <c r="F22" i="11"/>
  <c r="F25" i="17"/>
  <c r="G21" i="11"/>
  <c r="G71" i="11" s="1"/>
  <c r="G23" i="17"/>
  <c r="C25" i="17"/>
  <c r="G24" i="17"/>
  <c r="E30" i="11"/>
  <c r="E29" i="17"/>
  <c r="F30" i="11"/>
  <c r="E31" i="17"/>
  <c r="G31" i="17"/>
  <c r="G40" i="11"/>
  <c r="F29" i="17"/>
  <c r="K32" i="9"/>
  <c r="H9" i="17"/>
  <c r="D54" i="11"/>
  <c r="E21" i="11"/>
  <c r="E71" i="11" s="1"/>
  <c r="M31" i="9"/>
  <c r="M44" i="9" s="1"/>
  <c r="E6" i="18"/>
  <c r="B56" i="11"/>
  <c r="E7" i="18"/>
  <c r="C56" i="11"/>
  <c r="I33" i="9"/>
  <c r="D21" i="18"/>
  <c r="D61" i="11"/>
  <c r="G31" i="11"/>
  <c r="C26" i="18"/>
  <c r="K28" i="9"/>
  <c r="F26" i="17"/>
  <c r="B13" i="11"/>
  <c r="F13" i="11"/>
  <c r="G11" i="9"/>
  <c r="F8" i="11" s="1"/>
  <c r="I32" i="9"/>
  <c r="I45" i="9" s="1"/>
  <c r="L29" i="9"/>
  <c r="B60" i="11"/>
  <c r="F60" i="11"/>
  <c r="F61" i="11"/>
  <c r="D60" i="11"/>
  <c r="E61" i="11"/>
  <c r="E12" i="18"/>
  <c r="H56" i="11"/>
  <c r="J21" i="11"/>
  <c r="J71" i="11" s="1"/>
  <c r="B8" i="11"/>
  <c r="B27" i="18"/>
  <c r="C8" i="31" s="1"/>
  <c r="O15" i="9"/>
  <c r="H45" i="9"/>
  <c r="G55" i="11"/>
  <c r="A30" i="9"/>
  <c r="B29" i="18"/>
  <c r="C10" i="31" s="1"/>
  <c r="A29" i="9"/>
  <c r="N15" i="9"/>
  <c r="I55" i="11"/>
  <c r="H46" i="9"/>
  <c r="G15" i="9"/>
  <c r="J8" i="11" s="1"/>
  <c r="E15" i="18"/>
  <c r="K56" i="11"/>
  <c r="I36" i="9"/>
  <c r="J22" i="11"/>
  <c r="G51" i="11"/>
  <c r="G66" i="11" s="1"/>
  <c r="B28" i="18"/>
  <c r="C9" i="31" s="1"/>
  <c r="E13" i="18"/>
  <c r="I56" i="11"/>
  <c r="B66" i="11"/>
  <c r="C51" i="11"/>
  <c r="C66" i="11" s="1"/>
  <c r="E55" i="11"/>
  <c r="C8" i="11"/>
  <c r="E51" i="11"/>
  <c r="E66" i="11" s="1"/>
  <c r="H43" i="9"/>
  <c r="C6" i="31"/>
  <c r="I44" i="9"/>
  <c r="D55" i="11"/>
  <c r="M43" i="9"/>
  <c r="M42" i="9"/>
  <c r="G49" i="11"/>
  <c r="G64" i="11" s="1"/>
  <c r="J44" i="9"/>
  <c r="F51" i="11"/>
  <c r="F66" i="11" s="1"/>
  <c r="D50" i="11"/>
  <c r="I42" i="9"/>
  <c r="H42" i="9"/>
  <c r="D49" i="11"/>
  <c r="D64" i="11" s="1"/>
  <c r="G26" i="11"/>
  <c r="H8" i="11"/>
  <c r="M46" i="9"/>
  <c r="J46" i="9"/>
  <c r="L46" i="9"/>
  <c r="M45" i="9"/>
  <c r="I43" i="9"/>
  <c r="L42" i="9"/>
  <c r="E200" i="47"/>
  <c r="D33" i="17"/>
  <c r="M5" i="11"/>
  <c r="C14" i="9"/>
  <c r="C7" i="9"/>
  <c r="C16" i="9"/>
  <c r="C17" i="9"/>
  <c r="J5" i="11"/>
  <c r="H4" i="11"/>
  <c r="B14" i="9"/>
  <c r="C12" i="9"/>
  <c r="B12" i="9"/>
  <c r="B15" i="9"/>
  <c r="I5" i="11"/>
  <c r="L4" i="11"/>
  <c r="J4" i="11"/>
  <c r="B16" i="9"/>
  <c r="B8" i="9"/>
  <c r="C10" i="9"/>
  <c r="F4" i="11"/>
  <c r="D5" i="11"/>
  <c r="F5" i="11"/>
  <c r="D4" i="11"/>
  <c r="B17" i="9"/>
  <c r="G4" i="11"/>
  <c r="C5" i="11"/>
  <c r="N5" i="11"/>
  <c r="H5" i="11"/>
  <c r="B13" i="9"/>
  <c r="K4" i="11"/>
  <c r="B4" i="11"/>
  <c r="C4" i="11"/>
  <c r="I4" i="11"/>
  <c r="C8" i="9"/>
  <c r="B9" i="9"/>
  <c r="C11" i="9"/>
  <c r="G5" i="11"/>
  <c r="E4" i="11"/>
  <c r="E5" i="11"/>
  <c r="B7" i="9"/>
  <c r="C15" i="9"/>
  <c r="B10" i="9"/>
  <c r="C19" i="9"/>
  <c r="L5" i="11"/>
  <c r="B5" i="11"/>
  <c r="K5" i="11"/>
  <c r="C9" i="9"/>
  <c r="B11" i="9"/>
  <c r="C13" i="9"/>
  <c r="C18" i="9"/>
  <c r="E50" i="11" l="1"/>
  <c r="E65" i="11" s="1"/>
  <c r="F50" i="11"/>
  <c r="F49" i="11"/>
  <c r="F64" i="11" s="1"/>
  <c r="J55" i="11"/>
  <c r="K45" i="9"/>
  <c r="E49" i="11"/>
  <c r="E64" i="11" s="1"/>
  <c r="D65" i="11"/>
  <c r="I46" i="9"/>
  <c r="L43" i="9"/>
  <c r="K46" i="9"/>
  <c r="C49" i="11"/>
  <c r="C64" i="11" s="1"/>
  <c r="C70" i="11"/>
  <c r="K43" i="9"/>
  <c r="B50" i="11"/>
  <c r="B65" i="11" s="1"/>
  <c r="L44" i="9"/>
  <c r="H26" i="11"/>
  <c r="K26" i="11"/>
  <c r="J26" i="11"/>
  <c r="I26" i="11"/>
  <c r="L32" i="11"/>
  <c r="K61" i="11"/>
  <c r="L13" i="11"/>
  <c r="J61" i="11"/>
  <c r="L17" i="11"/>
  <c r="L31" i="11"/>
  <c r="L36" i="11"/>
  <c r="L21" i="11"/>
  <c r="I61" i="11"/>
  <c r="L37" i="11"/>
  <c r="K17" i="11"/>
  <c r="K44" i="9"/>
  <c r="F55" i="11"/>
  <c r="L45" i="9"/>
  <c r="C65" i="11"/>
  <c r="K42" i="9"/>
  <c r="H61" i="11"/>
  <c r="H51" i="11"/>
  <c r="H66" i="11" s="1"/>
  <c r="B24" i="30"/>
  <c r="B25" i="30" s="1"/>
  <c r="N27" i="11" s="1"/>
  <c r="L26" i="11"/>
  <c r="E24" i="30"/>
  <c r="B31" i="18"/>
  <c r="G60" i="11"/>
  <c r="G50" i="11"/>
  <c r="G65" i="11" s="1"/>
  <c r="L27" i="11"/>
  <c r="D31" i="18"/>
  <c r="L45" i="11"/>
  <c r="H35" i="9"/>
  <c r="K60" i="11"/>
  <c r="K31" i="11"/>
  <c r="J16" i="11"/>
  <c r="K35" i="11"/>
  <c r="I35" i="9"/>
  <c r="J30" i="11"/>
  <c r="D30" i="18"/>
  <c r="J35" i="9"/>
  <c r="L36" i="9"/>
  <c r="K41" i="11"/>
  <c r="H16" i="11"/>
  <c r="M36" i="9"/>
  <c r="K21" i="11"/>
  <c r="D32" i="17"/>
  <c r="L35" i="9"/>
  <c r="K12" i="11"/>
  <c r="E32" i="17"/>
  <c r="I40" i="11"/>
  <c r="F32" i="17"/>
  <c r="J12" i="11"/>
  <c r="K30" i="11"/>
  <c r="K20" i="11"/>
  <c r="K38" i="9"/>
  <c r="L35" i="11"/>
  <c r="L40" i="11"/>
  <c r="L12" i="11"/>
  <c r="G36" i="17"/>
  <c r="F18" i="17"/>
  <c r="F36" i="17"/>
  <c r="E4" i="28"/>
  <c r="H4" i="28"/>
  <c r="E6" i="28"/>
  <c r="H6" i="28"/>
  <c r="E8" i="28"/>
  <c r="H8" i="28"/>
  <c r="E10" i="28"/>
  <c r="H10" i="28"/>
  <c r="E5" i="28"/>
  <c r="H5" i="28"/>
  <c r="E7" i="28"/>
  <c r="H7" i="28"/>
  <c r="E9" i="28"/>
  <c r="H9" i="28"/>
  <c r="L38" i="9"/>
  <c r="I12" i="11"/>
  <c r="I37" i="9"/>
  <c r="J40" i="11"/>
  <c r="G34" i="17"/>
  <c r="D35" i="17"/>
  <c r="M35" i="9"/>
  <c r="K34" i="9"/>
  <c r="C35" i="17"/>
  <c r="K16" i="11"/>
  <c r="J34" i="9"/>
  <c r="M37" i="9"/>
  <c r="G33" i="17"/>
  <c r="H20" i="11"/>
  <c r="L22" i="11"/>
  <c r="K36" i="9"/>
  <c r="E16" i="18"/>
  <c r="L56" i="11" s="1"/>
  <c r="L30" i="11"/>
  <c r="F35" i="17"/>
  <c r="C31" i="18"/>
  <c r="J37" i="9"/>
  <c r="J35" i="11"/>
  <c r="H38" i="9"/>
  <c r="B30" i="18"/>
  <c r="I20" i="11"/>
  <c r="B36" i="17"/>
  <c r="H35" i="11"/>
  <c r="H30" i="11"/>
  <c r="L61" i="11"/>
  <c r="B35" i="17"/>
  <c r="F34" i="17"/>
  <c r="F33" i="17"/>
  <c r="B33" i="17"/>
  <c r="B34" i="17"/>
  <c r="L34" i="9"/>
  <c r="D13" i="9"/>
  <c r="E13" i="9" s="1"/>
  <c r="F10" i="9"/>
  <c r="D14" i="9"/>
  <c r="E14" i="9" s="1"/>
  <c r="F6" i="11"/>
  <c r="F8" i="9"/>
  <c r="F12" i="9"/>
  <c r="D12" i="9"/>
  <c r="E12" i="9" s="1"/>
  <c r="D10" i="9"/>
  <c r="E10" i="9" s="1"/>
  <c r="D6" i="11"/>
  <c r="D11" i="9"/>
  <c r="E11" i="9" s="1"/>
  <c r="H6" i="11"/>
  <c r="L6" i="11"/>
  <c r="C6" i="11"/>
  <c r="D8" i="9"/>
  <c r="E8" i="9" s="1"/>
  <c r="D17" i="9"/>
  <c r="E17" i="9" s="1"/>
  <c r="D15" i="9"/>
  <c r="E15" i="9" s="1"/>
  <c r="F9" i="9"/>
  <c r="D7" i="9"/>
  <c r="E7" i="9" s="1"/>
  <c r="K6" i="11"/>
  <c r="E6" i="11"/>
  <c r="B6" i="11"/>
  <c r="F11" i="9"/>
  <c r="D16" i="9"/>
  <c r="E16" i="9" s="1"/>
  <c r="F7" i="9"/>
  <c r="J6" i="11"/>
  <c r="F14" i="9"/>
  <c r="F15" i="9"/>
  <c r="F13" i="9"/>
  <c r="I6" i="11"/>
  <c r="D9" i="9"/>
  <c r="E9" i="9" s="1"/>
  <c r="G6" i="11"/>
  <c r="G35" i="17"/>
  <c r="H36" i="9"/>
  <c r="J51" i="11"/>
  <c r="C34" i="17"/>
  <c r="G32" i="17"/>
  <c r="C30" i="18"/>
  <c r="C33" i="18" s="1"/>
  <c r="B16" i="31"/>
  <c r="B13" i="31" s="1"/>
  <c r="M46" i="11" s="1"/>
  <c r="I16" i="11"/>
  <c r="H40" i="11"/>
  <c r="Q17" i="9"/>
  <c r="M34" i="9"/>
  <c r="H14" i="17"/>
  <c r="G16" i="9"/>
  <c r="K40" i="11"/>
  <c r="I49" i="9"/>
  <c r="I35" i="11"/>
  <c r="H12" i="11"/>
  <c r="H16" i="17"/>
  <c r="H50" i="11"/>
  <c r="H60" i="11"/>
  <c r="I60" i="11"/>
  <c r="I50" i="11"/>
  <c r="D36" i="17"/>
  <c r="M38" i="9"/>
  <c r="L37" i="9"/>
  <c r="K37" i="9"/>
  <c r="J60" i="11"/>
  <c r="J50" i="11"/>
  <c r="M45" i="11"/>
  <c r="D14" i="31"/>
  <c r="N45" i="11" s="1"/>
  <c r="M26" i="11"/>
  <c r="N17" i="9"/>
  <c r="C32" i="17"/>
  <c r="C33" i="17"/>
  <c r="H15" i="17"/>
  <c r="E36" i="17"/>
  <c r="D34" i="17"/>
  <c r="I51" i="11"/>
  <c r="I66" i="11" s="1"/>
  <c r="L16" i="11"/>
  <c r="L20" i="11"/>
  <c r="E35" i="17"/>
  <c r="C36" i="17"/>
  <c r="H37" i="9"/>
  <c r="I34" i="9"/>
  <c r="K35" i="9"/>
  <c r="J20" i="11"/>
  <c r="K36" i="11"/>
  <c r="J38" i="9"/>
  <c r="L41" i="11"/>
  <c r="Q16" i="9"/>
  <c r="H17" i="17"/>
  <c r="P17" i="9"/>
  <c r="P16" i="9"/>
  <c r="H13" i="17"/>
  <c r="I38" i="9"/>
  <c r="K51" i="11"/>
  <c r="K66" i="11" s="1"/>
  <c r="J36" i="9"/>
  <c r="H34" i="9"/>
  <c r="I30" i="11"/>
  <c r="G17" i="9"/>
  <c r="E34" i="17"/>
  <c r="O17" i="9"/>
  <c r="N16" i="9"/>
  <c r="B32" i="17"/>
  <c r="E33" i="17"/>
  <c r="K13" i="11"/>
  <c r="O16" i="9"/>
  <c r="F65" i="11" l="1"/>
  <c r="J66" i="11"/>
  <c r="E25" i="30"/>
  <c r="H70" i="11"/>
  <c r="L71" i="11"/>
  <c r="I50" i="9"/>
  <c r="K70" i="11"/>
  <c r="L47" i="9"/>
  <c r="K71" i="11"/>
  <c r="L70" i="11"/>
  <c r="J47" i="9"/>
  <c r="J70" i="11"/>
  <c r="I70" i="11"/>
  <c r="C12" i="31"/>
  <c r="K47" i="9"/>
  <c r="I47" i="9"/>
  <c r="L72" i="11"/>
  <c r="M49" i="9"/>
  <c r="J48" i="9"/>
  <c r="D33" i="18"/>
  <c r="M50" i="9"/>
  <c r="B35" i="18"/>
  <c r="L60" i="11"/>
  <c r="M27" i="11"/>
  <c r="L49" i="9"/>
  <c r="L51" i="11"/>
  <c r="L66" i="11" s="1"/>
  <c r="D35" i="18"/>
  <c r="B93" i="28"/>
  <c r="C93" i="28"/>
  <c r="C81" i="28"/>
  <c r="B81" i="28"/>
  <c r="C69" i="28"/>
  <c r="B69" i="28"/>
  <c r="C57" i="28"/>
  <c r="B57" i="28"/>
  <c r="C45" i="28"/>
  <c r="B45" i="28"/>
  <c r="B33" i="28"/>
  <c r="C33" i="28"/>
  <c r="C105" i="28"/>
  <c r="B105" i="28"/>
  <c r="K55" i="11"/>
  <c r="L50" i="11"/>
  <c r="I54" i="11"/>
  <c r="K54" i="11"/>
  <c r="L50" i="9"/>
  <c r="H49" i="11"/>
  <c r="H49" i="9"/>
  <c r="H54" i="11"/>
  <c r="J54" i="11"/>
  <c r="M51" i="9"/>
  <c r="F19" i="17"/>
  <c r="L54" i="11"/>
  <c r="F41" i="17"/>
  <c r="D41" i="17"/>
  <c r="K48" i="9"/>
  <c r="C11" i="31"/>
  <c r="B41" i="17"/>
  <c r="P178" i="47"/>
  <c r="Q178" i="47" s="1"/>
  <c r="K49" i="11"/>
  <c r="K50" i="9"/>
  <c r="I49" i="11"/>
  <c r="G41" i="17"/>
  <c r="J49" i="11"/>
  <c r="B33" i="18"/>
  <c r="I65" i="11"/>
  <c r="J65" i="11"/>
  <c r="L51" i="9"/>
  <c r="K8" i="11"/>
  <c r="L48" i="9"/>
  <c r="F16" i="9"/>
  <c r="H65" i="11"/>
  <c r="H50" i="9"/>
  <c r="C35" i="18"/>
  <c r="M48" i="9"/>
  <c r="M47" i="9"/>
  <c r="B14" i="31"/>
  <c r="N46" i="11" s="1"/>
  <c r="N61" i="11" s="1"/>
  <c r="M60" i="11"/>
  <c r="H51" i="9"/>
  <c r="K51" i="9"/>
  <c r="K49" i="9"/>
  <c r="J51" i="9"/>
  <c r="I51" i="9"/>
  <c r="K50" i="11"/>
  <c r="I48" i="9"/>
  <c r="L49" i="11"/>
  <c r="C41" i="17"/>
  <c r="L55" i="11"/>
  <c r="L8" i="11"/>
  <c r="F17" i="9"/>
  <c r="H47" i="9"/>
  <c r="H48" i="9"/>
  <c r="E41" i="17"/>
  <c r="J50" i="9"/>
  <c r="J49" i="9"/>
  <c r="H64" i="11" l="1"/>
  <c r="N26" i="11"/>
  <c r="K65" i="11"/>
  <c r="K64" i="11"/>
  <c r="M61" i="11"/>
  <c r="L65" i="11"/>
  <c r="D39" i="17"/>
  <c r="D18" i="17" s="1"/>
  <c r="D19" i="17" s="1"/>
  <c r="G39" i="17"/>
  <c r="G18" i="17" s="1"/>
  <c r="E39" i="17"/>
  <c r="E18" i="17" s="1"/>
  <c r="C39" i="17"/>
  <c r="C18" i="17" s="1"/>
  <c r="C19" i="17" s="1"/>
  <c r="B39" i="17"/>
  <c r="B18" i="17" s="1"/>
  <c r="B19" i="17" s="1"/>
  <c r="N12" i="11" s="1"/>
  <c r="B70" i="28"/>
  <c r="E69" i="28"/>
  <c r="B82" i="28"/>
  <c r="E81" i="28"/>
  <c r="B106" i="28"/>
  <c r="E105" i="28"/>
  <c r="B34" i="28"/>
  <c r="E33" i="28"/>
  <c r="P166" i="47"/>
  <c r="Q166" i="47" s="1"/>
  <c r="B46" i="28"/>
  <c r="E45" i="28"/>
  <c r="P142" i="47"/>
  <c r="Q142" i="47" s="1"/>
  <c r="B94" i="28"/>
  <c r="E93" i="28"/>
  <c r="P167" i="47"/>
  <c r="Q167" i="47" s="1"/>
  <c r="P154" i="47"/>
  <c r="Q154" i="47" s="1"/>
  <c r="B58" i="28"/>
  <c r="E57" i="28"/>
  <c r="J64" i="11"/>
  <c r="I64" i="11"/>
  <c r="M40" i="11"/>
  <c r="M20" i="11"/>
  <c r="L64" i="11"/>
  <c r="P59" i="47"/>
  <c r="P107" i="47"/>
  <c r="P119" i="47"/>
  <c r="P71" i="47"/>
  <c r="P155" i="47"/>
  <c r="Q155" i="47" s="1"/>
  <c r="P143" i="47"/>
  <c r="P95" i="47"/>
  <c r="P83" i="47"/>
  <c r="P131" i="47"/>
  <c r="G19" i="17"/>
  <c r="L56" i="9"/>
  <c r="K56" i="9"/>
  <c r="F23" i="9"/>
  <c r="I56" i="9"/>
  <c r="M56" i="9"/>
  <c r="J56" i="9"/>
  <c r="H56" i="9"/>
  <c r="O71" i="47" l="1"/>
  <c r="O59" i="47"/>
  <c r="O83" i="47"/>
  <c r="O47" i="47"/>
  <c r="O95" i="47"/>
  <c r="O107" i="47"/>
  <c r="O119" i="47"/>
  <c r="M16" i="11"/>
  <c r="N60" i="11"/>
  <c r="G19" i="9"/>
  <c r="G64" i="9" s="1"/>
  <c r="M12" i="11"/>
  <c r="M30" i="11"/>
  <c r="E19" i="17"/>
  <c r="M70" i="11"/>
  <c r="H18" i="17"/>
  <c r="M54" i="11" s="1"/>
  <c r="I54" i="9"/>
  <c r="H54" i="9"/>
  <c r="K54" i="9"/>
  <c r="L54" i="9"/>
  <c r="J54" i="9"/>
  <c r="M54" i="9"/>
  <c r="P168" i="47"/>
  <c r="Q168" i="47" s="1"/>
  <c r="B47" i="28"/>
  <c r="E46" i="28"/>
  <c r="B35" i="28"/>
  <c r="E34" i="28"/>
  <c r="E58" i="28"/>
  <c r="B59" i="28"/>
  <c r="B107" i="28"/>
  <c r="E106" i="28"/>
  <c r="P179" i="47"/>
  <c r="Q179" i="47" s="1"/>
  <c r="B71" i="28"/>
  <c r="E70" i="28"/>
  <c r="P190" i="47"/>
  <c r="B83" i="28"/>
  <c r="E82" i="28"/>
  <c r="P72" i="47"/>
  <c r="Q72" i="47" s="1"/>
  <c r="E94" i="28"/>
  <c r="B95" i="28"/>
  <c r="N16" i="11"/>
  <c r="N20" i="11"/>
  <c r="N40" i="11"/>
  <c r="N30" i="11"/>
  <c r="P84" i="47"/>
  <c r="Q84" i="47" s="1"/>
  <c r="P60" i="47"/>
  <c r="Q60" i="47" s="1"/>
  <c r="P47" i="47"/>
  <c r="Q71" i="47"/>
  <c r="Q35" i="47"/>
  <c r="P96" i="47"/>
  <c r="Q96" i="47" s="1"/>
  <c r="Q95" i="47"/>
  <c r="Q83" i="47"/>
  <c r="Q119" i="47"/>
  <c r="Q143" i="47"/>
  <c r="P108" i="47"/>
  <c r="Q108" i="47" s="1"/>
  <c r="Q59" i="47"/>
  <c r="Q107" i="47"/>
  <c r="P120" i="47"/>
  <c r="Q120" i="47" s="1"/>
  <c r="P132" i="47"/>
  <c r="Q132" i="47" s="1"/>
  <c r="Q131" i="47"/>
  <c r="P144" i="47"/>
  <c r="Q144" i="47" s="1"/>
  <c r="G18" i="9"/>
  <c r="H19" i="17"/>
  <c r="M49" i="11" l="1"/>
  <c r="O120" i="47"/>
  <c r="O48" i="47"/>
  <c r="O108" i="47"/>
  <c r="O60" i="47"/>
  <c r="O84" i="47"/>
  <c r="O72" i="47"/>
  <c r="O96" i="47"/>
  <c r="Q190" i="47"/>
  <c r="I39" i="9"/>
  <c r="I59" i="9" s="1"/>
  <c r="I67" i="9" s="1"/>
  <c r="H39" i="9"/>
  <c r="H40" i="9" s="1"/>
  <c r="M39" i="9"/>
  <c r="G85" i="9"/>
  <c r="N8" i="11" s="1"/>
  <c r="N9" i="11" s="1"/>
  <c r="J39" i="9"/>
  <c r="J59" i="9" s="1"/>
  <c r="J67" i="9" s="1"/>
  <c r="L39" i="9"/>
  <c r="K39" i="9"/>
  <c r="K59" i="9" s="1"/>
  <c r="N70" i="11"/>
  <c r="B84" i="28"/>
  <c r="E83" i="28"/>
  <c r="B108" i="28"/>
  <c r="E107" i="28"/>
  <c r="P156" i="47"/>
  <c r="Q156" i="47" s="1"/>
  <c r="E35" i="28"/>
  <c r="B36" i="28"/>
  <c r="P170" i="47"/>
  <c r="Q170" i="47" s="1"/>
  <c r="P73" i="47"/>
  <c r="Q73" i="47" s="1"/>
  <c r="B96" i="28"/>
  <c r="E95" i="28"/>
  <c r="B72" i="28"/>
  <c r="E71" i="28"/>
  <c r="B48" i="28"/>
  <c r="E47" i="28"/>
  <c r="B60" i="28"/>
  <c r="E59" i="28"/>
  <c r="P169" i="47"/>
  <c r="Q169" i="47" s="1"/>
  <c r="G63" i="9"/>
  <c r="N54" i="11"/>
  <c r="N49" i="11"/>
  <c r="M64" i="11"/>
  <c r="P121" i="47"/>
  <c r="P85" i="47"/>
  <c r="P97" i="47"/>
  <c r="P180" i="47"/>
  <c r="Q180" i="47" s="1"/>
  <c r="P48" i="47"/>
  <c r="Q48" i="47" s="1"/>
  <c r="Q47" i="47"/>
  <c r="P145" i="47"/>
  <c r="Q145" i="47" s="1"/>
  <c r="P61" i="47"/>
  <c r="P133" i="47"/>
  <c r="P109" i="47"/>
  <c r="K40" i="9" l="1"/>
  <c r="N55" i="11"/>
  <c r="O61" i="47"/>
  <c r="O97" i="47"/>
  <c r="O109" i="47"/>
  <c r="O49" i="47"/>
  <c r="O73" i="47"/>
  <c r="O121" i="47"/>
  <c r="O85" i="47"/>
  <c r="H59" i="9"/>
  <c r="H67" i="9" s="1"/>
  <c r="I40" i="9"/>
  <c r="J40" i="9"/>
  <c r="J60" i="9" s="1"/>
  <c r="M40" i="9"/>
  <c r="L59" i="9"/>
  <c r="L67" i="9" s="1"/>
  <c r="L40" i="9"/>
  <c r="M59" i="9"/>
  <c r="M67" i="9" s="1"/>
  <c r="G84" i="9"/>
  <c r="M8" i="11" s="1"/>
  <c r="M9" i="11" s="1"/>
  <c r="K67" i="9"/>
  <c r="H60" i="9"/>
  <c r="I60" i="9"/>
  <c r="M60" i="9"/>
  <c r="K60" i="9"/>
  <c r="L60" i="9"/>
  <c r="N64" i="11"/>
  <c r="E72" i="28"/>
  <c r="B73" i="28"/>
  <c r="E36" i="28"/>
  <c r="B37" i="28"/>
  <c r="E84" i="28"/>
  <c r="B85" i="28"/>
  <c r="B49" i="28"/>
  <c r="E48" i="28"/>
  <c r="E108" i="28"/>
  <c r="B109" i="28"/>
  <c r="P171" i="47"/>
  <c r="B61" i="28"/>
  <c r="E60" i="28"/>
  <c r="B97" i="28"/>
  <c r="E96" i="28"/>
  <c r="P157" i="47"/>
  <c r="Q157" i="47" s="1"/>
  <c r="P86" i="47"/>
  <c r="Q86" i="47" s="1"/>
  <c r="P110" i="47"/>
  <c r="Q110" i="47" s="1"/>
  <c r="P62" i="47"/>
  <c r="Q62" i="47" s="1"/>
  <c r="P122" i="47"/>
  <c r="Q122" i="47" s="1"/>
  <c r="P98" i="47"/>
  <c r="Q98" i="47" s="1"/>
  <c r="P74" i="47"/>
  <c r="Q74" i="47" s="1"/>
  <c r="P158" i="47"/>
  <c r="Q158" i="47" s="1"/>
  <c r="Q85" i="47"/>
  <c r="Q109" i="47"/>
  <c r="P146" i="47"/>
  <c r="P49" i="47"/>
  <c r="Q121" i="47"/>
  <c r="Q97" i="47"/>
  <c r="Q133" i="47"/>
  <c r="P134" i="47"/>
  <c r="Q134" i="47" s="1"/>
  <c r="Q61" i="47"/>
  <c r="N67" i="9" l="1"/>
  <c r="O122" i="47"/>
  <c r="O110" i="47"/>
  <c r="O50" i="47"/>
  <c r="O74" i="47"/>
  <c r="O62" i="47"/>
  <c r="O86" i="47"/>
  <c r="O98" i="47"/>
  <c r="M55" i="11"/>
  <c r="G59" i="9"/>
  <c r="H68" i="9"/>
  <c r="K68" i="9"/>
  <c r="I68" i="9"/>
  <c r="G60" i="9"/>
  <c r="L68" i="9"/>
  <c r="M68" i="9"/>
  <c r="J68" i="9"/>
  <c r="E85" i="28"/>
  <c r="B86" i="28"/>
  <c r="B74" i="28"/>
  <c r="E73" i="28"/>
  <c r="B98" i="28"/>
  <c r="E97" i="28"/>
  <c r="E109" i="28"/>
  <c r="B110" i="28"/>
  <c r="B62" i="28"/>
  <c r="E61" i="28"/>
  <c r="B50" i="28"/>
  <c r="E49" i="28"/>
  <c r="E37" i="28"/>
  <c r="B38" i="28"/>
  <c r="P99" i="47"/>
  <c r="P63" i="47"/>
  <c r="P159" i="47"/>
  <c r="Q159" i="47" s="1"/>
  <c r="P181" i="47"/>
  <c r="Q181" i="47" s="1"/>
  <c r="P111" i="47"/>
  <c r="P123" i="47"/>
  <c r="P75" i="47"/>
  <c r="P147" i="47"/>
  <c r="Q147" i="47" s="1"/>
  <c r="P50" i="47"/>
  <c r="Q50" i="47" s="1"/>
  <c r="Q146" i="47"/>
  <c r="P172" i="47"/>
  <c r="Q172" i="47" s="1"/>
  <c r="P135" i="47"/>
  <c r="Q49" i="47"/>
  <c r="Q171" i="47"/>
  <c r="P87" i="47"/>
  <c r="O75" i="47" l="1"/>
  <c r="O87" i="47"/>
  <c r="O111" i="47"/>
  <c r="O51" i="47"/>
  <c r="O63" i="47"/>
  <c r="O123" i="47"/>
  <c r="O99" i="47"/>
  <c r="G67" i="9"/>
  <c r="N68" i="9"/>
  <c r="G68" i="9"/>
  <c r="P161" i="47"/>
  <c r="P173" i="47"/>
  <c r="B39" i="28"/>
  <c r="E38" i="28"/>
  <c r="B63" i="28"/>
  <c r="E62" i="28"/>
  <c r="B111" i="28"/>
  <c r="E110" i="28"/>
  <c r="E50" i="28"/>
  <c r="B51" i="28"/>
  <c r="B75" i="28"/>
  <c r="E74" i="28"/>
  <c r="E98" i="28"/>
  <c r="B99" i="28"/>
  <c r="B87" i="28"/>
  <c r="E86" i="28"/>
  <c r="P124" i="47"/>
  <c r="Q124" i="47" s="1"/>
  <c r="P76" i="47"/>
  <c r="Q76" i="47" s="1"/>
  <c r="E22" i="28"/>
  <c r="P182" i="47"/>
  <c r="Q182" i="47" s="1"/>
  <c r="Q75" i="47"/>
  <c r="P148" i="47"/>
  <c r="P51" i="47"/>
  <c r="Q63" i="47"/>
  <c r="P100" i="47"/>
  <c r="Q100" i="47" s="1"/>
  <c r="Q123" i="47"/>
  <c r="P64" i="47"/>
  <c r="Q64" i="47" s="1"/>
  <c r="P136" i="47"/>
  <c r="Q136" i="47" s="1"/>
  <c r="Q111" i="47"/>
  <c r="P112" i="47"/>
  <c r="Q112" i="47" s="1"/>
  <c r="Q87" i="47"/>
  <c r="P88" i="47"/>
  <c r="Q88" i="47" s="1"/>
  <c r="Q135" i="47"/>
  <c r="Q99" i="47"/>
  <c r="O112" i="47" l="1"/>
  <c r="O88" i="47"/>
  <c r="O52" i="47"/>
  <c r="P36" i="47"/>
  <c r="Q36" i="47" s="1"/>
  <c r="O36" i="47"/>
  <c r="O76" i="47"/>
  <c r="O64" i="47"/>
  <c r="O100" i="47"/>
  <c r="O124" i="47"/>
  <c r="H71" i="9"/>
  <c r="K71" i="9"/>
  <c r="K63" i="9" s="1"/>
  <c r="I71" i="9"/>
  <c r="J71" i="9"/>
  <c r="L71" i="9"/>
  <c r="L63" i="9" s="1"/>
  <c r="M71" i="9"/>
  <c r="M63" i="9" s="1"/>
  <c r="H72" i="9"/>
  <c r="M72" i="9"/>
  <c r="M64" i="9" s="1"/>
  <c r="J72" i="9"/>
  <c r="I72" i="9"/>
  <c r="L72" i="9"/>
  <c r="L64" i="9" s="1"/>
  <c r="K72" i="9"/>
  <c r="K64" i="9" s="1"/>
  <c r="B40" i="28"/>
  <c r="E39" i="28"/>
  <c r="P160" i="47"/>
  <c r="Q160" i="47" s="1"/>
  <c r="B88" i="28"/>
  <c r="E87" i="28"/>
  <c r="B76" i="28"/>
  <c r="E75" i="28"/>
  <c r="E111" i="28"/>
  <c r="B112" i="28"/>
  <c r="P162" i="47"/>
  <c r="Q162" i="47" s="1"/>
  <c r="E63" i="28"/>
  <c r="B64" i="28"/>
  <c r="B100" i="28"/>
  <c r="E99" i="28"/>
  <c r="E51" i="28"/>
  <c r="B52" i="28"/>
  <c r="P113" i="47"/>
  <c r="P77" i="47"/>
  <c r="Q77" i="47" s="1"/>
  <c r="P125" i="47"/>
  <c r="P65" i="47"/>
  <c r="P89" i="47"/>
  <c r="Q89" i="47" s="1"/>
  <c r="P101" i="47"/>
  <c r="E23" i="28"/>
  <c r="P183" i="47"/>
  <c r="Q183" i="47" s="1"/>
  <c r="P52" i="47"/>
  <c r="Q52" i="47" s="1"/>
  <c r="Q148" i="47"/>
  <c r="P137" i="47"/>
  <c r="Q173" i="47"/>
  <c r="Q161" i="47"/>
  <c r="Q51" i="47"/>
  <c r="P174" i="47"/>
  <c r="Q174" i="47" s="1"/>
  <c r="P149" i="47"/>
  <c r="Q149" i="47" s="1"/>
  <c r="O125" i="47" l="1"/>
  <c r="O65" i="47"/>
  <c r="O53" i="47"/>
  <c r="O113" i="47"/>
  <c r="O89" i="47"/>
  <c r="O101" i="47"/>
  <c r="O77" i="47"/>
  <c r="P37" i="47"/>
  <c r="Q37" i="47" s="1"/>
  <c r="O37" i="47"/>
  <c r="M84" i="9"/>
  <c r="L84" i="9"/>
  <c r="J63" i="9"/>
  <c r="I63" i="9"/>
  <c r="K84" i="9"/>
  <c r="H63" i="9"/>
  <c r="N71" i="9"/>
  <c r="M85" i="9"/>
  <c r="K85" i="9"/>
  <c r="L85" i="9"/>
  <c r="I64" i="9"/>
  <c r="J64" i="9"/>
  <c r="H64" i="9"/>
  <c r="N72" i="9"/>
  <c r="B113" i="28"/>
  <c r="E112" i="28"/>
  <c r="B101" i="28"/>
  <c r="E100" i="28"/>
  <c r="B53" i="28"/>
  <c r="E52" i="28"/>
  <c r="E76" i="28"/>
  <c r="B77" i="28"/>
  <c r="B65" i="28"/>
  <c r="E64" i="28"/>
  <c r="B89" i="28"/>
  <c r="E88" i="28"/>
  <c r="B41" i="28"/>
  <c r="E40" i="28"/>
  <c r="P163" i="47"/>
  <c r="Q163" i="47" s="1"/>
  <c r="P90" i="47"/>
  <c r="Q90" i="47" s="1"/>
  <c r="P78" i="47"/>
  <c r="Q78" i="47" s="1"/>
  <c r="P66" i="47"/>
  <c r="Q66" i="47" s="1"/>
  <c r="P114" i="47"/>
  <c r="Q114" i="47" s="1"/>
  <c r="E24" i="28"/>
  <c r="P184" i="47"/>
  <c r="Q184" i="47" s="1"/>
  <c r="P138" i="47"/>
  <c r="Q138" i="47" s="1"/>
  <c r="Q113" i="47"/>
  <c r="P102" i="47"/>
  <c r="Q102" i="47" s="1"/>
  <c r="P150" i="47"/>
  <c r="Q150" i="47" s="1"/>
  <c r="Q125" i="47"/>
  <c r="Q137" i="47"/>
  <c r="P126" i="47"/>
  <c r="Q126" i="47" s="1"/>
  <c r="Q65" i="47"/>
  <c r="P175" i="47"/>
  <c r="Q175" i="47" s="1"/>
  <c r="P53" i="47"/>
  <c r="Q101" i="47"/>
  <c r="O90" i="47" l="1"/>
  <c r="O126" i="47"/>
  <c r="P38" i="47"/>
  <c r="Q38" i="47" s="1"/>
  <c r="O38" i="47"/>
  <c r="O54" i="47"/>
  <c r="O66" i="47"/>
  <c r="O102" i="47"/>
  <c r="O78" i="47"/>
  <c r="O114" i="47"/>
  <c r="H84" i="9"/>
  <c r="M13" i="11" s="1"/>
  <c r="N63" i="9"/>
  <c r="I84" i="9"/>
  <c r="J84" i="9"/>
  <c r="M41" i="11"/>
  <c r="M36" i="11"/>
  <c r="D17" i="18"/>
  <c r="C17" i="18"/>
  <c r="M31" i="11"/>
  <c r="D18" i="18"/>
  <c r="N41" i="11"/>
  <c r="N36" i="11"/>
  <c r="N31" i="11"/>
  <c r="I85" i="9"/>
  <c r="J85" i="9"/>
  <c r="C18" i="18"/>
  <c r="N64" i="9"/>
  <c r="H85" i="9"/>
  <c r="B78" i="28"/>
  <c r="E77" i="28"/>
  <c r="P164" i="47"/>
  <c r="Q164" i="47" s="1"/>
  <c r="B42" i="28"/>
  <c r="E41" i="28"/>
  <c r="E89" i="28"/>
  <c r="B90" i="28"/>
  <c r="E101" i="28"/>
  <c r="B102" i="28"/>
  <c r="P176" i="47"/>
  <c r="Q176" i="47" s="1"/>
  <c r="E113" i="28"/>
  <c r="B114" i="28"/>
  <c r="B66" i="28"/>
  <c r="E65" i="28"/>
  <c r="E53" i="28"/>
  <c r="B54" i="28"/>
  <c r="P91" i="47"/>
  <c r="Q91" i="47" s="1"/>
  <c r="P67" i="47"/>
  <c r="E25" i="28"/>
  <c r="P185" i="47"/>
  <c r="Q185" i="47" s="1"/>
  <c r="P79" i="47"/>
  <c r="Q79" i="47" s="1"/>
  <c r="P115" i="47"/>
  <c r="Q115" i="47" s="1"/>
  <c r="P151" i="47"/>
  <c r="Q151" i="47" s="1"/>
  <c r="P127" i="47"/>
  <c r="Q127" i="47" s="1"/>
  <c r="P103" i="47"/>
  <c r="P54" i="47"/>
  <c r="Q54" i="47" s="1"/>
  <c r="P139" i="47"/>
  <c r="Q53" i="47"/>
  <c r="O103" i="47" l="1"/>
  <c r="O79" i="47"/>
  <c r="O55" i="47"/>
  <c r="P39" i="47"/>
  <c r="Q39" i="47" s="1"/>
  <c r="O39" i="47"/>
  <c r="O127" i="47"/>
  <c r="O91" i="47"/>
  <c r="O67" i="47"/>
  <c r="O115" i="47"/>
  <c r="M37" i="11"/>
  <c r="M17" i="11"/>
  <c r="M32" i="11"/>
  <c r="N84" i="9"/>
  <c r="M21" i="11"/>
  <c r="B17" i="18"/>
  <c r="N17" i="11"/>
  <c r="B18" i="18"/>
  <c r="N32" i="11"/>
  <c r="N21" i="11"/>
  <c r="N37" i="11"/>
  <c r="N85" i="9"/>
  <c r="N13" i="11"/>
  <c r="P177" i="47"/>
  <c r="Q177" i="47" s="1"/>
  <c r="B115" i="28"/>
  <c r="E114" i="28"/>
  <c r="B91" i="28"/>
  <c r="E90" i="28"/>
  <c r="B55" i="28"/>
  <c r="E54" i="28"/>
  <c r="B67" i="28"/>
  <c r="E66" i="28"/>
  <c r="B79" i="28"/>
  <c r="E78" i="28"/>
  <c r="B43" i="28"/>
  <c r="E42" i="28"/>
  <c r="B103" i="28"/>
  <c r="E102" i="28"/>
  <c r="P104" i="47"/>
  <c r="Q104" i="47" s="1"/>
  <c r="P128" i="47"/>
  <c r="Q128" i="47" s="1"/>
  <c r="P80" i="47"/>
  <c r="Q80" i="47" s="1"/>
  <c r="P68" i="47"/>
  <c r="Q68" i="47" s="1"/>
  <c r="P116" i="47"/>
  <c r="Q116" i="47" s="1"/>
  <c r="E26" i="28"/>
  <c r="P186" i="47"/>
  <c r="Q186" i="47" s="1"/>
  <c r="P141" i="47"/>
  <c r="Q141" i="47" s="1"/>
  <c r="Q139" i="47"/>
  <c r="P152" i="47"/>
  <c r="Q152" i="47" s="1"/>
  <c r="P153" i="47"/>
  <c r="Q153" i="47" s="1"/>
  <c r="P55" i="47"/>
  <c r="P140" i="47"/>
  <c r="Q140" i="47" s="1"/>
  <c r="Q67" i="47"/>
  <c r="Q103" i="47"/>
  <c r="P92" i="47"/>
  <c r="Q92" i="47" s="1"/>
  <c r="P40" i="47" l="1"/>
  <c r="Q40" i="47" s="1"/>
  <c r="O40" i="47"/>
  <c r="O80" i="47"/>
  <c r="O104" i="47"/>
  <c r="O128" i="47"/>
  <c r="O56" i="47"/>
  <c r="O116" i="47"/>
  <c r="O92" i="47"/>
  <c r="O68" i="47"/>
  <c r="M71" i="11"/>
  <c r="E17" i="18"/>
  <c r="M56" i="11" s="1"/>
  <c r="M22" i="11"/>
  <c r="M50" i="11"/>
  <c r="M65" i="11" s="1"/>
  <c r="N22" i="11"/>
  <c r="N50" i="11"/>
  <c r="N65" i="11" s="1"/>
  <c r="N71" i="11"/>
  <c r="E18" i="18"/>
  <c r="N56" i="11" s="1"/>
  <c r="B116" i="28"/>
  <c r="E115" i="28"/>
  <c r="B104" i="28"/>
  <c r="E103" i="28"/>
  <c r="B44" i="28"/>
  <c r="E43" i="28"/>
  <c r="B68" i="28"/>
  <c r="E67" i="28"/>
  <c r="B80" i="28"/>
  <c r="E79" i="28"/>
  <c r="B92" i="28"/>
  <c r="E91" i="28"/>
  <c r="P165" i="47"/>
  <c r="Q165" i="47" s="1"/>
  <c r="B56" i="28"/>
  <c r="E55" i="28"/>
  <c r="P129" i="47"/>
  <c r="Q129" i="47" s="1"/>
  <c r="P93" i="47"/>
  <c r="Q93" i="47" s="1"/>
  <c r="P105" i="47"/>
  <c r="Q105" i="47" s="1"/>
  <c r="P81" i="47"/>
  <c r="Q81" i="47" s="1"/>
  <c r="P117" i="47"/>
  <c r="Q117" i="47" s="1"/>
  <c r="P69" i="47"/>
  <c r="Q69" i="47" s="1"/>
  <c r="P57" i="47"/>
  <c r="Q57" i="47" s="1"/>
  <c r="E27" i="28"/>
  <c r="Q200" i="47"/>
  <c r="P187" i="47"/>
  <c r="Q55" i="47"/>
  <c r="Q201" i="47"/>
  <c r="Q202" i="47"/>
  <c r="Q203" i="47"/>
  <c r="P56" i="47"/>
  <c r="Q56" i="47" s="1"/>
  <c r="O93" i="47" l="1"/>
  <c r="O81" i="47"/>
  <c r="O129" i="47"/>
  <c r="P41" i="47"/>
  <c r="Q41" i="47" s="1"/>
  <c r="O41" i="47"/>
  <c r="O69" i="47"/>
  <c r="O57" i="47"/>
  <c r="O105" i="47"/>
  <c r="O117" i="47"/>
  <c r="N72" i="11"/>
  <c r="N51" i="11"/>
  <c r="N66" i="11" s="1"/>
  <c r="M72" i="11"/>
  <c r="M51" i="11"/>
  <c r="M66" i="11" s="1"/>
  <c r="E104" i="28"/>
  <c r="C104" i="28"/>
  <c r="E68" i="28"/>
  <c r="C68" i="28"/>
  <c r="E56" i="28"/>
  <c r="C56" i="28"/>
  <c r="E92" i="28"/>
  <c r="C92" i="28"/>
  <c r="E80" i="28"/>
  <c r="C80" i="28"/>
  <c r="E44" i="28"/>
  <c r="C44" i="28"/>
  <c r="E116" i="28"/>
  <c r="C116" i="28"/>
  <c r="P82" i="47"/>
  <c r="P106" i="47"/>
  <c r="P58" i="47"/>
  <c r="Q58" i="47" s="1"/>
  <c r="P70" i="47"/>
  <c r="P94" i="47"/>
  <c r="P118" i="47"/>
  <c r="P130" i="47"/>
  <c r="E28" i="28"/>
  <c r="Q187" i="47"/>
  <c r="P188" i="47"/>
  <c r="Q188" i="47" s="1"/>
  <c r="O118" i="47" l="1"/>
  <c r="O106" i="47"/>
  <c r="P42" i="47"/>
  <c r="Q42" i="47" s="1"/>
  <c r="O42" i="47"/>
  <c r="O130" i="47"/>
  <c r="O58" i="47"/>
  <c r="O94" i="47"/>
  <c r="O70" i="47"/>
  <c r="O82" i="47"/>
  <c r="Q193" i="47"/>
  <c r="Q70" i="47"/>
  <c r="Q194" i="47"/>
  <c r="Q106" i="47"/>
  <c r="Q197" i="47"/>
  <c r="Q130" i="47"/>
  <c r="Q199" i="47"/>
  <c r="Q118" i="47"/>
  <c r="Q198" i="47"/>
  <c r="Q94" i="47"/>
  <c r="Q196" i="47"/>
  <c r="Q82" i="47"/>
  <c r="Q195" i="47"/>
  <c r="E29" i="28"/>
  <c r="P189" i="47"/>
  <c r="P43" i="47" l="1"/>
  <c r="Q43" i="47" s="1"/>
  <c r="O43" i="47"/>
  <c r="E30" i="28"/>
  <c r="Q189" i="47"/>
  <c r="Q204" i="47"/>
  <c r="P44" i="47" l="1"/>
  <c r="Q44" i="47" s="1"/>
  <c r="O44" i="47"/>
  <c r="E31" i="28"/>
  <c r="P45" i="47" l="1"/>
  <c r="Q45" i="47" s="1"/>
  <c r="O45" i="47"/>
  <c r="F3" i="28"/>
  <c r="G4" i="28" s="1"/>
  <c r="E32" i="28"/>
  <c r="C32" i="28"/>
  <c r="P46" i="47" l="1"/>
  <c r="Q46" i="47" s="1"/>
  <c r="O46" i="47"/>
  <c r="Q192" i="47"/>
  <c r="F4" i="28"/>
  <c r="G5" i="28" s="1"/>
  <c r="F5" i="28" l="1"/>
  <c r="G6" i="28" s="1"/>
  <c r="F6" i="28" l="1"/>
  <c r="G7" i="28" s="1"/>
  <c r="F7" i="28" l="1"/>
  <c r="G8" i="28" s="1"/>
  <c r="F8" i="28" l="1"/>
  <c r="G9" i="28" s="1"/>
  <c r="F9" i="28" l="1"/>
  <c r="G10" i="28" s="1"/>
  <c r="F10" i="28" l="1"/>
  <c r="G11" i="28" s="1"/>
</calcChain>
</file>

<file path=xl/comments1.xml><?xml version="1.0" encoding="utf-8"?>
<comments xmlns="http://schemas.openxmlformats.org/spreadsheetml/2006/main">
  <authors>
    <author>Oana Stefan</author>
  </authors>
  <commentList>
    <comment ref="C11" authorId="0">
      <text>
        <r>
          <rPr>
            <b/>
            <sz val="9"/>
            <color indexed="81"/>
            <rFont val="Tahoma"/>
            <family val="2"/>
          </rPr>
          <t>Oana Stefan:</t>
        </r>
        <r>
          <rPr>
            <sz val="9"/>
            <color indexed="81"/>
            <rFont val="Tahoma"/>
            <family val="2"/>
          </rPr>
          <t xml:space="preserve">
Pleaceholder to be updated in August with 2014 CDM Report from IESO
</t>
        </r>
      </text>
    </comment>
  </commentList>
</comments>
</file>

<file path=xl/comments2.xml><?xml version="1.0" encoding="utf-8"?>
<comments xmlns="http://schemas.openxmlformats.org/spreadsheetml/2006/main">
  <authors>
    <author>User</author>
  </authors>
  <commentList>
    <comment ref="M35" authorId="0">
      <text>
        <r>
          <rPr>
            <b/>
            <sz val="9"/>
            <color indexed="81"/>
            <rFont val="Tahoma"/>
            <family val="2"/>
          </rPr>
          <t>User:</t>
        </r>
        <r>
          <rPr>
            <sz val="9"/>
            <color indexed="81"/>
            <rFont val="Tahoma"/>
            <family val="2"/>
          </rPr>
          <t xml:space="preserve">
revised number of connections</t>
        </r>
      </text>
    </comment>
    <comment ref="N35" authorId="0">
      <text>
        <r>
          <rPr>
            <b/>
            <sz val="9"/>
            <color indexed="81"/>
            <rFont val="Tahoma"/>
            <family val="2"/>
          </rPr>
          <t>User:</t>
        </r>
        <r>
          <rPr>
            <sz val="9"/>
            <color indexed="81"/>
            <rFont val="Tahoma"/>
            <family val="2"/>
          </rPr>
          <t xml:space="preserve">
revised number of connections x Geomean</t>
        </r>
      </text>
    </comment>
  </commentList>
</comments>
</file>

<file path=xl/comments3.xml><?xml version="1.0" encoding="utf-8"?>
<comments xmlns="http://schemas.openxmlformats.org/spreadsheetml/2006/main">
  <authors>
    <author>Oana Stefan</author>
  </authors>
  <commentList>
    <comment ref="C25" authorId="0">
      <text>
        <r>
          <rPr>
            <b/>
            <sz val="9"/>
            <color indexed="81"/>
            <rFont val="Tahoma"/>
            <family val="2"/>
          </rPr>
          <t>Oana Stefan:</t>
        </r>
        <r>
          <rPr>
            <sz val="9"/>
            <color indexed="81"/>
            <rFont val="Tahoma"/>
            <family val="2"/>
          </rPr>
          <t xml:space="preserve">
confirmed E+ is being billed for 2 connection points from BL6700 as of 2021 Q1.</t>
        </r>
      </text>
    </comment>
  </commentList>
</comments>
</file>

<file path=xl/comments4.xml><?xml version="1.0" encoding="utf-8"?>
<comments xmlns="http://schemas.openxmlformats.org/spreadsheetml/2006/main">
  <authors>
    <author>User</author>
  </authors>
  <commentList>
    <comment ref="H75" authorId="0">
      <text>
        <r>
          <rPr>
            <b/>
            <sz val="9"/>
            <color indexed="81"/>
            <rFont val="Tahoma"/>
            <family val="2"/>
          </rPr>
          <t>User:</t>
        </r>
        <r>
          <rPr>
            <sz val="9"/>
            <color indexed="81"/>
            <rFont val="Tahoma"/>
            <family val="2"/>
          </rPr>
          <t xml:space="preserve">
allocations on the basis of net kWh savings per class for 2014 programs. Heavy weighting towards GS&gt;50 appears to be consistent with BPI's CDM Plan for 2015-2021</t>
        </r>
      </text>
    </comment>
  </commentList>
</comments>
</file>

<file path=xl/comments5.xml><?xml version="1.0" encoding="utf-8"?>
<comments xmlns="http://schemas.openxmlformats.org/spreadsheetml/2006/main">
  <authors>
    <author>User</author>
  </authors>
  <commentList>
    <comment ref="W13" authorId="0">
      <text>
        <r>
          <rPr>
            <b/>
            <sz val="9"/>
            <color indexed="81"/>
            <rFont val="Tahoma"/>
            <family val="2"/>
          </rPr>
          <t>User:</t>
        </r>
        <r>
          <rPr>
            <sz val="9"/>
            <color indexed="81"/>
            <rFont val="Tahoma"/>
            <family val="2"/>
          </rPr>
          <t xml:space="preserve">
transition mth from Pearson A to toronto Intl stations</t>
        </r>
      </text>
    </comment>
  </commentList>
</comments>
</file>

<file path=xl/comments6.xml><?xml version="1.0" encoding="utf-8"?>
<comments xmlns="http://schemas.openxmlformats.org/spreadsheetml/2006/main">
  <authors>
    <author>User</author>
  </authors>
  <commentList>
    <comment ref="D7" authorId="0">
      <text>
        <r>
          <rPr>
            <b/>
            <sz val="9"/>
            <color indexed="81"/>
            <rFont val="Tahoma"/>
            <family val="2"/>
          </rPr>
          <t>User:</t>
        </r>
        <r>
          <rPr>
            <sz val="9"/>
            <color indexed="81"/>
            <rFont val="Tahoma"/>
            <family val="2"/>
          </rPr>
          <t xml:space="preserve">
actual consumption 
</t>
        </r>
      </text>
    </comment>
  </commentList>
</comments>
</file>

<file path=xl/sharedStrings.xml><?xml version="1.0" encoding="utf-8"?>
<sst xmlns="http://schemas.openxmlformats.org/spreadsheetml/2006/main" count="334" uniqueCount="192">
  <si>
    <t>Purchased</t>
  </si>
  <si>
    <t>Loss Factor</t>
  </si>
  <si>
    <t>Total Billed</t>
  </si>
  <si>
    <t>Heating Degree Days</t>
  </si>
  <si>
    <t>Cooling Degree Days</t>
  </si>
  <si>
    <t>Number of Days in Month</t>
  </si>
  <si>
    <t>Purchases</t>
  </si>
  <si>
    <t>Modeled Purchases</t>
  </si>
  <si>
    <t>% Difference</t>
  </si>
  <si>
    <t>Total</t>
  </si>
  <si>
    <t>Average</t>
  </si>
  <si>
    <t xml:space="preserve">Geomean </t>
  </si>
  <si>
    <t>Usage Per Customer</t>
  </si>
  <si>
    <t xml:space="preserve">Total </t>
  </si>
  <si>
    <t xml:space="preserve">Used </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</si>
  <si>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</si>
  <si>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</si>
  <si>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</si>
  <si>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</si>
  <si>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</si>
  <si>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</si>
  <si>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</si>
  <si>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</si>
  <si>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</si>
  <si>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</si>
  <si>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</si>
  <si>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</si>
  <si>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</si>
  <si>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</si>
  <si>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</si>
  <si>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</si>
  <si>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</si>
  <si>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</si>
  <si>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</si>
  <si>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</si>
  <si>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</si>
  <si>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Lower 95.0%</t>
  </si>
  <si>
    <t>Upper 95.0%</t>
  </si>
  <si>
    <t>Difference</t>
  </si>
  <si>
    <t xml:space="preserve">Growth Rate in Customer Numbers </t>
  </si>
  <si>
    <t>Weatther Normal Projection</t>
  </si>
  <si>
    <t>Weather Corrected Forecast</t>
  </si>
  <si>
    <t>Non Weather Corrected Forecast</t>
  </si>
  <si>
    <t>% Weather Sensitive</t>
  </si>
  <si>
    <t>Allocation of Weather Sensitive Amount</t>
  </si>
  <si>
    <t xml:space="preserve">  Customers</t>
  </si>
  <si>
    <t xml:space="preserve">  kWh</t>
  </si>
  <si>
    <t xml:space="preserve">  kW</t>
  </si>
  <si>
    <t xml:space="preserve">  kW from applicable classes</t>
  </si>
  <si>
    <t xml:space="preserve">  Customer/Connections</t>
  </si>
  <si>
    <t>Actual kWh Purchases</t>
  </si>
  <si>
    <t>Predicted kWh Purchases</t>
  </si>
  <si>
    <t>By Class</t>
  </si>
  <si>
    <t>Billed kWh</t>
  </si>
  <si>
    <t>Used</t>
  </si>
  <si>
    <t>kW/kWh</t>
  </si>
  <si>
    <t>Residential</t>
  </si>
  <si>
    <t>GS&lt;50</t>
  </si>
  <si>
    <t>USL</t>
  </si>
  <si>
    <t>Streetlights</t>
  </si>
  <si>
    <t xml:space="preserve">  Connections</t>
  </si>
  <si>
    <t>Total of Above</t>
  </si>
  <si>
    <t>Check should all be zero</t>
  </si>
  <si>
    <t>Sentinels</t>
  </si>
  <si>
    <t xml:space="preserve">2010 Actual </t>
  </si>
  <si>
    <t>May want to be consistent with proposed loss factor</t>
  </si>
  <si>
    <t xml:space="preserve">2011 Actual </t>
  </si>
  <si>
    <t xml:space="preserve">2015 Actual </t>
  </si>
  <si>
    <t>2014 Actual</t>
  </si>
  <si>
    <t>2013 Actual</t>
  </si>
  <si>
    <t xml:space="preserve">2012 Actual </t>
  </si>
  <si>
    <t xml:space="preserve">Allocation of CDM Amount </t>
  </si>
  <si>
    <t>CDM Adjusted Weather Corrected Forecast</t>
  </si>
  <si>
    <t>(to be entered as negaitve)</t>
  </si>
  <si>
    <t>Summary of Degree Day Information</t>
  </si>
  <si>
    <t>Station Name</t>
  </si>
  <si>
    <t>TORONTO LESTER B. PEARSON INT'L A</t>
  </si>
  <si>
    <t>Summary of All Heating Degree Days</t>
  </si>
  <si>
    <t>Month</t>
  </si>
  <si>
    <t>20 Year Trend</t>
  </si>
  <si>
    <t>January</t>
  </si>
  <si>
    <t>February</t>
  </si>
  <si>
    <t>March</t>
  </si>
  <si>
    <t>April</t>
  </si>
  <si>
    <t>May</t>
  </si>
  <si>
    <t>June</t>
  </si>
  <si>
    <t>July</t>
  </si>
  <si>
    <t>August</t>
  </si>
  <si>
    <t>September</t>
  </si>
  <si>
    <t>October</t>
  </si>
  <si>
    <t>November</t>
  </si>
  <si>
    <t>December</t>
  </si>
  <si>
    <t>Summary of All Cooling Degree Days</t>
  </si>
  <si>
    <t>Check</t>
  </si>
  <si>
    <t>Jan</t>
  </si>
  <si>
    <t>Feb</t>
  </si>
  <si>
    <t>Mar</t>
  </si>
  <si>
    <t>Apr</t>
  </si>
  <si>
    <t>Jun</t>
  </si>
  <si>
    <t>Jul</t>
  </si>
  <si>
    <t>Aug</t>
  </si>
  <si>
    <t>Sep</t>
  </si>
  <si>
    <t>Oct</t>
  </si>
  <si>
    <t>Nov</t>
  </si>
  <si>
    <t>Dec</t>
  </si>
  <si>
    <t xml:space="preserve">Net Persistent CDM Impact </t>
  </si>
  <si>
    <t>kWh</t>
  </si>
  <si>
    <t xml:space="preserve">Half-Year New Net Savings </t>
  </si>
  <si>
    <t>Persistence+Half Year new Savings</t>
  </si>
  <si>
    <t xml:space="preserve">Net New CDM Savings in Year </t>
  </si>
  <si>
    <t xml:space="preserve">Increase over previous year </t>
  </si>
  <si>
    <t xml:space="preserve">Monthly Increase </t>
  </si>
  <si>
    <t>December Savings * 12</t>
  </si>
  <si>
    <t>( 1993- July 12, 2013)</t>
  </si>
  <si>
    <t>TORONTO INTL A</t>
  </si>
  <si>
    <t>(June 13, 2013- present)</t>
  </si>
  <si>
    <t>Mo.</t>
  </si>
  <si>
    <t xml:space="preserve">Persistence Results </t>
  </si>
  <si>
    <t xml:space="preserve">Historic Load </t>
  </si>
  <si>
    <t>Description:</t>
  </si>
  <si>
    <t xml:space="preserve">Brantford Power Embedded Distributor is billed directly by the IESO for electricity consumption, global adjustment, and other charges. </t>
  </si>
  <si>
    <t xml:space="preserve">Brantford Power bills its Embedded Distributor for distribution and transmission charges only. </t>
  </si>
  <si>
    <t xml:space="preserve">kW </t>
  </si>
  <si>
    <t xml:space="preserve">Number of connections </t>
  </si>
  <si>
    <t xml:space="preserve">Embedded Distributor </t>
  </si>
  <si>
    <t xml:space="preserve">Predicted Purchases </t>
  </si>
  <si>
    <t xml:space="preserve">Est. kWh </t>
  </si>
  <si>
    <t>kW-kWH ratio (GS&gt;50)</t>
  </si>
  <si>
    <t>GS&gt;50 kWh to kW</t>
  </si>
  <si>
    <t xml:space="preserve">Wholesale Market Participants </t>
  </si>
  <si>
    <t>Less: Total from Model</t>
  </si>
  <si>
    <t xml:space="preserve">Less: Embedded +WMP </t>
  </si>
  <si>
    <t>GS&gt;50 (excl. WMP)</t>
  </si>
  <si>
    <t xml:space="preserve">Adjust Sentinel Light Consumption </t>
  </si>
  <si>
    <t>Forecast Years are based on the following assumptions :</t>
  </si>
  <si>
    <t>10 Year Average</t>
  </si>
  <si>
    <t>5 Year Average</t>
  </si>
  <si>
    <t>2021-Forecast</t>
  </si>
  <si>
    <t>2016 Actual</t>
  </si>
  <si>
    <t>2017 Actual</t>
  </si>
  <si>
    <t>2018 Actual</t>
  </si>
  <si>
    <t>2019 Actual</t>
  </si>
  <si>
    <t>2021 Weather Normal, CDM Adjusted</t>
  </si>
  <si>
    <t>2020 Actual</t>
  </si>
  <si>
    <t>2022 Weather Normal, CDM Adjusted</t>
  </si>
  <si>
    <t xml:space="preserve">*detail from the YoY RRR summary </t>
  </si>
  <si>
    <t>Brantford Power Weather Normal Load Forecast for 2022 Rate Application</t>
  </si>
  <si>
    <t>* from RRR data</t>
  </si>
  <si>
    <t>Change from 2019</t>
  </si>
  <si>
    <t xml:space="preserve">2022-Forecast </t>
  </si>
  <si>
    <t>Year</t>
  </si>
  <si>
    <t xml:space="preserve">Based on the above, BPI does not have - or reuire- kWh billing data for its embedded distritbutor. </t>
  </si>
  <si>
    <t>Data</t>
  </si>
  <si>
    <t>MMM-YYYY</t>
  </si>
  <si>
    <t>Count of Purchased</t>
  </si>
  <si>
    <t xml:space="preserve">Sum of Predicted Purchases </t>
  </si>
  <si>
    <t>Sum of Purchased2</t>
  </si>
  <si>
    <t>&lt;-Forecast</t>
  </si>
  <si>
    <t>Predicted Less Acturals</t>
  </si>
  <si>
    <t>Sum of Predicted Less Acturals</t>
  </si>
  <si>
    <t>Sum of Heating Degree Days</t>
  </si>
  <si>
    <t>Sum of Cooling Degree Days</t>
  </si>
  <si>
    <t>&lt;-Forecast (GDP still an est.)</t>
  </si>
  <si>
    <t>Adjustments to streetlights</t>
  </si>
  <si>
    <t>average number of customers opening and closing average change 2016-2020</t>
  </si>
  <si>
    <t>2006-2014 Persistance kW</t>
  </si>
  <si>
    <t xml:space="preserve">                       -  </t>
  </si>
  <si>
    <t>2006-2014 Persistance kWh</t>
  </si>
  <si>
    <t>2015-2019  Persistance kWh</t>
  </si>
  <si>
    <t>2015-2019  Persistance kW</t>
  </si>
  <si>
    <t>Sub Total 2015-2019  Persistance kWh</t>
  </si>
  <si>
    <t>New Results</t>
  </si>
  <si>
    <t>Est. Additional Persistence</t>
  </si>
  <si>
    <t>Row Labels</t>
  </si>
  <si>
    <t>Grand Total</t>
  </si>
  <si>
    <t>Sum of Purchased</t>
  </si>
  <si>
    <t>Total Persistent</t>
  </si>
  <si>
    <t>with shap</t>
  </si>
  <si>
    <t>Flat</t>
  </si>
  <si>
    <t>Method to allocate Persistence:</t>
  </si>
  <si>
    <t>Trend</t>
  </si>
  <si>
    <t>Ontario Real GDP (Indexed)</t>
  </si>
  <si>
    <t>Total:</t>
  </si>
  <si>
    <t>YoY %Change</t>
  </si>
  <si>
    <t>Last application Averages</t>
  </si>
  <si>
    <t>10 Year Avg</t>
  </si>
  <si>
    <t>Difference from 2017</t>
  </si>
  <si>
    <t>Different from 2020</t>
  </si>
  <si>
    <t>1% growth annually</t>
  </si>
  <si>
    <t>GS&gt;50 with WMP</t>
  </si>
  <si>
    <t>CDM</t>
  </si>
  <si>
    <t>Correlation between Trend &amp; CDM from Jan 2010 to Dec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</si>
</sst>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44" formatCode="_(&quot;$&quot;* #,##0.00_);_(&quot;$&quot;* \(#,##0.00\);_(&quot;$&quot;* &quot;-&quot;??_);_(@_)"/>
    <numFmt numFmtId="43" formatCode="_(* #,##0.00_);_(* \(#,##0.00\);_(* &quot;-&quot;??_);_(@_)"/>
    <numFmt numFmtId="165" formatCode="0.0%"/>
    <numFmt numFmtId="166" formatCode="#,##0;\(#,##0\)"/>
    <numFmt numFmtId="167" formatCode="0.0000"/>
    <numFmt numFmtId="168" formatCode="#,##0.0000"/>
    <numFmt numFmtId="169" formatCode="0.0000%"/>
    <numFmt numFmtId="170" formatCode="_(* #,##0_);_(* \(#,##0\);_(* &quot;-&quot;??_);_(@_)"/>
    <numFmt numFmtId="174" formatCode="mmm\-yyyy"/>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name val="Arial"/>
      <family val="2"/>
    </font>
    <font>
      <u/>
      <sz val="10"/>
      <name val="Arial"/>
      <family val="2"/>
    </font>
    <font>
      <b/>
      <sz val="10"/>
      <name val="Arial"/>
      <family val="2"/>
    </font>
    <font>
      <b/>
      <sz val="12"/>
      <name val="Arial"/>
      <family val="2"/>
    </font>
    <font>
      <b/>
      <sz val="10"/>
      <color indexed="10"/>
      <name val="Arial"/>
      <family val="2"/>
    </font>
    <font>
      <sz val="8"/>
      <name val="Arial"/>
      <family val="2"/>
    </font>
    <font>
      <sz val="10"/>
      <name val="Times New Roman"/>
      <family val="1"/>
    </font>
    <font>
      <i/>
      <sz val="8"/>
      <name val="Arial"/>
      <family val="2"/>
    </font>
    <font>
      <b/>
      <u/>
      <sz val="8"/>
      <name val="Arial"/>
      <family val="2"/>
    </font>
    <font>
      <b/>
      <sz val="8"/>
      <name val="Arial"/>
      <family val="2"/>
    </font>
    <font>
      <sz val="9"/>
      <color indexed="81"/>
      <name val="Tahoma"/>
      <family val="2"/>
    </font>
    <font>
      <b/>
      <sz val="9"/>
      <color indexed="81"/>
      <name val="Tahoma"/>
      <family val="2"/>
    </font>
    <font>
      <i/>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FF0000"/>
      <name val="Arial"/>
      <family val="2"/>
    </font>
    <font>
      <sz val="10"/>
      <color theme="0"/>
      <name val="Arial"/>
      <family val="2"/>
    </font>
    <font>
      <b/>
      <sz val="14"/>
      <color rgb="FFC00000"/>
      <name val="Arial"/>
      <family val="2"/>
    </font>
    <font>
      <b/>
      <sz val="12"/>
      <color theme="0"/>
      <name val="Arial"/>
      <family val="2"/>
    </font>
    <font>
      <sz val="12"/>
      <name val="Arial"/>
      <family val="2"/>
    </font>
    <font>
      <b/>
      <sz val="14"/>
      <color rgb="FFFF0000"/>
      <name val="Arial"/>
      <family val="2"/>
    </font>
  </fonts>
  <fills count="50">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2"/>
        <bgColor indexed="64"/>
      </patternFill>
    </fill>
    <fill>
      <patternFill patternType="solid">
        <fgColor theme="6"/>
        <bgColor indexed="64"/>
      </patternFill>
    </fill>
    <fill>
      <patternFill patternType="solid">
        <fgColor theme="8"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rgb="FF00B0F0"/>
        <bgColor indexed="64"/>
      </patternFill>
    </fill>
    <fill>
      <patternFill patternType="solid">
        <fgColor theme="3" tint="-0.499984740745262"/>
        <bgColor indexed="64"/>
      </patternFill>
    </fill>
    <fill>
      <patternFill patternType="solid">
        <fgColor rgb="FF00FF00"/>
        <bgColor indexed="64"/>
      </patternFill>
    </fill>
    <fill>
      <patternFill patternType="solid">
        <fgColor indexed="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style="thin">
        <color indexed="8"/>
      </left>
      <right/>
      <top style="thin">
        <color indexed="8"/>
      </top>
      <bottom/>
      <diagonal/>
    </border>
    <border>
      <left style="thin">
        <color indexed="65"/>
      </left>
      <right style="thin">
        <color indexed="8"/>
      </right>
      <top style="thin">
        <color indexed="8"/>
      </top>
      <bottom/>
      <diagonal/>
    </border>
    <border>
      <left style="thin">
        <color indexed="8"/>
      </left>
      <right/>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65"/>
      </left>
      <right/>
      <top style="thin">
        <color indexed="8"/>
      </top>
      <bottom/>
      <diagonal/>
    </border>
    <border>
      <left/>
      <right/>
      <top style="thin">
        <color indexed="8"/>
      </top>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20">
    <xf numFmtId="0" fontId="0" fillId="0" borderId="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6" fillId="29" borderId="0" applyNumberFormat="0" applyBorder="0" applyAlignment="0" applyProtection="0"/>
    <xf numFmtId="0" fontId="27" fillId="30" borderId="19" applyNumberFormat="0" applyAlignment="0" applyProtection="0"/>
    <xf numFmtId="0" fontId="28" fillId="31" borderId="20" applyNumberFormat="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14" fontId="6" fillId="0" borderId="0" applyFont="0" applyFill="0" applyBorder="0" applyAlignment="0" applyProtection="0"/>
    <xf numFmtId="14" fontId="6"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0" fontId="29" fillId="0" borderId="0" applyNumberForma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30" fillId="32" borderId="0" applyNumberFormat="0" applyBorder="0" applyAlignment="0" applyProtection="0"/>
    <xf numFmtId="0" fontId="31" fillId="0" borderId="21" applyNumberFormat="0" applyFill="0" applyAlignment="0" applyProtection="0"/>
    <xf numFmtId="0" fontId="32" fillId="0" borderId="22" applyNumberFormat="0" applyFill="0" applyAlignment="0" applyProtection="0"/>
    <xf numFmtId="0" fontId="33" fillId="0" borderId="23"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33" borderId="19" applyNumberFormat="0" applyAlignment="0" applyProtection="0"/>
    <xf numFmtId="0" fontId="36" fillId="0" borderId="24" applyNumberFormat="0" applyFill="0" applyAlignment="0" applyProtection="0"/>
    <xf numFmtId="0" fontId="37" fillId="34" borderId="0" applyNumberFormat="0" applyBorder="0" applyAlignment="0" applyProtection="0"/>
    <xf numFmtId="0" fontId="6" fillId="0" borderId="0"/>
    <xf numFmtId="0" fontId="12" fillId="0" borderId="0"/>
    <xf numFmtId="0" fontId="5" fillId="0" borderId="0"/>
    <xf numFmtId="0" fontId="24" fillId="0" borderId="0"/>
    <xf numFmtId="0" fontId="6" fillId="0" borderId="0"/>
    <xf numFmtId="0" fontId="5" fillId="0" borderId="0"/>
    <xf numFmtId="0" fontId="5" fillId="0" borderId="0"/>
    <xf numFmtId="0" fontId="6" fillId="0" borderId="0"/>
    <xf numFmtId="0" fontId="5" fillId="0" borderId="0"/>
    <xf numFmtId="0" fontId="6" fillId="0" borderId="0"/>
    <xf numFmtId="0" fontId="5" fillId="0" borderId="0"/>
    <xf numFmtId="0" fontId="5" fillId="0" borderId="0"/>
    <xf numFmtId="0" fontId="5" fillId="0" borderId="0"/>
    <xf numFmtId="0" fontId="24" fillId="35" borderId="25" applyNumberFormat="0" applyFont="0" applyAlignment="0" applyProtection="0"/>
    <xf numFmtId="0" fontId="4" fillId="35" borderId="25" applyNumberFormat="0" applyFont="0" applyAlignment="0" applyProtection="0"/>
    <xf numFmtId="0" fontId="38" fillId="30" borderId="26" applyNumberFormat="0" applyAlignment="0" applyProtection="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9" fillId="0" borderId="0" applyNumberFormat="0" applyFill="0" applyBorder="0" applyAlignment="0" applyProtection="0"/>
    <xf numFmtId="0" fontId="40" fillId="0" borderId="27" applyNumberFormat="0" applyFill="0" applyAlignment="0" applyProtection="0"/>
    <xf numFmtId="0" fontId="41" fillId="0" borderId="0" applyNumberForma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9" fontId="3" fillId="0" borderId="0" applyFont="0" applyFill="0" applyBorder="0" applyAlignment="0" applyProtection="0"/>
    <xf numFmtId="0" fontId="5" fillId="49" borderId="1" applyNumberFormat="0" applyProtection="0">
      <alignment horizontal="left" vertical="center"/>
    </xf>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43" fontId="3" fillId="0" borderId="0" applyFont="0" applyFill="0" applyBorder="0" applyAlignment="0" applyProtection="0"/>
    <xf numFmtId="0" fontId="3" fillId="0" borderId="0"/>
    <xf numFmtId="0" fontId="3" fillId="35" borderId="25" applyNumberFormat="0" applyFont="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43" fontId="2" fillId="0" borderId="0" applyFont="0" applyFill="0" applyBorder="0" applyAlignment="0" applyProtection="0"/>
    <xf numFmtId="0" fontId="2" fillId="0" borderId="0"/>
    <xf numFmtId="0" fontId="2" fillId="35" borderId="25" applyNumberFormat="0" applyFont="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43" fontId="1" fillId="0" borderId="0" applyFont="0" applyFill="0" applyBorder="0" applyAlignment="0" applyProtection="0"/>
    <xf numFmtId="0" fontId="1" fillId="0" borderId="0"/>
    <xf numFmtId="0" fontId="1" fillId="35" borderId="25" applyNumberFormat="0" applyFont="0" applyAlignment="0" applyProtection="0"/>
    <xf numFmtId="9" fontId="1" fillId="0" borderId="0" applyFont="0" applyFill="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43" fontId="1" fillId="0" borderId="0" applyFont="0" applyFill="0" applyBorder="0" applyAlignment="0" applyProtection="0"/>
    <xf numFmtId="0" fontId="1" fillId="0" borderId="0"/>
    <xf numFmtId="0" fontId="1" fillId="35" borderId="25" applyNumberFormat="0" applyFont="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43" fontId="1" fillId="0" borderId="0" applyFont="0" applyFill="0" applyBorder="0" applyAlignment="0" applyProtection="0"/>
    <xf numFmtId="0" fontId="1" fillId="0" borderId="0"/>
    <xf numFmtId="0" fontId="1" fillId="35" borderId="25" applyNumberFormat="0" applyFont="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43" fontId="1" fillId="0" borderId="0" applyFont="0" applyFill="0" applyBorder="0" applyAlignment="0" applyProtection="0"/>
    <xf numFmtId="0" fontId="1" fillId="0" borderId="0"/>
    <xf numFmtId="0" fontId="1" fillId="35" borderId="25" applyNumberFormat="0" applyFont="0" applyAlignment="0" applyProtection="0"/>
    <xf numFmtId="9" fontId="1" fillId="0" borderId="0" applyFont="0" applyFill="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43" fontId="1" fillId="0" borderId="0" applyFont="0" applyFill="0" applyBorder="0" applyAlignment="0" applyProtection="0"/>
    <xf numFmtId="0" fontId="1" fillId="0" borderId="0"/>
    <xf numFmtId="0" fontId="1" fillId="35" borderId="25" applyNumberFormat="0" applyFont="0" applyAlignment="0" applyProtection="0"/>
  </cellStyleXfs>
  <cellXfs count="287">
    <xf numFmtId="0" fontId="0" fillId="0" borderId="0" xfId="0"/>
    <xf numFmtId="0" fontId="0" fillId="0" borderId="0" xfId="0" applyAlignment="1">
      <alignment horizontal="center"/>
    </xf>
    <xf numFmtId="0" fontId="7" fillId="0" borderId="0" xfId="0" applyFont="1" applyAlignment="1">
      <alignment horizontal="center"/>
    </xf>
    <xf numFmtId="17" fontId="0" fillId="0" borderId="0" xfId="0" applyNumberFormat="1"/>
    <xf numFmtId="0" fontId="0" fillId="0" borderId="0" xfId="0" applyAlignment="1">
      <alignment horizontal="right"/>
    </xf>
    <xf numFmtId="165" fontId="0" fillId="0" borderId="0" xfId="0" applyNumberFormat="1" applyAlignment="1">
      <alignment horizontal="center"/>
    </xf>
    <xf numFmtId="3" fontId="0" fillId="0" borderId="0" xfId="0" applyNumberFormat="1" applyAlignment="1">
      <alignment horizontal="center"/>
    </xf>
    <xf numFmtId="3" fontId="7" fillId="0" borderId="0" xfId="0" applyNumberFormat="1" applyFont="1" applyAlignment="1">
      <alignment horizontal="center"/>
    </xf>
    <xf numFmtId="3" fontId="6" fillId="0" borderId="0" xfId="0" applyNumberFormat="1" applyFont="1" applyAlignment="1">
      <alignment horizontal="center" wrapText="1"/>
    </xf>
    <xf numFmtId="3" fontId="7" fillId="0" borderId="0" xfId="0" applyNumberFormat="1" applyFont="1" applyAlignment="1">
      <alignment horizontal="center" wrapText="1"/>
    </xf>
    <xf numFmtId="3" fontId="6" fillId="0" borderId="0" xfId="0" applyNumberFormat="1" applyFont="1" applyAlignment="1">
      <alignment horizontal="center"/>
    </xf>
    <xf numFmtId="3" fontId="5" fillId="0" borderId="0" xfId="28" applyNumberFormat="1" applyAlignment="1">
      <alignment horizontal="center"/>
    </xf>
    <xf numFmtId="0" fontId="6" fillId="0" borderId="0" xfId="0" applyFont="1"/>
    <xf numFmtId="10" fontId="0" fillId="0" borderId="0" xfId="0" applyNumberFormat="1" applyAlignment="1">
      <alignment horizontal="center"/>
    </xf>
    <xf numFmtId="0" fontId="0" fillId="2" borderId="0" xfId="0" applyFill="1" applyAlignment="1">
      <alignment horizontal="center"/>
    </xf>
    <xf numFmtId="0" fontId="8" fillId="0" borderId="0" xfId="0" applyFont="1"/>
    <xf numFmtId="0" fontId="8" fillId="0" borderId="0" xfId="0" applyFont="1" applyAlignment="1"/>
    <xf numFmtId="3" fontId="0" fillId="2" borderId="0" xfId="0" applyNumberFormat="1" applyFill="1" applyAlignment="1">
      <alignment horizontal="center"/>
    </xf>
    <xf numFmtId="17" fontId="8" fillId="0" borderId="0" xfId="0" applyNumberFormat="1" applyFont="1"/>
    <xf numFmtId="0" fontId="0" fillId="0" borderId="0" xfId="0" applyFill="1" applyAlignment="1">
      <alignment horizontal="center"/>
    </xf>
    <xf numFmtId="167" fontId="0" fillId="0" borderId="0" xfId="0" applyNumberFormat="1" applyAlignment="1">
      <alignment horizontal="center"/>
    </xf>
    <xf numFmtId="168" fontId="0" fillId="0" borderId="0" xfId="0" applyNumberFormat="1" applyAlignment="1">
      <alignment horizontal="center"/>
    </xf>
    <xf numFmtId="9" fontId="0" fillId="0" borderId="0" xfId="0" applyNumberFormat="1" applyAlignment="1">
      <alignment horizontal="center"/>
    </xf>
    <xf numFmtId="3" fontId="0" fillId="0" borderId="0" xfId="0" applyNumberFormat="1" applyFill="1" applyAlignment="1">
      <alignment horizontal="center"/>
    </xf>
    <xf numFmtId="169" fontId="0" fillId="0" borderId="0" xfId="0" applyNumberFormat="1" applyAlignment="1">
      <alignment horizontal="center"/>
    </xf>
    <xf numFmtId="0" fontId="0" fillId="0" borderId="1" xfId="0" applyBorder="1" applyAlignment="1">
      <alignment horizontal="right"/>
    </xf>
    <xf numFmtId="3" fontId="6" fillId="2" borderId="1" xfId="0" applyNumberFormat="1" applyFont="1" applyFill="1" applyBorder="1" applyAlignment="1">
      <alignment horizontal="center"/>
    </xf>
    <xf numFmtId="0" fontId="0" fillId="0" borderId="0" xfId="0" applyFill="1"/>
    <xf numFmtId="166" fontId="0" fillId="0" borderId="0" xfId="0" applyNumberFormat="1" applyAlignment="1">
      <alignment horizontal="center"/>
    </xf>
    <xf numFmtId="0" fontId="0" fillId="0" borderId="0" xfId="0" applyNumberFormat="1" applyBorder="1"/>
    <xf numFmtId="3" fontId="0" fillId="3" borderId="0" xfId="0" applyNumberFormat="1" applyFill="1" applyAlignment="1">
      <alignment horizontal="center"/>
    </xf>
    <xf numFmtId="3" fontId="6" fillId="3" borderId="0" xfId="0" applyNumberFormat="1" applyFont="1" applyFill="1" applyAlignment="1">
      <alignment horizontal="center"/>
    </xf>
    <xf numFmtId="0" fontId="0" fillId="0" borderId="0" xfId="0" applyAlignment="1">
      <alignment horizontal="left"/>
    </xf>
    <xf numFmtId="0" fontId="0" fillId="0" borderId="0" xfId="0" applyAlignment="1">
      <alignment horizontal="center" wrapText="1"/>
    </xf>
    <xf numFmtId="3" fontId="0" fillId="3" borderId="1" xfId="0" applyNumberFormat="1" applyFill="1" applyBorder="1" applyAlignment="1">
      <alignment horizontal="center"/>
    </xf>
    <xf numFmtId="3" fontId="6" fillId="3" borderId="1" xfId="0" applyNumberFormat="1" applyFont="1" applyFill="1" applyBorder="1" applyAlignment="1">
      <alignment horizontal="center"/>
    </xf>
    <xf numFmtId="3" fontId="7" fillId="3" borderId="0" xfId="0" applyNumberFormat="1" applyFont="1" applyFill="1" applyAlignment="1">
      <alignment horizontal="center"/>
    </xf>
    <xf numFmtId="3" fontId="6" fillId="3" borderId="0" xfId="0" applyNumberFormat="1" applyFont="1" applyFill="1" applyAlignment="1">
      <alignment horizontal="center" wrapText="1"/>
    </xf>
    <xf numFmtId="3" fontId="7" fillId="3" borderId="0" xfId="0" applyNumberFormat="1" applyFont="1" applyFill="1" applyAlignment="1">
      <alignment horizontal="center" wrapText="1"/>
    </xf>
    <xf numFmtId="0" fontId="5" fillId="0" borderId="0" xfId="0" applyFont="1" applyFill="1"/>
    <xf numFmtId="167" fontId="0" fillId="4" borderId="0" xfId="0" applyNumberFormat="1" applyFill="1" applyAlignment="1">
      <alignment horizontal="center"/>
    </xf>
    <xf numFmtId="167" fontId="0" fillId="0" borderId="0" xfId="0" applyNumberFormat="1" applyFill="1" applyAlignment="1">
      <alignment horizontal="center"/>
    </xf>
    <xf numFmtId="3" fontId="5" fillId="3" borderId="0" xfId="0" applyNumberFormat="1" applyFont="1" applyFill="1" applyAlignment="1">
      <alignment horizontal="center"/>
    </xf>
    <xf numFmtId="166" fontId="0" fillId="2" borderId="0" xfId="0" applyNumberFormat="1" applyFill="1" applyAlignment="1">
      <alignment horizontal="center"/>
    </xf>
    <xf numFmtId="10" fontId="0" fillId="3" borderId="0" xfId="0" applyNumberFormat="1" applyFill="1" applyAlignment="1">
      <alignment horizontal="center"/>
    </xf>
    <xf numFmtId="0" fontId="0" fillId="0" borderId="0" xfId="0" applyFill="1" applyAlignment="1">
      <alignment horizontal="center" wrapText="1"/>
    </xf>
    <xf numFmtId="3" fontId="0" fillId="0" borderId="0" xfId="0" applyNumberFormat="1" applyFill="1" applyAlignment="1">
      <alignment horizontal="center" wrapText="1"/>
    </xf>
    <xf numFmtId="17" fontId="0" fillId="0" borderId="2" xfId="0" applyNumberFormat="1" applyBorder="1"/>
    <xf numFmtId="0" fontId="0" fillId="0" borderId="3" xfId="0" applyBorder="1"/>
    <xf numFmtId="17" fontId="0" fillId="0" borderId="4" xfId="0" applyNumberFormat="1" applyBorder="1"/>
    <xf numFmtId="37" fontId="6" fillId="0" borderId="0" xfId="0" applyNumberFormat="1" applyFont="1" applyBorder="1" applyAlignment="1">
      <alignment horizontal="center"/>
    </xf>
    <xf numFmtId="0" fontId="0" fillId="0" borderId="0" xfId="0" applyBorder="1"/>
    <xf numFmtId="17" fontId="0" fillId="0" borderId="5" xfId="0" applyNumberFormat="1" applyBorder="1"/>
    <xf numFmtId="0" fontId="0" fillId="0" borderId="6" xfId="0" applyBorder="1"/>
    <xf numFmtId="166" fontId="0" fillId="0" borderId="0" xfId="0" applyNumberFormat="1" applyFill="1" applyAlignment="1">
      <alignment horizontal="center"/>
    </xf>
    <xf numFmtId="0" fontId="0" fillId="0" borderId="0" xfId="0" applyNumberFormat="1" applyFill="1" applyBorder="1"/>
    <xf numFmtId="3" fontId="0" fillId="36" borderId="0" xfId="0" applyNumberFormat="1" applyFill="1" applyAlignment="1">
      <alignment horizontal="center"/>
    </xf>
    <xf numFmtId="0" fontId="0" fillId="37" borderId="0" xfId="0" applyFill="1"/>
    <xf numFmtId="0" fontId="0" fillId="0" borderId="0" xfId="0" applyFill="1" applyAlignment="1">
      <alignment horizontal="right"/>
    </xf>
    <xf numFmtId="43" fontId="11" fillId="0" borderId="0" xfId="48" applyFont="1"/>
    <xf numFmtId="43" fontId="15" fillId="0" borderId="0" xfId="48" applyFont="1" applyAlignment="1">
      <alignment horizontal="right"/>
    </xf>
    <xf numFmtId="4" fontId="11" fillId="2" borderId="0" xfId="76" applyNumberFormat="1" applyFont="1" applyFill="1"/>
    <xf numFmtId="0" fontId="0" fillId="38" borderId="0" xfId="0" applyFill="1"/>
    <xf numFmtId="0" fontId="0" fillId="0" borderId="0" xfId="0" applyAlignment="1">
      <alignment wrapText="1"/>
    </xf>
    <xf numFmtId="0" fontId="0" fillId="0" borderId="1" xfId="0" applyBorder="1" applyAlignment="1">
      <alignment horizontal="center"/>
    </xf>
    <xf numFmtId="43" fontId="0" fillId="0" borderId="0" xfId="28" applyFont="1" applyBorder="1" applyAlignment="1">
      <alignment horizontal="center"/>
    </xf>
    <xf numFmtId="0" fontId="8" fillId="0" borderId="0" xfId="87" applyFont="1"/>
    <xf numFmtId="0" fontId="5" fillId="0" borderId="0" xfId="87"/>
    <xf numFmtId="0" fontId="5" fillId="0" borderId="0" xfId="87" applyFill="1"/>
    <xf numFmtId="0" fontId="13" fillId="0" borderId="0" xfId="87" applyFont="1"/>
    <xf numFmtId="0" fontId="14" fillId="0" borderId="0" xfId="87" applyFont="1"/>
    <xf numFmtId="0" fontId="11" fillId="0" borderId="0" xfId="87" applyFont="1"/>
    <xf numFmtId="0" fontId="15" fillId="0" borderId="6" xfId="87" applyFont="1" applyBorder="1" applyAlignment="1">
      <alignment horizontal="right"/>
    </xf>
    <xf numFmtId="0" fontId="15" fillId="0" borderId="6" xfId="87" applyFont="1" applyFill="1" applyBorder="1" applyAlignment="1">
      <alignment horizontal="right"/>
    </xf>
    <xf numFmtId="0" fontId="15" fillId="39" borderId="6" xfId="87" applyFont="1" applyFill="1" applyBorder="1" applyAlignment="1">
      <alignment horizontal="right"/>
    </xf>
    <xf numFmtId="0" fontId="15" fillId="39" borderId="0" xfId="87" applyFont="1" applyFill="1" applyBorder="1" applyAlignment="1">
      <alignment horizontal="right"/>
    </xf>
    <xf numFmtId="0" fontId="15" fillId="0" borderId="0" xfId="87" applyFont="1" applyFill="1" applyBorder="1" applyAlignment="1">
      <alignment horizontal="right"/>
    </xf>
    <xf numFmtId="0" fontId="15" fillId="2" borderId="0" xfId="87" applyFont="1" applyFill="1"/>
    <xf numFmtId="0" fontId="5" fillId="39" borderId="0" xfId="87" applyFill="1"/>
    <xf numFmtId="0" fontId="11" fillId="0" borderId="0" xfId="87" applyFont="1" applyAlignment="1">
      <alignment horizontal="right"/>
    </xf>
    <xf numFmtId="43" fontId="11" fillId="0" borderId="0" xfId="87" applyNumberFormat="1" applyFont="1" applyAlignment="1">
      <alignment horizontal="right"/>
    </xf>
    <xf numFmtId="43" fontId="11" fillId="0" borderId="0" xfId="87" applyNumberFormat="1" applyFont="1" applyFill="1" applyAlignment="1">
      <alignment horizontal="right"/>
    </xf>
    <xf numFmtId="43" fontId="11" fillId="39" borderId="0" xfId="87" applyNumberFormat="1" applyFont="1" applyFill="1" applyAlignment="1">
      <alignment horizontal="right"/>
    </xf>
    <xf numFmtId="2" fontId="11" fillId="2" borderId="0" xfId="87" applyNumberFormat="1" applyFont="1" applyFill="1"/>
    <xf numFmtId="43" fontId="11" fillId="40" borderId="0" xfId="87" applyNumberFormat="1" applyFont="1" applyFill="1" applyAlignment="1">
      <alignment horizontal="right"/>
    </xf>
    <xf numFmtId="0" fontId="11" fillId="39" borderId="0" xfId="87" applyFont="1" applyFill="1" applyAlignment="1">
      <alignment horizontal="right"/>
    </xf>
    <xf numFmtId="0" fontId="11" fillId="0" borderId="0" xfId="87" applyFont="1" applyFill="1" applyAlignment="1">
      <alignment horizontal="right"/>
    </xf>
    <xf numFmtId="0" fontId="42" fillId="2" borderId="0" xfId="87" applyFont="1" applyFill="1"/>
    <xf numFmtId="3" fontId="0" fillId="0" borderId="0" xfId="0" applyNumberFormat="1" applyFill="1" applyBorder="1" applyAlignment="1">
      <alignment vertical="top"/>
    </xf>
    <xf numFmtId="0" fontId="6" fillId="0" borderId="0" xfId="0" applyFont="1" applyBorder="1" applyAlignment="1">
      <alignment wrapText="1"/>
    </xf>
    <xf numFmtId="10" fontId="5" fillId="3" borderId="0" xfId="0" applyNumberFormat="1" applyFont="1" applyFill="1" applyAlignment="1">
      <alignment horizontal="center"/>
    </xf>
    <xf numFmtId="0" fontId="9" fillId="0" borderId="0" xfId="0" applyFont="1" applyAlignment="1">
      <alignment wrapText="1"/>
    </xf>
    <xf numFmtId="0" fontId="8" fillId="0" borderId="0" xfId="0" applyFont="1" applyAlignment="1">
      <alignment wrapText="1"/>
    </xf>
    <xf numFmtId="0" fontId="0" fillId="0" borderId="0" xfId="0" applyFill="1" applyAlignment="1">
      <alignment horizontal="left" wrapText="1"/>
    </xf>
    <xf numFmtId="0" fontId="0" fillId="0" borderId="0" xfId="0" applyFill="1" applyAlignment="1">
      <alignment wrapText="1"/>
    </xf>
    <xf numFmtId="3" fontId="8" fillId="0" borderId="0" xfId="0" applyNumberFormat="1" applyFont="1" applyAlignment="1">
      <alignment wrapText="1"/>
    </xf>
    <xf numFmtId="3" fontId="0" fillId="0" borderId="0" xfId="0" applyNumberFormat="1" applyAlignment="1">
      <alignment wrapText="1"/>
    </xf>
    <xf numFmtId="3" fontId="5" fillId="37" borderId="0" xfId="0" applyNumberFormat="1" applyFont="1" applyFill="1" applyAlignment="1">
      <alignment horizontal="center" wrapText="1"/>
    </xf>
    <xf numFmtId="170" fontId="0" fillId="0" borderId="0" xfId="28" applyNumberFormat="1" applyFont="1" applyAlignment="1">
      <alignment wrapText="1"/>
    </xf>
    <xf numFmtId="43" fontId="0" fillId="0" borderId="0" xfId="0" applyNumberFormat="1"/>
    <xf numFmtId="43" fontId="0" fillId="40" borderId="0" xfId="0" applyNumberFormat="1" applyFill="1"/>
    <xf numFmtId="0" fontId="5" fillId="0" borderId="0" xfId="0" applyFont="1"/>
    <xf numFmtId="43" fontId="0" fillId="0" borderId="0" xfId="0" applyNumberFormat="1" applyAlignment="1">
      <alignment wrapText="1"/>
    </xf>
    <xf numFmtId="0" fontId="5" fillId="0" borderId="0" xfId="0" applyFont="1" applyFill="1" applyAlignment="1">
      <alignment horizontal="center" wrapText="1"/>
    </xf>
    <xf numFmtId="0" fontId="5" fillId="0" borderId="0" xfId="87" applyFont="1"/>
    <xf numFmtId="170" fontId="0" fillId="0" borderId="0" xfId="28" applyNumberFormat="1" applyFont="1"/>
    <xf numFmtId="170" fontId="19" fillId="37" borderId="0" xfId="28" applyNumberFormat="1" applyFont="1" applyFill="1"/>
    <xf numFmtId="170" fontId="0" fillId="0" borderId="3" xfId="28" applyNumberFormat="1" applyFont="1" applyBorder="1"/>
    <xf numFmtId="170" fontId="0" fillId="0" borderId="0" xfId="28" applyNumberFormat="1" applyFont="1" applyBorder="1"/>
    <xf numFmtId="170" fontId="0" fillId="0" borderId="6" xfId="28" applyNumberFormat="1" applyFont="1" applyBorder="1"/>
    <xf numFmtId="43" fontId="0" fillId="0" borderId="0" xfId="0" applyNumberFormat="1" applyBorder="1"/>
    <xf numFmtId="3" fontId="43" fillId="0" borderId="0" xfId="0" applyNumberFormat="1" applyFont="1" applyFill="1" applyAlignment="1">
      <alignment horizontal="center" wrapText="1"/>
    </xf>
    <xf numFmtId="0" fontId="5" fillId="0" borderId="0" xfId="0" applyFont="1" applyAlignment="1">
      <alignment wrapText="1"/>
    </xf>
    <xf numFmtId="170" fontId="5" fillId="0" borderId="0" xfId="28" applyNumberFormat="1" applyFont="1"/>
    <xf numFmtId="169" fontId="5" fillId="0" borderId="0" xfId="92" applyNumberFormat="1" applyFont="1"/>
    <xf numFmtId="170" fontId="0" fillId="42" borderId="0" xfId="0" applyNumberFormat="1" applyFill="1"/>
    <xf numFmtId="170" fontId="5" fillId="42" borderId="0" xfId="28" applyNumberFormat="1" applyFont="1" applyFill="1"/>
    <xf numFmtId="0" fontId="0" fillId="43" borderId="0" xfId="0" applyFill="1"/>
    <xf numFmtId="43" fontId="0" fillId="43" borderId="0" xfId="0" applyNumberFormat="1" applyFill="1"/>
    <xf numFmtId="0" fontId="0" fillId="40" borderId="0" xfId="0" applyFill="1"/>
    <xf numFmtId="10" fontId="0" fillId="0" borderId="0" xfId="92" applyNumberFormat="1" applyFont="1" applyAlignment="1">
      <alignment horizontal="center"/>
    </xf>
    <xf numFmtId="0" fontId="0" fillId="0" borderId="0" xfId="0" applyFill="1" applyBorder="1" applyAlignment="1"/>
    <xf numFmtId="0" fontId="0" fillId="0" borderId="7" xfId="0" applyFill="1" applyBorder="1" applyAlignment="1"/>
    <xf numFmtId="0" fontId="18" fillId="0" borderId="8" xfId="0" applyFont="1" applyFill="1" applyBorder="1" applyAlignment="1">
      <alignment horizontal="center"/>
    </xf>
    <xf numFmtId="0" fontId="18" fillId="0" borderId="8" xfId="0" applyFont="1" applyFill="1" applyBorder="1" applyAlignment="1">
      <alignment horizontal="centerContinuous"/>
    </xf>
    <xf numFmtId="3" fontId="5" fillId="0" borderId="0" xfId="0" applyNumberFormat="1" applyFont="1" applyFill="1" applyAlignment="1">
      <alignment horizontal="center" wrapText="1"/>
    </xf>
    <xf numFmtId="170" fontId="0" fillId="0" borderId="0" xfId="0" applyNumberFormat="1"/>
    <xf numFmtId="0" fontId="8" fillId="41" borderId="0" xfId="0" applyFont="1" applyFill="1" applyAlignment="1">
      <alignment horizontal="center" wrapText="1"/>
    </xf>
    <xf numFmtId="170" fontId="20" fillId="41" borderId="0" xfId="28" applyNumberFormat="1" applyFont="1" applyFill="1" applyAlignment="1">
      <alignment wrapText="1"/>
    </xf>
    <xf numFmtId="0" fontId="8" fillId="44" borderId="0" xfId="0" applyFont="1" applyFill="1" applyAlignment="1">
      <alignment horizontal="center" wrapText="1"/>
    </xf>
    <xf numFmtId="170" fontId="20" fillId="44" borderId="0" xfId="28" applyNumberFormat="1" applyFont="1" applyFill="1" applyAlignment="1">
      <alignment wrapText="1"/>
    </xf>
    <xf numFmtId="170" fontId="21" fillId="44" borderId="0" xfId="28" applyNumberFormat="1" applyFont="1" applyFill="1" applyAlignment="1">
      <alignment horizontal="center" wrapText="1"/>
    </xf>
    <xf numFmtId="170" fontId="21" fillId="41" borderId="0" xfId="28" applyNumberFormat="1" applyFont="1" applyFill="1" applyAlignment="1">
      <alignment horizontal="center" wrapText="1"/>
    </xf>
    <xf numFmtId="170" fontId="20" fillId="44" borderId="0" xfId="28" applyNumberFormat="1" applyFont="1" applyFill="1" applyAlignment="1">
      <alignment horizontal="center" wrapText="1"/>
    </xf>
    <xf numFmtId="170" fontId="10" fillId="41" borderId="0" xfId="28" applyNumberFormat="1" applyFont="1" applyFill="1" applyAlignment="1">
      <alignment horizontal="center" wrapText="1"/>
    </xf>
    <xf numFmtId="170" fontId="8" fillId="44" borderId="0" xfId="28" applyNumberFormat="1" applyFont="1" applyFill="1" applyAlignment="1">
      <alignment wrapText="1"/>
    </xf>
    <xf numFmtId="170" fontId="8" fillId="41" borderId="0" xfId="28" applyNumberFormat="1" applyFont="1" applyFill="1" applyAlignment="1">
      <alignment wrapText="1"/>
    </xf>
    <xf numFmtId="170" fontId="21" fillId="44" borderId="0" xfId="28" applyNumberFormat="1" applyFont="1" applyFill="1" applyAlignment="1">
      <alignment wrapText="1"/>
    </xf>
    <xf numFmtId="170" fontId="21" fillId="41" borderId="0" xfId="28" applyNumberFormat="1" applyFont="1" applyFill="1" applyAlignment="1">
      <alignment wrapText="1"/>
    </xf>
    <xf numFmtId="0" fontId="0" fillId="0" borderId="1" xfId="0" applyFill="1" applyBorder="1" applyAlignment="1">
      <alignment horizontal="right"/>
    </xf>
    <xf numFmtId="10" fontId="20" fillId="44" borderId="0" xfId="92" applyNumberFormat="1" applyFont="1" applyFill="1" applyAlignment="1">
      <alignment horizontal="center" wrapText="1"/>
    </xf>
    <xf numFmtId="10" fontId="20" fillId="41" borderId="0" xfId="92" applyNumberFormat="1" applyFont="1" applyFill="1" applyAlignment="1">
      <alignment horizontal="center" wrapText="1"/>
    </xf>
    <xf numFmtId="2" fontId="0" fillId="0" borderId="0" xfId="0" applyNumberFormat="1" applyAlignment="1">
      <alignment wrapText="1"/>
    </xf>
    <xf numFmtId="10" fontId="0" fillId="0" borderId="0" xfId="92" applyNumberFormat="1" applyFont="1" applyAlignment="1">
      <alignment wrapText="1"/>
    </xf>
    <xf numFmtId="10" fontId="0" fillId="0" borderId="0" xfId="92" applyNumberFormat="1" applyFont="1" applyFill="1" applyAlignment="1">
      <alignment horizontal="left" wrapText="1"/>
    </xf>
    <xf numFmtId="10" fontId="0" fillId="0" borderId="0" xfId="92" applyNumberFormat="1" applyFont="1" applyFill="1" applyAlignment="1">
      <alignment wrapText="1"/>
    </xf>
    <xf numFmtId="43" fontId="0" fillId="0" borderId="0" xfId="0" applyNumberFormat="1" applyFill="1"/>
    <xf numFmtId="43" fontId="5" fillId="40" borderId="0" xfId="0" applyNumberFormat="1" applyFont="1" applyFill="1"/>
    <xf numFmtId="3" fontId="5" fillId="0" borderId="0" xfId="0" applyNumberFormat="1" applyFont="1" applyAlignment="1">
      <alignment horizontal="center" wrapText="1"/>
    </xf>
    <xf numFmtId="170" fontId="22" fillId="44" borderId="3" xfId="28" applyNumberFormat="1" applyFont="1" applyFill="1" applyBorder="1"/>
    <xf numFmtId="170" fontId="22" fillId="44" borderId="0" xfId="28" applyNumberFormat="1" applyFont="1" applyFill="1" applyBorder="1"/>
    <xf numFmtId="170" fontId="8" fillId="0" borderId="0" xfId="28" applyNumberFormat="1" applyFont="1"/>
    <xf numFmtId="3" fontId="8" fillId="0" borderId="0" xfId="0" applyNumberFormat="1" applyFont="1" applyBorder="1"/>
    <xf numFmtId="0" fontId="8" fillId="0" borderId="0" xfId="0" applyFont="1" applyFill="1" applyAlignment="1">
      <alignment horizontal="center" wrapText="1"/>
    </xf>
    <xf numFmtId="165" fontId="0" fillId="0" borderId="0" xfId="0" applyNumberFormat="1" applyFill="1" applyAlignment="1">
      <alignment horizontal="center" wrapText="1"/>
    </xf>
    <xf numFmtId="3" fontId="8" fillId="0" borderId="0" xfId="0" applyNumberFormat="1" applyFont="1" applyFill="1" applyAlignment="1">
      <alignment wrapText="1"/>
    </xf>
    <xf numFmtId="3" fontId="0" fillId="0" borderId="0" xfId="0" applyNumberFormat="1" applyFill="1" applyAlignment="1">
      <alignment wrapText="1"/>
    </xf>
    <xf numFmtId="43" fontId="0" fillId="0" borderId="0" xfId="0" applyNumberFormat="1" applyFill="1" applyAlignment="1">
      <alignment wrapText="1"/>
    </xf>
    <xf numFmtId="170" fontId="0" fillId="0" borderId="0" xfId="28" applyNumberFormat="1" applyFont="1" applyFill="1" applyAlignment="1">
      <alignment wrapText="1"/>
    </xf>
    <xf numFmtId="43" fontId="0" fillId="0" borderId="0" xfId="0" applyNumberFormat="1" applyFill="1" applyAlignment="1">
      <alignment horizontal="center" wrapText="1"/>
    </xf>
    <xf numFmtId="10" fontId="5" fillId="0" borderId="0" xfId="92" applyNumberFormat="1" applyFont="1" applyAlignment="1">
      <alignment wrapText="1"/>
    </xf>
    <xf numFmtId="165" fontId="0" fillId="0" borderId="0" xfId="0" applyNumberFormat="1" applyFill="1" applyAlignment="1">
      <alignment horizontal="center"/>
    </xf>
    <xf numFmtId="3" fontId="5" fillId="0" borderId="0" xfId="0" applyNumberFormat="1" applyFont="1" applyFill="1" applyAlignment="1">
      <alignment horizontal="center"/>
    </xf>
    <xf numFmtId="169" fontId="0" fillId="0" borderId="0" xfId="0" applyNumberFormat="1" applyFill="1" applyAlignment="1">
      <alignment horizontal="center"/>
    </xf>
    <xf numFmtId="170" fontId="0" fillId="0" borderId="0" xfId="92" applyNumberFormat="1" applyFont="1" applyAlignment="1">
      <alignment wrapText="1"/>
    </xf>
    <xf numFmtId="2" fontId="11" fillId="42" borderId="0" xfId="87" applyNumberFormat="1" applyFont="1" applyFill="1"/>
    <xf numFmtId="4" fontId="11" fillId="42" borderId="0" xfId="76" applyNumberFormat="1" applyFont="1" applyFill="1"/>
    <xf numFmtId="170" fontId="21" fillId="46" borderId="0" xfId="28" applyNumberFormat="1" applyFont="1" applyFill="1" applyAlignment="1">
      <alignment horizontal="center" wrapText="1"/>
    </xf>
    <xf numFmtId="170" fontId="5" fillId="0" borderId="0" xfId="28" applyNumberFormat="1" applyFont="1" applyFill="1"/>
    <xf numFmtId="170" fontId="20" fillId="0" borderId="0" xfId="28" applyNumberFormat="1" applyFont="1" applyFill="1"/>
    <xf numFmtId="0" fontId="0" fillId="0" borderId="0" xfId="0" applyBorder="1" applyAlignment="1">
      <alignment horizontal="right"/>
    </xf>
    <xf numFmtId="3" fontId="0" fillId="45" borderId="0" xfId="0" applyNumberFormat="1" applyFill="1" applyAlignment="1">
      <alignment horizontal="center"/>
    </xf>
    <xf numFmtId="43" fontId="0" fillId="0" borderId="0" xfId="28" applyFont="1" applyFill="1" applyAlignment="1">
      <alignment horizontal="center" wrapText="1"/>
    </xf>
    <xf numFmtId="10" fontId="0" fillId="0" borderId="0" xfId="92" applyNumberFormat="1" applyFont="1" applyBorder="1"/>
    <xf numFmtId="43" fontId="11" fillId="39" borderId="0" xfId="87" applyNumberFormat="1" applyFont="1" applyFill="1" applyBorder="1" applyAlignment="1">
      <alignment horizontal="right"/>
    </xf>
    <xf numFmtId="0" fontId="0" fillId="0" borderId="0" xfId="0" applyBorder="1" applyAlignment="1">
      <alignment horizontal="center"/>
    </xf>
    <xf numFmtId="17" fontId="0" fillId="0" borderId="0" xfId="0" applyNumberFormat="1" applyBorder="1"/>
    <xf numFmtId="4" fontId="0" fillId="0" borderId="0" xfId="0" applyNumberFormat="1" applyBorder="1" applyAlignment="1">
      <alignment horizontal="center"/>
    </xf>
    <xf numFmtId="3" fontId="0" fillId="0" borderId="0" xfId="0" applyNumberFormat="1" applyBorder="1" applyAlignment="1">
      <alignment horizontal="center"/>
    </xf>
    <xf numFmtId="43" fontId="11" fillId="40" borderId="0" xfId="87" applyNumberFormat="1" applyFont="1" applyFill="1" applyBorder="1" applyAlignment="1">
      <alignment horizontal="right"/>
    </xf>
    <xf numFmtId="10" fontId="0" fillId="0" borderId="0" xfId="92" applyNumberFormat="1" applyFont="1" applyFill="1" applyBorder="1"/>
    <xf numFmtId="0" fontId="0" fillId="0" borderId="0" xfId="0" applyFill="1" applyBorder="1"/>
    <xf numFmtId="0" fontId="0" fillId="0" borderId="0" xfId="0" applyFill="1" applyBorder="1" applyAlignment="1">
      <alignment horizontal="center"/>
    </xf>
    <xf numFmtId="3" fontId="0" fillId="0" borderId="0" xfId="0" applyNumberFormat="1" applyFill="1" applyBorder="1" applyAlignment="1">
      <alignment horizontal="center"/>
    </xf>
    <xf numFmtId="43" fontId="0" fillId="0" borderId="0" xfId="0" applyNumberFormat="1" applyFill="1" applyBorder="1"/>
    <xf numFmtId="37" fontId="22" fillId="44" borderId="0" xfId="28" applyNumberFormat="1" applyFont="1" applyFill="1" applyBorder="1" applyAlignment="1">
      <alignment horizontal="center"/>
    </xf>
    <xf numFmtId="17" fontId="0" fillId="0" borderId="0" xfId="0" applyNumberFormat="1" applyBorder="1" applyAlignment="1">
      <alignment horizontal="center"/>
    </xf>
    <xf numFmtId="38" fontId="24" fillId="0" borderId="0" xfId="39" applyNumberFormat="1" applyFont="1" applyBorder="1" applyAlignment="1">
      <alignment horizontal="center"/>
    </xf>
    <xf numFmtId="0" fontId="44" fillId="37" borderId="0" xfId="0" applyFont="1" applyFill="1" applyBorder="1"/>
    <xf numFmtId="0" fontId="15" fillId="0" borderId="0" xfId="87" applyFont="1" applyBorder="1" applyAlignment="1">
      <alignment horizontal="right"/>
    </xf>
    <xf numFmtId="0" fontId="5" fillId="0" borderId="0" xfId="87" applyBorder="1"/>
    <xf numFmtId="43" fontId="11" fillId="0" borderId="0" xfId="87" applyNumberFormat="1" applyFont="1" applyBorder="1" applyAlignment="1">
      <alignment horizontal="left"/>
    </xf>
    <xf numFmtId="43" fontId="11" fillId="0" borderId="0" xfId="87" applyNumberFormat="1" applyFont="1" applyBorder="1" applyAlignment="1">
      <alignment horizontal="right"/>
    </xf>
    <xf numFmtId="0" fontId="45" fillId="47" borderId="0" xfId="0" applyFont="1" applyFill="1" applyBorder="1" applyAlignment="1">
      <alignment horizontal="center" wrapText="1"/>
    </xf>
    <xf numFmtId="4" fontId="45" fillId="47" borderId="0" xfId="0" applyNumberFormat="1" applyFont="1" applyFill="1" applyBorder="1" applyAlignment="1">
      <alignment horizontal="center" wrapText="1"/>
    </xf>
    <xf numFmtId="3" fontId="45" fillId="47" borderId="0" xfId="0" applyNumberFormat="1" applyFont="1" applyFill="1" applyBorder="1" applyAlignment="1">
      <alignment horizontal="center" wrapText="1"/>
    </xf>
    <xf numFmtId="9" fontId="0" fillId="0" borderId="0" xfId="92" applyFont="1" applyFill="1" applyAlignment="1">
      <alignment horizontal="center"/>
    </xf>
    <xf numFmtId="174" fontId="0" fillId="0" borderId="0" xfId="0" applyNumberFormat="1" applyBorder="1" applyAlignment="1">
      <alignment horizontal="center"/>
    </xf>
    <xf numFmtId="4" fontId="0" fillId="40" borderId="0" xfId="0" applyNumberFormat="1" applyFill="1"/>
    <xf numFmtId="0" fontId="43" fillId="0" borderId="0" xfId="0" applyFont="1" applyFill="1" applyAlignment="1">
      <alignment horizontal="center" wrapText="1"/>
    </xf>
    <xf numFmtId="0" fontId="0" fillId="37" borderId="0" xfId="0" applyFill="1" applyBorder="1" applyAlignment="1">
      <alignment horizontal="center"/>
    </xf>
    <xf numFmtId="3" fontId="0" fillId="37" borderId="0" xfId="0" applyNumberFormat="1" applyFill="1" applyBorder="1" applyAlignment="1">
      <alignment horizontal="center"/>
    </xf>
    <xf numFmtId="0" fontId="0" fillId="37" borderId="0" xfId="0" applyFill="1" applyBorder="1"/>
    <xf numFmtId="3" fontId="5" fillId="0" borderId="0" xfId="0" applyNumberFormat="1" applyFont="1" applyFill="1" applyAlignment="1">
      <alignment horizontal="left"/>
    </xf>
    <xf numFmtId="169" fontId="23" fillId="0" borderId="0" xfId="92" applyNumberFormat="1" applyFont="1" applyFill="1" applyBorder="1" applyAlignment="1">
      <alignment horizontal="center"/>
    </xf>
    <xf numFmtId="168" fontId="0" fillId="37" borderId="0" xfId="0" applyNumberFormat="1" applyFill="1" applyAlignment="1">
      <alignment horizontal="center"/>
    </xf>
    <xf numFmtId="16" fontId="0" fillId="0" borderId="0" xfId="0" applyNumberFormat="1" applyBorder="1" applyAlignment="1">
      <alignment horizontal="center"/>
    </xf>
    <xf numFmtId="3" fontId="0" fillId="37" borderId="0" xfId="0" applyNumberFormat="1" applyFill="1" applyAlignment="1">
      <alignment horizontal="center"/>
    </xf>
    <xf numFmtId="38" fontId="0" fillId="0" borderId="0" xfId="0" applyNumberFormat="1" applyBorder="1" applyAlignment="1">
      <alignment horizontal="center"/>
    </xf>
    <xf numFmtId="4" fontId="0" fillId="0" borderId="0" xfId="0" applyNumberFormat="1" applyAlignment="1">
      <alignment horizontal="center"/>
    </xf>
    <xf numFmtId="38" fontId="24" fillId="37" borderId="0" xfId="39" applyNumberFormat="1" applyFont="1" applyFill="1" applyBorder="1" applyAlignment="1">
      <alignment horizontal="center"/>
    </xf>
    <xf numFmtId="4" fontId="0" fillId="37" borderId="0" xfId="0" applyNumberFormat="1" applyFill="1" applyBorder="1" applyAlignment="1">
      <alignment horizontal="center"/>
    </xf>
    <xf numFmtId="2" fontId="0" fillId="0" borderId="0" xfId="0" applyNumberFormat="1" applyBorder="1" applyAlignment="1">
      <alignment horizontal="center"/>
    </xf>
    <xf numFmtId="0" fontId="0" fillId="0" borderId="34" xfId="0" applyBorder="1"/>
    <xf numFmtId="37" fontId="0" fillId="0" borderId="0" xfId="0" applyNumberFormat="1" applyBorder="1"/>
    <xf numFmtId="0" fontId="46" fillId="0" borderId="9" xfId="0" applyFont="1" applyBorder="1"/>
    <xf numFmtId="0" fontId="46" fillId="0" borderId="9" xfId="0" pivotButton="1" applyFont="1" applyBorder="1"/>
    <xf numFmtId="0" fontId="46" fillId="0" borderId="16" xfId="0" applyFont="1" applyBorder="1"/>
    <xf numFmtId="0" fontId="46" fillId="0" borderId="10" xfId="0" applyFont="1" applyBorder="1"/>
    <xf numFmtId="0" fontId="46" fillId="0" borderId="17" xfId="0" applyFont="1" applyBorder="1"/>
    <xf numFmtId="0" fontId="46" fillId="0" borderId="12" xfId="0" applyFont="1" applyBorder="1"/>
    <xf numFmtId="0" fontId="46" fillId="0" borderId="9" xfId="0" applyNumberFormat="1" applyFont="1" applyBorder="1"/>
    <xf numFmtId="3" fontId="46" fillId="0" borderId="17" xfId="0" applyNumberFormat="1" applyFont="1" applyBorder="1"/>
    <xf numFmtId="0" fontId="46" fillId="0" borderId="12" xfId="0" applyNumberFormat="1" applyFont="1" applyBorder="1"/>
    <xf numFmtId="0" fontId="46" fillId="0" borderId="11" xfId="0" applyFont="1" applyBorder="1"/>
    <xf numFmtId="0" fontId="46" fillId="0" borderId="11" xfId="0" applyNumberFormat="1" applyFont="1" applyBorder="1"/>
    <xf numFmtId="3" fontId="46" fillId="0" borderId="0" xfId="0" applyNumberFormat="1" applyFont="1"/>
    <xf numFmtId="0" fontId="46" fillId="0" borderId="13" xfId="0" applyNumberFormat="1" applyFont="1" applyBorder="1"/>
    <xf numFmtId="0" fontId="46" fillId="0" borderId="14" xfId="0" applyFont="1" applyBorder="1"/>
    <xf numFmtId="0" fontId="46" fillId="0" borderId="14" xfId="0" applyNumberFormat="1" applyFont="1" applyBorder="1"/>
    <xf numFmtId="3" fontId="46" fillId="0" borderId="18" xfId="0" applyNumberFormat="1" applyFont="1" applyBorder="1"/>
    <xf numFmtId="0" fontId="46" fillId="0" borderId="15" xfId="0" applyNumberFormat="1" applyFont="1" applyBorder="1"/>
    <xf numFmtId="0" fontId="46" fillId="0" borderId="17" xfId="0" applyNumberFormat="1" applyFont="1" applyBorder="1"/>
    <xf numFmtId="0" fontId="46" fillId="0" borderId="0" xfId="0" applyNumberFormat="1" applyFont="1"/>
    <xf numFmtId="0" fontId="46" fillId="0" borderId="18" xfId="0" applyNumberFormat="1" applyFont="1" applyBorder="1"/>
    <xf numFmtId="3" fontId="0" fillId="0" borderId="0" xfId="0" applyNumberFormat="1"/>
    <xf numFmtId="9" fontId="0" fillId="0" borderId="0" xfId="92" applyFont="1" applyBorder="1" applyAlignment="1">
      <alignment horizontal="center"/>
    </xf>
    <xf numFmtId="4" fontId="0" fillId="0" borderId="0" xfId="0" applyNumberFormat="1"/>
    <xf numFmtId="0" fontId="5" fillId="0" borderId="0" xfId="0" applyFont="1" applyAlignment="1">
      <alignment horizontal="right"/>
    </xf>
    <xf numFmtId="3" fontId="0" fillId="0" borderId="0" xfId="0" applyNumberFormat="1" applyFill="1" applyBorder="1" applyAlignment="1">
      <alignment horizontal="right" vertical="top"/>
    </xf>
    <xf numFmtId="43" fontId="0" fillId="0" borderId="0" xfId="28" applyNumberFormat="1" applyFont="1"/>
    <xf numFmtId="170" fontId="0" fillId="37" borderId="30" xfId="28" applyNumberFormat="1" applyFont="1" applyFill="1" applyBorder="1"/>
    <xf numFmtId="0" fontId="5" fillId="0" borderId="7" xfId="0" applyFont="1" applyBorder="1"/>
    <xf numFmtId="170" fontId="0" fillId="0" borderId="32" xfId="28" applyNumberFormat="1" applyFont="1" applyBorder="1"/>
    <xf numFmtId="170" fontId="8" fillId="0" borderId="28" xfId="28" applyNumberFormat="1" applyFont="1" applyBorder="1" applyAlignment="1">
      <alignment horizontal="right"/>
    </xf>
    <xf numFmtId="170" fontId="0" fillId="0" borderId="33" xfId="28" applyNumberFormat="1" applyFont="1" applyBorder="1"/>
    <xf numFmtId="170" fontId="0" fillId="0" borderId="31" xfId="28" applyNumberFormat="1" applyFont="1" applyBorder="1"/>
    <xf numFmtId="170" fontId="5" fillId="0" borderId="29" xfId="28" applyNumberFormat="1" applyFont="1" applyBorder="1"/>
    <xf numFmtId="4" fontId="0" fillId="0" borderId="0" xfId="0" applyNumberFormat="1" applyFill="1" applyBorder="1" applyAlignment="1"/>
    <xf numFmtId="0" fontId="0" fillId="0" borderId="0" xfId="0" applyNumberFormat="1"/>
    <xf numFmtId="0" fontId="0" fillId="0" borderId="0" xfId="0" pivotButton="1"/>
    <xf numFmtId="43" fontId="0" fillId="0" borderId="3" xfId="0" applyNumberFormat="1" applyBorder="1"/>
    <xf numFmtId="0" fontId="5" fillId="0" borderId="1" xfId="110" applyBorder="1" applyAlignment="1">
      <alignment horizontal="center"/>
    </xf>
    <xf numFmtId="170" fontId="5" fillId="0" borderId="0" xfId="28" applyNumberFormat="1" applyFont="1"/>
    <xf numFmtId="170" fontId="5" fillId="0" borderId="0" xfId="28" applyNumberFormat="1" applyFont="1" applyBorder="1"/>
    <xf numFmtId="170" fontId="8" fillId="0" borderId="0" xfId="28" applyNumberFormat="1" applyFont="1"/>
    <xf numFmtId="4" fontId="0" fillId="0" borderId="7" xfId="0" applyNumberFormat="1" applyFill="1" applyBorder="1" applyAlignment="1"/>
    <xf numFmtId="43" fontId="5" fillId="0" borderId="0" xfId="87" applyNumberFormat="1"/>
    <xf numFmtId="9" fontId="5" fillId="0" borderId="0" xfId="92"/>
    <xf numFmtId="9" fontId="5" fillId="37" borderId="0" xfId="92" applyFill="1"/>
    <xf numFmtId="0" fontId="42" fillId="37" borderId="0" xfId="87" applyFont="1" applyFill="1"/>
    <xf numFmtId="4" fontId="11" fillId="37" borderId="0" xfId="110" applyNumberFormat="1" applyFont="1" applyFill="1"/>
    <xf numFmtId="2" fontId="11" fillId="37" borderId="0" xfId="87" applyNumberFormat="1" applyFont="1" applyFill="1"/>
    <xf numFmtId="0" fontId="5" fillId="37" borderId="0" xfId="87" applyFill="1"/>
    <xf numFmtId="0" fontId="15" fillId="37" borderId="0" xfId="87" applyFont="1" applyFill="1"/>
    <xf numFmtId="0" fontId="5" fillId="0" borderId="0" xfId="87" applyFill="1"/>
    <xf numFmtId="43" fontId="11" fillId="39" borderId="0" xfId="87" applyNumberFormat="1" applyFont="1" applyFill="1" applyAlignment="1">
      <alignment horizontal="right"/>
    </xf>
    <xf numFmtId="0" fontId="8" fillId="0" borderId="0" xfId="87" applyFont="1" applyAlignment="1">
      <alignment horizontal="center"/>
    </xf>
    <xf numFmtId="174" fontId="8" fillId="0" borderId="0" xfId="0" applyNumberFormat="1" applyFont="1" applyBorder="1" applyAlignment="1">
      <alignment horizontal="center"/>
    </xf>
    <xf numFmtId="0" fontId="8" fillId="0" borderId="0" xfId="0" applyFont="1" applyBorder="1" applyAlignment="1">
      <alignment horizontal="center"/>
    </xf>
    <xf numFmtId="38" fontId="40" fillId="0" borderId="0" xfId="39" applyNumberFormat="1" applyFont="1" applyBorder="1" applyAlignment="1">
      <alignment horizontal="center"/>
    </xf>
    <xf numFmtId="43" fontId="15" fillId="39" borderId="0" xfId="87" applyNumberFormat="1" applyFont="1" applyFill="1" applyBorder="1" applyAlignment="1">
      <alignment horizontal="right"/>
    </xf>
    <xf numFmtId="2" fontId="8" fillId="0" borderId="0" xfId="0" applyNumberFormat="1" applyFont="1" applyBorder="1" applyAlignment="1">
      <alignment horizontal="center"/>
    </xf>
    <xf numFmtId="37" fontId="8" fillId="0" borderId="0" xfId="0" applyNumberFormat="1" applyFont="1" applyBorder="1" applyAlignment="1">
      <alignment horizontal="center"/>
    </xf>
    <xf numFmtId="37" fontId="8" fillId="44" borderId="0" xfId="28" applyNumberFormat="1" applyFont="1" applyFill="1" applyBorder="1" applyAlignment="1">
      <alignment horizontal="center"/>
    </xf>
    <xf numFmtId="37" fontId="8" fillId="0" borderId="0" xfId="0" applyNumberFormat="1" applyFont="1" applyBorder="1"/>
    <xf numFmtId="43" fontId="15" fillId="48" borderId="0" xfId="87" applyNumberFormat="1" applyFont="1" applyFill="1" applyBorder="1" applyAlignment="1">
      <alignment horizontal="right"/>
    </xf>
    <xf numFmtId="2" fontId="47" fillId="37" borderId="0" xfId="0" applyNumberFormat="1" applyFont="1" applyFill="1" applyBorder="1" applyAlignment="1">
      <alignment horizontal="center" vertical="center"/>
    </xf>
    <xf numFmtId="0" fontId="47" fillId="37" borderId="0" xfId="0" applyFont="1" applyFill="1" applyBorder="1" applyAlignment="1">
      <alignment horizontal="center" wrapText="1"/>
    </xf>
    <xf numFmtId="0" fontId="8" fillId="0" borderId="0" xfId="0" applyFont="1" applyFill="1"/>
    <xf numFmtId="3" fontId="5" fillId="0" borderId="0" xfId="110" applyNumberFormat="1" applyFill="1" applyAlignment="1">
      <alignment horizontal="center"/>
    </xf>
    <xf numFmtId="166" fontId="5" fillId="0" borderId="0" xfId="110" applyNumberFormat="1" applyAlignment="1">
      <alignment horizontal="center"/>
    </xf>
    <xf numFmtId="166" fontId="5" fillId="2" borderId="0" xfId="110" applyNumberFormat="1" applyFill="1" applyAlignment="1">
      <alignment horizontal="center"/>
    </xf>
    <xf numFmtId="9" fontId="5" fillId="37" borderId="0" xfId="92" applyFont="1" applyFill="1" applyAlignment="1">
      <alignment horizontal="center"/>
    </xf>
    <xf numFmtId="166" fontId="5" fillId="0" borderId="0" xfId="110" applyNumberFormat="1" applyFont="1" applyFill="1" applyAlignment="1">
      <alignment horizontal="center"/>
    </xf>
    <xf numFmtId="9" fontId="5" fillId="0" borderId="0" xfId="92" applyFont="1" applyFill="1" applyAlignment="1">
      <alignment horizontal="center"/>
    </xf>
    <xf numFmtId="166" fontId="5" fillId="46" borderId="0" xfId="110" applyNumberFormat="1" applyFill="1" applyAlignment="1">
      <alignment horizontal="center"/>
    </xf>
  </cellXfs>
  <cellStyles count="220">
    <cellStyle name="20% - Accent1 2" xfId="1"/>
    <cellStyle name="20% - Accent1 2 2" xfId="113"/>
    <cellStyle name="20% - Accent1 2 2 2" xfId="205"/>
    <cellStyle name="20% - Accent1 2 2 3" xfId="159"/>
    <cellStyle name="20% - Accent1 2 3" xfId="128"/>
    <cellStyle name="20% - Accent1 2 3 2" xfId="174"/>
    <cellStyle name="20% - Accent1 2 4" xfId="189"/>
    <cellStyle name="20% - Accent1 2 5" xfId="143"/>
    <cellStyle name="20% - Accent2 2" xfId="2"/>
    <cellStyle name="20% - Accent2 2 2" xfId="114"/>
    <cellStyle name="20% - Accent2 2 2 2" xfId="206"/>
    <cellStyle name="20% - Accent2 2 2 3" xfId="160"/>
    <cellStyle name="20% - Accent2 2 3" xfId="129"/>
    <cellStyle name="20% - Accent2 2 3 2" xfId="175"/>
    <cellStyle name="20% - Accent2 2 4" xfId="190"/>
    <cellStyle name="20% - Accent2 2 5" xfId="144"/>
    <cellStyle name="20% - Accent3 2" xfId="3"/>
    <cellStyle name="20% - Accent3 2 2" xfId="115"/>
    <cellStyle name="20% - Accent3 2 2 2" xfId="207"/>
    <cellStyle name="20% - Accent3 2 2 3" xfId="161"/>
    <cellStyle name="20% - Accent3 2 3" xfId="130"/>
    <cellStyle name="20% - Accent3 2 3 2" xfId="176"/>
    <cellStyle name="20% - Accent3 2 4" xfId="191"/>
    <cellStyle name="20% - Accent3 2 5" xfId="145"/>
    <cellStyle name="20% - Accent4 2" xfId="4"/>
    <cellStyle name="20% - Accent4 2 2" xfId="116"/>
    <cellStyle name="20% - Accent4 2 2 2" xfId="208"/>
    <cellStyle name="20% - Accent4 2 2 3" xfId="162"/>
    <cellStyle name="20% - Accent4 2 3" xfId="131"/>
    <cellStyle name="20% - Accent4 2 3 2" xfId="177"/>
    <cellStyle name="20% - Accent4 2 4" xfId="192"/>
    <cellStyle name="20% - Accent4 2 5" xfId="146"/>
    <cellStyle name="20% - Accent5" xfId="5" builtinId="46" customBuiltin="1"/>
    <cellStyle name="20% - Accent5 2" xfId="117"/>
    <cellStyle name="20% - Accent5 2 2" xfId="209"/>
    <cellStyle name="20% - Accent5 2 3" xfId="163"/>
    <cellStyle name="20% - Accent5 3" xfId="132"/>
    <cellStyle name="20% - Accent5 3 2" xfId="178"/>
    <cellStyle name="20% - Accent5 4" xfId="193"/>
    <cellStyle name="20% - Accent5 5" xfId="147"/>
    <cellStyle name="20% - Accent6" xfId="6" builtinId="50" customBuiltin="1"/>
    <cellStyle name="20% - Accent6 2" xfId="118"/>
    <cellStyle name="20% - Accent6 2 2" xfId="210"/>
    <cellStyle name="20% - Accent6 2 3" xfId="164"/>
    <cellStyle name="20% - Accent6 3" xfId="133"/>
    <cellStyle name="20% - Accent6 3 2" xfId="179"/>
    <cellStyle name="20% - Accent6 4" xfId="194"/>
    <cellStyle name="20% - Accent6 5" xfId="148"/>
    <cellStyle name="40% - Accent1" xfId="7" builtinId="31" customBuiltin="1"/>
    <cellStyle name="40% - Accent1 2" xfId="119"/>
    <cellStyle name="40% - Accent1 2 2" xfId="211"/>
    <cellStyle name="40% - Accent1 2 3" xfId="165"/>
    <cellStyle name="40% - Accent1 3" xfId="134"/>
    <cellStyle name="40% - Accent1 3 2" xfId="180"/>
    <cellStyle name="40% - Accent1 4" xfId="195"/>
    <cellStyle name="40% - Accent1 5" xfId="149"/>
    <cellStyle name="40% - Accent2" xfId="8" builtinId="35" customBuiltin="1"/>
    <cellStyle name="40% - Accent2 2" xfId="120"/>
    <cellStyle name="40% - Accent2 2 2" xfId="212"/>
    <cellStyle name="40% - Accent2 2 3" xfId="166"/>
    <cellStyle name="40% - Accent2 3" xfId="135"/>
    <cellStyle name="40% - Accent2 3 2" xfId="181"/>
    <cellStyle name="40% - Accent2 4" xfId="196"/>
    <cellStyle name="40% - Accent2 5" xfId="150"/>
    <cellStyle name="40% - Accent3 2" xfId="9"/>
    <cellStyle name="40% - Accent3 2 2" xfId="121"/>
    <cellStyle name="40% - Accent3 2 2 2" xfId="213"/>
    <cellStyle name="40% - Accent3 2 2 3" xfId="167"/>
    <cellStyle name="40% - Accent3 2 3" xfId="136"/>
    <cellStyle name="40% - Accent3 2 3 2" xfId="182"/>
    <cellStyle name="40% - Accent3 2 4" xfId="197"/>
    <cellStyle name="40% - Accent3 2 5" xfId="151"/>
    <cellStyle name="40% - Accent4" xfId="10" builtinId="43" customBuiltin="1"/>
    <cellStyle name="40% - Accent4 2" xfId="122"/>
    <cellStyle name="40% - Accent4 2 2" xfId="214"/>
    <cellStyle name="40% - Accent4 2 3" xfId="168"/>
    <cellStyle name="40% - Accent4 3" xfId="137"/>
    <cellStyle name="40% - Accent4 3 2" xfId="183"/>
    <cellStyle name="40% - Accent4 4" xfId="198"/>
    <cellStyle name="40% - Accent4 5" xfId="152"/>
    <cellStyle name="40% - Accent5" xfId="11" builtinId="47" customBuiltin="1"/>
    <cellStyle name="40% - Accent5 2" xfId="123"/>
    <cellStyle name="40% - Accent5 2 2" xfId="215"/>
    <cellStyle name="40% - Accent5 2 3" xfId="169"/>
    <cellStyle name="40% - Accent5 3" xfId="138"/>
    <cellStyle name="40% - Accent5 3 2" xfId="184"/>
    <cellStyle name="40% - Accent5 4" xfId="199"/>
    <cellStyle name="40% - Accent5 5" xfId="153"/>
    <cellStyle name="40% - Accent6" xfId="12" builtinId="51" customBuiltin="1"/>
    <cellStyle name="40% - Accent6 2" xfId="124"/>
    <cellStyle name="40% - Accent6 2 2" xfId="216"/>
    <cellStyle name="40% - Accent6 2 3" xfId="170"/>
    <cellStyle name="40% - Accent6 3" xfId="139"/>
    <cellStyle name="40% - Accent6 3 2" xfId="185"/>
    <cellStyle name="40% - Accent6 4" xfId="200"/>
    <cellStyle name="40% - Accent6 5" xfId="154"/>
    <cellStyle name="60% - Accent1" xfId="13" builtinId="32" customBuiltin="1"/>
    <cellStyle name="60% - Accent2" xfId="14" builtinId="36" customBuiltin="1"/>
    <cellStyle name="60% - Accent3 2" xfId="15"/>
    <cellStyle name="60% - Accent4 2" xfId="16"/>
    <cellStyle name="60% - Accent5" xfId="17" builtinId="48" customBuiltin="1"/>
    <cellStyle name="60% - Accent6 2"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108"/>
    <cellStyle name="Comma 2" xfId="29"/>
    <cellStyle name="Comma 2 2" xfId="30"/>
    <cellStyle name="Comma 2 2 2" xfId="31"/>
    <cellStyle name="Comma 2 3" xfId="32"/>
    <cellStyle name="Comma 3" xfId="33"/>
    <cellStyle name="Comma 3 2" xfId="34"/>
    <cellStyle name="Comma 3 2 2" xfId="35"/>
    <cellStyle name="Comma 3 3" xfId="36"/>
    <cellStyle name="Comma 4" xfId="37"/>
    <cellStyle name="Comma 4 2" xfId="38"/>
    <cellStyle name="Comma 5" xfId="39"/>
    <cellStyle name="Comma 5 2" xfId="40"/>
    <cellStyle name="Comma 5 3" xfId="125"/>
    <cellStyle name="Comma 5 3 2" xfId="217"/>
    <cellStyle name="Comma 5 3 3" xfId="171"/>
    <cellStyle name="Comma 5 4" xfId="140"/>
    <cellStyle name="Comma 5 4 2" xfId="186"/>
    <cellStyle name="Comma 5 5" xfId="201"/>
    <cellStyle name="Comma 5 6" xfId="155"/>
    <cellStyle name="Comma 6" xfId="41"/>
    <cellStyle name="Comma 6 2" xfId="42"/>
    <cellStyle name="Comma 7" xfId="43"/>
    <cellStyle name="Comma 7 2" xfId="44"/>
    <cellStyle name="Comma 8" xfId="45"/>
    <cellStyle name="Comma 8 2" xfId="46"/>
    <cellStyle name="Comma 9" xfId="47"/>
    <cellStyle name="Comma_Horizon 2011 Load Forecast Model  June 25, 2010" xfId="48"/>
    <cellStyle name="Comma0" xfId="49"/>
    <cellStyle name="Comma0 2" xfId="50"/>
    <cellStyle name="Comma0 2 2" xfId="51"/>
    <cellStyle name="Comma0 3" xfId="52"/>
    <cellStyle name="Currency 2" xfId="53"/>
    <cellStyle name="Currency0" xfId="54"/>
    <cellStyle name="Currency0 2" xfId="55"/>
    <cellStyle name="Currency0 2 2" xfId="56"/>
    <cellStyle name="Currency0 3" xfId="57"/>
    <cellStyle name="Date" xfId="58"/>
    <cellStyle name="Date 2" xfId="59"/>
    <cellStyle name="Date 2 2" xfId="60"/>
    <cellStyle name="Date 3" xfId="61"/>
    <cellStyle name="Explanatory Text" xfId="62" builtinId="53" customBuiltin="1"/>
    <cellStyle name="Fixed" xfId="63"/>
    <cellStyle name="Fixed 2" xfId="64"/>
    <cellStyle name="Fixed 2 2" xfId="65"/>
    <cellStyle name="Fixed 3" xfId="66"/>
    <cellStyle name="Good" xfId="67" builtinId="26" customBuiltin="1"/>
    <cellStyle name="Heading 1" xfId="68" builtinId="16" customBuiltin="1"/>
    <cellStyle name="Heading 2" xfId="69" builtinId="17" customBuiltin="1"/>
    <cellStyle name="Heading 3" xfId="70" builtinId="18" customBuiltin="1"/>
    <cellStyle name="Heading 4" xfId="71" builtinId="19" customBuiltin="1"/>
    <cellStyle name="Hyperlink 2" xfId="72"/>
    <cellStyle name="Input" xfId="73" builtinId="20" customBuiltin="1"/>
    <cellStyle name="Linked Cell" xfId="74" builtinId="24" customBuiltin="1"/>
    <cellStyle name="Neutral" xfId="75" builtinId="28" customBuiltin="1"/>
    <cellStyle name="Normal" xfId="0" builtinId="0"/>
    <cellStyle name="Normal 2" xfId="76"/>
    <cellStyle name="Normal 2 2" xfId="77"/>
    <cellStyle name="Normal 2 2 2 2 2" xfId="110"/>
    <cellStyle name="Normal 2 3" xfId="78"/>
    <cellStyle name="Normal 3" xfId="79"/>
    <cellStyle name="Normal 3 2" xfId="80"/>
    <cellStyle name="Normal 3 2 2" xfId="81"/>
    <cellStyle name="Normal 3 3" xfId="82"/>
    <cellStyle name="Normal 3 4" xfId="126"/>
    <cellStyle name="Normal 3 4 2" xfId="218"/>
    <cellStyle name="Normal 3 4 3" xfId="172"/>
    <cellStyle name="Normal 3 5" xfId="141"/>
    <cellStyle name="Normal 3 5 2" xfId="187"/>
    <cellStyle name="Normal 3 6" xfId="202"/>
    <cellStyle name="Normal 3 7" xfId="156"/>
    <cellStyle name="Normal 4" xfId="83"/>
    <cellStyle name="Normal 4 2" xfId="84"/>
    <cellStyle name="Normal 5" xfId="85"/>
    <cellStyle name="Normal 5 2" xfId="86"/>
    <cellStyle name="Normal 6" xfId="87"/>
    <cellStyle name="Normal 7" xfId="88"/>
    <cellStyle name="Normal 8" xfId="107"/>
    <cellStyle name="Normal 9" xfId="109"/>
    <cellStyle name="Note 2" xfId="89"/>
    <cellStyle name="Note 2 2" xfId="90"/>
    <cellStyle name="Note 2 3" xfId="127"/>
    <cellStyle name="Note 2 3 2" xfId="219"/>
    <cellStyle name="Note 2 3 3" xfId="173"/>
    <cellStyle name="Note 2 4" xfId="142"/>
    <cellStyle name="Note 2 4 2" xfId="188"/>
    <cellStyle name="Note 2 5" xfId="203"/>
    <cellStyle name="Note 2 6" xfId="157"/>
    <cellStyle name="Output" xfId="91" builtinId="21" customBuiltin="1"/>
    <cellStyle name="Percent" xfId="92" builtinId="5"/>
    <cellStyle name="Percent 12" xfId="111"/>
    <cellStyle name="Percent 12 2" xfId="204"/>
    <cellStyle name="Percent 12 3" xfId="158"/>
    <cellStyle name="Percent 2" xfId="93"/>
    <cellStyle name="Percent 2 2" xfId="94"/>
    <cellStyle name="Percent 3" xfId="95"/>
    <cellStyle name="Percent 3 2" xfId="96"/>
    <cellStyle name="Percent 4" xfId="97"/>
    <cellStyle name="Percent 4 2" xfId="98"/>
    <cellStyle name="Percent 5" xfId="99"/>
    <cellStyle name="Percent 5 2" xfId="100"/>
    <cellStyle name="Percent 6" xfId="101"/>
    <cellStyle name="Percent 6 2" xfId="102"/>
    <cellStyle name="Percent 7" xfId="103"/>
    <cellStyle name="Style 23" xfId="112"/>
    <cellStyle name="Title" xfId="104" builtinId="15" customBuiltin="1"/>
    <cellStyle name="Total" xfId="105" builtinId="25" customBuiltin="1"/>
    <cellStyle name="Warning Text" xfId="106" builtinId="11" customBuiltin="1"/>
  </cellStyles>
  <dxfs count="8">
    <dxf>
      <numFmt numFmtId="4" formatCode="#,##0.00"/>
    </dxf>
    <dxf>
      <font>
        <sz val="12"/>
      </font>
    </dxf>
    <dxf>
      <numFmt numFmtId="3" formatCode="#,##0"/>
    </dxf>
    <dxf>
      <numFmt numFmtId="3" formatCode="#,##0"/>
    </dxf>
    <dxf>
      <numFmt numFmtId="3" formatCode="#,##0"/>
    </dxf>
    <dxf>
      <numFmt numFmtId="3" formatCode="#,##0"/>
    </dxf>
    <dxf>
      <font>
        <sz val="12"/>
      </font>
    </dxf>
    <dxf>
      <numFmt numFmtId="4" formatCode="#,##0.0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pivotCacheDefinition" Target="pivotCache/pivotCacheDefinition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457200</xdr:colOff>
      <xdr:row>0</xdr:row>
      <xdr:rowOff>445770</xdr:rowOff>
    </xdr:from>
    <xdr:to>
      <xdr:col>16</xdr:col>
      <xdr:colOff>19050</xdr:colOff>
      <xdr:row>18</xdr:row>
      <xdr:rowOff>62822</xdr:rowOff>
    </xdr:to>
    <xdr:sp macro="" textlink="">
      <xdr:nvSpPr>
        <xdr:cNvPr id="2" name="TextBox 1"/>
        <xdr:cNvSpPr txBox="1"/>
      </xdr:nvSpPr>
      <xdr:spPr>
        <a:xfrm>
          <a:off x="9010650" y="609600"/>
          <a:ext cx="3829050" cy="220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For each year, the NIV grows monthly at an equal rate. The savings in each year equal the total of the OPA savings caculated.Total kWh savings for the year is calculated as total persistance kWh from previoius years plus a half-year of the new savings from programs in that year.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3%20Rate%20Application%20Files%20-%20BLG\Dummy%20Fi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2%20Cost%20of%20Service/Models/3-Load%20Forecast/Back%20up/RRR%20YoY%20and%20QoQ%20Summary%20per%20RRR%20Guidelines%20-%202019_updated-%20with%20notes-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RR/2021/April%202020%20YE/2.1.5%20Demand%20and%20Revenue/2020%20Monthly%20Consumption%20Report-Broken%20Link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RR/2021/April%202020%20YE/2.1.5%20Demand%20and%20Revenue/2019%20Monthly%20Consumption%20Report-FINAL-revised-V1.3%20-%20Adjusted%20unbilled-BROKEN%20LINK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egulatory%20Month%20End/2020/Monthly%20Customer%20Count%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ks"/>
      <sheetName val="RRR Filing Requirements"/>
      <sheetName val="Definitions"/>
      <sheetName val="Reason Codes- Interruptions"/>
      <sheetName val="Quarterly Filings "/>
      <sheetName val="Quarterly Filings - 2.1.1"/>
      <sheetName val="Annual Filings"/>
      <sheetName val="Annual Filings - 2.1.7 "/>
      <sheetName val="Annual Scorecard Comparison"/>
      <sheetName val="Graphs"/>
    </sheetNames>
    <sheetDataSet>
      <sheetData sheetId="0"/>
      <sheetData sheetId="1"/>
      <sheetData sheetId="2"/>
      <sheetData sheetId="3"/>
      <sheetData sheetId="4">
        <row r="79">
          <cell r="Q79">
            <v>35960</v>
          </cell>
          <cell r="R79">
            <v>35981</v>
          </cell>
          <cell r="S79">
            <v>36075</v>
          </cell>
          <cell r="T79">
            <v>36155</v>
          </cell>
          <cell r="U79">
            <v>36201</v>
          </cell>
          <cell r="V79">
            <v>36185</v>
          </cell>
          <cell r="W79">
            <v>36228</v>
          </cell>
          <cell r="X79">
            <v>36349</v>
          </cell>
          <cell r="Y79">
            <v>36432</v>
          </cell>
          <cell r="Z79">
            <v>36488</v>
          </cell>
          <cell r="AA79">
            <v>36567</v>
          </cell>
          <cell r="AB79">
            <v>36595</v>
          </cell>
          <cell r="AC79">
            <v>36616</v>
          </cell>
          <cell r="AD79">
            <v>36844</v>
          </cell>
          <cell r="AE79">
            <v>36664</v>
          </cell>
          <cell r="AF79">
            <v>36806</v>
          </cell>
        </row>
        <row r="80">
          <cell r="Q80">
            <v>2796</v>
          </cell>
          <cell r="R80">
            <v>2795</v>
          </cell>
          <cell r="S80">
            <v>2785</v>
          </cell>
          <cell r="T80">
            <v>2793</v>
          </cell>
          <cell r="U80">
            <v>2796</v>
          </cell>
          <cell r="V80">
            <v>2790</v>
          </cell>
          <cell r="W80">
            <v>2790</v>
          </cell>
          <cell r="X80">
            <v>2815</v>
          </cell>
          <cell r="Y80">
            <v>2798</v>
          </cell>
          <cell r="Z80">
            <v>2797</v>
          </cell>
          <cell r="AA80">
            <v>2799</v>
          </cell>
          <cell r="AB80">
            <v>2822</v>
          </cell>
          <cell r="AC80">
            <v>2833</v>
          </cell>
          <cell r="AD80">
            <v>2846</v>
          </cell>
          <cell r="AE80">
            <v>2829</v>
          </cell>
          <cell r="AF80">
            <v>2828</v>
          </cell>
        </row>
        <row r="81">
          <cell r="Q81">
            <v>449</v>
          </cell>
          <cell r="R81">
            <v>454</v>
          </cell>
          <cell r="S81">
            <v>456</v>
          </cell>
          <cell r="T81">
            <v>457</v>
          </cell>
          <cell r="U81">
            <v>457</v>
          </cell>
          <cell r="V81">
            <v>461</v>
          </cell>
          <cell r="W81">
            <v>459</v>
          </cell>
          <cell r="X81">
            <v>458</v>
          </cell>
          <cell r="Y81">
            <v>483</v>
          </cell>
          <cell r="Z81">
            <v>484</v>
          </cell>
          <cell r="AA81">
            <v>487</v>
          </cell>
          <cell r="AB81">
            <v>487</v>
          </cell>
          <cell r="AC81">
            <v>490</v>
          </cell>
          <cell r="AD81">
            <v>496</v>
          </cell>
          <cell r="AE81">
            <v>487</v>
          </cell>
          <cell r="AF81">
            <v>490</v>
          </cell>
        </row>
        <row r="85">
          <cell r="Q85">
            <v>10227</v>
          </cell>
          <cell r="R85">
            <v>10229</v>
          </cell>
          <cell r="S85">
            <v>10229</v>
          </cell>
          <cell r="T85">
            <v>10229</v>
          </cell>
          <cell r="U85">
            <v>5767</v>
          </cell>
          <cell r="V85">
            <v>5767</v>
          </cell>
          <cell r="W85">
            <v>5771</v>
          </cell>
          <cell r="X85">
            <v>5771</v>
          </cell>
          <cell r="Y85">
            <v>5771</v>
          </cell>
          <cell r="Z85">
            <v>5771</v>
          </cell>
          <cell r="AA85">
            <v>5771</v>
          </cell>
          <cell r="AB85">
            <v>5771</v>
          </cell>
          <cell r="AC85">
            <v>5771</v>
          </cell>
          <cell r="AD85">
            <v>5771</v>
          </cell>
          <cell r="AE85">
            <v>5771</v>
          </cell>
          <cell r="AF85">
            <v>5771</v>
          </cell>
        </row>
        <row r="86">
          <cell r="Q86">
            <v>577</v>
          </cell>
          <cell r="R86">
            <v>577</v>
          </cell>
          <cell r="S86">
            <v>523</v>
          </cell>
          <cell r="T86">
            <v>528</v>
          </cell>
          <cell r="U86">
            <v>521</v>
          </cell>
          <cell r="V86">
            <v>510</v>
          </cell>
          <cell r="W86">
            <v>510</v>
          </cell>
          <cell r="X86">
            <v>505</v>
          </cell>
          <cell r="Y86">
            <v>507</v>
          </cell>
          <cell r="Z86">
            <v>507</v>
          </cell>
          <cell r="AA86">
            <v>507</v>
          </cell>
          <cell r="AB86">
            <v>505</v>
          </cell>
          <cell r="AC86">
            <v>505</v>
          </cell>
          <cell r="AD86">
            <v>501</v>
          </cell>
          <cell r="AE86">
            <v>500</v>
          </cell>
          <cell r="AF86">
            <v>499</v>
          </cell>
        </row>
        <row r="87">
          <cell r="Q87">
            <v>428</v>
          </cell>
          <cell r="R87">
            <v>427</v>
          </cell>
          <cell r="S87">
            <v>428</v>
          </cell>
          <cell r="T87">
            <v>424</v>
          </cell>
          <cell r="U87">
            <v>424</v>
          </cell>
          <cell r="V87">
            <v>425</v>
          </cell>
          <cell r="W87">
            <v>425</v>
          </cell>
          <cell r="X87">
            <v>425</v>
          </cell>
          <cell r="Y87">
            <v>425</v>
          </cell>
          <cell r="Z87">
            <v>425</v>
          </cell>
          <cell r="AA87">
            <v>423</v>
          </cell>
          <cell r="AB87">
            <v>408</v>
          </cell>
          <cell r="AC87">
            <v>408</v>
          </cell>
          <cell r="AD87">
            <v>408</v>
          </cell>
          <cell r="AE87">
            <v>408</v>
          </cell>
          <cell r="AF87">
            <v>408</v>
          </cell>
        </row>
      </sheetData>
      <sheetData sheetId="5"/>
      <sheetData sheetId="6">
        <row r="134">
          <cell r="M134">
            <v>65359955</v>
          </cell>
          <cell r="N134">
            <v>43309246</v>
          </cell>
          <cell r="O134">
            <v>41227723</v>
          </cell>
          <cell r="P134">
            <v>41261684.090000004</v>
          </cell>
        </row>
        <row r="135">
          <cell r="M135">
            <v>136187.20000000001</v>
          </cell>
          <cell r="N135">
            <v>107291</v>
          </cell>
          <cell r="O135">
            <v>95218.6</v>
          </cell>
          <cell r="P135">
            <v>97683.05</v>
          </cell>
        </row>
      </sheetData>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for 2.1.5.3 Demand&amp;Rev"/>
      <sheetName val="Annual Retailer Summary"/>
      <sheetName val="Retailer Losses "/>
      <sheetName val="Retailer KW Summary"/>
      <sheetName val="Bill Code Mapping "/>
      <sheetName val="Usage Type Mapping "/>
      <sheetName val="January"/>
      <sheetName val="February"/>
      <sheetName val="March"/>
      <sheetName val="April"/>
      <sheetName val="May"/>
      <sheetName val="June"/>
      <sheetName val="July"/>
      <sheetName val="August"/>
      <sheetName val="September"/>
      <sheetName val="October"/>
      <sheetName val="November"/>
      <sheetName val="December"/>
      <sheetName val="Annual Summary "/>
      <sheetName val="2019 Unbilled"/>
      <sheetName val="2020 Unbilled"/>
      <sheetName val="working Sheet"/>
      <sheetName val="kW - Historical Demand"/>
      <sheetName val="kWh - Historical Consumption "/>
    </sheetNames>
    <sheetDataSet>
      <sheetData sheetId="0">
        <row r="8">
          <cell r="H8">
            <v>6029967.5800000001</v>
          </cell>
          <cell r="I8">
            <v>11674.01</v>
          </cell>
        </row>
        <row r="12">
          <cell r="J12">
            <v>43029561.790000007</v>
          </cell>
          <cell r="K12">
            <v>100586.92000000001</v>
          </cell>
        </row>
        <row r="28">
          <cell r="K28">
            <v>315774546.06238711</v>
          </cell>
        </row>
        <row r="29">
          <cell r="K29">
            <v>87228067.152691096</v>
          </cell>
        </row>
        <row r="30">
          <cell r="K30">
            <v>527515512.58903694</v>
          </cell>
          <cell r="L30">
            <v>1439810.73</v>
          </cell>
        </row>
        <row r="31">
          <cell r="K31">
            <v>187738.7264654169</v>
          </cell>
          <cell r="L31">
            <v>554.28999999999974</v>
          </cell>
        </row>
        <row r="32">
          <cell r="K32">
            <v>6962317.0293546142</v>
          </cell>
          <cell r="L32">
            <v>21543.26</v>
          </cell>
        </row>
        <row r="33">
          <cell r="K33">
            <v>1510015.9200649587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3">
          <cell r="BA23">
            <v>6029967.5800000001</v>
          </cell>
          <cell r="BB23">
            <v>11674.01</v>
          </cell>
        </row>
      </sheetData>
      <sheetData sheetId="19"/>
      <sheetData sheetId="20"/>
      <sheetData sheetId="21"/>
      <sheetData sheetId="22"/>
      <sheetData sheetId="2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 from GA Unbilled"/>
      <sheetName val="Revision Summary"/>
      <sheetName val="Summary for 2.1.5.3 Demand&amp;Rev"/>
      <sheetName val="Annual Retailer Summary"/>
      <sheetName val="Retailer Losses "/>
      <sheetName val="Retailer KW Summary"/>
      <sheetName val="Bill Code Mapping "/>
      <sheetName val="Usage Type Mapping "/>
      <sheetName val="January"/>
      <sheetName val="February"/>
      <sheetName val="March"/>
      <sheetName val="April - Daffron"/>
      <sheetName val="April - NS"/>
      <sheetName val="April"/>
      <sheetName val="May"/>
      <sheetName val="June"/>
      <sheetName val="July"/>
      <sheetName val="August"/>
      <sheetName val="September"/>
      <sheetName val="October"/>
      <sheetName val="November"/>
      <sheetName val="December"/>
      <sheetName val="Annual Summary "/>
      <sheetName val="2018 Unbilled"/>
      <sheetName val="2019 Unbilled"/>
      <sheetName val="working Sheet"/>
      <sheetName val="Sheet2"/>
    </sheetNames>
    <sheetDataSet>
      <sheetData sheetId="0"/>
      <sheetData sheetId="1"/>
      <sheetData sheetId="2">
        <row r="8">
          <cell r="H8">
            <v>6085994.9199999999</v>
          </cell>
        </row>
        <row r="28">
          <cell r="K28">
            <v>292180864.93883711</v>
          </cell>
        </row>
        <row r="29">
          <cell r="K29">
            <v>93124427.492277056</v>
          </cell>
        </row>
        <row r="30">
          <cell r="K30">
            <v>544236477.25084901</v>
          </cell>
        </row>
        <row r="31">
          <cell r="K31">
            <v>194957.89217390213</v>
          </cell>
        </row>
        <row r="32">
          <cell r="K32">
            <v>7147042.3329913896</v>
          </cell>
        </row>
        <row r="33">
          <cell r="K33">
            <v>1559095.2728715499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 over year comparison"/>
      <sheetName val="CU-Historical Customer"/>
      <sheetName val="Summary"/>
      <sheetName val="January 2020 "/>
      <sheetName val="February 2020"/>
      <sheetName val="March 2020"/>
      <sheetName val="April 2020"/>
      <sheetName val="May 2020"/>
      <sheetName val="June 2020"/>
      <sheetName val="July 2020"/>
      <sheetName val="August 2020"/>
      <sheetName val="September 2020"/>
      <sheetName val="October 2020"/>
      <sheetName val="November 2020"/>
      <sheetName val="December 2020"/>
      <sheetName val="Bill Code Mapping "/>
      <sheetName val="Historical Summary "/>
    </sheetNames>
    <sheetDataSet>
      <sheetData sheetId="0"/>
      <sheetData sheetId="1"/>
      <sheetData sheetId="2">
        <row r="4">
          <cell r="P4">
            <v>36863</v>
          </cell>
          <cell r="Q4">
            <v>36908</v>
          </cell>
          <cell r="R4">
            <v>36940</v>
          </cell>
          <cell r="S4">
            <v>36961</v>
          </cell>
          <cell r="T4">
            <v>37023</v>
          </cell>
          <cell r="U4">
            <v>37042</v>
          </cell>
          <cell r="V4">
            <v>37065</v>
          </cell>
          <cell r="W4">
            <v>37075</v>
          </cell>
          <cell r="X4">
            <v>37196</v>
          </cell>
          <cell r="Y4">
            <v>37212</v>
          </cell>
          <cell r="Z4">
            <v>37286</v>
          </cell>
          <cell r="AA4">
            <v>37347</v>
          </cell>
        </row>
        <row r="5">
          <cell r="P5">
            <v>2939</v>
          </cell>
          <cell r="Q5">
            <v>2934</v>
          </cell>
          <cell r="R5">
            <v>2933</v>
          </cell>
          <cell r="S5">
            <v>2933</v>
          </cell>
          <cell r="T5">
            <v>2933</v>
          </cell>
          <cell r="U5">
            <v>2924</v>
          </cell>
          <cell r="V5">
            <v>2924</v>
          </cell>
          <cell r="W5">
            <v>2921</v>
          </cell>
          <cell r="X5">
            <v>2928</v>
          </cell>
          <cell r="Y5">
            <v>2929</v>
          </cell>
          <cell r="Z5">
            <v>2931</v>
          </cell>
          <cell r="AA5">
            <v>2934</v>
          </cell>
        </row>
        <row r="6">
          <cell r="P6">
            <v>492</v>
          </cell>
          <cell r="Q6">
            <v>494</v>
          </cell>
          <cell r="R6">
            <v>491</v>
          </cell>
          <cell r="S6">
            <v>491</v>
          </cell>
          <cell r="T6">
            <v>490</v>
          </cell>
          <cell r="U6">
            <v>492</v>
          </cell>
          <cell r="V6">
            <v>490</v>
          </cell>
          <cell r="W6">
            <v>488</v>
          </cell>
          <cell r="X6">
            <v>488</v>
          </cell>
          <cell r="Y6">
            <v>490</v>
          </cell>
          <cell r="Z6">
            <v>491</v>
          </cell>
          <cell r="AA6">
            <v>491</v>
          </cell>
        </row>
        <row r="8">
          <cell r="P8">
            <v>408</v>
          </cell>
          <cell r="Q8">
            <v>409</v>
          </cell>
          <cell r="R8">
            <v>409</v>
          </cell>
          <cell r="S8">
            <v>409</v>
          </cell>
          <cell r="T8">
            <v>409</v>
          </cell>
          <cell r="U8">
            <v>409</v>
          </cell>
          <cell r="V8">
            <v>409</v>
          </cell>
          <cell r="W8">
            <v>409</v>
          </cell>
          <cell r="X8">
            <v>409</v>
          </cell>
          <cell r="Y8">
            <v>409</v>
          </cell>
          <cell r="Z8">
            <v>409</v>
          </cell>
          <cell r="AA8">
            <v>409</v>
          </cell>
        </row>
        <row r="12">
          <cell r="P12">
            <v>5771</v>
          </cell>
          <cell r="Q12">
            <v>5771</v>
          </cell>
          <cell r="R12">
            <v>5771</v>
          </cell>
          <cell r="S12">
            <v>5771</v>
          </cell>
          <cell r="T12">
            <v>5771</v>
          </cell>
          <cell r="U12">
            <v>5771</v>
          </cell>
          <cell r="V12">
            <v>5771</v>
          </cell>
          <cell r="W12">
            <v>5771</v>
          </cell>
          <cell r="X12">
            <v>5771</v>
          </cell>
          <cell r="Y12">
            <v>5771</v>
          </cell>
          <cell r="Z12">
            <v>5771</v>
          </cell>
          <cell r="AA12">
            <v>5771</v>
          </cell>
        </row>
        <row r="13">
          <cell r="P13">
            <v>499</v>
          </cell>
          <cell r="Q13">
            <v>499</v>
          </cell>
          <cell r="R13">
            <v>498</v>
          </cell>
          <cell r="S13">
            <v>498</v>
          </cell>
          <cell r="T13">
            <v>498</v>
          </cell>
          <cell r="U13">
            <v>498</v>
          </cell>
          <cell r="V13">
            <v>498</v>
          </cell>
          <cell r="W13">
            <v>490</v>
          </cell>
          <cell r="X13">
            <v>490</v>
          </cell>
          <cell r="Y13">
            <v>490</v>
          </cell>
          <cell r="Z13">
            <v>490</v>
          </cell>
          <cell r="AA13">
            <v>490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James Crosbie" refreshedDate="44253.674290740739" createdVersion="4" refreshedVersion="4" minRefreshableVersion="3" recordCount="132">
  <cacheSource type="worksheet">
    <worksheetSource ref="B34:E166" sheet="Purch. Power Model "/>
  </cacheSource>
  <cacheFields count="4">
    <cacheField name="MMM-YYYY" numFmtId="174">
      <sharedItems containsSemiMixedTypes="0" containsNonDate="0" containsDate="1" containsString="0" minDate="2010-01-01T00:00:00" maxDate="2020-12-02T00:00:00"/>
    </cacheField>
    <cacheField name="Month" numFmtId="0">
      <sharedItems containsSemiMixedTypes="0" containsString="0" containsNumber="1" containsInteger="1" minValue="1" maxValue="12" count="12">
        <n v="1"/>
        <n v="2"/>
        <n v="3"/>
        <n v="4"/>
        <n v="5"/>
        <n v="6"/>
        <n v="7"/>
        <n v="8"/>
        <n v="9"/>
        <n v="10"/>
        <n v="11"/>
        <n v="12"/>
      </sharedItems>
    </cacheField>
    <cacheField name="Year" numFmtId="0">
      <sharedItems containsSemiMixedTypes="0" containsString="0" containsNumber="1" containsInteger="1" minValue="2010" maxValue="2020"/>
    </cacheField>
    <cacheField name="Purchased" numFmtId="38">
      <sharedItems containsSemiMixedTypes="0" containsString="0" containsNumber="1" minValue="66644954.449523814" maxValue="103947133.0460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ames Crosbie" refreshedDate="44416.935259027778" createdVersion="4" refreshedVersion="4" recordCount="156">
  <cacheSource type="worksheet">
    <worksheetSource ref="B34:Q190" sheet="Purch. Power Model "/>
  </cacheSource>
  <cacheFields count="16">
    <cacheField name="MMM-YYYY" numFmtId="174">
      <sharedItems containsSemiMixedTypes="0" containsNonDate="0" containsDate="1" containsString="0" minDate="2010-01-01T00:00:00" maxDate="2022-12-02T00:00:00"/>
    </cacheField>
    <cacheField name="Month" numFmtId="0">
      <sharedItems containsSemiMixedTypes="0" containsString="0" containsNumber="1" containsInteger="1" minValue="1" maxValue="12"/>
    </cacheField>
    <cacheField name="Year" numFmtId="0">
      <sharedItems containsSemiMixedTypes="0" containsString="0" containsNumber="1" containsInteger="1" minValue="2010" maxValue="2022" count="13">
        <n v="2010"/>
        <n v="2011"/>
        <n v="2012"/>
        <n v="2013"/>
        <n v="2014"/>
        <n v="2015"/>
        <n v="2016"/>
        <n v="2017"/>
        <n v="2018"/>
        <n v="2019"/>
        <n v="2020"/>
        <n v="2021"/>
        <n v="2022"/>
      </sharedItems>
    </cacheField>
    <cacheField name="Purchased" numFmtId="38">
      <sharedItems containsString="0" containsBlank="1" containsNumber="1" minValue="66644954.449523814" maxValue="103947133.04603"/>
    </cacheField>
    <cacheField name="Heating Degree Days" numFmtId="43">
      <sharedItems containsSemiMixedTypes="0" containsString="0" containsNumber="1" minValue="0" maxValue="856.8"/>
    </cacheField>
    <cacheField name="Cooling Degree Days" numFmtId="43">
      <sharedItems containsSemiMixedTypes="0" containsString="0" containsNumber="1" minValue="0" maxValue="215.7"/>
    </cacheField>
    <cacheField name="Ontario Real GDP (Indexed)" numFmtId="2">
      <sharedItems containsSemiMixedTypes="0" containsString="0" containsNumber="1" minValue="128.72733605771626" maxValue="165.79248965885324"/>
    </cacheField>
    <cacheField name="Number of Days in Month" numFmtId="37">
      <sharedItems containsSemiMixedTypes="0" containsString="0" containsNumber="1" containsInteger="1" minValue="28" maxValue="31"/>
    </cacheField>
    <cacheField name="Mar" numFmtId="37">
      <sharedItems containsSemiMixedTypes="0" containsString="0" containsNumber="1" containsInteger="1" minValue="0" maxValue="1"/>
    </cacheField>
    <cacheField name="Apr" numFmtId="37">
      <sharedItems containsSemiMixedTypes="0" containsString="0" containsNumber="1" containsInteger="1" minValue="0" maxValue="1"/>
    </cacheField>
    <cacheField name="May" numFmtId="37">
      <sharedItems containsSemiMixedTypes="0" containsString="0" containsNumber="1" containsInteger="1" minValue="0" maxValue="1"/>
    </cacheField>
    <cacheField name="Oct" numFmtId="37">
      <sharedItems containsSemiMixedTypes="0" containsString="0" containsNumber="1" containsInteger="1" minValue="0" maxValue="1"/>
    </cacheField>
    <cacheField name="Trend" numFmtId="37">
      <sharedItems containsSemiMixedTypes="0" containsString="0" containsNumber="1" containsInteger="1" minValue="1" maxValue="156"/>
    </cacheField>
    <cacheField name="CDM" numFmtId="37">
      <sharedItems containsSemiMixedTypes="0" containsString="0" containsNumber="1" minValue="872793.31750048557" maxValue="8402789.8607051279"/>
    </cacheField>
    <cacheField name="Predicted Purchases " numFmtId="37">
      <sharedItems containsSemiMixedTypes="0" containsString="0" containsNumber="1" minValue="70709003.32506302" maxValue="114739107.09361354"/>
    </cacheField>
    <cacheField name="Predicted Less Acturals" numFmtId="37">
      <sharedItems containsSemiMixedTypes="0" containsString="0" containsNumber="1" minValue="-110710309.77356058" maxValue="4178736.448548555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2">
  <r>
    <d v="2010-01-01T00:00:00"/>
    <x v="0"/>
    <n v="2010"/>
    <n v="85740317.673846155"/>
  </r>
  <r>
    <d v="2010-02-01T00:00:00"/>
    <x v="1"/>
    <n v="2010"/>
    <n v="76200452.517692298"/>
  </r>
  <r>
    <d v="2010-03-01T00:00:00"/>
    <x v="2"/>
    <n v="2010"/>
    <n v="78025070.524615392"/>
  </r>
  <r>
    <d v="2010-04-01T00:00:00"/>
    <x v="3"/>
    <n v="2010"/>
    <n v="69790833.687692314"/>
  </r>
  <r>
    <d v="2010-05-01T00:00:00"/>
    <x v="4"/>
    <n v="2010"/>
    <n v="76066069.509230763"/>
  </r>
  <r>
    <d v="2010-06-01T00:00:00"/>
    <x v="5"/>
    <n v="2010"/>
    <n v="79225717.646153852"/>
  </r>
  <r>
    <d v="2010-07-01T00:00:00"/>
    <x v="6"/>
    <n v="2010"/>
    <n v="89977040.172307685"/>
  </r>
  <r>
    <d v="2010-08-01T00:00:00"/>
    <x v="7"/>
    <n v="2010"/>
    <n v="88856918.292384624"/>
  </r>
  <r>
    <d v="2010-09-01T00:00:00"/>
    <x v="8"/>
    <n v="2010"/>
    <n v="74349622.304615363"/>
  </r>
  <r>
    <d v="2010-10-01T00:00:00"/>
    <x v="9"/>
    <n v="2010"/>
    <n v="73264038.258461535"/>
  </r>
  <r>
    <d v="2010-11-01T00:00:00"/>
    <x v="10"/>
    <n v="2010"/>
    <n v="76397905.17076923"/>
  </r>
  <r>
    <d v="2010-12-01T00:00:00"/>
    <x v="11"/>
    <n v="2010"/>
    <n v="82865126.892307699"/>
  </r>
  <r>
    <d v="2011-01-01T00:00:00"/>
    <x v="0"/>
    <n v="2011"/>
    <n v="86054286.131538451"/>
  </r>
  <r>
    <d v="2011-02-01T00:00:00"/>
    <x v="1"/>
    <n v="2011"/>
    <n v="76331649.843846157"/>
  </r>
  <r>
    <d v="2011-03-01T00:00:00"/>
    <x v="2"/>
    <n v="2011"/>
    <n v="80293454.303076923"/>
  </r>
  <r>
    <d v="2011-04-01T00:00:00"/>
    <x v="3"/>
    <n v="2011"/>
    <n v="71266777.976153851"/>
  </r>
  <r>
    <d v="2011-05-01T00:00:00"/>
    <x v="4"/>
    <n v="2011"/>
    <n v="72652305.789999992"/>
  </r>
  <r>
    <d v="2011-06-01T00:00:00"/>
    <x v="5"/>
    <n v="2011"/>
    <n v="76886231.902307689"/>
  </r>
  <r>
    <d v="2011-07-01T00:00:00"/>
    <x v="6"/>
    <n v="2011"/>
    <n v="93432707.71615386"/>
  </r>
  <r>
    <d v="2011-08-01T00:00:00"/>
    <x v="7"/>
    <n v="2011"/>
    <n v="86792642.630769238"/>
  </r>
  <r>
    <d v="2011-09-01T00:00:00"/>
    <x v="8"/>
    <n v="2011"/>
    <n v="75561450.664615378"/>
  </r>
  <r>
    <d v="2011-10-01T00:00:00"/>
    <x v="9"/>
    <n v="2011"/>
    <n v="73210551.581538469"/>
  </r>
  <r>
    <d v="2011-11-01T00:00:00"/>
    <x v="10"/>
    <n v="2011"/>
    <n v="74362594.600769222"/>
  </r>
  <r>
    <d v="2011-12-01T00:00:00"/>
    <x v="11"/>
    <n v="2011"/>
    <n v="78058078.98307693"/>
  </r>
  <r>
    <d v="2012-01-01T00:00:00"/>
    <x v="0"/>
    <n v="2012"/>
    <n v="83475292.246923089"/>
  </r>
  <r>
    <d v="2012-02-01T00:00:00"/>
    <x v="1"/>
    <n v="2012"/>
    <n v="76561559.599230751"/>
  </r>
  <r>
    <d v="2012-03-01T00:00:00"/>
    <x v="2"/>
    <n v="2012"/>
    <n v="76020277.875384629"/>
  </r>
  <r>
    <d v="2012-04-01T00:00:00"/>
    <x v="3"/>
    <n v="2012"/>
    <n v="69885111.659999996"/>
  </r>
  <r>
    <d v="2012-05-01T00:00:00"/>
    <x v="4"/>
    <n v="2012"/>
    <n v="77152267.277272731"/>
  </r>
  <r>
    <d v="2012-06-01T00:00:00"/>
    <x v="5"/>
    <n v="2012"/>
    <n v="83683996.899090916"/>
  </r>
  <r>
    <d v="2012-07-01T00:00:00"/>
    <x v="6"/>
    <n v="2012"/>
    <n v="97430291.178181812"/>
  </r>
  <r>
    <d v="2012-08-01T00:00:00"/>
    <x v="7"/>
    <n v="2012"/>
    <n v="90717698.745454535"/>
  </r>
  <r>
    <d v="2012-09-01T00:00:00"/>
    <x v="8"/>
    <n v="2012"/>
    <n v="77862574.99090907"/>
  </r>
  <r>
    <d v="2012-10-01T00:00:00"/>
    <x v="9"/>
    <n v="2012"/>
    <n v="75966062.297272757"/>
  </r>
  <r>
    <d v="2012-11-01T00:00:00"/>
    <x v="10"/>
    <n v="2012"/>
    <n v="77579680.941818193"/>
  </r>
  <r>
    <d v="2012-12-01T00:00:00"/>
    <x v="11"/>
    <n v="2012"/>
    <n v="78044416.993636355"/>
  </r>
  <r>
    <d v="2013-01-01T00:00:00"/>
    <x v="0"/>
    <n v="2013"/>
    <n v="84721792.143333375"/>
  </r>
  <r>
    <d v="2013-02-01T00:00:00"/>
    <x v="1"/>
    <n v="2013"/>
    <n v="76515852.360000014"/>
  </r>
  <r>
    <d v="2013-03-01T00:00:00"/>
    <x v="2"/>
    <n v="2013"/>
    <n v="80320040.103333354"/>
  </r>
  <r>
    <d v="2013-04-01T00:00:00"/>
    <x v="3"/>
    <n v="2013"/>
    <n v="73854214.826666668"/>
  </r>
  <r>
    <d v="2013-05-01T00:00:00"/>
    <x v="4"/>
    <n v="2013"/>
    <n v="75766818.393333361"/>
  </r>
  <r>
    <d v="2013-06-01T00:00:00"/>
    <x v="5"/>
    <n v="2013"/>
    <n v="79605453.473333344"/>
  </r>
  <r>
    <d v="2013-07-01T00:00:00"/>
    <x v="6"/>
    <n v="2013"/>
    <n v="91347063.430000022"/>
  </r>
  <r>
    <d v="2013-08-01T00:00:00"/>
    <x v="7"/>
    <n v="2013"/>
    <n v="86194913.580000013"/>
  </r>
  <r>
    <d v="2013-09-01T00:00:00"/>
    <x v="8"/>
    <n v="2013"/>
    <n v="77473370.183333322"/>
  </r>
  <r>
    <d v="2013-10-01T00:00:00"/>
    <x v="9"/>
    <n v="2013"/>
    <n v="76800878.560000002"/>
  </r>
  <r>
    <d v="2013-11-01T00:00:00"/>
    <x v="10"/>
    <n v="2013"/>
    <n v="77253769.396666661"/>
  </r>
  <r>
    <d v="2013-12-01T00:00:00"/>
    <x v="11"/>
    <n v="2013"/>
    <n v="81481312.549999997"/>
  </r>
  <r>
    <d v="2014-01-01T00:00:00"/>
    <x v="0"/>
    <n v="2014"/>
    <n v="87110628.419999987"/>
  </r>
  <r>
    <d v="2014-02-01T00:00:00"/>
    <x v="1"/>
    <n v="2014"/>
    <n v="75310896.296666682"/>
  </r>
  <r>
    <d v="2014-03-01T00:00:00"/>
    <x v="2"/>
    <n v="2014"/>
    <n v="79598361.859999985"/>
  </r>
  <r>
    <d v="2014-04-01T00:00:00"/>
    <x v="3"/>
    <n v="2014"/>
    <n v="69107663.240000024"/>
  </r>
  <r>
    <d v="2014-05-01T00:00:00"/>
    <x v="4"/>
    <n v="2014"/>
    <n v="69871028.140769228"/>
  </r>
  <r>
    <d v="2014-06-01T00:00:00"/>
    <x v="5"/>
    <n v="2014"/>
    <n v="77517701.584615394"/>
  </r>
  <r>
    <d v="2014-07-01T00:00:00"/>
    <x v="6"/>
    <n v="2014"/>
    <n v="79980081.605384618"/>
  </r>
  <r>
    <d v="2014-08-01T00:00:00"/>
    <x v="7"/>
    <n v="2014"/>
    <n v="78148911.668461546"/>
  </r>
  <r>
    <d v="2014-09-01T00:00:00"/>
    <x v="8"/>
    <n v="2014"/>
    <n v="73189575.230769232"/>
  </r>
  <r>
    <d v="2014-10-01T00:00:00"/>
    <x v="9"/>
    <n v="2014"/>
    <n v="72005492.011538461"/>
  </r>
  <r>
    <d v="2014-11-01T00:00:00"/>
    <x v="10"/>
    <n v="2014"/>
    <n v="74401960.572307676"/>
  </r>
  <r>
    <d v="2014-12-01T00:00:00"/>
    <x v="11"/>
    <n v="2014"/>
    <n v="77304484.726153851"/>
  </r>
  <r>
    <d v="2015-01-01T00:00:00"/>
    <x v="0"/>
    <n v="2015"/>
    <n v="84626740.919999987"/>
  </r>
  <r>
    <d v="2015-02-01T00:00:00"/>
    <x v="1"/>
    <n v="2015"/>
    <n v="77436620.475384608"/>
  </r>
  <r>
    <d v="2015-03-01T00:00:00"/>
    <x v="2"/>
    <n v="2015"/>
    <n v="78097659.106923103"/>
  </r>
  <r>
    <d v="2015-04-01T00:00:00"/>
    <x v="3"/>
    <n v="2015"/>
    <n v="68989289.843076915"/>
  </r>
  <r>
    <d v="2015-05-01T00:00:00"/>
    <x v="4"/>
    <n v="2015"/>
    <n v="73375077.214615405"/>
  </r>
  <r>
    <d v="2015-06-01T00:00:00"/>
    <x v="5"/>
    <n v="2015"/>
    <n v="75340519.323076934"/>
  </r>
  <r>
    <d v="2015-07-01T00:00:00"/>
    <x v="6"/>
    <n v="2015"/>
    <n v="85365000.161538452"/>
  </r>
  <r>
    <d v="2015-08-01T00:00:00"/>
    <x v="7"/>
    <n v="2015"/>
    <n v="81751305.839230776"/>
  </r>
  <r>
    <d v="2015-09-01T00:00:00"/>
    <x v="8"/>
    <n v="2015"/>
    <n v="79343691.187692299"/>
  </r>
  <r>
    <d v="2015-10-01T00:00:00"/>
    <x v="9"/>
    <n v="2015"/>
    <n v="71236445.923076928"/>
  </r>
  <r>
    <d v="2015-11-01T00:00:00"/>
    <x v="10"/>
    <n v="2015"/>
    <n v="71636023.820769221"/>
  </r>
  <r>
    <d v="2015-12-01T00:00:00"/>
    <x v="11"/>
    <n v="2015"/>
    <n v="73291493.167692319"/>
  </r>
  <r>
    <d v="2016-01-01T00:00:00"/>
    <x v="0"/>
    <n v="2016"/>
    <n v="79986061.065384641"/>
  </r>
  <r>
    <d v="2016-02-01T00:00:00"/>
    <x v="1"/>
    <n v="2016"/>
    <n v="73679442.001538455"/>
  </r>
  <r>
    <d v="2016-03-01T00:00:00"/>
    <x v="2"/>
    <n v="2016"/>
    <n v="73829400.356153846"/>
  </r>
  <r>
    <d v="2016-04-01T00:00:00"/>
    <x v="3"/>
    <n v="2016"/>
    <n v="69308215.465384632"/>
  </r>
  <r>
    <d v="2016-05-01T00:00:00"/>
    <x v="4"/>
    <n v="2016"/>
    <n v="72726898.225384623"/>
  </r>
  <r>
    <d v="2016-06-01T00:00:00"/>
    <x v="5"/>
    <n v="2016"/>
    <n v="79069060.420000032"/>
  </r>
  <r>
    <d v="2016-07-01T00:00:00"/>
    <x v="6"/>
    <n v="2016"/>
    <n v="90249922.476153865"/>
  </r>
  <r>
    <d v="2016-08-01T00:00:00"/>
    <x v="7"/>
    <n v="2016"/>
    <n v="94016713.441538468"/>
  </r>
  <r>
    <d v="2016-09-01T00:00:00"/>
    <x v="8"/>
    <n v="2016"/>
    <n v="77678226.287692308"/>
  </r>
  <r>
    <d v="2016-10-01T00:00:00"/>
    <x v="9"/>
    <n v="2016"/>
    <n v="71025278.580769241"/>
  </r>
  <r>
    <d v="2016-11-01T00:00:00"/>
    <x v="10"/>
    <n v="2016"/>
    <n v="71123495.761538461"/>
  </r>
  <r>
    <d v="2016-12-01T00:00:00"/>
    <x v="11"/>
    <n v="2016"/>
    <n v="76024870.703076944"/>
  </r>
  <r>
    <d v="2017-01-01T00:00:00"/>
    <x v="0"/>
    <n v="2017"/>
    <n v="78997942.227619052"/>
  </r>
  <r>
    <d v="2017-02-01T00:00:00"/>
    <x v="1"/>
    <n v="2017"/>
    <n v="69829356.909999996"/>
  </r>
  <r>
    <d v="2017-03-01T00:00:00"/>
    <x v="2"/>
    <n v="2017"/>
    <n v="76565564.916190505"/>
  </r>
  <r>
    <d v="2017-04-01T00:00:00"/>
    <x v="3"/>
    <n v="2017"/>
    <n v="66644954.449523814"/>
  </r>
  <r>
    <d v="2017-05-01T00:00:00"/>
    <x v="4"/>
    <n v="2017"/>
    <n v="70677545.254761904"/>
  </r>
  <r>
    <d v="2017-06-01T00:00:00"/>
    <x v="5"/>
    <n v="2017"/>
    <n v="78699725.353333339"/>
  </r>
  <r>
    <d v="2017-07-01T00:00:00"/>
    <x v="6"/>
    <n v="2017"/>
    <n v="85577695.760000005"/>
  </r>
  <r>
    <d v="2017-08-01T00:00:00"/>
    <x v="7"/>
    <n v="2017"/>
    <n v="83019509.650000006"/>
  </r>
  <r>
    <d v="2017-09-01T00:00:00"/>
    <x v="8"/>
    <n v="2017"/>
    <n v="77334131.13666667"/>
  </r>
  <r>
    <d v="2017-10-01T00:00:00"/>
    <x v="9"/>
    <n v="2017"/>
    <n v="73469057.820000008"/>
  </r>
  <r>
    <d v="2017-11-01T00:00:00"/>
    <x v="10"/>
    <n v="2017"/>
    <n v="74459348.126666665"/>
  </r>
  <r>
    <d v="2017-12-01T00:00:00"/>
    <x v="11"/>
    <n v="2017"/>
    <n v="79667517.416666657"/>
  </r>
  <r>
    <d v="2018-01-01T00:00:00"/>
    <x v="0"/>
    <n v="2018"/>
    <n v="84752511.140000001"/>
  </r>
  <r>
    <d v="2018-02-01T00:00:00"/>
    <x v="1"/>
    <n v="2018"/>
    <n v="72631313.480000004"/>
  </r>
  <r>
    <d v="2018-03-01T00:00:00"/>
    <x v="2"/>
    <n v="2018"/>
    <n v="77931843.100000009"/>
  </r>
  <r>
    <d v="2018-04-01T00:00:00"/>
    <x v="3"/>
    <n v="2018"/>
    <n v="72888274.790000007"/>
  </r>
  <r>
    <d v="2018-05-01T00:00:00"/>
    <x v="4"/>
    <n v="2018"/>
    <n v="76624694.199999973"/>
  </r>
  <r>
    <d v="2018-06-01T00:00:00"/>
    <x v="5"/>
    <n v="2018"/>
    <n v="80769043.830000013"/>
  </r>
  <r>
    <d v="2018-07-01T00:00:00"/>
    <x v="6"/>
    <n v="2018"/>
    <n v="95230727.25999999"/>
  </r>
  <r>
    <d v="2018-08-01T00:00:00"/>
    <x v="7"/>
    <n v="2018"/>
    <n v="93580216.839999989"/>
  </r>
  <r>
    <d v="2018-09-01T00:00:00"/>
    <x v="8"/>
    <n v="2018"/>
    <n v="79916023.120000005"/>
  </r>
  <r>
    <d v="2018-10-01T00:00:00"/>
    <x v="9"/>
    <n v="2018"/>
    <n v="75870343.00999999"/>
  </r>
  <r>
    <d v="2018-11-01T00:00:00"/>
    <x v="10"/>
    <n v="2018"/>
    <n v="77972578.930000007"/>
  </r>
  <r>
    <d v="2018-12-01T00:00:00"/>
    <x v="11"/>
    <n v="2018"/>
    <n v="77716342.479999989"/>
  </r>
  <r>
    <d v="2019-01-01T00:00:00"/>
    <x v="0"/>
    <n v="2019"/>
    <n v="85029523.596500009"/>
  </r>
  <r>
    <d v="2019-02-01T00:00:00"/>
    <x v="1"/>
    <n v="2019"/>
    <n v="75571374.736000016"/>
  </r>
  <r>
    <d v="2019-03-01T00:00:00"/>
    <x v="2"/>
    <n v="2019"/>
    <n v="79381068.277800009"/>
  </r>
  <r>
    <d v="2019-04-01T00:00:00"/>
    <x v="3"/>
    <n v="2019"/>
    <n v="73998852.774599999"/>
  </r>
  <r>
    <d v="2019-05-01T00:00:00"/>
    <x v="4"/>
    <n v="2019"/>
    <n v="74079885.052200004"/>
  </r>
  <r>
    <d v="2019-06-01T00:00:00"/>
    <x v="5"/>
    <n v="2019"/>
    <n v="77200774.899399996"/>
  </r>
  <r>
    <d v="2019-07-01T00:00:00"/>
    <x v="6"/>
    <n v="2019"/>
    <n v="97266632.718700007"/>
  </r>
  <r>
    <d v="2019-08-01T00:00:00"/>
    <x v="7"/>
    <n v="2019"/>
    <n v="88226114.621299982"/>
  </r>
  <r>
    <d v="2019-09-01T00:00:00"/>
    <x v="8"/>
    <n v="2019"/>
    <n v="76664331.356100008"/>
  </r>
  <r>
    <d v="2019-10-01T00:00:00"/>
    <x v="9"/>
    <n v="2019"/>
    <n v="75138464.501400009"/>
  </r>
  <r>
    <d v="2019-11-01T00:00:00"/>
    <x v="10"/>
    <n v="2019"/>
    <n v="79324528.1259"/>
  </r>
  <r>
    <d v="2019-12-01T00:00:00"/>
    <x v="11"/>
    <n v="2019"/>
    <n v="77448670.109640002"/>
  </r>
  <r>
    <d v="2020-01-01T00:00:00"/>
    <x v="0"/>
    <n v="2020"/>
    <n v="81251440.013279989"/>
  </r>
  <r>
    <d v="2020-02-01T00:00:00"/>
    <x v="1"/>
    <n v="2020"/>
    <n v="75883614.011019975"/>
  </r>
  <r>
    <d v="2020-03-01T00:00:00"/>
    <x v="2"/>
    <n v="2020"/>
    <n v="75425735.247120008"/>
  </r>
  <r>
    <d v="2020-04-01T00:00:00"/>
    <x v="3"/>
    <n v="2020"/>
    <n v="68179453.099079981"/>
  </r>
  <r>
    <d v="2020-05-01T00:00:00"/>
    <x v="4"/>
    <n v="2020"/>
    <n v="72113730.421249986"/>
  </r>
  <r>
    <d v="2020-06-01T00:00:00"/>
    <x v="5"/>
    <n v="2020"/>
    <n v="86099647.89466998"/>
  </r>
  <r>
    <d v="2020-07-01T00:00:00"/>
    <x v="6"/>
    <n v="2020"/>
    <n v="103947133.04603"/>
  </r>
  <r>
    <d v="2020-08-01T00:00:00"/>
    <x v="7"/>
    <n v="2020"/>
    <n v="92534942.41407001"/>
  </r>
  <r>
    <d v="2020-09-01T00:00:00"/>
    <x v="8"/>
    <n v="2020"/>
    <n v="76554649.522059992"/>
  </r>
  <r>
    <d v="2020-10-01T00:00:00"/>
    <x v="9"/>
    <n v="2020"/>
    <n v="74574750.82904999"/>
  </r>
  <r>
    <d v="2020-11-01T00:00:00"/>
    <x v="10"/>
    <n v="2020"/>
    <n v="75524140.206439972"/>
  </r>
  <r>
    <d v="2020-12-01T00:00:00"/>
    <x v="11"/>
    <n v="2020"/>
    <n v="78942466.150570005"/>
  </r>
</pivotCacheRecords>
</file>

<file path=xl/pivotCache/pivotCacheRecords2.xml><?xml version="1.0" encoding="utf-8"?>
<pivotCacheRecords xmlns="http://schemas.openxmlformats.org/spreadsheetml/2006/main" xmlns:r="http://schemas.openxmlformats.org/officeDocument/2006/relationships" count="156">
  <r>
    <d v="2010-01-01T00:00:00"/>
    <n v="1"/>
    <x v="0"/>
    <n v="85740317.673846155"/>
    <n v="720"/>
    <n v="0"/>
    <n v="128.72733605771626"/>
    <n v="31"/>
    <n v="0"/>
    <n v="0"/>
    <n v="0"/>
    <n v="0"/>
    <n v="1"/>
    <n v="872793.31750048557"/>
    <n v="81561581.2252976"/>
    <n v="4178736.4485485554"/>
  </r>
  <r>
    <d v="2010-02-01T00:00:00"/>
    <n v="2"/>
    <x v="0"/>
    <n v="76200452.517692298"/>
    <n v="598.29999999999995"/>
    <n v="0"/>
    <n v="129.07908855613877"/>
    <n v="28"/>
    <n v="0"/>
    <n v="0"/>
    <n v="0"/>
    <n v="0"/>
    <n v="2"/>
    <n v="899529.34059836867"/>
    <n v="75569881.91816622"/>
    <n v="630570.59952607751"/>
  </r>
  <r>
    <d v="2010-03-01T00:00:00"/>
    <n v="3"/>
    <x v="0"/>
    <n v="78025070.524615392"/>
    <n v="422.8"/>
    <n v="0"/>
    <n v="129.43180223206977"/>
    <n v="31"/>
    <n v="1"/>
    <n v="0"/>
    <n v="0"/>
    <n v="0"/>
    <n v="3"/>
    <n v="926265.36369625165"/>
    <n v="77836088.272405118"/>
    <n v="188982.25221027434"/>
  </r>
  <r>
    <d v="2010-04-01T00:00:00"/>
    <n v="4"/>
    <x v="0"/>
    <n v="69790833.687692314"/>
    <n v="225.1"/>
    <n v="0"/>
    <n v="129.78547971196454"/>
    <n v="30"/>
    <n v="0"/>
    <n v="1"/>
    <n v="0"/>
    <n v="0"/>
    <n v="4"/>
    <n v="953001.38679413474"/>
    <n v="70709003.32506302"/>
    <n v="-918169.6373707056"/>
  </r>
  <r>
    <d v="2010-05-01T00:00:00"/>
    <n v="5"/>
    <x v="0"/>
    <n v="76066069.509230763"/>
    <n v="107.9"/>
    <n v="45.7"/>
    <n v="130.14012362945522"/>
    <n v="31"/>
    <n v="0"/>
    <n v="0"/>
    <n v="1"/>
    <n v="0"/>
    <n v="5"/>
    <n v="979737.40989201772"/>
    <n v="78116690.986987859"/>
    <n v="-2050621.4777570963"/>
  </r>
  <r>
    <d v="2010-06-01T00:00:00"/>
    <n v="6"/>
    <x v="0"/>
    <n v="79225717.646153852"/>
    <n v="21.7"/>
    <n v="58.7"/>
    <n v="130.49573662537048"/>
    <n v="30"/>
    <n v="0"/>
    <n v="0"/>
    <n v="0"/>
    <n v="0"/>
    <n v="6"/>
    <n v="1006473.4329899008"/>
    <n v="79669529.191925287"/>
    <n v="-443811.5457714349"/>
  </r>
  <r>
    <d v="2010-07-01T00:00:00"/>
    <n v="7"/>
    <x v="0"/>
    <n v="89977040.172307685"/>
    <n v="1.8"/>
    <n v="164.9"/>
    <n v="130.85232134775515"/>
    <n v="31"/>
    <n v="0"/>
    <n v="0"/>
    <n v="0"/>
    <n v="0"/>
    <n v="7"/>
    <n v="1033209.4560877838"/>
    <n v="95002418.719744474"/>
    <n v="-5025378.5474367887"/>
  </r>
  <r>
    <d v="2010-08-01T00:00:00"/>
    <n v="8"/>
    <x v="0"/>
    <n v="88856918.292384624"/>
    <n v="2.1"/>
    <n v="138.80000000000001"/>
    <n v="131.20988045188997"/>
    <n v="31"/>
    <n v="0"/>
    <n v="0"/>
    <n v="0"/>
    <n v="0"/>
    <n v="8"/>
    <n v="1059945.4791856669"/>
    <n v="91923332.119057447"/>
    <n v="-3066413.8266728222"/>
  </r>
  <r>
    <d v="2010-09-01T00:00:00"/>
    <n v="9"/>
    <x v="0"/>
    <n v="74349622.304615363"/>
    <n v="78.099999999999994"/>
    <n v="31.5"/>
    <n v="131.56841660031131"/>
    <n v="30"/>
    <n v="0"/>
    <n v="0"/>
    <n v="0"/>
    <n v="0"/>
    <n v="9"/>
    <n v="1086681.5022835499"/>
    <n v="77645815.353068411"/>
    <n v="-3296193.0484530479"/>
  </r>
  <r>
    <d v="2010-10-01T00:00:00"/>
    <n v="10"/>
    <x v="0"/>
    <n v="73264038.258461535"/>
    <n v="241.6"/>
    <n v="0"/>
    <n v="131.92793246283102"/>
    <n v="31"/>
    <n v="0"/>
    <n v="0"/>
    <n v="0"/>
    <n v="1"/>
    <n v="10"/>
    <n v="1113417.5253814328"/>
    <n v="76423886.305310875"/>
    <n v="-3159848.0468493402"/>
  </r>
  <r>
    <d v="2010-11-01T00:00:00"/>
    <n v="11"/>
    <x v="0"/>
    <n v="76397905.17076923"/>
    <n v="405.3"/>
    <n v="0"/>
    <n v="132.28843071655632"/>
    <n v="30"/>
    <n v="0"/>
    <n v="0"/>
    <n v="0"/>
    <n v="0"/>
    <n v="11"/>
    <n v="1140153.5484793158"/>
    <n v="78736235.387058258"/>
    <n v="-2338330.2162890285"/>
  </r>
  <r>
    <d v="2010-12-01T00:00:00"/>
    <n v="12"/>
    <x v="0"/>
    <n v="82865126.892307699"/>
    <n v="676.2"/>
    <n v="0"/>
    <n v="132.64991404590961"/>
    <n v="31"/>
    <n v="0"/>
    <n v="0"/>
    <n v="0"/>
    <n v="0"/>
    <n v="12"/>
    <n v="1166889.571577199"/>
    <n v="84854359.472548336"/>
    <n v="-1989232.5802406371"/>
  </r>
  <r>
    <d v="2011-01-01T00:00:00"/>
    <n v="1"/>
    <x v="1"/>
    <n v="86054286.131538451"/>
    <n v="775.3"/>
    <n v="0"/>
    <n v="132.81780450021679"/>
    <n v="31"/>
    <n v="0"/>
    <n v="0"/>
    <n v="0"/>
    <n v="0"/>
    <n v="13"/>
    <n v="1123074.3616666666"/>
    <n v="86351021.456817746"/>
    <n v="-296735.32527929544"/>
  </r>
  <r>
    <d v="2011-02-01T00:00:00"/>
    <n v="2"/>
    <x v="1"/>
    <n v="76331649.843846157"/>
    <n v="654.20000000000005"/>
    <n v="0"/>
    <n v="132.98590744772346"/>
    <n v="28"/>
    <n v="0"/>
    <n v="0"/>
    <n v="0"/>
    <n v="0"/>
    <n v="14"/>
    <n v="1150549.0391666666"/>
    <n v="78517969.697755843"/>
    <n v="-2186319.8539096862"/>
  </r>
  <r>
    <d v="2011-03-01T00:00:00"/>
    <n v="3"/>
    <x v="1"/>
    <n v="80293454.303076923"/>
    <n v="572.79999999999995"/>
    <n v="0"/>
    <n v="133.15422315737499"/>
    <n v="31"/>
    <n v="1"/>
    <n v="0"/>
    <n v="0"/>
    <n v="0"/>
    <n v="15"/>
    <n v="1178023.7166666666"/>
    <n v="82014769.647790968"/>
    <n v="-1721315.3447140455"/>
  </r>
  <r>
    <d v="2011-04-01T00:00:00"/>
    <n v="4"/>
    <x v="1"/>
    <n v="71266777.976153851"/>
    <n v="332.3"/>
    <n v="0"/>
    <n v="133.32275189845711"/>
    <n v="30"/>
    <n v="0"/>
    <n v="1"/>
    <n v="0"/>
    <n v="0"/>
    <n v="16"/>
    <n v="1205498.3941666665"/>
    <n v="74171540.932631254"/>
    <n v="-2904762.9564774036"/>
  </r>
  <r>
    <d v="2011-05-01T00:00:00"/>
    <n v="5"/>
    <x v="1"/>
    <n v="72652305.789999992"/>
    <n v="134.1"/>
    <n v="13"/>
    <n v="133.49149394059646"/>
    <n v="31"/>
    <n v="0"/>
    <n v="0"/>
    <n v="1"/>
    <n v="0"/>
    <n v="17"/>
    <n v="1232973.0716666665"/>
    <n v="76208379.939355314"/>
    <n v="-3556074.1493553221"/>
  </r>
  <r>
    <d v="2011-06-01T00:00:00"/>
    <n v="6"/>
    <x v="1"/>
    <n v="76886231.902307689"/>
    <n v="19"/>
    <n v="52.2"/>
    <n v="133.66044955376086"/>
    <n v="30"/>
    <n v="0"/>
    <n v="0"/>
    <n v="0"/>
    <n v="0"/>
    <n v="18"/>
    <n v="1260447.7491666665"/>
    <n v="80535785.251939029"/>
    <n v="-3649553.3496313393"/>
  </r>
  <r>
    <d v="2011-07-01T00:00:00"/>
    <n v="7"/>
    <x v="1"/>
    <n v="93432707.71615386"/>
    <n v="0"/>
    <n v="198.5"/>
    <n v="133.82961900825984"/>
    <n v="31"/>
    <n v="0"/>
    <n v="0"/>
    <n v="0"/>
    <n v="0"/>
    <n v="19"/>
    <n v="1287922.4266666665"/>
    <n v="100814031.93236008"/>
    <n v="-7381324.2162062228"/>
  </r>
  <r>
    <d v="2011-08-01T00:00:00"/>
    <n v="8"/>
    <x v="1"/>
    <n v="86792642.630769238"/>
    <n v="0"/>
    <n v="122.2"/>
    <n v="133.99900257474505"/>
    <n v="31"/>
    <n v="0"/>
    <n v="0"/>
    <n v="0"/>
    <n v="0"/>
    <n v="20"/>
    <n v="1315397.1041666665"/>
    <n v="91309910.242090911"/>
    <n v="-4517267.6113216728"/>
  </r>
  <r>
    <d v="2011-09-01T00:00:00"/>
    <n v="9"/>
    <x v="1"/>
    <n v="75561450.664615378"/>
    <n v="48.2"/>
    <n v="39.700000000000003"/>
    <n v="134.16860052421072"/>
    <n v="30"/>
    <n v="0"/>
    <n v="0"/>
    <n v="0"/>
    <n v="0"/>
    <n v="21"/>
    <n v="1342871.7816666665"/>
    <n v="79645259.212645173"/>
    <n v="-4083808.5480297953"/>
  </r>
  <r>
    <d v="2011-10-01T00:00:00"/>
    <n v="10"/>
    <x v="1"/>
    <n v="73210551.581538469"/>
    <n v="235.5"/>
    <n v="2.4"/>
    <n v="134.33841312799402"/>
    <n v="31"/>
    <n v="0"/>
    <n v="0"/>
    <n v="0"/>
    <n v="1"/>
    <n v="22"/>
    <n v="1370346.4591666665"/>
    <n v="77922187.119440347"/>
    <n v="-4711635.5379018784"/>
  </r>
  <r>
    <d v="2011-11-01T00:00:00"/>
    <n v="11"/>
    <x v="1"/>
    <n v="74362594.600769222"/>
    <n v="342.1"/>
    <n v="0"/>
    <n v="134.50844065777559"/>
    <n v="30"/>
    <n v="0"/>
    <n v="0"/>
    <n v="0"/>
    <n v="0"/>
    <n v="23"/>
    <n v="1397821.1366666665"/>
    <n v="79010257.507652402"/>
    <n v="-4647662.9068831801"/>
  </r>
  <r>
    <d v="2011-12-01T00:00:00"/>
    <n v="12"/>
    <x v="1"/>
    <n v="78058078.98307693"/>
    <n v="534"/>
    <n v="0"/>
    <n v="134.67868338557994"/>
    <n v="31"/>
    <n v="0"/>
    <n v="0"/>
    <n v="0"/>
    <n v="0"/>
    <n v="24"/>
    <n v="1425295.8141666665"/>
    <n v="83894041.913201839"/>
    <n v="-5835962.9301249087"/>
  </r>
  <r>
    <d v="2012-01-01T00:00:00"/>
    <n v="1"/>
    <x v="2"/>
    <n v="83475292.246923089"/>
    <n v="610.80000000000007"/>
    <n v="0"/>
    <n v="134.80289547341587"/>
    <n v="31"/>
    <n v="0"/>
    <n v="0"/>
    <n v="0"/>
    <n v="0"/>
    <n v="25"/>
    <n v="1470326.0928205128"/>
    <n v="85048268.251330197"/>
    <n v="-1572976.0044071078"/>
  </r>
  <r>
    <d v="2012-02-01T00:00:00"/>
    <n v="2"/>
    <x v="2"/>
    <n v="76561559.599230751"/>
    <n v="532"/>
    <n v="0"/>
    <n v="134.92722212015877"/>
    <n v="29"/>
    <n v="0"/>
    <n v="0"/>
    <n v="0"/>
    <n v="0"/>
    <n v="26"/>
    <n v="1508170.1889743588"/>
    <n v="79857560.484554976"/>
    <n v="-3296000.8853242248"/>
  </r>
  <r>
    <d v="2012-03-01T00:00:00"/>
    <n v="3"/>
    <x v="2"/>
    <n v="76020277.875384629"/>
    <n v="349.40000000000009"/>
    <n v="0.2"/>
    <n v="135.05166343146462"/>
    <n v="31"/>
    <n v="1"/>
    <n v="0"/>
    <n v="0"/>
    <n v="0"/>
    <n v="27"/>
    <n v="1546014.2851282051"/>
    <n v="79848816.623478293"/>
    <n v="-3828538.7480936646"/>
  </r>
  <r>
    <d v="2012-04-01T00:00:00"/>
    <n v="4"/>
    <x v="2"/>
    <n v="69885111.659999996"/>
    <n v="321.70000000000005"/>
    <n v="0"/>
    <n v="135.17621951308675"/>
    <n v="30"/>
    <n v="0"/>
    <n v="1"/>
    <n v="0"/>
    <n v="0"/>
    <n v="28"/>
    <n v="1583858.3812820511"/>
    <n v="74980241.87165603"/>
    <n v="-5095130.211656034"/>
  </r>
  <r>
    <d v="2012-05-01T00:00:00"/>
    <n v="5"/>
    <x v="2"/>
    <n v="77152267.277272731"/>
    <n v="81.300000000000011"/>
    <n v="36.700000000000003"/>
    <n v="135.30089047087608"/>
    <n v="31"/>
    <n v="0"/>
    <n v="0"/>
    <n v="1"/>
    <n v="0"/>
    <n v="29"/>
    <n v="1621702.4774358973"/>
    <n v="79371161.635857552"/>
    <n v="-2218894.3585848212"/>
  </r>
  <r>
    <d v="2012-06-01T00:00:00"/>
    <n v="6"/>
    <x v="2"/>
    <n v="83683996.899090916"/>
    <n v="23.2"/>
    <n v="101.60000000000001"/>
    <n v="135.42567641078114"/>
    <n v="30"/>
    <n v="0"/>
    <n v="0"/>
    <n v="0"/>
    <n v="0"/>
    <n v="30"/>
    <n v="1659546.5735897436"/>
    <n v="87714360.358530104"/>
    <n v="-4030363.4594391882"/>
  </r>
  <r>
    <d v="2012-07-01T00:00:00"/>
    <n v="7"/>
    <x v="2"/>
    <n v="97430291.178181812"/>
    <n v="0"/>
    <n v="190.09999999999997"/>
    <n v="135.55057743884817"/>
    <n v="31"/>
    <n v="0"/>
    <n v="0"/>
    <n v="0"/>
    <n v="0"/>
    <n v="31"/>
    <n v="1697390.6697435896"/>
    <n v="100640299.8519865"/>
    <n v="-3210008.6738046855"/>
  </r>
  <r>
    <d v="2012-08-01T00:00:00"/>
    <n v="8"/>
    <x v="2"/>
    <n v="90717698.745454535"/>
    <n v="2"/>
    <n v="112.10000000000001"/>
    <n v="135.67559366122123"/>
    <n v="31"/>
    <n v="0"/>
    <n v="0"/>
    <n v="0"/>
    <n v="0"/>
    <n v="32"/>
    <n v="1735234.7658974358"/>
    <n v="90925082.807472289"/>
    <n v="-207384.06201775372"/>
  </r>
  <r>
    <d v="2012-09-01T00:00:00"/>
    <n v="9"/>
    <x v="2"/>
    <n v="77862574.99090907"/>
    <n v="85"/>
    <n v="35.6"/>
    <n v="135.80072518414227"/>
    <n v="30"/>
    <n v="0"/>
    <n v="0"/>
    <n v="0"/>
    <n v="0"/>
    <n v="33"/>
    <n v="1773078.8620512821"/>
    <n v="80483670.732828915"/>
    <n v="-2621095.7419198453"/>
  </r>
  <r>
    <d v="2012-10-01T00:00:00"/>
    <n v="10"/>
    <x v="2"/>
    <n v="75966062.297272757"/>
    <n v="242.50000000000003"/>
    <n v="1.1000000000000001"/>
    <n v="135.92597211395122"/>
    <n v="31"/>
    <n v="0"/>
    <n v="0"/>
    <n v="0"/>
    <n v="1"/>
    <n v="34"/>
    <n v="1810922.9582051281"/>
    <n v="78663047.498841763"/>
    <n v="-2696985.2015690058"/>
  </r>
  <r>
    <d v="2012-11-01T00:00:00"/>
    <n v="11"/>
    <x v="2"/>
    <n v="77579680.941818193"/>
    <n v="433.99999999999994"/>
    <n v="0"/>
    <n v="136.05133455708605"/>
    <n v="30"/>
    <n v="0"/>
    <n v="0"/>
    <n v="0"/>
    <n v="0"/>
    <n v="35"/>
    <n v="1848767.0543589741"/>
    <n v="81095607.196031958"/>
    <n v="-3515926.2542137653"/>
  </r>
  <r>
    <d v="2012-12-01T00:00:00"/>
    <n v="12"/>
    <x v="2"/>
    <n v="78044416.993636355"/>
    <n v="533.50000000000011"/>
    <n v="0"/>
    <n v="136.17681262008293"/>
    <n v="31"/>
    <n v="0"/>
    <n v="0"/>
    <n v="0"/>
    <n v="0"/>
    <n v="36"/>
    <n v="1886611.1505128203"/>
    <n v="84639715.928705037"/>
    <n v="-6595298.9350686818"/>
  </r>
  <r>
    <d v="2013-01-01T00:00:00"/>
    <n v="1"/>
    <x v="3"/>
    <n v="84721792.143333375"/>
    <n v="624.40000000000009"/>
    <n v="0"/>
    <n v="136.33254285243484"/>
    <n v="31"/>
    <n v="0"/>
    <n v="0"/>
    <n v="0"/>
    <n v="0"/>
    <n v="37"/>
    <n v="1950395.0073076922"/>
    <n v="86012728.113120943"/>
    <n v="-1290935.9697875679"/>
  </r>
  <r>
    <d v="2013-02-01T00:00:00"/>
    <n v="2"/>
    <x v="3"/>
    <n v="76515852.360000014"/>
    <n v="631.49999999999989"/>
    <n v="0"/>
    <n v="136.4884511760844"/>
    <n v="28"/>
    <n v="0"/>
    <n v="0"/>
    <n v="0"/>
    <n v="0"/>
    <n v="38"/>
    <n v="1995232.0446153847"/>
    <n v="79995198.887156427"/>
    <n v="-3479346.5271564126"/>
  </r>
  <r>
    <d v="2013-03-01T00:00:00"/>
    <n v="3"/>
    <x v="3"/>
    <n v="80320040.103333354"/>
    <n v="554.79999999999995"/>
    <n v="0"/>
    <n v="136.64453779469474"/>
    <n v="31"/>
    <n v="1"/>
    <n v="0"/>
    <n v="0"/>
    <n v="0"/>
    <n v="39"/>
    <n v="2040069.0819230769"/>
    <n v="83551707.6808438"/>
    <n v="-3231667.5775104463"/>
  </r>
  <r>
    <d v="2013-04-01T00:00:00"/>
    <n v="4"/>
    <x v="3"/>
    <n v="73854214.826666668"/>
    <n v="358.6"/>
    <n v="0"/>
    <n v="136.80080291216194"/>
    <n v="30"/>
    <n v="0"/>
    <n v="1"/>
    <n v="0"/>
    <n v="0"/>
    <n v="40"/>
    <n v="2084906.1192307691"/>
    <n v="76331159.053248972"/>
    <n v="-2476944.2265823036"/>
  </r>
  <r>
    <d v="2013-05-01T00:00:00"/>
    <n v="5"/>
    <x v="3"/>
    <n v="75766818.393333361"/>
    <n v="109.10000000000001"/>
    <n v="23.1"/>
    <n v="136.95724673261523"/>
    <n v="31"/>
    <n v="0"/>
    <n v="0"/>
    <n v="1"/>
    <n v="0"/>
    <n v="41"/>
    <n v="2129743.1565384613"/>
    <n v="78901331.172130823"/>
    <n v="-3134512.7787974626"/>
  </r>
  <r>
    <d v="2013-06-01T00:00:00"/>
    <n v="6"/>
    <x v="3"/>
    <n v="79605453.473333344"/>
    <n v="33"/>
    <n v="59.599999999999994"/>
    <n v="137.11386946041728"/>
    <n v="30"/>
    <n v="0"/>
    <n v="0"/>
    <n v="0"/>
    <n v="0"/>
    <n v="42"/>
    <n v="2174580.193846154"/>
    <n v="83436571.272365034"/>
    <n v="-3831117.7990316898"/>
  </r>
  <r>
    <d v="2013-07-01T00:00:00"/>
    <n v="7"/>
    <x v="3"/>
    <n v="91347063.430000022"/>
    <n v="1.2999999999999998"/>
    <n v="120.80000000000003"/>
    <n v="137.27067130016448"/>
    <n v="31"/>
    <n v="0"/>
    <n v="0"/>
    <n v="0"/>
    <n v="0"/>
    <n v="43"/>
    <n v="2219417.2311538463"/>
    <n v="92827946.974848866"/>
    <n v="-1480883.5448488444"/>
  </r>
  <r>
    <d v="2013-08-01T00:00:00"/>
    <n v="8"/>
    <x v="3"/>
    <n v="86194913.580000013"/>
    <n v="4.4000000000000004"/>
    <n v="93.799999999999983"/>
    <n v="137.42765245668718"/>
    <n v="31"/>
    <n v="0"/>
    <n v="0"/>
    <n v="0"/>
    <n v="0"/>
    <n v="44"/>
    <n v="2264254.2684615385"/>
    <n v="89558886.317774445"/>
    <n v="-3363972.7377744317"/>
  </r>
  <r>
    <d v="2013-09-01T00:00:00"/>
    <n v="9"/>
    <x v="3"/>
    <n v="77473370.183333322"/>
    <n v="82.999999999999986"/>
    <n v="28.099999999999998"/>
    <n v="137.58481313504998"/>
    <n v="30"/>
    <n v="0"/>
    <n v="0"/>
    <n v="0"/>
    <n v="0"/>
    <n v="45"/>
    <n v="2309091.3057692307"/>
    <n v="80431364.312996447"/>
    <n v="-2957994.1296631247"/>
  </r>
  <r>
    <d v="2013-10-01T00:00:00"/>
    <n v="10"/>
    <x v="3"/>
    <n v="76800878.560000002"/>
    <n v="208.5"/>
    <n v="0.4"/>
    <n v="137.74215354055198"/>
    <n v="31"/>
    <n v="0"/>
    <n v="0"/>
    <n v="0"/>
    <n v="1"/>
    <n v="46"/>
    <n v="2353928.3430769229"/>
    <n v="79029384.097644597"/>
    <n v="-2228505.5376445949"/>
  </r>
  <r>
    <d v="2013-11-01T00:00:00"/>
    <n v="11"/>
    <x v="3"/>
    <n v="77253769.396666661"/>
    <n v="478.20000000000005"/>
    <n v="0"/>
    <n v="137.89967387872707"/>
    <n v="30"/>
    <n v="0"/>
    <n v="0"/>
    <n v="0"/>
    <n v="0"/>
    <n v="47"/>
    <n v="2398765.3803846152"/>
    <n v="82680415.196473628"/>
    <n v="-5426645.7998069674"/>
  </r>
  <r>
    <d v="2013-12-01T00:00:00"/>
    <n v="12"/>
    <x v="3"/>
    <n v="81481312.549999997"/>
    <n v="687.9"/>
    <n v="0"/>
    <n v="138.05737435534434"/>
    <n v="31"/>
    <n v="0"/>
    <n v="0"/>
    <n v="0"/>
    <n v="0"/>
    <n v="48"/>
    <n v="2443602.4176923074"/>
    <n v="87809968.432099611"/>
    <n v="-6328655.8820996135"/>
  </r>
  <r>
    <d v="2014-01-01T00:00:00"/>
    <n v="1"/>
    <x v="4"/>
    <n v="87110628.419999987"/>
    <n v="825.90000000000009"/>
    <n v="0"/>
    <n v="138.29854859030914"/>
    <n v="31"/>
    <n v="0"/>
    <n v="0"/>
    <n v="0"/>
    <n v="0"/>
    <n v="49"/>
    <n v="2638622.6623076922"/>
    <n v="89902282.09752053"/>
    <n v="-2791653.6775205433"/>
  </r>
  <r>
    <d v="2014-02-01T00:00:00"/>
    <n v="2"/>
    <x v="4"/>
    <n v="75310896.296666682"/>
    <n v="737.09999999999991"/>
    <n v="0"/>
    <n v="138.54014413570292"/>
    <n v="28"/>
    <n v="0"/>
    <n v="0"/>
    <n v="0"/>
    <n v="0"/>
    <n v="50"/>
    <n v="2855427.5346153844"/>
    <n v="82571171.553038627"/>
    <n v="-7260275.2563719451"/>
  </r>
  <r>
    <d v="2014-03-01T00:00:00"/>
    <n v="3"/>
    <x v="4"/>
    <n v="79598361.859999985"/>
    <n v="690.6"/>
    <n v="0"/>
    <n v="138.78216172751834"/>
    <n v="31"/>
    <n v="1"/>
    <n v="0"/>
    <n v="0"/>
    <n v="0"/>
    <n v="51"/>
    <n v="3072232.4069230771"/>
    <n v="86606998.486706436"/>
    <n v="-7008636.6267064512"/>
  </r>
  <r>
    <d v="2014-04-01T00:00:00"/>
    <n v="4"/>
    <x v="4"/>
    <n v="69107663.240000024"/>
    <n v="356.90000000000003"/>
    <n v="0"/>
    <n v="139.02460210303386"/>
    <n v="30"/>
    <n v="0"/>
    <n v="1"/>
    <n v="0"/>
    <n v="0"/>
    <n v="52"/>
    <n v="3289037.2792307693"/>
    <n v="77481727.08967644"/>
    <n v="-8374063.8496764153"/>
  </r>
  <r>
    <d v="2014-05-01T00:00:00"/>
    <n v="5"/>
    <x v="4"/>
    <n v="69871028.140769228"/>
    <n v="132.10000000000005"/>
    <n v="11.9"/>
    <n v="139.26746600081583"/>
    <n v="31"/>
    <n v="0"/>
    <n v="0"/>
    <n v="1"/>
    <n v="0"/>
    <n v="53"/>
    <n v="3505842.1515384614"/>
    <n v="79045198.141885191"/>
    <n v="-9174170.0011159629"/>
  </r>
  <r>
    <d v="2014-06-01T00:00:00"/>
    <n v="6"/>
    <x v="4"/>
    <n v="77517701.584615394"/>
    <n v="14.1"/>
    <n v="68.099999999999994"/>
    <n v="139.51075416072086"/>
    <n v="30"/>
    <n v="0"/>
    <n v="0"/>
    <n v="0"/>
    <n v="0"/>
    <n v="54"/>
    <n v="3722647.0238461536"/>
    <n v="85511906.717977434"/>
    <n v="-7994205.1333620399"/>
  </r>
  <r>
    <d v="2014-07-01T00:00:00"/>
    <n v="7"/>
    <x v="4"/>
    <n v="79980081.605384618"/>
    <n v="4"/>
    <n v="71"/>
    <n v="139.75446732389804"/>
    <n v="31"/>
    <n v="0"/>
    <n v="0"/>
    <n v="0"/>
    <n v="0"/>
    <n v="55"/>
    <n v="3939451.8961538458"/>
    <n v="87931187.45927158"/>
    <n v="-7951105.8538869619"/>
  </r>
  <r>
    <d v="2014-08-01T00:00:00"/>
    <n v="8"/>
    <x v="4"/>
    <n v="78148911.668461546"/>
    <n v="8.7999999999999989"/>
    <n v="81.799999999999983"/>
    <n v="139.9986062327911"/>
    <n v="31"/>
    <n v="0"/>
    <n v="0"/>
    <n v="0"/>
    <n v="0"/>
    <n v="56"/>
    <n v="4156256.768461538"/>
    <n v="89489347.611648202"/>
    <n v="-11340435.943186656"/>
  </r>
  <r>
    <d v="2014-09-01T00:00:00"/>
    <n v="9"/>
    <x v="4"/>
    <n v="73189575.230769232"/>
    <n v="69.700000000000017"/>
    <n v="30.099999999999998"/>
    <n v="140.24317163114083"/>
    <n v="30"/>
    <n v="0"/>
    <n v="0"/>
    <n v="0"/>
    <n v="0"/>
    <n v="57"/>
    <n v="4373061.6407692302"/>
    <n v="81921146.611766458"/>
    <n v="-8731571.3809972256"/>
  </r>
  <r>
    <d v="2014-10-01T00:00:00"/>
    <n v="10"/>
    <x v="4"/>
    <n v="72005492.011538461"/>
    <n v="224.30000000000004"/>
    <n v="1.3"/>
    <n v="140.48816426398724"/>
    <n v="31"/>
    <n v="0"/>
    <n v="0"/>
    <n v="0"/>
    <n v="1"/>
    <n v="58"/>
    <n v="4589866.5130769219"/>
    <n v="80845550.190116316"/>
    <n v="-8840058.1785778552"/>
  </r>
  <r>
    <d v="2014-11-01T00:00:00"/>
    <n v="11"/>
    <x v="4"/>
    <n v="74401960.572307676"/>
    <n v="482.1"/>
    <n v="0"/>
    <n v="140.73358487767186"/>
    <n v="30"/>
    <n v="0"/>
    <n v="0"/>
    <n v="0"/>
    <n v="0"/>
    <n v="59"/>
    <n v="4806671.3853846146"/>
    <n v="84265359.085671902"/>
    <n v="-9863398.5133642256"/>
  </r>
  <r>
    <d v="2014-12-01T00:00:00"/>
    <n v="12"/>
    <x v="4"/>
    <n v="77304484.726153851"/>
    <n v="557.29999999999995"/>
    <n v="0"/>
    <n v="140.97943421984021"/>
    <n v="31"/>
    <n v="0"/>
    <n v="0"/>
    <n v="0"/>
    <n v="0"/>
    <n v="60"/>
    <n v="5023476.2576923072"/>
    <n v="87533988.000688612"/>
    <n v="-10229503.274534762"/>
  </r>
  <r>
    <d v="2015-01-01T00:00:00"/>
    <n v="1"/>
    <x v="5"/>
    <n v="84626740.919999987"/>
    <n v="792.39999999999975"/>
    <n v="0"/>
    <n v="141.3034903565966"/>
    <n v="31"/>
    <n v="0"/>
    <n v="0"/>
    <n v="0"/>
    <n v="0"/>
    <n v="61"/>
    <n v="5105052.2630128209"/>
    <n v="91054960.996399283"/>
    <n v="-6428220.0763992965"/>
  </r>
  <r>
    <d v="2015-02-01T00:00:00"/>
    <n v="2"/>
    <x v="5"/>
    <n v="77436620.475384608"/>
    <n v="856.8"/>
    <n v="0"/>
    <n v="141.62829137064909"/>
    <n v="28"/>
    <n v="0"/>
    <n v="0"/>
    <n v="0"/>
    <n v="0"/>
    <n v="62"/>
    <n v="5166092.1668589748"/>
    <n v="85950268.967869639"/>
    <n v="-8513648.4924850315"/>
  </r>
  <r>
    <d v="2015-03-01T00:00:00"/>
    <n v="3"/>
    <x v="5"/>
    <n v="78097659.106923103"/>
    <n v="615.49999999999989"/>
    <n v="0"/>
    <n v="141.95383897417693"/>
    <n v="31"/>
    <n v="1"/>
    <n v="0"/>
    <n v="0"/>
    <n v="0"/>
    <n v="63"/>
    <n v="5227132.0707051288"/>
    <n v="87265203.619366854"/>
    <n v="-9167544.5124437511"/>
  </r>
  <r>
    <d v="2015-04-01T00:00:00"/>
    <n v="4"/>
    <x v="5"/>
    <n v="68989289.843076915"/>
    <n v="313.7"/>
    <n v="0"/>
    <n v="142.28013488329495"/>
    <n v="30"/>
    <n v="0"/>
    <n v="1"/>
    <n v="0"/>
    <n v="0"/>
    <n v="64"/>
    <n v="5288171.9745512819"/>
    <n v="78642212.378599793"/>
    <n v="-9652922.5355228782"/>
  </r>
  <r>
    <d v="2015-05-01T00:00:00"/>
    <n v="5"/>
    <x v="5"/>
    <n v="73375077.214615405"/>
    <n v="89.3"/>
    <n v="34.1"/>
    <n v="142.60718081806269"/>
    <n v="31"/>
    <n v="0"/>
    <n v="0"/>
    <n v="1"/>
    <n v="0"/>
    <n v="65"/>
    <n v="5349211.8783974359"/>
    <n v="83051395.335281402"/>
    <n v="-9676318.1206659973"/>
  </r>
  <r>
    <d v="2015-06-01T00:00:00"/>
    <n v="6"/>
    <x v="5"/>
    <n v="75340519.323076934"/>
    <n v="33.800000000000004"/>
    <n v="32.299999999999997"/>
    <n v="142.93497850249344"/>
    <n v="30"/>
    <n v="0"/>
    <n v="0"/>
    <n v="0"/>
    <n v="0"/>
    <n v="66"/>
    <n v="5410251.7822435899"/>
    <n v="83163802.983172864"/>
    <n v="-7823283.6600959301"/>
  </r>
  <r>
    <d v="2015-07-01T00:00:00"/>
    <n v="7"/>
    <x v="5"/>
    <n v="85365000.161538452"/>
    <n v="4"/>
    <n v="114.29999999999998"/>
    <n v="143.26352966456326"/>
    <n v="31"/>
    <n v="0"/>
    <n v="0"/>
    <n v="0"/>
    <n v="0"/>
    <n v="67"/>
    <n v="5471291.6860897439"/>
    <n v="95297119.858613461"/>
    <n v="-9932119.6970750093"/>
  </r>
  <r>
    <d v="2015-08-01T00:00:00"/>
    <n v="8"/>
    <x v="5"/>
    <n v="81751305.839230776"/>
    <n v="4.4000000000000004"/>
    <n v="88.6"/>
    <n v="143.59283603622018"/>
    <n v="31"/>
    <n v="0"/>
    <n v="0"/>
    <n v="0"/>
    <n v="0"/>
    <n v="68"/>
    <n v="5532331.5899358978"/>
    <n v="92253316.529573202"/>
    <n v="-10502010.690342426"/>
  </r>
  <r>
    <d v="2015-09-01T00:00:00"/>
    <n v="9"/>
    <x v="5"/>
    <n v="79343691.187692299"/>
    <n v="31.099999999999994"/>
    <n v="81.900000000000006"/>
    <n v="143.92289935339329"/>
    <n v="30"/>
    <n v="0"/>
    <n v="0"/>
    <n v="0"/>
    <n v="0"/>
    <n v="69"/>
    <n v="5593371.4937820518"/>
    <n v="89906196.405764401"/>
    <n v="-10562505.218072101"/>
  </r>
  <r>
    <d v="2015-10-01T00:00:00"/>
    <n v="10"/>
    <x v="5"/>
    <n v="71236445.923076928"/>
    <n v="249.8"/>
    <n v="0"/>
    <n v="144.2537213560019"/>
    <n v="31"/>
    <n v="0"/>
    <n v="0"/>
    <n v="0"/>
    <n v="1"/>
    <n v="70"/>
    <n v="5654411.3976282058"/>
    <n v="83115861.913916945"/>
    <n v="-11879415.990840018"/>
  </r>
  <r>
    <d v="2015-11-01T00:00:00"/>
    <n v="11"/>
    <x v="5"/>
    <n v="71636023.820769221"/>
    <n v="345"/>
    <n v="0"/>
    <n v="144.58530378796473"/>
    <n v="30"/>
    <n v="0"/>
    <n v="0"/>
    <n v="0"/>
    <n v="0"/>
    <n v="71"/>
    <n v="5715451.3014743589"/>
    <n v="84437536.096384019"/>
    <n v="-12801512.275614798"/>
  </r>
  <r>
    <d v="2015-12-01T00:00:00"/>
    <n v="12"/>
    <x v="5"/>
    <n v="73291493.167692319"/>
    <n v="429.70000000000005"/>
    <n v="0"/>
    <n v="144.91764839720901"/>
    <n v="31"/>
    <n v="0"/>
    <n v="0"/>
    <n v="0"/>
    <n v="0"/>
    <n v="72"/>
    <n v="5776491.2053205129"/>
    <n v="87891520.35148862"/>
    <n v="-14600027.183796301"/>
  </r>
  <r>
    <d v="2016-01-01T00:00:00"/>
    <n v="1"/>
    <x v="6"/>
    <n v="79986061.065384641"/>
    <n v="670.4"/>
    <n v="0"/>
    <n v="145.18982487994964"/>
    <n v="31"/>
    <n v="0"/>
    <n v="0"/>
    <n v="0"/>
    <n v="0"/>
    <n v="73"/>
    <n v="5818526.0798717942"/>
    <n v="91461941.887011886"/>
    <n v="-11475880.821627244"/>
  </r>
  <r>
    <d v="2016-02-01T00:00:00"/>
    <n v="2"/>
    <x v="6"/>
    <n v="73679442.001538455"/>
    <n v="588.4"/>
    <n v="0"/>
    <n v="145.46251254982707"/>
    <n v="29"/>
    <n v="0"/>
    <n v="0"/>
    <n v="0"/>
    <n v="0"/>
    <n v="74"/>
    <n v="5896612.4580769222"/>
    <n v="86312007.16269502"/>
    <n v="-12632565.161156565"/>
  </r>
  <r>
    <d v="2016-03-01T00:00:00"/>
    <n v="3"/>
    <x v="6"/>
    <n v="73829400.356153846"/>
    <n v="476.0999999999998"/>
    <n v="0"/>
    <n v="145.73571236692533"/>
    <n v="31"/>
    <n v="1"/>
    <n v="0"/>
    <n v="0"/>
    <n v="0"/>
    <n v="75"/>
    <n v="5974698.8362820512"/>
    <n v="87364068.656980723"/>
    <n v="-13534668.300826877"/>
  </r>
  <r>
    <d v="2016-04-01T00:00:00"/>
    <n v="4"/>
    <x v="6"/>
    <n v="69308215.465384632"/>
    <n v="394.8"/>
    <n v="0"/>
    <n v="146.00942529313159"/>
    <n v="30"/>
    <n v="0"/>
    <n v="1"/>
    <n v="0"/>
    <n v="0"/>
    <n v="76"/>
    <n v="6052785.2144871792"/>
    <n v="81845340.109085947"/>
    <n v="-12537124.643701315"/>
  </r>
  <r>
    <d v="2016-05-01T00:00:00"/>
    <n v="5"/>
    <x v="6"/>
    <n v="72726898.225384623"/>
    <n v="142.50000000000003"/>
    <n v="36.9"/>
    <n v="146.28365229213961"/>
    <n v="31"/>
    <n v="0"/>
    <n v="0"/>
    <n v="1"/>
    <n v="0"/>
    <n v="77"/>
    <n v="6130871.5926923072"/>
    <n v="86179185.121575028"/>
    <n v="-13452286.896190405"/>
  </r>
  <r>
    <d v="2016-06-01T00:00:00"/>
    <n v="6"/>
    <x v="6"/>
    <n v="79069060.420000032"/>
    <n v="24.200000000000003"/>
    <n v="83.7"/>
    <n v="146.55839432945308"/>
    <n v="30"/>
    <n v="0"/>
    <n v="0"/>
    <n v="0"/>
    <n v="0"/>
    <n v="78"/>
    <n v="6208957.9708974352"/>
    <n v="91478111.142666578"/>
    <n v="-12409050.722666547"/>
  </r>
  <r>
    <d v="2016-07-01T00:00:00"/>
    <n v="7"/>
    <x v="6"/>
    <n v="90249922.476153865"/>
    <n v="0"/>
    <n v="176.89999999999998"/>
    <n v="146.83365237238908"/>
    <n v="31"/>
    <n v="0"/>
    <n v="0"/>
    <n v="0"/>
    <n v="0"/>
    <n v="79"/>
    <n v="6287044.3491025632"/>
    <n v="105068165.03821194"/>
    <n v="-14818242.562058076"/>
  </r>
  <r>
    <d v="2016-08-01T00:00:00"/>
    <n v="8"/>
    <x v="6"/>
    <n v="94016713.441538468"/>
    <n v="0"/>
    <n v="195.4"/>
    <n v="147.10942739008146"/>
    <n v="31"/>
    <n v="0"/>
    <n v="0"/>
    <n v="0"/>
    <n v="0"/>
    <n v="80"/>
    <n v="6365130.7273076922"/>
    <n v="107544555.10163924"/>
    <n v="-13527841.660100773"/>
  </r>
  <r>
    <d v="2016-09-01T00:00:00"/>
    <n v="9"/>
    <x v="6"/>
    <n v="77678226.287692308"/>
    <n v="25.900000000000006"/>
    <n v="69.400000000000006"/>
    <n v="147.3857203534842"/>
    <n v="30"/>
    <n v="0"/>
    <n v="0"/>
    <n v="0"/>
    <n v="0"/>
    <n v="81"/>
    <n v="6443217.1055128202"/>
    <n v="90155905.757356703"/>
    <n v="-12477679.469664395"/>
  </r>
  <r>
    <d v="2016-10-01T00:00:00"/>
    <n v="10"/>
    <x v="6"/>
    <n v="71025278.580769241"/>
    <n v="194.20000000000002"/>
    <n v="4.0999999999999996"/>
    <n v="147.6625322353749"/>
    <n v="31"/>
    <n v="0"/>
    <n v="0"/>
    <n v="0"/>
    <n v="1"/>
    <n v="82"/>
    <n v="6521303.4837179482"/>
    <n v="84704652.380282491"/>
    <n v="-13679373.799513251"/>
  </r>
  <r>
    <d v="2016-11-01T00:00:00"/>
    <n v="11"/>
    <x v="6"/>
    <n v="71123495.761538461"/>
    <n v="337.80000000000007"/>
    <n v="0"/>
    <n v="147.93986401035815"/>
    <n v="30"/>
    <n v="0"/>
    <n v="0"/>
    <n v="0"/>
    <n v="0"/>
    <n v="83"/>
    <n v="6599389.8619230762"/>
    <n v="86167413.037174165"/>
    <n v="-15043917.275635704"/>
  </r>
  <r>
    <d v="2016-12-01T00:00:00"/>
    <n v="12"/>
    <x v="6"/>
    <n v="76024870.703076944"/>
    <n v="607.99999999999989"/>
    <n v="0"/>
    <n v="148.21771665486904"/>
    <n v="31"/>
    <n v="0"/>
    <n v="0"/>
    <n v="0"/>
    <n v="0"/>
    <n v="84"/>
    <n v="6677476.2401282052"/>
    <n v="92226956.630480617"/>
    <n v="-16202085.927403674"/>
  </r>
  <r>
    <d v="2017-01-01T00:00:00"/>
    <n v="1"/>
    <x v="7"/>
    <n v="78997942.227619052"/>
    <n v="608.9"/>
    <n v="0"/>
    <n v="148.6475381454095"/>
    <n v="31"/>
    <n v="0"/>
    <n v="0"/>
    <n v="0"/>
    <n v="0"/>
    <n v="85"/>
    <n v="6586715.294871795"/>
    <n v="92479818.566404462"/>
    <n v="-13481876.33878541"/>
  </r>
  <r>
    <d v="2017-02-01T00:00:00"/>
    <n v="2"/>
    <x v="7"/>
    <n v="69829356.909999996"/>
    <n v="510.4"/>
    <n v="0"/>
    <n v="149.07860608959868"/>
    <n v="28"/>
    <n v="0"/>
    <n v="0"/>
    <n v="0"/>
    <n v="0"/>
    <n v="86"/>
    <n v="6691761.756410256"/>
    <n v="85120975.85043034"/>
    <n v="-15291618.940430343"/>
  </r>
  <r>
    <d v="2017-03-01T00:00:00"/>
    <n v="3"/>
    <x v="7"/>
    <n v="76565564.916190505"/>
    <n v="574"/>
    <n v="0"/>
    <n v="149.51092410206903"/>
    <n v="31"/>
    <n v="1"/>
    <n v="0"/>
    <n v="0"/>
    <n v="0"/>
    <n v="87"/>
    <n v="6796808.217948718"/>
    <n v="90832743.00458169"/>
    <n v="-14267178.088391185"/>
  </r>
  <r>
    <d v="2017-04-01T00:00:00"/>
    <n v="4"/>
    <x v="7"/>
    <n v="66644954.449523814"/>
    <n v="257.49999999999994"/>
    <n v="0"/>
    <n v="149.94449580793514"/>
    <n v="30"/>
    <n v="0"/>
    <n v="1"/>
    <n v="0"/>
    <n v="0"/>
    <n v="88"/>
    <n v="6901854.679487179"/>
    <n v="82063140.078152061"/>
    <n v="-15418185.628628246"/>
  </r>
  <r>
    <d v="2017-05-01T00:00:00"/>
    <n v="5"/>
    <x v="7"/>
    <n v="70677545.254761904"/>
    <n v="177"/>
    <n v="9"/>
    <n v="150.37932484282425"/>
    <n v="31"/>
    <n v="0"/>
    <n v="0"/>
    <n v="1"/>
    <n v="0"/>
    <n v="89"/>
    <n v="7006901.141025641"/>
    <n v="85425139.105271816"/>
    <n v="-14747593.850509912"/>
  </r>
  <r>
    <d v="2017-06-01T00:00:00"/>
    <n v="6"/>
    <x v="7"/>
    <n v="78699725.353333339"/>
    <n v="26.699999999999996"/>
    <n v="68.2"/>
    <n v="150.81541485290663"/>
    <n v="30"/>
    <n v="0"/>
    <n v="0"/>
    <n v="0"/>
    <n v="0"/>
    <n v="90"/>
    <n v="7111947.602564102"/>
    <n v="91921920.772015244"/>
    <n v="-13222195.418681905"/>
  </r>
  <r>
    <d v="2017-07-01T00:00:00"/>
    <n v="7"/>
    <x v="7"/>
    <n v="85577695.760000005"/>
    <n v="0"/>
    <n v="116.49999999999999"/>
    <n v="151.25276949492624"/>
    <n v="31"/>
    <n v="0"/>
    <n v="0"/>
    <n v="0"/>
    <n v="0"/>
    <n v="91"/>
    <n v="7216994.064102564"/>
    <n v="99925672.506266773"/>
    <n v="-14347976.746266767"/>
  </r>
  <r>
    <d v="2017-08-01T00:00:00"/>
    <n v="8"/>
    <x v="7"/>
    <n v="83019509.650000006"/>
    <n v="11.6"/>
    <n v="75.2"/>
    <n v="151.69139243623133"/>
    <n v="31"/>
    <n v="0"/>
    <n v="0"/>
    <n v="0"/>
    <n v="0"/>
    <n v="92"/>
    <n v="7322040.525641025"/>
    <n v="95143366.628599524"/>
    <n v="-12123856.978599519"/>
  </r>
  <r>
    <d v="2017-09-01T00:00:00"/>
    <n v="9"/>
    <x v="7"/>
    <n v="77334131.13666667"/>
    <n v="49.1"/>
    <n v="71.499999999999986"/>
    <n v="152.13128735480518"/>
    <n v="30"/>
    <n v="0"/>
    <n v="0"/>
    <n v="0"/>
    <n v="0"/>
    <n v="93"/>
    <n v="7427086.987179487"/>
    <n v="93390825.650659978"/>
    <n v="-16056694.513993308"/>
  </r>
  <r>
    <d v="2017-10-01T00:00:00"/>
    <n v="10"/>
    <x v="7"/>
    <n v="73469057.820000008"/>
    <n v="153.99999999999997"/>
    <n v="8.1"/>
    <n v="152.57245793929707"/>
    <n v="31"/>
    <n v="0"/>
    <n v="0"/>
    <n v="0"/>
    <n v="1"/>
    <n v="94"/>
    <n v="7532133.448717948"/>
    <n v="87372662.784167051"/>
    <n v="-13903604.964167044"/>
  </r>
  <r>
    <d v="2017-11-01T00:00:00"/>
    <n v="11"/>
    <x v="7"/>
    <n v="74459348.126666665"/>
    <n v="414.2"/>
    <n v="0"/>
    <n v="153.01490788905303"/>
    <n v="30"/>
    <n v="0"/>
    <n v="0"/>
    <n v="0"/>
    <n v="0"/>
    <n v="95"/>
    <n v="7637179.91025641"/>
    <n v="90086234.606541008"/>
    <n v="-15626886.479874343"/>
  </r>
  <r>
    <d v="2017-12-01T00:00:00"/>
    <n v="12"/>
    <x v="7"/>
    <n v="79667517.416666657"/>
    <n v="718.49999999999989"/>
    <n v="0"/>
    <n v="153.45864091414703"/>
    <n v="31"/>
    <n v="0"/>
    <n v="0"/>
    <n v="0"/>
    <n v="0"/>
    <n v="96"/>
    <n v="7742226.3717948711"/>
    <n v="96727030.532766104"/>
    <n v="-17059513.116099447"/>
  </r>
  <r>
    <d v="2018-01-01T00:00:00"/>
    <n v="1"/>
    <x v="8"/>
    <n v="84752511.140000001"/>
    <n v="732.29999999999984"/>
    <n v="0"/>
    <n v="153.85890281731997"/>
    <n v="31"/>
    <n v="0"/>
    <n v="0"/>
    <n v="0"/>
    <n v="0"/>
    <n v="97"/>
    <n v="7616407.5163461538"/>
    <n v="97146103.182659745"/>
    <n v="-12393592.042659745"/>
  </r>
  <r>
    <d v="2018-02-01T00:00:00"/>
    <n v="2"/>
    <x v="8"/>
    <n v="72631313.480000004"/>
    <n v="555.00000000000023"/>
    <n v="0"/>
    <n v="154.26020871247783"/>
    <n v="28"/>
    <n v="0"/>
    <n v="0"/>
    <n v="0"/>
    <n v="0"/>
    <n v="98"/>
    <n v="7678570.0868589738"/>
    <n v="88649658.900811374"/>
    <n v="-16018345.42081137"/>
  </r>
  <r>
    <d v="2018-03-01T00:00:00"/>
    <n v="3"/>
    <x v="8"/>
    <n v="77931843.100000009"/>
    <n v="553.99999999999989"/>
    <n v="0"/>
    <n v="154.66256132263587"/>
    <n v="31"/>
    <n v="1"/>
    <n v="0"/>
    <n v="0"/>
    <n v="0"/>
    <n v="99"/>
    <n v="7740732.6573717948"/>
    <n v="93425586.972642988"/>
    <n v="-15493743.872642979"/>
  </r>
  <r>
    <d v="2018-04-01T00:00:00"/>
    <n v="4"/>
    <x v="8"/>
    <n v="72888274.790000007"/>
    <n v="437.20000000000005"/>
    <n v="0"/>
    <n v="155.06596337791169"/>
    <n v="30"/>
    <n v="0"/>
    <n v="1"/>
    <n v="0"/>
    <n v="0"/>
    <n v="100"/>
    <n v="7802895.2278846148"/>
    <n v="87477566.77585265"/>
    <n v="-14589291.985852644"/>
  </r>
  <r>
    <d v="2018-05-01T00:00:00"/>
    <n v="5"/>
    <x v="8"/>
    <n v="76624694.199999973"/>
    <n v="75.3"/>
    <n v="43.4"/>
    <n v="155.47041761554377"/>
    <n v="31"/>
    <n v="0"/>
    <n v="0"/>
    <n v="1"/>
    <n v="0"/>
    <n v="101"/>
    <n v="7865057.7983974358"/>
    <n v="91146163.753440499"/>
    <n v="-14521469.553440526"/>
  </r>
  <r>
    <d v="2018-06-01T00:00:00"/>
    <n v="6"/>
    <x v="8"/>
    <n v="80769043.830000013"/>
    <n v="14.799999999999999"/>
    <n v="60.5"/>
    <n v="155.87592677991009"/>
    <n v="30"/>
    <n v="0"/>
    <n v="0"/>
    <n v="0"/>
    <n v="0"/>
    <n v="102"/>
    <n v="7927220.3689102558"/>
    <n v="93608859.673895985"/>
    <n v="-12839815.843895972"/>
  </r>
  <r>
    <d v="2018-07-01T00:00:00"/>
    <n v="7"/>
    <x v="8"/>
    <n v="95230727.25999999"/>
    <n v="0"/>
    <n v="167.8"/>
    <n v="156.2824936225467"/>
    <n v="31"/>
    <n v="0"/>
    <n v="0"/>
    <n v="0"/>
    <n v="0"/>
    <n v="103"/>
    <n v="7989382.9394230768"/>
    <n v="109181615.2521942"/>
    <n v="-13950887.992194206"/>
  </r>
  <r>
    <d v="2018-08-01T00:00:00"/>
    <n v="8"/>
    <x v="8"/>
    <n v="93580216.839999989"/>
    <n v="1.2"/>
    <n v="162.4"/>
    <n v="156.6901209021664"/>
    <n v="31"/>
    <n v="0"/>
    <n v="0"/>
    <n v="0"/>
    <n v="0"/>
    <n v="104"/>
    <n v="8051545.5099358968"/>
    <n v="108746926.67995298"/>
    <n v="-15166709.83995299"/>
  </r>
  <r>
    <d v="2018-09-01T00:00:00"/>
    <n v="9"/>
    <x v="8"/>
    <n v="79916023.120000005"/>
    <n v="41.399999999999991"/>
    <n v="76.399999999999977"/>
    <n v="157.09881138467748"/>
    <n v="30"/>
    <n v="0"/>
    <n v="0"/>
    <n v="0"/>
    <n v="0"/>
    <n v="105"/>
    <n v="8113708.0804487178"/>
    <n v="96667530.363893002"/>
    <n v="-16751507.243892998"/>
  </r>
  <r>
    <d v="2018-10-01T00:00:00"/>
    <n v="10"/>
    <x v="8"/>
    <n v="75870343.00999999"/>
    <n v="289.40000000000003"/>
    <n v="8.1999999999999993"/>
    <n v="157.50856784320246"/>
    <n v="31"/>
    <n v="0"/>
    <n v="0"/>
    <n v="0"/>
    <n v="1"/>
    <n v="106"/>
    <n v="8175870.6509615378"/>
    <n v="92062071.214450181"/>
    <n v="-16191728.20445019"/>
  </r>
  <r>
    <d v="2018-11-01T00:00:00"/>
    <n v="11"/>
    <x v="8"/>
    <n v="77972578.930000007"/>
    <n v="494.1"/>
    <n v="0"/>
    <n v="157.91939305809689"/>
    <n v="30"/>
    <n v="0"/>
    <n v="0"/>
    <n v="0"/>
    <n v="0"/>
    <n v="107"/>
    <n v="8238033.2214743588"/>
    <n v="93955640.959376156"/>
    <n v="-15983062.029376149"/>
  </r>
  <r>
    <d v="2018-12-01T00:00:00"/>
    <n v="12"/>
    <x v="8"/>
    <n v="77716342.479999989"/>
    <n v="563.60000000000014"/>
    <n v="0"/>
    <n v="158.33128981696836"/>
    <n v="31"/>
    <n v="0"/>
    <n v="0"/>
    <n v="0"/>
    <n v="0"/>
    <n v="108"/>
    <n v="8300195.7919871788"/>
    <n v="97239784.619540542"/>
    <n v="-19523442.139540553"/>
  </r>
  <r>
    <d v="2019-01-01T00:00:00"/>
    <n v="1"/>
    <x v="9"/>
    <n v="85029523.596500009"/>
    <n v="764.5"/>
    <n v="0"/>
    <n v="158.56186296962741"/>
    <n v="31"/>
    <n v="0"/>
    <n v="0"/>
    <n v="0"/>
    <n v="0"/>
    <n v="109"/>
    <n v="8039697.770961538"/>
    <n v="100220180.40687978"/>
    <n v="-15190656.810379773"/>
  </r>
  <r>
    <d v="2019-02-01T00:00:00"/>
    <n v="2"/>
    <x v="9"/>
    <n v="75571374.736000016"/>
    <n v="621.70000000000016"/>
    <n v="0"/>
    <n v="158.79277189911735"/>
    <n v="28"/>
    <n v="0"/>
    <n v="0"/>
    <n v="0"/>
    <n v="0"/>
    <n v="110"/>
    <n v="8072706.1427564099"/>
    <n v="92115140.488603741"/>
    <n v="-16543765.752603725"/>
  </r>
  <r>
    <d v="2019-03-01T00:00:00"/>
    <n v="3"/>
    <x v="9"/>
    <n v="79381068.277800009"/>
    <n v="593.90000000000009"/>
    <n v="0"/>
    <n v="159.02401709442"/>
    <n v="31"/>
    <n v="1"/>
    <n v="0"/>
    <n v="0"/>
    <n v="0"/>
    <n v="111"/>
    <n v="8105714.514551281"/>
    <n v="96410560.624792516"/>
    <n v="-17029492.346992508"/>
  </r>
  <r>
    <d v="2019-04-01T00:00:00"/>
    <n v="4"/>
    <x v="9"/>
    <n v="73998852.774599999"/>
    <n v="346.8"/>
    <n v="0"/>
    <n v="159.2555990452293"/>
    <n v="30"/>
    <n v="0"/>
    <n v="1"/>
    <n v="0"/>
    <n v="0"/>
    <n v="112"/>
    <n v="8138722.886346153"/>
    <n v="88510163.490087599"/>
    <n v="-14511310.715487599"/>
  </r>
  <r>
    <d v="2019-05-01T00:00:00"/>
    <n v="5"/>
    <x v="9"/>
    <n v="74079885.052200004"/>
    <n v="180.99999999999997"/>
    <n v="0"/>
    <n v="159.48751824195227"/>
    <n v="31"/>
    <n v="0"/>
    <n v="0"/>
    <n v="1"/>
    <n v="0"/>
    <n v="113"/>
    <n v="8171731.258141025"/>
    <n v="89409953.481581926"/>
    <n v="-15330068.429381922"/>
  </r>
  <r>
    <d v="2019-06-01T00:00:00"/>
    <n v="6"/>
    <x v="9"/>
    <n v="77200774.899399996"/>
    <n v="35.5"/>
    <n v="41.300000000000004"/>
    <n v="159.71977517571011"/>
    <n v="30"/>
    <n v="0"/>
    <n v="0"/>
    <n v="0"/>
    <n v="0"/>
    <n v="114"/>
    <n v="8204739.629935897"/>
    <n v="93605991.864731401"/>
    <n v="-16405216.965331405"/>
  </r>
  <r>
    <d v="2019-07-01T00:00:00"/>
    <n v="7"/>
    <x v="9"/>
    <n v="97266632.718700007"/>
    <n v="0"/>
    <n v="166.90000000000003"/>
    <n v="159.95237033833922"/>
    <n v="31"/>
    <n v="0"/>
    <n v="0"/>
    <n v="0"/>
    <n v="0"/>
    <n v="115"/>
    <n v="8237748.0017307689"/>
    <n v="111084049.19656032"/>
    <n v="-13817416.477860317"/>
  </r>
  <r>
    <d v="2019-08-01T00:00:00"/>
    <n v="8"/>
    <x v="9"/>
    <n v="88226114.621299982"/>
    <n v="0.89999999999999991"/>
    <n v="103.30000000000003"/>
    <n v="160.18530422239229"/>
    <n v="31"/>
    <n v="0"/>
    <n v="0"/>
    <n v="0"/>
    <n v="0"/>
    <n v="116"/>
    <n v="8270756.37352564"/>
    <n v="103226371.85974759"/>
    <n v="-15000257.238447607"/>
  </r>
  <r>
    <d v="2019-09-01T00:00:00"/>
    <n v="9"/>
    <x v="9"/>
    <n v="76664331.356100008"/>
    <n v="38.400000000000006"/>
    <n v="25.400000000000002"/>
    <n v="160.41857732113922"/>
    <n v="30"/>
    <n v="0"/>
    <n v="0"/>
    <n v="0"/>
    <n v="0"/>
    <n v="117"/>
    <n v="8303764.745320512"/>
    <n v="92024955.586604357"/>
    <n v="-15360624.230504349"/>
  </r>
  <r>
    <d v="2019-10-01T00:00:00"/>
    <n v="10"/>
    <x v="9"/>
    <n v="75138464.501400009"/>
    <n v="236.5"/>
    <n v="5.0999999999999996"/>
    <n v="160.65219012856832"/>
    <n v="31"/>
    <n v="0"/>
    <n v="0"/>
    <n v="0"/>
    <n v="1"/>
    <n v="118"/>
    <n v="8336773.117115384"/>
    <n v="92629834.779906005"/>
    <n v="-17491370.278505996"/>
  </r>
  <r>
    <d v="2019-11-01T00:00:00"/>
    <n v="11"/>
    <x v="9"/>
    <n v="79324528.1259"/>
    <n v="513.30000000000007"/>
    <n v="0"/>
    <n v="160.88614313938723"/>
    <n v="30"/>
    <n v="0"/>
    <n v="0"/>
    <n v="0"/>
    <n v="0"/>
    <n v="119"/>
    <n v="8369781.488910256"/>
    <n v="95835345.991708726"/>
    <n v="-16510817.865808725"/>
  </r>
  <r>
    <d v="2019-12-01T00:00:00"/>
    <n v="12"/>
    <x v="9"/>
    <n v="77448670.109640002"/>
    <n v="582.4"/>
    <n v="0"/>
    <n v="161.12043684902417"/>
    <n v="31"/>
    <n v="0"/>
    <n v="0"/>
    <n v="0"/>
    <n v="0"/>
    <n v="120"/>
    <n v="8402789.8607051279"/>
    <n v="99010532.257186353"/>
    <n v="-21561862.147546351"/>
  </r>
  <r>
    <d v="2020-01-01T00:00:00"/>
    <n v="1"/>
    <x v="10"/>
    <n v="81251440.013279989"/>
    <n v="605"/>
    <n v="0"/>
    <n v="160.36267106853012"/>
    <n v="31"/>
    <n v="0"/>
    <n v="0"/>
    <n v="0"/>
    <n v="0"/>
    <n v="121"/>
    <n v="8402789.8607051279"/>
    <n v="98881357.241646647"/>
    <n v="-17629917.228366658"/>
  </r>
  <r>
    <d v="2020-02-01T00:00:00"/>
    <n v="2"/>
    <x v="10"/>
    <n v="75883614.011019975"/>
    <n v="611.79999999999995"/>
    <n v="0"/>
    <n v="159.60846913747267"/>
    <n v="29"/>
    <n v="0"/>
    <n v="0"/>
    <n v="0"/>
    <n v="0"/>
    <n v="122"/>
    <n v="8402789.8607051279"/>
    <n v="94396783.751141936"/>
    <n v="-18513169.740121961"/>
  </r>
  <r>
    <d v="2020-03-01T00:00:00"/>
    <n v="3"/>
    <x v="10"/>
    <n v="75425735.247120008"/>
    <n v="458.69999999999993"/>
    <n v="0"/>
    <n v="158.85781429470592"/>
    <n v="31"/>
    <n v="1"/>
    <n v="0"/>
    <n v="0"/>
    <n v="0"/>
    <n v="123"/>
    <n v="8402789.8607051279"/>
    <n v="94273454.143666208"/>
    <n v="-18847718.8965462"/>
  </r>
  <r>
    <d v="2020-04-01T00:00:00"/>
    <n v="4"/>
    <x v="10"/>
    <n v="68179453.099079981"/>
    <n v="362.2999999999999"/>
    <n v="0"/>
    <n v="158.11068985791331"/>
    <n v="30"/>
    <n v="0"/>
    <n v="1"/>
    <n v="0"/>
    <n v="0"/>
    <n v="124"/>
    <n v="8402789.8607051279"/>
    <n v="87946464.639873087"/>
    <n v="-19767011.540793106"/>
  </r>
  <r>
    <d v="2020-05-01T00:00:00"/>
    <n v="5"/>
    <x v="10"/>
    <n v="72113730.421249986"/>
    <n v="208.09999999999997"/>
    <n v="24.2"/>
    <n v="157.36707922323697"/>
    <n v="31"/>
    <n v="0"/>
    <n v="0"/>
    <n v="1"/>
    <n v="0"/>
    <n v="125"/>
    <n v="8402789.8607051279"/>
    <n v="91486455.405343384"/>
    <n v="-19372724.984093398"/>
  </r>
  <r>
    <d v="2020-06-01T00:00:00"/>
    <n v="6"/>
    <x v="10"/>
    <n v="86099647.89466998"/>
    <n v="23.799999999999997"/>
    <n v="97.700000000000017"/>
    <n v="156.62696586490861"/>
    <n v="30"/>
    <n v="0"/>
    <n v="0"/>
    <n v="0"/>
    <n v="0"/>
    <n v="126"/>
    <n v="8402789.8607051279"/>
    <n v="98613790.442500472"/>
    <n v="-12514142.547830492"/>
  </r>
  <r>
    <d v="2020-07-01T00:00:00"/>
    <n v="7"/>
    <x v="10"/>
    <n v="103947133.04603"/>
    <n v="0"/>
    <n v="215.7"/>
    <n v="155.89033333488234"/>
    <n v="31"/>
    <n v="0"/>
    <n v="0"/>
    <n v="0"/>
    <n v="0"/>
    <n v="127"/>
    <n v="8402789.8607051279"/>
    <n v="114739107.09361354"/>
    <n v="-10791974.047583535"/>
  </r>
  <r>
    <d v="2020-08-01T00:00:00"/>
    <n v="8"/>
    <x v="10"/>
    <n v="92534942.41407001"/>
    <n v="0.8"/>
    <n v="126.69999999999999"/>
    <n v="155.15716526246908"/>
    <n v="31"/>
    <n v="0"/>
    <n v="0"/>
    <n v="0"/>
    <n v="0"/>
    <n v="128"/>
    <n v="8402789.8607051279"/>
    <n v="103124856.86414486"/>
    <n v="-10589914.450074852"/>
  </r>
  <r>
    <d v="2020-09-01T00:00:00"/>
    <n v="9"/>
    <x v="10"/>
    <n v="76554649.522059992"/>
    <n v="69.100000000000009"/>
    <n v="33.300000000000004"/>
    <n v="154.42744535397276"/>
    <n v="30"/>
    <n v="0"/>
    <n v="0"/>
    <n v="0"/>
    <n v="0"/>
    <n v="129"/>
    <n v="8402789.8607051279"/>
    <n v="89852648.275022596"/>
    <n v="-13297998.752962604"/>
  </r>
  <r>
    <d v="2020-10-01T00:00:00"/>
    <n v="10"/>
    <x v="10"/>
    <n v="74574750.82904999"/>
    <n v="270.3"/>
    <n v="0"/>
    <n v="153.70115739232821"/>
    <n v="31"/>
    <n v="0"/>
    <n v="0"/>
    <n v="0"/>
    <n v="1"/>
    <n v="130"/>
    <n v="8402789.8607051279"/>
    <n v="88309033.954187393"/>
    <n v="-13734283.125137404"/>
  </r>
  <r>
    <d v="2020-11-01T00:00:00"/>
    <n v="11"/>
    <x v="10"/>
    <n v="75524140.206439972"/>
    <n v="334.79999999999995"/>
    <n v="0"/>
    <n v="152.97828523674082"/>
    <n v="30"/>
    <n v="0"/>
    <n v="0"/>
    <n v="0"/>
    <n v="0"/>
    <n v="131"/>
    <n v="8402789.8607051279"/>
    <n v="88581115.356213957"/>
    <n v="-13056975.149773985"/>
  </r>
  <r>
    <d v="2020-12-01T00:00:00"/>
    <n v="12"/>
    <x v="10"/>
    <n v="78942466.150570005"/>
    <n v="567.29999999999995"/>
    <n v="0"/>
    <n v="152.25881282232783"/>
    <n v="31"/>
    <n v="0"/>
    <n v="0"/>
    <n v="0"/>
    <n v="0"/>
    <n v="132"/>
    <n v="8402789.8607051279"/>
    <n v="93524766.533357143"/>
    <n v="-14582300.382787138"/>
  </r>
  <r>
    <d v="2021-01-01T00:00:00"/>
    <n v="1"/>
    <x v="11"/>
    <m/>
    <n v="700.99"/>
    <n v="0"/>
    <n v="152.76950332981193"/>
    <n v="31"/>
    <n v="0"/>
    <n v="0"/>
    <n v="0"/>
    <n v="0"/>
    <n v="133"/>
    <n v="8402789.8607051279"/>
    <n v="95712520.408842355"/>
    <n v="-95712520.408842355"/>
  </r>
  <r>
    <d v="2021-02-01T00:00:00"/>
    <n v="2"/>
    <x v="11"/>
    <m/>
    <n v="629.89"/>
    <n v="0"/>
    <n v="153.28190674172239"/>
    <n v="28"/>
    <n v="0"/>
    <n v="0"/>
    <n v="0"/>
    <n v="0"/>
    <n v="134"/>
    <n v="8402789.8607051279"/>
    <n v="88790516.222942621"/>
    <n v="-88790516.222942621"/>
  </r>
  <r>
    <d v="2021-03-01T00:00:00"/>
    <n v="3"/>
    <x v="11"/>
    <m/>
    <n v="543.98"/>
    <n v="0.02"/>
    <n v="153.79602880330322"/>
    <n v="31"/>
    <n v="1"/>
    <n v="0"/>
    <n v="0"/>
    <n v="0"/>
    <n v="135"/>
    <n v="8402789.8607051279"/>
    <n v="92426787.768392533"/>
    <n v="-92426787.768392533"/>
  </r>
  <r>
    <d v="2021-04-01T00:00:00"/>
    <n v="4"/>
    <x v="11"/>
    <m/>
    <n v="348.17999999999995"/>
    <n v="0"/>
    <n v="154.31187527906849"/>
    <n v="30"/>
    <n v="0"/>
    <n v="1"/>
    <n v="0"/>
    <n v="0"/>
    <n v="136"/>
    <n v="8402789.8607051279"/>
    <n v="85418496.742961347"/>
    <n v="-85418496.742961347"/>
  </r>
  <r>
    <d v="2021-05-01T00:00:00"/>
    <n v="5"/>
    <x v="11"/>
    <m/>
    <n v="132.97999999999996"/>
    <n v="23.23"/>
    <n v="154.829451952867"/>
    <n v="31"/>
    <n v="0"/>
    <n v="0"/>
    <n v="1"/>
    <n v="0"/>
    <n v="137"/>
    <n v="8402789.8607051279"/>
    <n v="88702641.924405992"/>
    <n v="-88702641.924405992"/>
  </r>
  <r>
    <d v="2021-06-01T00:00:00"/>
    <n v="6"/>
    <x v="11"/>
    <m/>
    <n v="24.6"/>
    <n v="66.52000000000001"/>
    <n v="155.34876462794719"/>
    <n v="30"/>
    <n v="0"/>
    <n v="0"/>
    <n v="0"/>
    <n v="0"/>
    <n v="138"/>
    <n v="8402789.8607051279"/>
    <n v="93843518.554746866"/>
    <n v="-93843518.554746866"/>
  </r>
  <r>
    <d v="2021-07-01T00:00:00"/>
    <n v="7"/>
    <x v="11"/>
    <m/>
    <n v="1.1099999999999999"/>
    <n v="153.85"/>
    <n v="155.86981912702208"/>
    <n v="31"/>
    <n v="0"/>
    <n v="0"/>
    <n v="0"/>
    <n v="0"/>
    <n v="139"/>
    <n v="8402789.8607051279"/>
    <n v="106848588.73099503"/>
    <n v="-106848588.73099503"/>
  </r>
  <r>
    <d v="2021-08-01T00:00:00"/>
    <n v="8"/>
    <x v="11"/>
    <m/>
    <n v="3.54"/>
    <n v="116.15"/>
    <n v="156.39262129233467"/>
    <n v="31"/>
    <n v="0"/>
    <n v="0"/>
    <n v="0"/>
    <n v="0"/>
    <n v="140"/>
    <n v="8402789.8607051279"/>
    <n v="102437467.88492393"/>
    <n v="-102437467.88492393"/>
  </r>
  <r>
    <d v="2021-09-01T00:00:00"/>
    <n v="9"/>
    <x v="11"/>
    <m/>
    <n v="54.989999999999995"/>
    <n v="49.14"/>
    <n v="156.91717698572333"/>
    <n v="30"/>
    <n v="0"/>
    <n v="0"/>
    <n v="0"/>
    <n v="0"/>
    <n v="141"/>
    <n v="8402789.8607051279"/>
    <n v="92972885.694213837"/>
    <n v="-92972885.694213837"/>
  </r>
  <r>
    <d v="2021-10-01T00:00:00"/>
    <n v="10"/>
    <x v="11"/>
    <m/>
    <n v="227.63000000000002"/>
    <n v="3.0699999999999994"/>
    <n v="157.44349208868769"/>
    <n v="31"/>
    <n v="0"/>
    <n v="0"/>
    <n v="0"/>
    <n v="1"/>
    <n v="142"/>
    <n v="8402789.8607051279"/>
    <n v="90146087.413155615"/>
    <n v="-90146087.413155615"/>
  </r>
  <r>
    <d v="2021-11-01T00:00:00"/>
    <n v="11"/>
    <x v="11"/>
    <m/>
    <n v="424.61"/>
    <n v="0"/>
    <n v="157.97157250245439"/>
    <n v="30"/>
    <n v="0"/>
    <n v="0"/>
    <n v="0"/>
    <n v="0"/>
    <n v="143"/>
    <n v="8402789.8607051279"/>
    <n v="92643047.348907143"/>
    <n v="-92643047.348907143"/>
  </r>
  <r>
    <d v="2021-12-01T00:00:00"/>
    <n v="12"/>
    <x v="11"/>
    <m/>
    <n v="589.11"/>
    <n v="0"/>
    <n v="158.50142414804324"/>
    <n v="31"/>
    <n v="0"/>
    <n v="0"/>
    <n v="0"/>
    <n v="0"/>
    <n v="144"/>
    <n v="8402789.8607051279"/>
    <n v="97346388.581719935"/>
    <n v="-97346388.581719935"/>
  </r>
  <r>
    <d v="2022-01-01T00:00:00"/>
    <n v="1"/>
    <x v="12"/>
    <m/>
    <n v="700.99"/>
    <n v="0"/>
    <n v="159.09656722616333"/>
    <n v="31"/>
    <n v="0"/>
    <n v="0"/>
    <n v="0"/>
    <n v="0"/>
    <n v="145"/>
    <n v="8402789.8607051279"/>
    <n v="99273177.246904254"/>
    <n v="-99273177.246904254"/>
  </r>
  <r>
    <d v="2022-02-01T00:00:00"/>
    <n v="2"/>
    <x v="12"/>
    <m/>
    <n v="629.89"/>
    <n v="0"/>
    <n v="159.69394495476266"/>
    <n v="28"/>
    <n v="0"/>
    <n v="0"/>
    <n v="0"/>
    <n v="0"/>
    <n v="146"/>
    <n v="8402789.8607051279"/>
    <n v="92400582.966217369"/>
    <n v="-92400582.966217369"/>
  </r>
  <r>
    <d v="2022-03-01T00:00:00"/>
    <n v="3"/>
    <x v="12"/>
    <m/>
    <n v="543.98"/>
    <n v="0.02"/>
    <n v="160.29356572453409"/>
    <n v="31"/>
    <n v="1"/>
    <n v="0"/>
    <n v="0"/>
    <n v="0"/>
    <n v="147"/>
    <n v="8402789.8607051279"/>
    <n v="96086569.334123373"/>
    <n v="-96086569.334123373"/>
  </r>
  <r>
    <d v="2022-04-01T00:00:00"/>
    <n v="4"/>
    <x v="12"/>
    <m/>
    <n v="348.17999999999995"/>
    <n v="0"/>
    <n v="160.89543795767591"/>
    <n v="30"/>
    <n v="0"/>
    <n v="1"/>
    <n v="0"/>
    <n v="0"/>
    <n v="148"/>
    <n v="8402789.8607051279"/>
    <n v="89128299.593751788"/>
    <n v="-89128299.593751788"/>
  </r>
  <r>
    <d v="2022-05-01T00:00:00"/>
    <n v="5"/>
    <x v="12"/>
    <m/>
    <n v="132.97999999999996"/>
    <n v="23.23"/>
    <n v="161.49957010801023"/>
    <n v="31"/>
    <n v="0"/>
    <n v="0"/>
    <n v="1"/>
    <n v="0"/>
    <n v="149"/>
    <n v="8402789.8607051279"/>
    <n v="92462774.075365424"/>
    <n v="-92462774.075365424"/>
  </r>
  <r>
    <d v="2022-06-01T00:00:00"/>
    <n v="6"/>
    <x v="12"/>
    <m/>
    <n v="24.6"/>
    <n v="66.52000000000001"/>
    <n v="162.10597066110165"/>
    <n v="30"/>
    <n v="0"/>
    <n v="0"/>
    <n v="0"/>
    <n v="0"/>
    <n v="150"/>
    <n v="8402789.8607051279"/>
    <n v="97654289.580667466"/>
    <n v="-97654289.580667466"/>
  </r>
  <r>
    <d v="2022-07-01T00:00:00"/>
    <n v="7"/>
    <x v="12"/>
    <m/>
    <n v="1.1099999999999999"/>
    <n v="153.85"/>
    <n v="162.71464813437649"/>
    <n v="31"/>
    <n v="0"/>
    <n v="0"/>
    <n v="0"/>
    <n v="0"/>
    <n v="151"/>
    <n v="8402789.8607051279"/>
    <n v="110710309.77356058"/>
    <n v="-110710309.77356058"/>
  </r>
  <r>
    <d v="2022-08-01T00:00:00"/>
    <n v="8"/>
    <x v="12"/>
    <m/>
    <n v="3.54"/>
    <n v="116.15"/>
    <n v="163.32561107724234"/>
    <n v="31"/>
    <n v="0"/>
    <n v="0"/>
    <n v="0"/>
    <n v="0"/>
    <n v="152"/>
    <n v="8402789.8607051279"/>
    <n v="106350451.65994951"/>
    <n v="-106350451.65994951"/>
  </r>
  <r>
    <d v="2022-09-01T00:00:00"/>
    <n v="9"/>
    <x v="12"/>
    <m/>
    <n v="54.989999999999995"/>
    <n v="49.14"/>
    <n v="163.9388680712083"/>
    <n v="30"/>
    <n v="0"/>
    <n v="0"/>
    <n v="0"/>
    <n v="0"/>
    <n v="153"/>
    <n v="8402789.8607051279"/>
    <n v="96937446.498917997"/>
    <n v="-96937446.498917997"/>
  </r>
  <r>
    <d v="2022-10-01T00:00:00"/>
    <n v="10"/>
    <x v="12"/>
    <m/>
    <n v="227.63000000000002"/>
    <n v="3.0699999999999994"/>
    <n v="164.55442773000539"/>
    <n v="31"/>
    <n v="0"/>
    <n v="0"/>
    <n v="0"/>
    <n v="1"/>
    <n v="154"/>
    <n v="8402789.8607051279"/>
    <n v="94162541.133464009"/>
    <n v="-94162541.133464009"/>
  </r>
  <r>
    <d v="2022-11-01T00:00:00"/>
    <n v="11"/>
    <x v="12"/>
    <m/>
    <n v="424.61"/>
    <n v="0"/>
    <n v="165.17229869970754"/>
    <n v="30"/>
    <n v="0"/>
    <n v="0"/>
    <n v="0"/>
    <n v="0"/>
    <n v="155"/>
    <n v="8402789.8607051279"/>
    <n v="96711711.466788024"/>
    <n v="-96711711.466788024"/>
  </r>
  <r>
    <d v="2022-12-01T00:00:00"/>
    <n v="12"/>
    <x v="12"/>
    <m/>
    <n v="589.11"/>
    <n v="0"/>
    <n v="165.79248965885324"/>
    <n v="31"/>
    <n v="0"/>
    <n v="0"/>
    <n v="0"/>
    <n v="0"/>
    <n v="156"/>
    <n v="8402789.8607051279"/>
    <n v="101467582.18255246"/>
    <n v="-101467582.1825524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8"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W2:X15" firstHeaderRow="1" firstDataRow="1" firstDataCol="1"/>
  <pivotFields count="4">
    <pivotField numFmtId="174" showAll="0"/>
    <pivotField axis="axisRow" showAll="0">
      <items count="13">
        <item x="0"/>
        <item x="1"/>
        <item x="2"/>
        <item x="3"/>
        <item x="4"/>
        <item x="5"/>
        <item x="6"/>
        <item x="7"/>
        <item x="8"/>
        <item x="9"/>
        <item x="10"/>
        <item x="11"/>
        <item t="default"/>
      </items>
    </pivotField>
    <pivotField showAll="0"/>
    <pivotField dataField="1" numFmtId="38" showAll="0"/>
  </pivotFields>
  <rowFields count="1">
    <field x="1"/>
  </rowFields>
  <rowItems count="13">
    <i>
      <x/>
    </i>
    <i>
      <x v="1"/>
    </i>
    <i>
      <x v="2"/>
    </i>
    <i>
      <x v="3"/>
    </i>
    <i>
      <x v="4"/>
    </i>
    <i>
      <x v="5"/>
    </i>
    <i>
      <x v="6"/>
    </i>
    <i>
      <x v="7"/>
    </i>
    <i>
      <x v="8"/>
    </i>
    <i>
      <x v="9"/>
    </i>
    <i>
      <x v="10"/>
    </i>
    <i>
      <x v="11"/>
    </i>
    <i t="grand">
      <x/>
    </i>
  </rowItems>
  <colItems count="1">
    <i/>
  </colItems>
  <dataFields count="1">
    <dataField name="Sum of Purchased"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19" applyNumberFormats="0" applyBorderFormats="0" applyFontFormats="0" applyPatternFormats="0" applyAlignmentFormats="0" applyWidthHeightFormats="1" dataCaption="Data" updatedVersion="4" minRefreshableVersion="3" showMemberPropertyTips="0" useAutoFormatting="1" rowGrandTotals="0" colGrandTotals="0" itemPrintTitles="1" createdVersion="4" indent="0" compact="0" compactData="0" gridDropZones="1">
  <location ref="D5:J19" firstHeaderRow="1" firstDataRow="2" firstDataCol="1"/>
  <pivotFields count="16">
    <pivotField compact="0" numFmtId="17" outline="0" subtotalTop="0" showAll="0" includeNewItemsInFilter="1"/>
    <pivotField compact="0" outline="0" showAll="0" defaultSubtotal="0"/>
    <pivotField axis="axisRow" compact="0" outline="0" subtotalTop="0" showAll="0" includeNewItemsInFilter="1">
      <items count="14">
        <item x="0"/>
        <item x="1"/>
        <item x="2"/>
        <item x="3"/>
        <item x="4"/>
        <item x="5"/>
        <item x="6"/>
        <item x="7"/>
        <item x="8"/>
        <item x="9"/>
        <item x="10"/>
        <item x="11"/>
        <item x="12"/>
        <item t="default"/>
      </items>
    </pivotField>
    <pivotField dataField="1" compact="0" outline="0" subtotalTop="0" showAll="0" includeNewItemsInFilter="1"/>
    <pivotField dataField="1" compact="0" numFmtId="43" outline="0" subtotalTop="0" showAll="0" includeNewItemsInFilter="1"/>
    <pivotField dataField="1" compact="0" numFmtId="43" outline="0" subtotalTop="0" showAll="0" includeNewItemsInFilter="1"/>
    <pivotField compact="0" numFmtId="2" outline="0" showAll="0" defaultSubtotal="0"/>
    <pivotField compact="0" numFmtId="37" outline="0" subtotalTop="0" showAll="0" includeNewItemsInFilter="1"/>
    <pivotField compact="0" numFmtId="37" outline="0" subtotalTop="0" showAll="0" includeNewItemsInFilter="1" defaultSubtotal="0"/>
    <pivotField compact="0" numFmtId="37" outline="0" subtotalTop="0" showAll="0" includeNewItemsInFilter="1" defaultSubtotal="0"/>
    <pivotField compact="0" numFmtId="37" outline="0" subtotalTop="0" showAll="0" includeNewItemsInFilter="1" defaultSubtotal="0"/>
    <pivotField compact="0" numFmtId="37" outline="0" subtotalTop="0" showAll="0" includeNewItemsInFilter="1" defaultSubtotal="0"/>
    <pivotField compact="0" numFmtId="37" outline="0" showAll="0" defaultSubtotal="0"/>
    <pivotField compact="0" numFmtId="37" outline="0" showAll="0" defaultSubtotal="0"/>
    <pivotField dataField="1" compact="0" numFmtId="37" outline="0" subtotalTop="0" showAll="0" includeNewItemsInFilter="1" defaultSubtotal="0"/>
    <pivotField dataField="1" compact="0" numFmtId="43" outline="0" subtotalTop="0" showAll="0" includeNewItemsInFilter="1" defaultSubtotal="0"/>
  </pivotFields>
  <rowFields count="1">
    <field x="2"/>
  </rowFields>
  <rowItems count="13">
    <i>
      <x/>
    </i>
    <i>
      <x v="1"/>
    </i>
    <i>
      <x v="2"/>
    </i>
    <i>
      <x v="3"/>
    </i>
    <i>
      <x v="4"/>
    </i>
    <i>
      <x v="5"/>
    </i>
    <i>
      <x v="6"/>
    </i>
    <i>
      <x v="7"/>
    </i>
    <i>
      <x v="8"/>
    </i>
    <i>
      <x v="9"/>
    </i>
    <i>
      <x v="10"/>
    </i>
    <i>
      <x v="11"/>
    </i>
    <i>
      <x v="12"/>
    </i>
  </rowItems>
  <colFields count="1">
    <field x="-2"/>
  </colFields>
  <colItems count="6">
    <i>
      <x/>
    </i>
    <i i="1">
      <x v="1"/>
    </i>
    <i i="2">
      <x v="2"/>
    </i>
    <i i="3">
      <x v="3"/>
    </i>
    <i i="4">
      <x v="4"/>
    </i>
    <i i="5">
      <x v="5"/>
    </i>
  </colItems>
  <dataFields count="6">
    <dataField name="Count of Purchased" fld="3" subtotal="count" baseField="0" baseItem="0"/>
    <dataField name="Sum of Purchased2" fld="3" baseField="1" baseItem="0" numFmtId="3"/>
    <dataField name="Sum of Heating Degree Days" fld="4" baseField="0" baseItem="0" numFmtId="3"/>
    <dataField name="Sum of Cooling Degree Days" fld="5" baseField="0" baseItem="0"/>
    <dataField name="Sum of Predicted Purchases " fld="14" baseField="0" baseItem="0"/>
    <dataField name="Sum of Predicted Less Acturals" fld="15" baseField="0" baseItem="0"/>
  </dataFields>
  <formats count="4">
    <format dxfId="7">
      <pivotArea outline="0" fieldPosition="0">
        <references count="1">
          <reference field="4294967294" count="1" selected="0">
            <x v="1"/>
          </reference>
        </references>
      </pivotArea>
    </format>
    <format dxfId="6">
      <pivotArea type="all" dataOnly="0" outline="0" fieldPosition="0"/>
    </format>
    <format dxfId="5">
      <pivotArea outline="0" fieldPosition="0">
        <references count="1">
          <reference field="4294967294" count="1">
            <x v="2"/>
          </reference>
        </references>
      </pivotArea>
    </format>
    <format dxfId="4">
      <pivotArea outline="0" fieldPosition="0">
        <references count="1">
          <reference field="4294967294" count="1">
            <x v="1"/>
          </reference>
        </references>
      </pivotArea>
    </format>
  </format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T160"/>
  <sheetViews>
    <sheetView workbookViewId="0"/>
  </sheetViews>
  <sheetFormatPr defaultRowHeight="12.5" x14ac:dyDescent="0.25"/>
  <cols>
    <col min="2" max="2" width="21.54296875" customWidth="1"/>
    <col min="3" max="3" width="12.54296875" customWidth="1"/>
    <col min="5" max="6" width="17.1796875" customWidth="1"/>
  </cols>
  <sheetData>
    <row r="1" spans="1:20" ht="50" x14ac:dyDescent="0.25">
      <c r="B1" s="63" t="s">
        <v>105</v>
      </c>
      <c r="C1" s="63" t="s">
        <v>109</v>
      </c>
      <c r="D1" s="63" t="s">
        <v>107</v>
      </c>
      <c r="E1" s="63" t="s">
        <v>108</v>
      </c>
      <c r="F1" s="63" t="s">
        <v>112</v>
      </c>
      <c r="G1" s="63" t="s">
        <v>110</v>
      </c>
      <c r="H1" s="63" t="s">
        <v>111</v>
      </c>
    </row>
    <row r="2" spans="1:20" x14ac:dyDescent="0.25">
      <c r="B2" t="s">
        <v>106</v>
      </c>
      <c r="C2" t="s">
        <v>106</v>
      </c>
      <c r="D2" t="s">
        <v>106</v>
      </c>
      <c r="E2" t="s">
        <v>106</v>
      </c>
      <c r="S2" s="64" t="s">
        <v>94</v>
      </c>
      <c r="T2" s="64">
        <v>1</v>
      </c>
    </row>
    <row r="3" spans="1:20" x14ac:dyDescent="0.25">
      <c r="A3">
        <v>2006</v>
      </c>
      <c r="B3" s="57">
        <v>0</v>
      </c>
      <c r="C3" s="57">
        <v>10</v>
      </c>
      <c r="D3">
        <f>C3/2</f>
        <v>5</v>
      </c>
      <c r="E3">
        <f>B3+D3</f>
        <v>5</v>
      </c>
      <c r="F3">
        <f>D28</f>
        <v>9.2307692307692299</v>
      </c>
      <c r="G3">
        <f>E3</f>
        <v>5</v>
      </c>
      <c r="H3">
        <f>G3/$T$14</f>
        <v>6.4102564102564097E-2</v>
      </c>
      <c r="S3" s="64" t="s">
        <v>95</v>
      </c>
      <c r="T3" s="64">
        <v>2</v>
      </c>
    </row>
    <row r="4" spans="1:20" x14ac:dyDescent="0.25">
      <c r="A4">
        <v>2007</v>
      </c>
      <c r="B4" s="57">
        <v>10</v>
      </c>
      <c r="C4" s="57">
        <v>10</v>
      </c>
      <c r="D4">
        <f t="shared" ref="D4:D14" si="0">C4/2</f>
        <v>5</v>
      </c>
      <c r="E4">
        <f t="shared" ref="E4:E14" si="1">B4+D4</f>
        <v>15</v>
      </c>
      <c r="F4">
        <f>D40</f>
        <v>19.881656804733733</v>
      </c>
      <c r="G4">
        <f>E4-F3</f>
        <v>5.7692307692307701</v>
      </c>
      <c r="H4">
        <f t="shared" ref="H4:H13" si="2">G4/$T$14</f>
        <v>7.3964497041420135E-2</v>
      </c>
      <c r="S4" s="64" t="s">
        <v>96</v>
      </c>
      <c r="T4" s="64">
        <v>3</v>
      </c>
    </row>
    <row r="5" spans="1:20" x14ac:dyDescent="0.25">
      <c r="A5">
        <v>2008</v>
      </c>
      <c r="B5" s="57">
        <v>20</v>
      </c>
      <c r="C5" s="57">
        <v>10</v>
      </c>
      <c r="D5">
        <f t="shared" si="0"/>
        <v>5</v>
      </c>
      <c r="E5">
        <f t="shared" si="1"/>
        <v>25</v>
      </c>
      <c r="F5">
        <f>D52</f>
        <v>29.330905780609921</v>
      </c>
      <c r="G5">
        <f t="shared" ref="G5:G14" si="3">E5-F4</f>
        <v>5.1183431952662666</v>
      </c>
      <c r="H5">
        <f t="shared" si="2"/>
        <v>6.561978455469572E-2</v>
      </c>
      <c r="S5" s="64" t="s">
        <v>97</v>
      </c>
      <c r="T5" s="64">
        <v>4</v>
      </c>
    </row>
    <row r="6" spans="1:20" x14ac:dyDescent="0.25">
      <c r="A6">
        <v>2009</v>
      </c>
      <c r="B6" s="57">
        <v>30</v>
      </c>
      <c r="C6" s="57">
        <v>10</v>
      </c>
      <c r="D6">
        <f t="shared" si="0"/>
        <v>5</v>
      </c>
      <c r="E6">
        <f t="shared" si="1"/>
        <v>35</v>
      </c>
      <c r="F6">
        <f>D64</f>
        <v>39.796925877945469</v>
      </c>
      <c r="G6">
        <f t="shared" si="3"/>
        <v>5.6690942193900788</v>
      </c>
      <c r="H6">
        <f t="shared" si="2"/>
        <v>7.2680695120385622E-2</v>
      </c>
      <c r="S6" s="64" t="s">
        <v>84</v>
      </c>
      <c r="T6" s="64">
        <v>5</v>
      </c>
    </row>
    <row r="7" spans="1:20" x14ac:dyDescent="0.25">
      <c r="A7">
        <v>2010</v>
      </c>
      <c r="B7" s="57">
        <v>40</v>
      </c>
      <c r="C7" s="57">
        <v>10</v>
      </c>
      <c r="D7">
        <f t="shared" si="0"/>
        <v>5</v>
      </c>
      <c r="E7">
        <f t="shared" si="1"/>
        <v>45</v>
      </c>
      <c r="F7">
        <f>D76</f>
        <v>49.402601180200008</v>
      </c>
      <c r="G7">
        <f t="shared" si="3"/>
        <v>5.2030741220545309</v>
      </c>
      <c r="H7">
        <f t="shared" si="2"/>
        <v>6.6706078487878601E-2</v>
      </c>
      <c r="S7" s="64" t="s">
        <v>98</v>
      </c>
      <c r="T7" s="64">
        <v>6</v>
      </c>
    </row>
    <row r="8" spans="1:20" x14ac:dyDescent="0.25">
      <c r="A8">
        <v>2011</v>
      </c>
      <c r="B8" s="57">
        <v>50</v>
      </c>
      <c r="C8" s="57">
        <v>10</v>
      </c>
      <c r="D8">
        <f t="shared" si="0"/>
        <v>5</v>
      </c>
      <c r="E8">
        <f t="shared" si="1"/>
        <v>55</v>
      </c>
      <c r="F8">
        <f>D88</f>
        <v>59.736260539830795</v>
      </c>
      <c r="G8">
        <f t="shared" si="3"/>
        <v>5.5973988197999915</v>
      </c>
      <c r="H8">
        <f t="shared" si="2"/>
        <v>7.1761523330769128E-2</v>
      </c>
      <c r="S8" s="64" t="s">
        <v>99</v>
      </c>
      <c r="T8" s="64">
        <v>7</v>
      </c>
    </row>
    <row r="9" spans="1:20" x14ac:dyDescent="0.25">
      <c r="A9">
        <v>2012</v>
      </c>
      <c r="B9" s="57">
        <v>60</v>
      </c>
      <c r="C9" s="57">
        <v>10</v>
      </c>
      <c r="D9">
        <f t="shared" si="0"/>
        <v>5</v>
      </c>
      <c r="E9">
        <f t="shared" si="1"/>
        <v>65</v>
      </c>
      <c r="F9">
        <f>D100</f>
        <v>69.45393338937393</v>
      </c>
      <c r="G9">
        <f t="shared" si="3"/>
        <v>5.2637394601692051</v>
      </c>
      <c r="H9">
        <f t="shared" si="2"/>
        <v>6.7483839232938533E-2</v>
      </c>
      <c r="S9" s="64" t="s">
        <v>100</v>
      </c>
      <c r="T9" s="64">
        <v>8</v>
      </c>
    </row>
    <row r="10" spans="1:20" x14ac:dyDescent="0.25">
      <c r="A10">
        <v>2013</v>
      </c>
      <c r="B10" s="57">
        <v>70</v>
      </c>
      <c r="C10" s="57">
        <v>10</v>
      </c>
      <c r="D10">
        <f t="shared" si="0"/>
        <v>5</v>
      </c>
      <c r="E10">
        <f t="shared" si="1"/>
        <v>75</v>
      </c>
      <c r="F10">
        <f>D112</f>
        <v>79.692825593606685</v>
      </c>
      <c r="G10">
        <f t="shared" si="3"/>
        <v>5.5460666106260703</v>
      </c>
      <c r="H10">
        <f t="shared" si="2"/>
        <v>7.1103418084949618E-2</v>
      </c>
      <c r="S10" s="64" t="s">
        <v>101</v>
      </c>
      <c r="T10" s="64">
        <v>9</v>
      </c>
    </row>
    <row r="11" spans="1:20" x14ac:dyDescent="0.25">
      <c r="A11">
        <v>2014</v>
      </c>
      <c r="B11" s="57">
        <v>80</v>
      </c>
      <c r="C11" s="57">
        <v>10</v>
      </c>
      <c r="D11">
        <f t="shared" si="0"/>
        <v>5</v>
      </c>
      <c r="E11">
        <f t="shared" si="1"/>
        <v>85</v>
      </c>
      <c r="F11">
        <f>D124</f>
        <v>89.490686036178943</v>
      </c>
      <c r="G11">
        <f t="shared" si="3"/>
        <v>5.3071744063933153</v>
      </c>
      <c r="H11">
        <f t="shared" si="2"/>
        <v>6.8040697517863014E-2</v>
      </c>
      <c r="S11" s="64" t="s">
        <v>102</v>
      </c>
      <c r="T11" s="64">
        <v>10</v>
      </c>
    </row>
    <row r="12" spans="1:20" x14ac:dyDescent="0.25">
      <c r="A12">
        <v>2015</v>
      </c>
      <c r="B12" s="57">
        <v>90</v>
      </c>
      <c r="C12" s="62">
        <v>10</v>
      </c>
      <c r="D12">
        <f t="shared" si="0"/>
        <v>5</v>
      </c>
      <c r="E12">
        <f t="shared" si="1"/>
        <v>95</v>
      </c>
      <c r="F12">
        <f>D136</f>
        <v>99.661727200156292</v>
      </c>
      <c r="G12">
        <f t="shared" si="3"/>
        <v>5.5093139638210573</v>
      </c>
      <c r="H12">
        <f t="shared" si="2"/>
        <v>7.0632230305398169E-2</v>
      </c>
      <c r="S12" s="64" t="s">
        <v>103</v>
      </c>
      <c r="T12" s="64">
        <v>11</v>
      </c>
    </row>
    <row r="13" spans="1:20" x14ac:dyDescent="0.25">
      <c r="A13">
        <v>2016</v>
      </c>
      <c r="B13" s="57">
        <v>100</v>
      </c>
      <c r="C13" s="62">
        <v>10</v>
      </c>
      <c r="D13">
        <f t="shared" si="0"/>
        <v>5</v>
      </c>
      <c r="E13">
        <f t="shared" si="1"/>
        <v>105</v>
      </c>
      <c r="F13">
        <f>D148</f>
        <v>109.51700006140629</v>
      </c>
      <c r="G13">
        <f t="shared" si="3"/>
        <v>5.3382727998437076</v>
      </c>
      <c r="H13">
        <f t="shared" si="2"/>
        <v>6.8439394869791129E-2</v>
      </c>
      <c r="S13" s="64" t="s">
        <v>104</v>
      </c>
      <c r="T13" s="64">
        <v>12</v>
      </c>
    </row>
    <row r="14" spans="1:20" x14ac:dyDescent="0.25">
      <c r="A14">
        <v>2017</v>
      </c>
      <c r="B14" s="57">
        <v>110</v>
      </c>
      <c r="C14" s="62">
        <v>10</v>
      </c>
      <c r="D14">
        <f t="shared" si="0"/>
        <v>5</v>
      </c>
      <c r="E14">
        <f t="shared" si="1"/>
        <v>115</v>
      </c>
      <c r="F14">
        <f>D160</f>
        <v>119.63946148650234</v>
      </c>
      <c r="G14">
        <f t="shared" si="3"/>
        <v>5.4829999385937072</v>
      </c>
      <c r="H14">
        <f>G14/$T$14</f>
        <v>7.0294871007611628E-2</v>
      </c>
      <c r="S14" s="64" t="s">
        <v>9</v>
      </c>
      <c r="T14" s="64">
        <v>78</v>
      </c>
    </row>
    <row r="17" spans="1:4" s="48" customFormat="1" x14ac:dyDescent="0.25">
      <c r="A17" s="47">
        <v>38718</v>
      </c>
      <c r="B17" s="48">
        <f>B16+$H$3</f>
        <v>6.4102564102564097E-2</v>
      </c>
      <c r="C17" s="48">
        <f>H3</f>
        <v>6.4102564102564097E-2</v>
      </c>
    </row>
    <row r="18" spans="1:4" s="51" customFormat="1" x14ac:dyDescent="0.25">
      <c r="A18" s="49">
        <v>38749</v>
      </c>
      <c r="B18" s="51">
        <f t="shared" ref="B18:B28" si="4">B17+$H$3</f>
        <v>0.12820512820512819</v>
      </c>
    </row>
    <row r="19" spans="1:4" s="51" customFormat="1" x14ac:dyDescent="0.25">
      <c r="A19" s="49">
        <v>38777</v>
      </c>
      <c r="B19" s="51">
        <f t="shared" si="4"/>
        <v>0.19230769230769229</v>
      </c>
    </row>
    <row r="20" spans="1:4" s="51" customFormat="1" x14ac:dyDescent="0.25">
      <c r="A20" s="49">
        <v>38808</v>
      </c>
      <c r="B20" s="51">
        <f t="shared" si="4"/>
        <v>0.25641025641025639</v>
      </c>
    </row>
    <row r="21" spans="1:4" s="51" customFormat="1" x14ac:dyDescent="0.25">
      <c r="A21" s="49">
        <v>38838</v>
      </c>
      <c r="B21" s="51">
        <f t="shared" si="4"/>
        <v>0.32051282051282048</v>
      </c>
    </row>
    <row r="22" spans="1:4" s="51" customFormat="1" x14ac:dyDescent="0.25">
      <c r="A22" s="49">
        <v>38869</v>
      </c>
      <c r="B22" s="51">
        <f t="shared" si="4"/>
        <v>0.38461538461538458</v>
      </c>
    </row>
    <row r="23" spans="1:4" s="51" customFormat="1" x14ac:dyDescent="0.25">
      <c r="A23" s="49">
        <v>38899</v>
      </c>
      <c r="B23" s="51">
        <f t="shared" si="4"/>
        <v>0.44871794871794868</v>
      </c>
    </row>
    <row r="24" spans="1:4" s="51" customFormat="1" x14ac:dyDescent="0.25">
      <c r="A24" s="49">
        <v>38930</v>
      </c>
      <c r="B24" s="51">
        <f t="shared" si="4"/>
        <v>0.51282051282051277</v>
      </c>
    </row>
    <row r="25" spans="1:4" s="51" customFormat="1" x14ac:dyDescent="0.25">
      <c r="A25" s="49">
        <v>38961</v>
      </c>
      <c r="B25" s="51">
        <f t="shared" si="4"/>
        <v>0.57692307692307687</v>
      </c>
    </row>
    <row r="26" spans="1:4" s="51" customFormat="1" x14ac:dyDescent="0.25">
      <c r="A26" s="49">
        <v>38991</v>
      </c>
      <c r="B26" s="51">
        <f t="shared" si="4"/>
        <v>0.64102564102564097</v>
      </c>
    </row>
    <row r="27" spans="1:4" s="51" customFormat="1" x14ac:dyDescent="0.25">
      <c r="A27" s="49">
        <v>39022</v>
      </c>
      <c r="B27" s="51">
        <f t="shared" si="4"/>
        <v>0.70512820512820507</v>
      </c>
      <c r="C27" s="51" t="s">
        <v>93</v>
      </c>
    </row>
    <row r="28" spans="1:4" s="53" customFormat="1" x14ac:dyDescent="0.25">
      <c r="A28" s="52">
        <v>39052</v>
      </c>
      <c r="B28" s="53">
        <f t="shared" si="4"/>
        <v>0.76923076923076916</v>
      </c>
      <c r="C28" s="53">
        <f>SUM(B17:B28)</f>
        <v>4.9999999999999991</v>
      </c>
      <c r="D28" s="53">
        <f>B28*12</f>
        <v>9.2307692307692299</v>
      </c>
    </row>
    <row r="29" spans="1:4" s="48" customFormat="1" x14ac:dyDescent="0.25">
      <c r="A29" s="47">
        <v>39083</v>
      </c>
      <c r="B29" s="48">
        <f>B28+$C$29</f>
        <v>0.84319526627218933</v>
      </c>
      <c r="C29" s="48">
        <f>H4</f>
        <v>7.3964497041420135E-2</v>
      </c>
    </row>
    <row r="30" spans="1:4" s="51" customFormat="1" x14ac:dyDescent="0.25">
      <c r="A30" s="49">
        <v>39114</v>
      </c>
      <c r="B30" s="51">
        <f>B29+$C$29</f>
        <v>0.91715976331360949</v>
      </c>
    </row>
    <row r="31" spans="1:4" s="51" customFormat="1" x14ac:dyDescent="0.25">
      <c r="A31" s="49">
        <v>39142</v>
      </c>
      <c r="B31" s="51">
        <f t="shared" ref="B31:B40" si="5">B30+$C$29</f>
        <v>0.99112426035502965</v>
      </c>
    </row>
    <row r="32" spans="1:4" s="51" customFormat="1" x14ac:dyDescent="0.25">
      <c r="A32" s="49">
        <v>39173</v>
      </c>
      <c r="B32" s="51">
        <f t="shared" si="5"/>
        <v>1.0650887573964498</v>
      </c>
    </row>
    <row r="33" spans="1:4" s="51" customFormat="1" x14ac:dyDescent="0.25">
      <c r="A33" s="49">
        <v>39203</v>
      </c>
      <c r="B33" s="51">
        <f t="shared" si="5"/>
        <v>1.13905325443787</v>
      </c>
    </row>
    <row r="34" spans="1:4" s="51" customFormat="1" x14ac:dyDescent="0.25">
      <c r="A34" s="49">
        <v>39234</v>
      </c>
      <c r="B34" s="51">
        <f t="shared" si="5"/>
        <v>1.2130177514792901</v>
      </c>
    </row>
    <row r="35" spans="1:4" s="51" customFormat="1" x14ac:dyDescent="0.25">
      <c r="A35" s="49">
        <v>39264</v>
      </c>
      <c r="B35" s="51">
        <f t="shared" si="5"/>
        <v>1.2869822485207103</v>
      </c>
    </row>
    <row r="36" spans="1:4" s="51" customFormat="1" x14ac:dyDescent="0.25">
      <c r="A36" s="49">
        <v>39295</v>
      </c>
      <c r="B36" s="51">
        <f t="shared" si="5"/>
        <v>1.3609467455621305</v>
      </c>
    </row>
    <row r="37" spans="1:4" s="51" customFormat="1" x14ac:dyDescent="0.25">
      <c r="A37" s="49">
        <v>39326</v>
      </c>
      <c r="B37" s="51">
        <f t="shared" si="5"/>
        <v>1.4349112426035506</v>
      </c>
    </row>
    <row r="38" spans="1:4" s="51" customFormat="1" x14ac:dyDescent="0.25">
      <c r="A38" s="49">
        <v>39356</v>
      </c>
      <c r="B38" s="51">
        <f t="shared" si="5"/>
        <v>1.5088757396449708</v>
      </c>
    </row>
    <row r="39" spans="1:4" s="51" customFormat="1" x14ac:dyDescent="0.25">
      <c r="A39" s="49">
        <v>39387</v>
      </c>
      <c r="B39" s="51">
        <f t="shared" si="5"/>
        <v>1.582840236686391</v>
      </c>
      <c r="C39" s="51" t="s">
        <v>93</v>
      </c>
    </row>
    <row r="40" spans="1:4" s="53" customFormat="1" x14ac:dyDescent="0.25">
      <c r="A40" s="52">
        <v>39417</v>
      </c>
      <c r="B40" s="53">
        <f t="shared" si="5"/>
        <v>1.6568047337278111</v>
      </c>
      <c r="C40" s="53">
        <f>SUM(B29:B40)</f>
        <v>15</v>
      </c>
      <c r="D40" s="53">
        <f>B40*12</f>
        <v>19.881656804733733</v>
      </c>
    </row>
    <row r="41" spans="1:4" s="51" customFormat="1" x14ac:dyDescent="0.25">
      <c r="A41" s="49">
        <v>39448</v>
      </c>
      <c r="B41" s="51">
        <f>B40+$C$41</f>
        <v>1.7224245182825069</v>
      </c>
      <c r="C41" s="51">
        <f>H5</f>
        <v>6.561978455469572E-2</v>
      </c>
    </row>
    <row r="42" spans="1:4" s="51" customFormat="1" x14ac:dyDescent="0.25">
      <c r="A42" s="49">
        <v>39479</v>
      </c>
      <c r="B42" s="51">
        <f t="shared" ref="B42:B52" si="6">B41+$C$41</f>
        <v>1.7880443028372026</v>
      </c>
    </row>
    <row r="43" spans="1:4" s="51" customFormat="1" x14ac:dyDescent="0.25">
      <c r="A43" s="49">
        <v>39508</v>
      </c>
      <c r="B43" s="51">
        <f t="shared" si="6"/>
        <v>1.8536640873918984</v>
      </c>
    </row>
    <row r="44" spans="1:4" s="51" customFormat="1" x14ac:dyDescent="0.25">
      <c r="A44" s="49">
        <v>39539</v>
      </c>
      <c r="B44" s="51">
        <f t="shared" si="6"/>
        <v>1.9192838719465941</v>
      </c>
    </row>
    <row r="45" spans="1:4" s="51" customFormat="1" x14ac:dyDescent="0.25">
      <c r="A45" s="49">
        <v>39569</v>
      </c>
      <c r="B45" s="51">
        <f t="shared" si="6"/>
        <v>1.9849036565012899</v>
      </c>
    </row>
    <row r="46" spans="1:4" s="51" customFormat="1" x14ac:dyDescent="0.25">
      <c r="A46" s="49">
        <v>39600</v>
      </c>
      <c r="B46" s="51">
        <f t="shared" si="6"/>
        <v>2.0505234410559856</v>
      </c>
    </row>
    <row r="47" spans="1:4" s="51" customFormat="1" x14ac:dyDescent="0.25">
      <c r="A47" s="49">
        <v>39630</v>
      </c>
      <c r="B47" s="51">
        <f t="shared" si="6"/>
        <v>2.1161432256106814</v>
      </c>
    </row>
    <row r="48" spans="1:4" s="51" customFormat="1" x14ac:dyDescent="0.25">
      <c r="A48" s="49">
        <v>39661</v>
      </c>
      <c r="B48" s="51">
        <f t="shared" si="6"/>
        <v>2.1817630101653771</v>
      </c>
    </row>
    <row r="49" spans="1:4" s="51" customFormat="1" x14ac:dyDescent="0.25">
      <c r="A49" s="49">
        <v>39692</v>
      </c>
      <c r="B49" s="51">
        <f t="shared" si="6"/>
        <v>2.2473827947200729</v>
      </c>
    </row>
    <row r="50" spans="1:4" s="51" customFormat="1" x14ac:dyDescent="0.25">
      <c r="A50" s="49">
        <v>39722</v>
      </c>
      <c r="B50" s="51">
        <f t="shared" si="6"/>
        <v>2.3130025792747686</v>
      </c>
    </row>
    <row r="51" spans="1:4" s="51" customFormat="1" x14ac:dyDescent="0.25">
      <c r="A51" s="49">
        <v>39753</v>
      </c>
      <c r="B51" s="51">
        <f t="shared" si="6"/>
        <v>2.3786223638294643</v>
      </c>
      <c r="C51" s="51" t="s">
        <v>93</v>
      </c>
    </row>
    <row r="52" spans="1:4" s="53" customFormat="1" x14ac:dyDescent="0.25">
      <c r="A52" s="52">
        <v>39783</v>
      </c>
      <c r="B52" s="53">
        <f t="shared" si="6"/>
        <v>2.4442421483841601</v>
      </c>
      <c r="C52" s="53">
        <f>SUM(B41:B52)</f>
        <v>25</v>
      </c>
      <c r="D52" s="53">
        <f>B52*12</f>
        <v>29.330905780609921</v>
      </c>
    </row>
    <row r="53" spans="1:4" s="48" customFormat="1" x14ac:dyDescent="0.25">
      <c r="A53" s="47">
        <v>39814</v>
      </c>
      <c r="B53" s="48">
        <f>B52+$C$53</f>
        <v>2.5169228435045459</v>
      </c>
      <c r="C53" s="48">
        <f>H6</f>
        <v>7.2680695120385622E-2</v>
      </c>
    </row>
    <row r="54" spans="1:4" s="51" customFormat="1" x14ac:dyDescent="0.25">
      <c r="A54" s="49">
        <v>39845</v>
      </c>
      <c r="B54" s="51">
        <f t="shared" ref="B54:B64" si="7">B53+$C$53</f>
        <v>2.5896035386249316</v>
      </c>
    </row>
    <row r="55" spans="1:4" s="51" customFormat="1" x14ac:dyDescent="0.25">
      <c r="A55" s="49">
        <v>39873</v>
      </c>
      <c r="B55" s="51">
        <f t="shared" si="7"/>
        <v>2.6622842337453174</v>
      </c>
    </row>
    <row r="56" spans="1:4" s="51" customFormat="1" x14ac:dyDescent="0.25">
      <c r="A56" s="49">
        <v>39904</v>
      </c>
      <c r="B56" s="51">
        <f t="shared" si="7"/>
        <v>2.7349649288657032</v>
      </c>
    </row>
    <row r="57" spans="1:4" s="51" customFormat="1" x14ac:dyDescent="0.25">
      <c r="A57" s="49">
        <v>39934</v>
      </c>
      <c r="B57" s="51">
        <f t="shared" si="7"/>
        <v>2.807645623986089</v>
      </c>
    </row>
    <row r="58" spans="1:4" s="51" customFormat="1" x14ac:dyDescent="0.25">
      <c r="A58" s="49">
        <v>39965</v>
      </c>
      <c r="B58" s="51">
        <f t="shared" si="7"/>
        <v>2.8803263191064747</v>
      </c>
    </row>
    <row r="59" spans="1:4" s="51" customFormat="1" x14ac:dyDescent="0.25">
      <c r="A59" s="49">
        <v>39995</v>
      </c>
      <c r="B59" s="51">
        <f t="shared" si="7"/>
        <v>2.9530070142268605</v>
      </c>
    </row>
    <row r="60" spans="1:4" s="51" customFormat="1" x14ac:dyDescent="0.25">
      <c r="A60" s="49">
        <v>40026</v>
      </c>
      <c r="B60" s="51">
        <f t="shared" si="7"/>
        <v>3.0256877093472463</v>
      </c>
    </row>
    <row r="61" spans="1:4" s="51" customFormat="1" x14ac:dyDescent="0.25">
      <c r="A61" s="49">
        <v>40057</v>
      </c>
      <c r="B61" s="51">
        <f t="shared" si="7"/>
        <v>3.0983684044676321</v>
      </c>
    </row>
    <row r="62" spans="1:4" s="51" customFormat="1" x14ac:dyDescent="0.25">
      <c r="A62" s="49">
        <v>40087</v>
      </c>
      <c r="B62" s="51">
        <f t="shared" si="7"/>
        <v>3.1710490995880178</v>
      </c>
    </row>
    <row r="63" spans="1:4" s="51" customFormat="1" x14ac:dyDescent="0.25">
      <c r="A63" s="49">
        <v>40118</v>
      </c>
      <c r="B63" s="51">
        <f t="shared" si="7"/>
        <v>3.2437297947084036</v>
      </c>
      <c r="C63" s="51" t="s">
        <v>93</v>
      </c>
    </row>
    <row r="64" spans="1:4" s="53" customFormat="1" x14ac:dyDescent="0.25">
      <c r="A64" s="52">
        <v>40148</v>
      </c>
      <c r="B64" s="53">
        <f t="shared" si="7"/>
        <v>3.3164104898287894</v>
      </c>
      <c r="C64" s="53">
        <f>SUM(B53:B64)</f>
        <v>35.000000000000007</v>
      </c>
      <c r="D64" s="53">
        <f>B64*12</f>
        <v>39.796925877945469</v>
      </c>
    </row>
    <row r="65" spans="1:4" s="48" customFormat="1" x14ac:dyDescent="0.25">
      <c r="A65" s="47">
        <v>40179</v>
      </c>
      <c r="B65" s="48">
        <f>B64+$C$65</f>
        <v>3.3831165683166682</v>
      </c>
      <c r="C65" s="48">
        <f>H7</f>
        <v>6.6706078487878601E-2</v>
      </c>
    </row>
    <row r="66" spans="1:4" s="51" customFormat="1" x14ac:dyDescent="0.25">
      <c r="A66" s="49">
        <v>40210</v>
      </c>
      <c r="B66" s="51">
        <f t="shared" ref="B66:B76" si="8">B65+$C$65</f>
        <v>3.449822646804547</v>
      </c>
    </row>
    <row r="67" spans="1:4" s="51" customFormat="1" x14ac:dyDescent="0.25">
      <c r="A67" s="49">
        <v>40238</v>
      </c>
      <c r="B67" s="51">
        <f t="shared" si="8"/>
        <v>3.5165287252924258</v>
      </c>
    </row>
    <row r="68" spans="1:4" s="51" customFormat="1" x14ac:dyDescent="0.25">
      <c r="A68" s="49">
        <v>40269</v>
      </c>
      <c r="B68" s="51">
        <f t="shared" si="8"/>
        <v>3.5832348037803046</v>
      </c>
    </row>
    <row r="69" spans="1:4" s="51" customFormat="1" x14ac:dyDescent="0.25">
      <c r="A69" s="49">
        <v>40299</v>
      </c>
      <c r="B69" s="51">
        <f t="shared" si="8"/>
        <v>3.6499408822681834</v>
      </c>
    </row>
    <row r="70" spans="1:4" s="51" customFormat="1" x14ac:dyDescent="0.25">
      <c r="A70" s="49">
        <v>40330</v>
      </c>
      <c r="B70" s="51">
        <f t="shared" si="8"/>
        <v>3.7166469607560622</v>
      </c>
    </row>
    <row r="71" spans="1:4" s="51" customFormat="1" x14ac:dyDescent="0.25">
      <c r="A71" s="49">
        <v>40360</v>
      </c>
      <c r="B71" s="51">
        <f t="shared" si="8"/>
        <v>3.783353039243941</v>
      </c>
    </row>
    <row r="72" spans="1:4" s="51" customFormat="1" x14ac:dyDescent="0.25">
      <c r="A72" s="49">
        <v>40391</v>
      </c>
      <c r="B72" s="51">
        <f t="shared" si="8"/>
        <v>3.8500591177318197</v>
      </c>
    </row>
    <row r="73" spans="1:4" s="51" customFormat="1" x14ac:dyDescent="0.25">
      <c r="A73" s="49">
        <v>40422</v>
      </c>
      <c r="B73" s="51">
        <f t="shared" si="8"/>
        <v>3.9167651962196985</v>
      </c>
    </row>
    <row r="74" spans="1:4" s="51" customFormat="1" x14ac:dyDescent="0.25">
      <c r="A74" s="49">
        <v>40452</v>
      </c>
      <c r="B74" s="51">
        <f t="shared" si="8"/>
        <v>3.9834712747075773</v>
      </c>
    </row>
    <row r="75" spans="1:4" s="51" customFormat="1" x14ac:dyDescent="0.25">
      <c r="A75" s="49">
        <v>40483</v>
      </c>
      <c r="B75" s="51">
        <f t="shared" si="8"/>
        <v>4.0501773531954557</v>
      </c>
      <c r="C75" s="51" t="s">
        <v>93</v>
      </c>
    </row>
    <row r="76" spans="1:4" s="53" customFormat="1" x14ac:dyDescent="0.25">
      <c r="A76" s="52">
        <v>40513</v>
      </c>
      <c r="B76" s="53">
        <f t="shared" si="8"/>
        <v>4.116883431683334</v>
      </c>
      <c r="C76" s="53">
        <f>SUM(B65:B76)</f>
        <v>45.000000000000021</v>
      </c>
      <c r="D76" s="53">
        <f>B76*12</f>
        <v>49.402601180200008</v>
      </c>
    </row>
    <row r="77" spans="1:4" s="48" customFormat="1" x14ac:dyDescent="0.25">
      <c r="A77" s="47">
        <v>40544</v>
      </c>
      <c r="B77" s="48">
        <f>B76+$C$77</f>
        <v>4.1886449550141034</v>
      </c>
      <c r="C77" s="48">
        <f>H8</f>
        <v>7.1761523330769128E-2</v>
      </c>
    </row>
    <row r="78" spans="1:4" s="51" customFormat="1" x14ac:dyDescent="0.25">
      <c r="A78" s="49">
        <v>40575</v>
      </c>
      <c r="B78" s="51">
        <f t="shared" ref="B78:B88" si="9">B77+$C$77</f>
        <v>4.2604064783448727</v>
      </c>
    </row>
    <row r="79" spans="1:4" s="51" customFormat="1" x14ac:dyDescent="0.25">
      <c r="A79" s="49">
        <v>40603</v>
      </c>
      <c r="B79" s="51">
        <f t="shared" si="9"/>
        <v>4.3321680016756421</v>
      </c>
    </row>
    <row r="80" spans="1:4" s="51" customFormat="1" x14ac:dyDescent="0.25">
      <c r="A80" s="49">
        <v>40634</v>
      </c>
      <c r="B80" s="51">
        <f t="shared" si="9"/>
        <v>4.4039295250064114</v>
      </c>
    </row>
    <row r="81" spans="1:4" s="51" customFormat="1" x14ac:dyDescent="0.25">
      <c r="A81" s="49">
        <v>40664</v>
      </c>
      <c r="B81" s="51">
        <f t="shared" si="9"/>
        <v>4.4756910483371808</v>
      </c>
    </row>
    <row r="82" spans="1:4" s="51" customFormat="1" x14ac:dyDescent="0.25">
      <c r="A82" s="49">
        <v>40695</v>
      </c>
      <c r="B82" s="51">
        <f t="shared" si="9"/>
        <v>4.5474525716679501</v>
      </c>
    </row>
    <row r="83" spans="1:4" s="51" customFormat="1" x14ac:dyDescent="0.25">
      <c r="A83" s="49">
        <v>40725</v>
      </c>
      <c r="B83" s="51">
        <f t="shared" si="9"/>
        <v>4.6192140949987195</v>
      </c>
    </row>
    <row r="84" spans="1:4" s="51" customFormat="1" x14ac:dyDescent="0.25">
      <c r="A84" s="49">
        <v>40756</v>
      </c>
      <c r="B84" s="51">
        <f t="shared" si="9"/>
        <v>4.6909756183294888</v>
      </c>
    </row>
    <row r="85" spans="1:4" s="51" customFormat="1" x14ac:dyDescent="0.25">
      <c r="A85" s="49">
        <v>40787</v>
      </c>
      <c r="B85" s="51">
        <f t="shared" si="9"/>
        <v>4.7627371416602582</v>
      </c>
    </row>
    <row r="86" spans="1:4" s="51" customFormat="1" x14ac:dyDescent="0.25">
      <c r="A86" s="49">
        <v>40817</v>
      </c>
      <c r="B86" s="51">
        <f t="shared" si="9"/>
        <v>4.8344986649910275</v>
      </c>
    </row>
    <row r="87" spans="1:4" s="51" customFormat="1" x14ac:dyDescent="0.25">
      <c r="A87" s="49">
        <v>40848</v>
      </c>
      <c r="B87" s="51">
        <f t="shared" si="9"/>
        <v>4.9062601883217969</v>
      </c>
      <c r="C87" s="51" t="s">
        <v>93</v>
      </c>
    </row>
    <row r="88" spans="1:4" s="53" customFormat="1" x14ac:dyDescent="0.25">
      <c r="A88" s="52">
        <v>40878</v>
      </c>
      <c r="B88" s="53">
        <f t="shared" si="9"/>
        <v>4.9780217116525662</v>
      </c>
      <c r="C88" s="53">
        <f>SUM(B77:B88)</f>
        <v>55.000000000000021</v>
      </c>
      <c r="D88" s="53">
        <f>B88*12</f>
        <v>59.736260539830795</v>
      </c>
    </row>
    <row r="89" spans="1:4" s="48" customFormat="1" x14ac:dyDescent="0.25">
      <c r="A89" s="47">
        <v>40909</v>
      </c>
      <c r="B89" s="48">
        <f>B88+$C$89</f>
        <v>5.0455055508855047</v>
      </c>
      <c r="C89" s="48">
        <f>H9</f>
        <v>6.7483839232938533E-2</v>
      </c>
    </row>
    <row r="90" spans="1:4" s="51" customFormat="1" x14ac:dyDescent="0.25">
      <c r="A90" s="49">
        <v>40940</v>
      </c>
      <c r="B90" s="51">
        <f t="shared" ref="B90:B100" si="10">B89+$C$89</f>
        <v>5.1129893901184431</v>
      </c>
    </row>
    <row r="91" spans="1:4" s="51" customFormat="1" x14ac:dyDescent="0.25">
      <c r="A91" s="49">
        <v>40969</v>
      </c>
      <c r="B91" s="51">
        <f t="shared" si="10"/>
        <v>5.1804732293513815</v>
      </c>
    </row>
    <row r="92" spans="1:4" s="51" customFormat="1" x14ac:dyDescent="0.25">
      <c r="A92" s="49">
        <v>41000</v>
      </c>
      <c r="B92" s="51">
        <f t="shared" si="10"/>
        <v>5.24795706858432</v>
      </c>
    </row>
    <row r="93" spans="1:4" s="51" customFormat="1" x14ac:dyDescent="0.25">
      <c r="A93" s="49">
        <v>41030</v>
      </c>
      <c r="B93" s="51">
        <f t="shared" si="10"/>
        <v>5.3154409078172584</v>
      </c>
    </row>
    <row r="94" spans="1:4" s="51" customFormat="1" x14ac:dyDescent="0.25">
      <c r="A94" s="49">
        <v>41061</v>
      </c>
      <c r="B94" s="51">
        <f t="shared" si="10"/>
        <v>5.3829247470501969</v>
      </c>
    </row>
    <row r="95" spans="1:4" s="51" customFormat="1" x14ac:dyDescent="0.25">
      <c r="A95" s="49">
        <v>41091</v>
      </c>
      <c r="B95" s="51">
        <f t="shared" si="10"/>
        <v>5.4504085862831353</v>
      </c>
    </row>
    <row r="96" spans="1:4" s="51" customFormat="1" x14ac:dyDescent="0.25">
      <c r="A96" s="49">
        <v>41122</v>
      </c>
      <c r="B96" s="51">
        <f t="shared" si="10"/>
        <v>5.5178924255160737</v>
      </c>
    </row>
    <row r="97" spans="1:4" s="51" customFormat="1" x14ac:dyDescent="0.25">
      <c r="A97" s="49">
        <v>41153</v>
      </c>
      <c r="B97" s="51">
        <f t="shared" si="10"/>
        <v>5.5853762647490122</v>
      </c>
    </row>
    <row r="98" spans="1:4" s="51" customFormat="1" x14ac:dyDescent="0.25">
      <c r="A98" s="49">
        <v>41183</v>
      </c>
      <c r="B98" s="51">
        <f t="shared" si="10"/>
        <v>5.6528601039819506</v>
      </c>
    </row>
    <row r="99" spans="1:4" s="51" customFormat="1" x14ac:dyDescent="0.25">
      <c r="A99" s="49">
        <v>41214</v>
      </c>
      <c r="B99" s="51">
        <f t="shared" si="10"/>
        <v>5.720343943214889</v>
      </c>
      <c r="C99" s="51" t="s">
        <v>93</v>
      </c>
    </row>
    <row r="100" spans="1:4" s="53" customFormat="1" x14ac:dyDescent="0.25">
      <c r="A100" s="52">
        <v>41244</v>
      </c>
      <c r="B100" s="53">
        <f t="shared" si="10"/>
        <v>5.7878277824478275</v>
      </c>
      <c r="C100" s="53">
        <f>SUM(B89:B100)</f>
        <v>65</v>
      </c>
      <c r="D100" s="53">
        <f>B100*12</f>
        <v>69.45393338937393</v>
      </c>
    </row>
    <row r="101" spans="1:4" s="48" customFormat="1" x14ac:dyDescent="0.25">
      <c r="A101" s="47">
        <v>41275</v>
      </c>
      <c r="B101" s="48">
        <f>B100+$C$101</f>
        <v>5.8589312005327772</v>
      </c>
      <c r="C101" s="48">
        <f>H10</f>
        <v>7.1103418084949618E-2</v>
      </c>
    </row>
    <row r="102" spans="1:4" s="51" customFormat="1" x14ac:dyDescent="0.25">
      <c r="A102" s="49">
        <v>41306</v>
      </c>
      <c r="B102" s="51">
        <f t="shared" ref="B102:B112" si="11">B101+$C$101</f>
        <v>5.9300346186177268</v>
      </c>
    </row>
    <row r="103" spans="1:4" s="51" customFormat="1" x14ac:dyDescent="0.25">
      <c r="A103" s="49">
        <v>41334</v>
      </c>
      <c r="B103" s="51">
        <f t="shared" si="11"/>
        <v>6.0011380367026765</v>
      </c>
    </row>
    <row r="104" spans="1:4" s="51" customFormat="1" x14ac:dyDescent="0.25">
      <c r="A104" s="49">
        <v>41365</v>
      </c>
      <c r="B104" s="51">
        <f t="shared" si="11"/>
        <v>6.0722414547876262</v>
      </c>
    </row>
    <row r="105" spans="1:4" s="51" customFormat="1" x14ac:dyDescent="0.25">
      <c r="A105" s="49">
        <v>41395</v>
      </c>
      <c r="B105" s="51">
        <f t="shared" si="11"/>
        <v>6.1433448728725759</v>
      </c>
    </row>
    <row r="106" spans="1:4" s="51" customFormat="1" x14ac:dyDescent="0.25">
      <c r="A106" s="49">
        <v>41426</v>
      </c>
      <c r="B106" s="51">
        <f t="shared" si="11"/>
        <v>6.2144482909575256</v>
      </c>
    </row>
    <row r="107" spans="1:4" s="51" customFormat="1" x14ac:dyDescent="0.25">
      <c r="A107" s="49">
        <v>41456</v>
      </c>
      <c r="B107" s="51">
        <f t="shared" si="11"/>
        <v>6.2855517090424753</v>
      </c>
    </row>
    <row r="108" spans="1:4" s="51" customFormat="1" x14ac:dyDescent="0.25">
      <c r="A108" s="49">
        <v>41487</v>
      </c>
      <c r="B108" s="51">
        <f t="shared" si="11"/>
        <v>6.356655127127425</v>
      </c>
    </row>
    <row r="109" spans="1:4" s="51" customFormat="1" x14ac:dyDescent="0.25">
      <c r="A109" s="49">
        <v>41518</v>
      </c>
      <c r="B109" s="51">
        <f t="shared" si="11"/>
        <v>6.4277585452123747</v>
      </c>
    </row>
    <row r="110" spans="1:4" s="51" customFormat="1" x14ac:dyDescent="0.25">
      <c r="A110" s="49">
        <v>41548</v>
      </c>
      <c r="B110" s="51">
        <f t="shared" si="11"/>
        <v>6.4988619632973244</v>
      </c>
    </row>
    <row r="111" spans="1:4" s="51" customFormat="1" x14ac:dyDescent="0.25">
      <c r="A111" s="49">
        <v>41579</v>
      </c>
      <c r="B111" s="51">
        <f t="shared" si="11"/>
        <v>6.569965381382274</v>
      </c>
      <c r="C111" s="51" t="s">
        <v>93</v>
      </c>
    </row>
    <row r="112" spans="1:4" s="53" customFormat="1" x14ac:dyDescent="0.25">
      <c r="A112" s="52">
        <v>41609</v>
      </c>
      <c r="B112" s="53">
        <f t="shared" si="11"/>
        <v>6.6410687994672237</v>
      </c>
      <c r="C112" s="53">
        <f>SUM(B101:B112)</f>
        <v>75</v>
      </c>
      <c r="D112" s="53">
        <f>B112*12</f>
        <v>79.692825593606685</v>
      </c>
    </row>
    <row r="113" spans="1:4" s="48" customFormat="1" x14ac:dyDescent="0.25">
      <c r="A113" s="47">
        <v>41640</v>
      </c>
      <c r="B113" s="48">
        <f>B112+$C$113</f>
        <v>6.7091094969850866</v>
      </c>
      <c r="C113" s="48">
        <f>H11</f>
        <v>6.8040697517863014E-2</v>
      </c>
    </row>
    <row r="114" spans="1:4" s="51" customFormat="1" x14ac:dyDescent="0.25">
      <c r="A114" s="49">
        <v>41671</v>
      </c>
      <c r="B114" s="51">
        <f t="shared" ref="B114:B124" si="12">B113+$C$113</f>
        <v>6.7771501945029495</v>
      </c>
    </row>
    <row r="115" spans="1:4" s="51" customFormat="1" x14ac:dyDescent="0.25">
      <c r="A115" s="49">
        <v>41699</v>
      </c>
      <c r="B115" s="51">
        <f t="shared" si="12"/>
        <v>6.8451908920208124</v>
      </c>
    </row>
    <row r="116" spans="1:4" s="51" customFormat="1" x14ac:dyDescent="0.25">
      <c r="A116" s="49">
        <v>41730</v>
      </c>
      <c r="B116" s="51">
        <f t="shared" si="12"/>
        <v>6.9132315895386753</v>
      </c>
    </row>
    <row r="117" spans="1:4" s="51" customFormat="1" x14ac:dyDescent="0.25">
      <c r="A117" s="49">
        <v>41760</v>
      </c>
      <c r="B117" s="51">
        <f t="shared" si="12"/>
        <v>6.9812722870565382</v>
      </c>
    </row>
    <row r="118" spans="1:4" s="51" customFormat="1" x14ac:dyDescent="0.25">
      <c r="A118" s="49">
        <v>41791</v>
      </c>
      <c r="B118" s="51">
        <f t="shared" si="12"/>
        <v>7.0493129845744011</v>
      </c>
    </row>
    <row r="119" spans="1:4" s="51" customFormat="1" x14ac:dyDescent="0.25">
      <c r="A119" s="49">
        <v>41821</v>
      </c>
      <c r="B119" s="51">
        <f t="shared" si="12"/>
        <v>7.117353682092264</v>
      </c>
    </row>
    <row r="120" spans="1:4" s="51" customFormat="1" x14ac:dyDescent="0.25">
      <c r="A120" s="49">
        <v>41852</v>
      </c>
      <c r="B120" s="51">
        <f t="shared" si="12"/>
        <v>7.1853943796101269</v>
      </c>
    </row>
    <row r="121" spans="1:4" s="51" customFormat="1" x14ac:dyDescent="0.25">
      <c r="A121" s="49">
        <v>41883</v>
      </c>
      <c r="B121" s="51">
        <f t="shared" si="12"/>
        <v>7.2534350771279898</v>
      </c>
    </row>
    <row r="122" spans="1:4" s="51" customFormat="1" x14ac:dyDescent="0.25">
      <c r="A122" s="49">
        <v>41913</v>
      </c>
      <c r="B122" s="51">
        <f t="shared" si="12"/>
        <v>7.3214757746458528</v>
      </c>
    </row>
    <row r="123" spans="1:4" s="51" customFormat="1" x14ac:dyDescent="0.25">
      <c r="A123" s="49">
        <v>41944</v>
      </c>
      <c r="B123" s="51">
        <f t="shared" si="12"/>
        <v>7.3895164721637157</v>
      </c>
      <c r="C123" s="51" t="s">
        <v>93</v>
      </c>
    </row>
    <row r="124" spans="1:4" s="53" customFormat="1" x14ac:dyDescent="0.25">
      <c r="A124" s="52">
        <v>41974</v>
      </c>
      <c r="B124" s="53">
        <f t="shared" si="12"/>
        <v>7.4575571696815786</v>
      </c>
      <c r="C124" s="53">
        <f>SUM(B113:B124)</f>
        <v>84.999999999999986</v>
      </c>
      <c r="D124" s="53">
        <f>B124*12</f>
        <v>89.490686036178943</v>
      </c>
    </row>
    <row r="125" spans="1:4" s="48" customFormat="1" x14ac:dyDescent="0.25">
      <c r="A125" s="47">
        <v>42005</v>
      </c>
      <c r="B125" s="48">
        <f>B124+$C$125</f>
        <v>7.5281893999869771</v>
      </c>
      <c r="C125" s="48">
        <f>H12</f>
        <v>7.0632230305398169E-2</v>
      </c>
    </row>
    <row r="126" spans="1:4" s="51" customFormat="1" x14ac:dyDescent="0.25">
      <c r="A126" s="49">
        <v>42036</v>
      </c>
      <c r="B126" s="51">
        <f t="shared" ref="B126:B136" si="13">B125+$C$125</f>
        <v>7.5988216302923757</v>
      </c>
    </row>
    <row r="127" spans="1:4" s="51" customFormat="1" x14ac:dyDescent="0.25">
      <c r="A127" s="49">
        <v>42064</v>
      </c>
      <c r="B127" s="51">
        <f t="shared" si="13"/>
        <v>7.6694538605977742</v>
      </c>
    </row>
    <row r="128" spans="1:4" s="51" customFormat="1" x14ac:dyDescent="0.25">
      <c r="A128" s="49">
        <v>42095</v>
      </c>
      <c r="B128" s="51">
        <f t="shared" si="13"/>
        <v>7.7400860909031728</v>
      </c>
    </row>
    <row r="129" spans="1:4" s="51" customFormat="1" x14ac:dyDescent="0.25">
      <c r="A129" s="49">
        <v>42125</v>
      </c>
      <c r="B129" s="51">
        <f t="shared" si="13"/>
        <v>7.8107183212085713</v>
      </c>
    </row>
    <row r="130" spans="1:4" s="51" customFormat="1" x14ac:dyDescent="0.25">
      <c r="A130" s="49">
        <v>42156</v>
      </c>
      <c r="B130" s="51">
        <f t="shared" si="13"/>
        <v>7.8813505515139699</v>
      </c>
    </row>
    <row r="131" spans="1:4" s="51" customFormat="1" x14ac:dyDescent="0.25">
      <c r="A131" s="49">
        <v>42186</v>
      </c>
      <c r="B131" s="51">
        <f t="shared" si="13"/>
        <v>7.9519827818193685</v>
      </c>
    </row>
    <row r="132" spans="1:4" s="51" customFormat="1" x14ac:dyDescent="0.25">
      <c r="A132" s="49">
        <v>42217</v>
      </c>
      <c r="B132" s="51">
        <f t="shared" si="13"/>
        <v>8.022615012124767</v>
      </c>
    </row>
    <row r="133" spans="1:4" s="51" customFormat="1" x14ac:dyDescent="0.25">
      <c r="A133" s="49">
        <v>42248</v>
      </c>
      <c r="B133" s="51">
        <f t="shared" si="13"/>
        <v>8.0932472424301647</v>
      </c>
    </row>
    <row r="134" spans="1:4" s="51" customFormat="1" x14ac:dyDescent="0.25">
      <c r="A134" s="49">
        <v>42278</v>
      </c>
      <c r="B134" s="51">
        <f t="shared" si="13"/>
        <v>8.1638794727355624</v>
      </c>
    </row>
    <row r="135" spans="1:4" s="51" customFormat="1" x14ac:dyDescent="0.25">
      <c r="A135" s="49">
        <v>42309</v>
      </c>
      <c r="B135" s="51">
        <f t="shared" si="13"/>
        <v>8.23451170304096</v>
      </c>
      <c r="C135" s="51" t="s">
        <v>93</v>
      </c>
    </row>
    <row r="136" spans="1:4" s="53" customFormat="1" x14ac:dyDescent="0.25">
      <c r="A136" s="52">
        <v>42339</v>
      </c>
      <c r="B136" s="53">
        <f t="shared" si="13"/>
        <v>8.3051439333463577</v>
      </c>
      <c r="C136" s="53">
        <f>SUM(B125:B136)</f>
        <v>95.000000000000014</v>
      </c>
      <c r="D136" s="53">
        <f>B136*12</f>
        <v>99.661727200156292</v>
      </c>
    </row>
    <row r="137" spans="1:4" s="48" customFormat="1" x14ac:dyDescent="0.25">
      <c r="A137" s="47">
        <v>42370</v>
      </c>
      <c r="B137" s="48">
        <f>B136+$C$137</f>
        <v>8.3735833282161494</v>
      </c>
      <c r="C137" s="48">
        <f>H13</f>
        <v>6.8439394869791129E-2</v>
      </c>
    </row>
    <row r="138" spans="1:4" s="51" customFormat="1" x14ac:dyDescent="0.25">
      <c r="A138" s="49">
        <v>42401</v>
      </c>
      <c r="B138" s="51">
        <f t="shared" ref="B138:B148" si="14">B137+$C$137</f>
        <v>8.442022723085941</v>
      </c>
    </row>
    <row r="139" spans="1:4" s="51" customFormat="1" x14ac:dyDescent="0.25">
      <c r="A139" s="49">
        <v>42430</v>
      </c>
      <c r="B139" s="51">
        <f t="shared" si="14"/>
        <v>8.5104621179557327</v>
      </c>
    </row>
    <row r="140" spans="1:4" s="51" customFormat="1" x14ac:dyDescent="0.25">
      <c r="A140" s="49">
        <v>42461</v>
      </c>
      <c r="B140" s="51">
        <f t="shared" si="14"/>
        <v>8.5789015128255244</v>
      </c>
    </row>
    <row r="141" spans="1:4" s="51" customFormat="1" x14ac:dyDescent="0.25">
      <c r="A141" s="49">
        <v>42491</v>
      </c>
      <c r="B141" s="51">
        <f t="shared" si="14"/>
        <v>8.647340907695316</v>
      </c>
    </row>
    <row r="142" spans="1:4" s="51" customFormat="1" x14ac:dyDescent="0.25">
      <c r="A142" s="49">
        <v>42522</v>
      </c>
      <c r="B142" s="51">
        <f t="shared" si="14"/>
        <v>8.7157803025651077</v>
      </c>
    </row>
    <row r="143" spans="1:4" s="51" customFormat="1" x14ac:dyDescent="0.25">
      <c r="A143" s="49">
        <v>42552</v>
      </c>
      <c r="B143" s="51">
        <f t="shared" si="14"/>
        <v>8.7842196974348994</v>
      </c>
    </row>
    <row r="144" spans="1:4" s="51" customFormat="1" x14ac:dyDescent="0.25">
      <c r="A144" s="49">
        <v>42583</v>
      </c>
      <c r="B144" s="51">
        <f t="shared" si="14"/>
        <v>8.8526590923046911</v>
      </c>
    </row>
    <row r="145" spans="1:4" s="51" customFormat="1" x14ac:dyDescent="0.25">
      <c r="A145" s="49">
        <v>42614</v>
      </c>
      <c r="B145" s="51">
        <f t="shared" si="14"/>
        <v>8.9210984871744827</v>
      </c>
    </row>
    <row r="146" spans="1:4" s="51" customFormat="1" x14ac:dyDescent="0.25">
      <c r="A146" s="49">
        <v>42644</v>
      </c>
      <c r="B146" s="51">
        <f t="shared" si="14"/>
        <v>8.9895378820442744</v>
      </c>
    </row>
    <row r="147" spans="1:4" s="51" customFormat="1" x14ac:dyDescent="0.25">
      <c r="A147" s="49">
        <v>42675</v>
      </c>
      <c r="B147" s="51">
        <f t="shared" si="14"/>
        <v>9.0579772769140661</v>
      </c>
      <c r="C147" s="51" t="s">
        <v>93</v>
      </c>
    </row>
    <row r="148" spans="1:4" s="53" customFormat="1" x14ac:dyDescent="0.25">
      <c r="A148" s="52">
        <v>42705</v>
      </c>
      <c r="B148" s="53">
        <f t="shared" si="14"/>
        <v>9.1264166717838577</v>
      </c>
      <c r="C148" s="53">
        <f>SUM(B137:B148)</f>
        <v>105.00000000000003</v>
      </c>
      <c r="D148" s="53">
        <f>B148*12</f>
        <v>109.51700006140629</v>
      </c>
    </row>
    <row r="149" spans="1:4" s="48" customFormat="1" x14ac:dyDescent="0.25">
      <c r="A149" s="47">
        <v>42736</v>
      </c>
      <c r="B149" s="48">
        <f>B148+$C$149</f>
        <v>9.1967115427914692</v>
      </c>
      <c r="C149" s="48">
        <f>H14</f>
        <v>7.0294871007611628E-2</v>
      </c>
    </row>
    <row r="150" spans="1:4" s="51" customFormat="1" x14ac:dyDescent="0.25">
      <c r="A150" s="49">
        <v>42767</v>
      </c>
      <c r="B150" s="51">
        <f t="shared" ref="B150:B160" si="15">B149+$C$149</f>
        <v>9.2670064137990806</v>
      </c>
    </row>
    <row r="151" spans="1:4" s="51" customFormat="1" x14ac:dyDescent="0.25">
      <c r="A151" s="49">
        <v>42795</v>
      </c>
      <c r="B151" s="51">
        <f t="shared" si="15"/>
        <v>9.3373012848066921</v>
      </c>
    </row>
    <row r="152" spans="1:4" s="51" customFormat="1" x14ac:dyDescent="0.25">
      <c r="A152" s="49">
        <v>42826</v>
      </c>
      <c r="B152" s="51">
        <f t="shared" si="15"/>
        <v>9.4075961558143035</v>
      </c>
    </row>
    <row r="153" spans="1:4" s="51" customFormat="1" x14ac:dyDescent="0.25">
      <c r="A153" s="49">
        <v>42856</v>
      </c>
      <c r="B153" s="51">
        <f t="shared" si="15"/>
        <v>9.477891026821915</v>
      </c>
    </row>
    <row r="154" spans="1:4" s="51" customFormat="1" x14ac:dyDescent="0.25">
      <c r="A154" s="49">
        <v>42887</v>
      </c>
      <c r="B154" s="51">
        <f t="shared" si="15"/>
        <v>9.5481858978295264</v>
      </c>
    </row>
    <row r="155" spans="1:4" s="51" customFormat="1" x14ac:dyDescent="0.25">
      <c r="A155" s="49">
        <v>42917</v>
      </c>
      <c r="B155" s="51">
        <f t="shared" si="15"/>
        <v>9.6184807688371379</v>
      </c>
    </row>
    <row r="156" spans="1:4" s="51" customFormat="1" x14ac:dyDescent="0.25">
      <c r="A156" s="49">
        <v>42948</v>
      </c>
      <c r="B156" s="51">
        <f t="shared" si="15"/>
        <v>9.6887756398447493</v>
      </c>
    </row>
    <row r="157" spans="1:4" s="51" customFormat="1" x14ac:dyDescent="0.25">
      <c r="A157" s="49">
        <v>42979</v>
      </c>
      <c r="B157" s="51">
        <f t="shared" si="15"/>
        <v>9.7590705108523608</v>
      </c>
    </row>
    <row r="158" spans="1:4" s="51" customFormat="1" x14ac:dyDescent="0.25">
      <c r="A158" s="49">
        <v>43009</v>
      </c>
      <c r="B158" s="51">
        <f t="shared" si="15"/>
        <v>9.8293653818599722</v>
      </c>
    </row>
    <row r="159" spans="1:4" s="51" customFormat="1" x14ac:dyDescent="0.25">
      <c r="A159" s="49">
        <v>43040</v>
      </c>
      <c r="B159" s="51">
        <f t="shared" si="15"/>
        <v>9.8996602528675837</v>
      </c>
      <c r="C159" s="51" t="s">
        <v>93</v>
      </c>
    </row>
    <row r="160" spans="1:4" s="53" customFormat="1" x14ac:dyDescent="0.25">
      <c r="A160" s="52">
        <v>43070</v>
      </c>
      <c r="B160" s="53">
        <f t="shared" si="15"/>
        <v>9.9699551238751951</v>
      </c>
      <c r="C160" s="53">
        <f>SUM(B149:B160)</f>
        <v>114.99999999999997</v>
      </c>
      <c r="D160" s="53">
        <f>B160*12</f>
        <v>119.63946148650234</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7030A0"/>
  </sheetPr>
  <dimension ref="A1:Y176"/>
  <sheetViews>
    <sheetView topLeftCell="A124" zoomScale="85" zoomScaleNormal="85" workbookViewId="0">
      <selection activeCell="B22" sqref="B22"/>
    </sheetView>
  </sheetViews>
  <sheetFormatPr defaultRowHeight="12.5" x14ac:dyDescent="0.25"/>
  <cols>
    <col min="2" max="2" width="23.7265625" style="105" bestFit="1" customWidth="1"/>
    <col min="3" max="3" width="12.54296875" style="105" customWidth="1"/>
    <col min="4" max="4" width="16.1796875" style="105" bestFit="1" customWidth="1"/>
    <col min="5" max="6" width="17.1796875" customWidth="1"/>
    <col min="7" max="7" width="14" bestFit="1" customWidth="1"/>
    <col min="8" max="8" width="11.453125" bestFit="1" customWidth="1"/>
    <col min="9" max="9" width="12.7265625" bestFit="1" customWidth="1"/>
    <col min="23" max="23" width="13" bestFit="1" customWidth="1"/>
    <col min="24" max="24" width="16.7265625" bestFit="1" customWidth="1"/>
  </cols>
  <sheetData>
    <row r="1" spans="1:25" ht="37.5" x14ac:dyDescent="0.25">
      <c r="B1" s="98" t="s">
        <v>105</v>
      </c>
      <c r="C1" s="98" t="s">
        <v>109</v>
      </c>
      <c r="D1" s="98" t="s">
        <v>107</v>
      </c>
      <c r="E1" s="63" t="s">
        <v>108</v>
      </c>
      <c r="F1" s="63" t="s">
        <v>112</v>
      </c>
      <c r="G1" s="63" t="s">
        <v>110</v>
      </c>
      <c r="H1" s="63" t="s">
        <v>111</v>
      </c>
    </row>
    <row r="2" spans="1:25" x14ac:dyDescent="0.25">
      <c r="B2" s="105" t="s">
        <v>106</v>
      </c>
      <c r="C2" s="105" t="s">
        <v>106</v>
      </c>
      <c r="D2" s="105" t="s">
        <v>106</v>
      </c>
      <c r="E2" t="s">
        <v>106</v>
      </c>
      <c r="S2" s="252" t="s">
        <v>94</v>
      </c>
      <c r="T2" s="252">
        <v>1</v>
      </c>
      <c r="W2" s="250" t="s">
        <v>173</v>
      </c>
      <c r="X2" t="s">
        <v>175</v>
      </c>
    </row>
    <row r="3" spans="1:25" ht="13" x14ac:dyDescent="0.3">
      <c r="A3">
        <v>2010</v>
      </c>
      <c r="B3" s="106">
        <f>INDEX('CDM Results - update'!$K$41:$T$41,MATCH('Negative Impact Var'!A3,'CDM Results - update'!$K$24:$T$24,0))</f>
        <v>10152687.532831231</v>
      </c>
      <c r="C3" s="106">
        <f>INDEX('CDM Results - update'!$K$43:$T$43,MATCH('Negative Impact Var'!A3,'CDM Results - update'!$K$24:$T$24,0))</f>
        <v>4170819.6032697526</v>
      </c>
      <c r="D3" s="105">
        <f>C3/2</f>
        <v>2085409.8016348763</v>
      </c>
      <c r="E3" s="151">
        <f>B3+D3</f>
        <v>12238097.334466107</v>
      </c>
      <c r="F3" s="105">
        <f t="shared" ref="F3:F15" si="0">INDEX($B$21:$B$176,MATCH(DATE(A3,12,1),$A$21:$A$176,0))*12</f>
        <v>3849987.3260951564</v>
      </c>
      <c r="G3" s="105">
        <f>E3</f>
        <v>12238097.334466107</v>
      </c>
      <c r="H3" s="240">
        <f t="shared" ref="H3:H15" si="1">D3/Total_for_half_Yr</f>
        <v>26736.02309788303</v>
      </c>
      <c r="I3" s="240"/>
      <c r="S3" s="252" t="s">
        <v>95</v>
      </c>
      <c r="T3" s="252">
        <v>2</v>
      </c>
      <c r="V3">
        <v>1</v>
      </c>
      <c r="W3" s="32">
        <v>1</v>
      </c>
      <c r="X3" s="249">
        <v>921746535.57842469</v>
      </c>
      <c r="Y3">
        <f>GETPIVOTDATA("Purchased",$W$2,"Month",V3)/GETPIVOTDATA("Purchased",$W$2)</f>
        <v>8.8754764073251613E-2</v>
      </c>
    </row>
    <row r="4" spans="1:25" ht="13" x14ac:dyDescent="0.3">
      <c r="A4">
        <v>2011</v>
      </c>
      <c r="B4" s="106">
        <f>INDEX('CDM Results - update'!$K$41:$T$41,MATCH('Negative Impact Var'!A4,'CDM Results - update'!$K$24:$T$24,0))</f>
        <v>13147196.210000001</v>
      </c>
      <c r="C4" s="106">
        <f>INDEX('CDM Results - update'!$K$43:$T$43,MATCH('Negative Impact Var'!A4,'CDM Results - update'!$K$24:$T$24,0))</f>
        <v>4286049.6900000004</v>
      </c>
      <c r="D4" s="105">
        <f t="shared" ref="D4:D15" si="2">C4/2</f>
        <v>2143024.8450000002</v>
      </c>
      <c r="E4" s="151">
        <f t="shared" ref="E4:E15" si="3">B4+D4</f>
        <v>15290221.055000002</v>
      </c>
      <c r="F4" s="105">
        <f t="shared" si="0"/>
        <v>3956353.5599999996</v>
      </c>
      <c r="G4" s="105">
        <f t="shared" ref="G4:G10" si="4">E4-F3</f>
        <v>11440233.728904845</v>
      </c>
      <c r="H4" s="240">
        <f t="shared" si="1"/>
        <v>27474.677500000002</v>
      </c>
      <c r="S4" s="252" t="s">
        <v>96</v>
      </c>
      <c r="T4" s="252">
        <v>3</v>
      </c>
      <c r="V4">
        <v>2</v>
      </c>
      <c r="W4" s="32">
        <v>2</v>
      </c>
      <c r="X4" s="249">
        <v>825952132.23137903</v>
      </c>
      <c r="Y4">
        <f t="shared" ref="Y4:Y14" si="5">GETPIVOTDATA("Purchased",$W$2,"Month",V4)/GETPIVOTDATA("Purchased",$W$2)</f>
        <v>7.9530742782767963E-2</v>
      </c>
    </row>
    <row r="5" spans="1:25" ht="13" x14ac:dyDescent="0.3">
      <c r="A5">
        <v>2012</v>
      </c>
      <c r="B5" s="106">
        <f>INDEX('CDM Results - update'!$K$41:$T$41,MATCH('Negative Impact Var'!A5,'CDM Results - update'!$K$24:$T$24,0))</f>
        <v>17189783.960000001</v>
      </c>
      <c r="C5" s="106">
        <f>INDEX('CDM Results - update'!$K$43:$T$43,MATCH('Negative Impact Var'!A5,'CDM Results - update'!$K$24:$T$24,0))</f>
        <v>5903679</v>
      </c>
      <c r="D5" s="105">
        <f t="shared" si="2"/>
        <v>2951839.5</v>
      </c>
      <c r="E5" s="151">
        <f t="shared" si="3"/>
        <v>20141623.460000001</v>
      </c>
      <c r="F5" s="105">
        <f t="shared" si="0"/>
        <v>5449549.8461538451</v>
      </c>
      <c r="G5" s="105">
        <f t="shared" si="4"/>
        <v>16185269.900000002</v>
      </c>
      <c r="H5" s="240">
        <f t="shared" si="1"/>
        <v>37844.096153846156</v>
      </c>
      <c r="S5" s="252" t="s">
        <v>97</v>
      </c>
      <c r="T5" s="252">
        <v>4</v>
      </c>
      <c r="V5">
        <v>3</v>
      </c>
      <c r="W5" s="32">
        <v>3</v>
      </c>
      <c r="X5" s="249">
        <v>855488475.67059779</v>
      </c>
      <c r="Y5">
        <f t="shared" si="5"/>
        <v>8.2374790568517792E-2</v>
      </c>
    </row>
    <row r="6" spans="1:25" ht="13" x14ac:dyDescent="0.3">
      <c r="A6">
        <v>2013</v>
      </c>
      <c r="B6" s="106">
        <f>INDEX('CDM Results - update'!$K$41:$T$41,MATCH('Negative Impact Var'!A6,'CDM Results - update'!$K$24:$T$24,0))</f>
        <v>22866695.640000001</v>
      </c>
      <c r="C6" s="106">
        <f>INDEX('CDM Results - update'!$K$43:$T$43,MATCH('Negative Impact Var'!A6,'CDM Results - update'!$K$24:$T$24,0))</f>
        <v>6994577.8200000003</v>
      </c>
      <c r="D6" s="105">
        <f t="shared" si="2"/>
        <v>3497288.91</v>
      </c>
      <c r="E6" s="151">
        <f t="shared" si="3"/>
        <v>26363984.550000001</v>
      </c>
      <c r="F6" s="105">
        <f t="shared" si="0"/>
        <v>6456533.3723076899</v>
      </c>
      <c r="G6" s="105">
        <f t="shared" si="4"/>
        <v>20914434.703846157</v>
      </c>
      <c r="H6" s="240">
        <f t="shared" si="1"/>
        <v>44837.037307692306</v>
      </c>
      <c r="S6" s="252" t="s">
        <v>84</v>
      </c>
      <c r="T6" s="252">
        <v>5</v>
      </c>
      <c r="V6">
        <v>4</v>
      </c>
      <c r="W6" s="32">
        <v>4</v>
      </c>
      <c r="X6" s="249">
        <v>773913641.81217813</v>
      </c>
      <c r="Y6">
        <f t="shared" si="5"/>
        <v>7.4519968386978136E-2</v>
      </c>
    </row>
    <row r="7" spans="1:25" ht="13" x14ac:dyDescent="0.3">
      <c r="A7">
        <v>2014</v>
      </c>
      <c r="B7" s="106">
        <f>INDEX('CDM Results - update'!$K$41:$T$41,MATCH('Negative Impact Var'!A7,'CDM Results - update'!$K$24:$T$24,0))</f>
        <v>29061813.480000004</v>
      </c>
      <c r="C7" s="106">
        <f>INDEX('CDM Results - update'!$K$43:$T$43,MATCH('Negative Impact Var'!A7,'CDM Results - update'!$K$24:$T$24,0))</f>
        <v>33821560.079999998</v>
      </c>
      <c r="D7" s="105">
        <f t="shared" si="2"/>
        <v>16910780.039999999</v>
      </c>
      <c r="E7" s="151">
        <f t="shared" si="3"/>
        <v>45972593.520000003</v>
      </c>
      <c r="F7" s="105">
        <f t="shared" si="0"/>
        <v>31219901.612307683</v>
      </c>
      <c r="G7" s="105">
        <f t="shared" si="4"/>
        <v>39516060.147692315</v>
      </c>
      <c r="H7" s="240">
        <f t="shared" si="1"/>
        <v>216804.87230769231</v>
      </c>
      <c r="S7" s="252" t="s">
        <v>98</v>
      </c>
      <c r="T7" s="252">
        <v>6</v>
      </c>
      <c r="V7">
        <v>5</v>
      </c>
      <c r="W7" s="32">
        <v>5</v>
      </c>
      <c r="X7" s="249">
        <v>811106319.47881794</v>
      </c>
      <c r="Y7">
        <f t="shared" si="5"/>
        <v>7.8101242852505276E-2</v>
      </c>
    </row>
    <row r="8" spans="1:25" ht="13" x14ac:dyDescent="0.3">
      <c r="A8">
        <v>2015</v>
      </c>
      <c r="B8" s="106">
        <f>INDEX('CDM Results - update'!$K$41:$T$41,MATCH('Negative Impact Var'!A8,'CDM Results - update'!$K$24:$T$24,0))</f>
        <v>60528148.310000002</v>
      </c>
      <c r="C8" s="106">
        <f>INDEX('CDM Results - update'!$K$43:$T$43,MATCH('Negative Impact Var'!A8,'CDM Results - update'!$K$24:$T$24,0))</f>
        <v>9522225</v>
      </c>
      <c r="D8" s="105">
        <f t="shared" si="2"/>
        <v>4761112.5</v>
      </c>
      <c r="E8" s="151">
        <f t="shared" si="3"/>
        <v>65289260.810000002</v>
      </c>
      <c r="F8" s="105">
        <f t="shared" si="0"/>
        <v>8789746.1538461559</v>
      </c>
      <c r="G8" s="105">
        <f t="shared" si="4"/>
        <v>34069359.19769232</v>
      </c>
      <c r="H8" s="240">
        <f t="shared" si="1"/>
        <v>61039.903846153844</v>
      </c>
      <c r="S8" s="252" t="s">
        <v>99</v>
      </c>
      <c r="T8" s="252">
        <v>7</v>
      </c>
      <c r="V8">
        <v>6</v>
      </c>
      <c r="W8" s="32">
        <v>6</v>
      </c>
      <c r="X8" s="249">
        <v>874097873.22598159</v>
      </c>
      <c r="Y8">
        <f t="shared" si="5"/>
        <v>8.4166685222656037E-2</v>
      </c>
    </row>
    <row r="9" spans="1:25" ht="13" x14ac:dyDescent="0.3">
      <c r="A9">
        <v>2016</v>
      </c>
      <c r="B9" s="106">
        <f>INDEX('CDM Results - update'!$K$41:$T$41,MATCH('Negative Impact Var'!A9,'CDM Results - update'!$K$24:$T$24,0))</f>
        <v>68885276.420000002</v>
      </c>
      <c r="C9" s="106">
        <f>INDEX('CDM Results - update'!$K$43:$T$43,MATCH('Negative Impact Var'!A9,'CDM Results - update'!$K$24:$T$24,0))</f>
        <v>12181475</v>
      </c>
      <c r="D9" s="105">
        <f t="shared" si="2"/>
        <v>6090737.5</v>
      </c>
      <c r="E9" s="151">
        <f t="shared" si="3"/>
        <v>74976013.920000002</v>
      </c>
      <c r="F9" s="105">
        <f t="shared" si="0"/>
        <v>11244438.461538464</v>
      </c>
      <c r="G9" s="105">
        <f t="shared" si="4"/>
        <v>66186267.766153842</v>
      </c>
      <c r="H9" s="240">
        <f t="shared" si="1"/>
        <v>78086.378205128203</v>
      </c>
      <c r="S9" s="252" t="s">
        <v>100</v>
      </c>
      <c r="T9" s="252">
        <v>8</v>
      </c>
      <c r="V9">
        <v>7</v>
      </c>
      <c r="W9" s="32">
        <v>7</v>
      </c>
      <c r="X9" s="249">
        <v>1009804295.5244504</v>
      </c>
      <c r="Y9">
        <f t="shared" si="5"/>
        <v>9.7233825731914691E-2</v>
      </c>
    </row>
    <row r="10" spans="1:25" ht="13" x14ac:dyDescent="0.3">
      <c r="A10">
        <v>2017</v>
      </c>
      <c r="B10" s="106">
        <f>INDEX('CDM Results - update'!$K$41:$T$41,MATCH('Negative Impact Var'!A10,'CDM Results - update'!$K$24:$T$24,0))</f>
        <v>77780026</v>
      </c>
      <c r="C10" s="106">
        <f>INDEX('CDM Results - update'!$K$43:$T$43,MATCH('Negative Impact Var'!A10,'CDM Results - update'!$K$24:$T$24,0))</f>
        <v>16387248</v>
      </c>
      <c r="D10" s="105">
        <f t="shared" si="2"/>
        <v>8193624</v>
      </c>
      <c r="E10" s="151">
        <f t="shared" si="3"/>
        <v>85973650</v>
      </c>
      <c r="F10" s="105">
        <f t="shared" si="0"/>
        <v>15126690.46153846</v>
      </c>
      <c r="G10" s="105">
        <f t="shared" si="4"/>
        <v>74729211.538461536</v>
      </c>
      <c r="H10" s="240">
        <f t="shared" si="1"/>
        <v>105046.46153846153</v>
      </c>
      <c r="S10" s="252" t="s">
        <v>101</v>
      </c>
      <c r="T10" s="252">
        <v>9</v>
      </c>
      <c r="V10">
        <v>8</v>
      </c>
      <c r="W10" s="32">
        <v>8</v>
      </c>
      <c r="X10" s="249">
        <v>963839887.72320926</v>
      </c>
      <c r="Y10">
        <f t="shared" si="5"/>
        <v>9.2807923368630155E-2</v>
      </c>
    </row>
    <row r="11" spans="1:25" ht="13" x14ac:dyDescent="0.3">
      <c r="A11">
        <v>2018</v>
      </c>
      <c r="B11" s="106">
        <f>INDEX('CDM Results - update'!$K$41:$T$41,MATCH('Negative Impact Var'!A11,'CDM Results - update'!$K$24:$T$24,0))</f>
        <v>90650939.349999994</v>
      </c>
      <c r="C11" s="106">
        <f>INDEX('CDM Results - update'!$K$43:$T$43,MATCH('Negative Impact Var'!A11,'CDM Results - update'!$K$24:$T$24,0))</f>
        <v>9697361</v>
      </c>
      <c r="D11" s="105">
        <f t="shared" si="2"/>
        <v>4848680.5</v>
      </c>
      <c r="E11" s="151">
        <f t="shared" si="3"/>
        <v>95499619.849999994</v>
      </c>
      <c r="F11" s="105">
        <f t="shared" si="0"/>
        <v>8951410.153846154</v>
      </c>
      <c r="G11" s="105">
        <f t="shared" ref="G11:G15" si="6">E11-F10</f>
        <v>80372929.38846153</v>
      </c>
      <c r="H11" s="240">
        <f t="shared" si="1"/>
        <v>62162.570512820515</v>
      </c>
      <c r="S11" s="252" t="s">
        <v>102</v>
      </c>
      <c r="T11" s="252">
        <v>10</v>
      </c>
      <c r="V11">
        <v>9</v>
      </c>
      <c r="W11" s="32">
        <v>9</v>
      </c>
      <c r="X11" s="249">
        <v>845927645.98445368</v>
      </c>
      <c r="Y11">
        <f t="shared" si="5"/>
        <v>8.1454180454582553E-2</v>
      </c>
    </row>
    <row r="12" spans="1:25" ht="13" x14ac:dyDescent="0.3">
      <c r="A12">
        <v>2019</v>
      </c>
      <c r="B12" s="106">
        <f>INDEX('CDM Results - update'!$K$41:$T$41,MATCH('Negative Impact Var'!A12,'CDM Results - update'!$K$24:$T$24,0))</f>
        <v>96080272.789999992</v>
      </c>
      <c r="C12" s="106">
        <f>INDEX('CDM Results - update'!$K$43:$T$43,MATCH('Negative Impact Var'!A12,'CDM Results - update'!$K$24:$T$24,0))</f>
        <v>5149306</v>
      </c>
      <c r="D12" s="105">
        <f t="shared" si="2"/>
        <v>2574653</v>
      </c>
      <c r="E12" s="151">
        <f t="shared" si="3"/>
        <v>98654925.789999992</v>
      </c>
      <c r="F12" s="105">
        <f t="shared" si="0"/>
        <v>4753205.5384615399</v>
      </c>
      <c r="G12" s="105">
        <f t="shared" si="6"/>
        <v>89703515.636153832</v>
      </c>
      <c r="H12" s="240">
        <f t="shared" si="1"/>
        <v>33008.371794871797</v>
      </c>
      <c r="S12" s="252" t="s">
        <v>103</v>
      </c>
      <c r="T12" s="252">
        <v>11</v>
      </c>
      <c r="V12">
        <v>10</v>
      </c>
      <c r="W12" s="32">
        <v>10</v>
      </c>
      <c r="X12" s="249">
        <v>812561363.37310731</v>
      </c>
      <c r="Y12">
        <f t="shared" si="5"/>
        <v>7.8241348697842508E-2</v>
      </c>
    </row>
    <row r="13" spans="1:25" ht="13" x14ac:dyDescent="0.3">
      <c r="B13" s="106"/>
      <c r="C13" s="106"/>
      <c r="E13" s="151"/>
      <c r="F13" s="105"/>
      <c r="G13" s="105"/>
      <c r="H13" s="240"/>
      <c r="S13" s="252" t="s">
        <v>104</v>
      </c>
      <c r="T13" s="252">
        <v>12</v>
      </c>
      <c r="V13">
        <v>11</v>
      </c>
      <c r="W13" s="32">
        <v>11</v>
      </c>
      <c r="X13" s="249">
        <v>830036025.65364528</v>
      </c>
      <c r="Y13">
        <f t="shared" si="5"/>
        <v>7.9923979950690796E-2</v>
      </c>
    </row>
    <row r="14" spans="1:25" ht="13" x14ac:dyDescent="0.3">
      <c r="B14" s="106"/>
      <c r="C14" s="106"/>
      <c r="E14" s="151"/>
      <c r="F14" s="105"/>
      <c r="G14" s="105"/>
      <c r="H14" s="240"/>
      <c r="S14" s="252" t="s">
        <v>9</v>
      </c>
      <c r="T14" s="252">
        <f>SUM(T2:T13)</f>
        <v>78</v>
      </c>
      <c r="V14">
        <v>12</v>
      </c>
      <c r="W14" s="32">
        <v>12</v>
      </c>
      <c r="X14" s="249">
        <v>860844780.17282081</v>
      </c>
      <c r="Y14">
        <f t="shared" si="5"/>
        <v>8.2890547909662521E-2</v>
      </c>
    </row>
    <row r="15" spans="1:25" ht="13" x14ac:dyDescent="0.3">
      <c r="B15" s="106"/>
      <c r="C15" s="106"/>
      <c r="E15" s="151"/>
      <c r="F15" s="105"/>
      <c r="G15" s="105"/>
      <c r="H15" s="240"/>
      <c r="S15" s="175"/>
      <c r="T15" s="175"/>
      <c r="W15" s="32" t="s">
        <v>174</v>
      </c>
      <c r="X15" s="249">
        <v>10385318976.429066</v>
      </c>
    </row>
    <row r="16" spans="1:25" ht="13.5" thickBot="1" x14ac:dyDescent="0.35">
      <c r="B16" s="106"/>
      <c r="C16" s="106"/>
      <c r="E16" s="255"/>
      <c r="F16" s="105"/>
      <c r="G16" s="105"/>
      <c r="H16" s="240"/>
      <c r="S16" s="175"/>
      <c r="T16" s="175"/>
      <c r="W16" s="32"/>
      <c r="X16" s="249"/>
    </row>
    <row r="17" spans="1:24" ht="13" x14ac:dyDescent="0.3">
      <c r="B17" s="106"/>
      <c r="C17" s="106"/>
      <c r="D17" s="247"/>
      <c r="E17" s="244" t="s">
        <v>179</v>
      </c>
      <c r="F17" s="241">
        <v>2</v>
      </c>
      <c r="G17" s="105"/>
      <c r="H17" s="240"/>
      <c r="S17" s="175"/>
      <c r="T17" s="175"/>
      <c r="W17" s="32"/>
      <c r="X17" s="249"/>
    </row>
    <row r="18" spans="1:24" x14ac:dyDescent="0.25">
      <c r="D18" s="246">
        <v>1</v>
      </c>
      <c r="E18" s="254" t="s">
        <v>177</v>
      </c>
      <c r="F18" s="243"/>
      <c r="G18" s="105"/>
      <c r="H18" s="105"/>
      <c r="S18" s="175"/>
      <c r="T18" s="175"/>
    </row>
    <row r="19" spans="1:24" ht="13" thickBot="1" x14ac:dyDescent="0.3">
      <c r="D19" s="245">
        <v>2</v>
      </c>
      <c r="E19" s="242" t="s">
        <v>178</v>
      </c>
      <c r="F19" s="213"/>
    </row>
    <row r="20" spans="1:24" ht="25" x14ac:dyDescent="0.25">
      <c r="B20" s="253" t="s">
        <v>172</v>
      </c>
      <c r="D20" s="98" t="s">
        <v>105</v>
      </c>
      <c r="E20" t="s">
        <v>176</v>
      </c>
    </row>
    <row r="21" spans="1:24" s="48" customFormat="1" x14ac:dyDescent="0.25">
      <c r="A21" s="47">
        <v>40179</v>
      </c>
      <c r="B21" s="149">
        <f>INDEX($H$3:$H$15,MATCH(YEAR(A21),$A$3:$A$15,0))</f>
        <v>26736.02309788303</v>
      </c>
      <c r="C21" s="107">
        <f>INDEX($H$3:$H$15,MATCH(YEAR(A21),$A$3:$A$15,0))</f>
        <v>26736.02309788303</v>
      </c>
      <c r="D21" s="107">
        <f>INDEX($B$3:$B$15,MATCH(YEAR(A21),$A$3:$A$15,0))*IF($F$17=1,INDEX($Y$3:$Y$14,MATCH(MONTH(A21),$V$3:$V$14,0)),1/12)</f>
        <v>846057.29440260259</v>
      </c>
      <c r="E21" s="107">
        <f>B21+D21</f>
        <v>872793.31750048557</v>
      </c>
      <c r="F21" s="251"/>
    </row>
    <row r="22" spans="1:24" s="51" customFormat="1" x14ac:dyDescent="0.25">
      <c r="A22" s="49">
        <v>40210</v>
      </c>
      <c r="B22" s="150">
        <f>B21+INDEX($H$3:$H$15,MATCH(YEAR(A21),$A$3:$A$15,0))</f>
        <v>53472.046195766059</v>
      </c>
      <c r="C22" s="108"/>
      <c r="D22" s="108">
        <f t="shared" ref="D22:D32" si="7">INDEX($B$3:$B$15,MATCH(YEAR(A22),$A$3:$A$15,0))*IF($F$17=1,INDEX($Y$3:$Y$14,MATCH(MONTH(A22),$V$3:$V$14,0)),1/12)</f>
        <v>846057.29440260259</v>
      </c>
      <c r="E22" s="108">
        <f t="shared" ref="E22:E32" si="8">B22+D22</f>
        <v>899529.34059836867</v>
      </c>
      <c r="F22" s="110"/>
    </row>
    <row r="23" spans="1:24" s="51" customFormat="1" x14ac:dyDescent="0.25">
      <c r="A23" s="49">
        <v>40238</v>
      </c>
      <c r="B23" s="150">
        <f t="shared" ref="B23:B32" si="9">B22+INDEX($H$3:$H$15,MATCH(YEAR(A22),$A$3:$A$15,0))</f>
        <v>80208.069293649081</v>
      </c>
      <c r="C23" s="108"/>
      <c r="D23" s="108">
        <f t="shared" si="7"/>
        <v>846057.29440260259</v>
      </c>
      <c r="E23" s="108">
        <f t="shared" si="8"/>
        <v>926265.36369625165</v>
      </c>
      <c r="F23" s="110"/>
    </row>
    <row r="24" spans="1:24" s="51" customFormat="1" x14ac:dyDescent="0.25">
      <c r="A24" s="49">
        <v>40269</v>
      </c>
      <c r="B24" s="150">
        <f t="shared" si="9"/>
        <v>106944.09239153212</v>
      </c>
      <c r="C24" s="108"/>
      <c r="D24" s="108">
        <f t="shared" si="7"/>
        <v>846057.29440260259</v>
      </c>
      <c r="E24" s="108">
        <f t="shared" si="8"/>
        <v>953001.38679413474</v>
      </c>
      <c r="F24" s="110"/>
    </row>
    <row r="25" spans="1:24" s="51" customFormat="1" x14ac:dyDescent="0.25">
      <c r="A25" s="49">
        <v>40299</v>
      </c>
      <c r="B25" s="150">
        <f t="shared" si="9"/>
        <v>133680.11548941516</v>
      </c>
      <c r="C25" s="108"/>
      <c r="D25" s="108">
        <f t="shared" si="7"/>
        <v>846057.29440260259</v>
      </c>
      <c r="E25" s="108">
        <f t="shared" si="8"/>
        <v>979737.40989201772</v>
      </c>
      <c r="F25" s="110"/>
    </row>
    <row r="26" spans="1:24" s="51" customFormat="1" x14ac:dyDescent="0.25">
      <c r="A26" s="49">
        <v>40330</v>
      </c>
      <c r="B26" s="150">
        <f t="shared" si="9"/>
        <v>160416.13858729819</v>
      </c>
      <c r="C26" s="108"/>
      <c r="D26" s="108">
        <f t="shared" si="7"/>
        <v>846057.29440260259</v>
      </c>
      <c r="E26" s="108">
        <f t="shared" si="8"/>
        <v>1006473.4329899008</v>
      </c>
      <c r="F26" s="110"/>
    </row>
    <row r="27" spans="1:24" s="51" customFormat="1" x14ac:dyDescent="0.25">
      <c r="A27" s="49">
        <v>40360</v>
      </c>
      <c r="B27" s="150">
        <f t="shared" si="9"/>
        <v>187152.16168518123</v>
      </c>
      <c r="C27" s="108"/>
      <c r="D27" s="108">
        <f t="shared" si="7"/>
        <v>846057.29440260259</v>
      </c>
      <c r="E27" s="108">
        <f t="shared" si="8"/>
        <v>1033209.4560877838</v>
      </c>
      <c r="F27" s="110"/>
    </row>
    <row r="28" spans="1:24" s="51" customFormat="1" x14ac:dyDescent="0.25">
      <c r="A28" s="49">
        <v>40391</v>
      </c>
      <c r="B28" s="150">
        <f t="shared" si="9"/>
        <v>213888.18478306427</v>
      </c>
      <c r="C28" s="108"/>
      <c r="D28" s="108">
        <f t="shared" si="7"/>
        <v>846057.29440260259</v>
      </c>
      <c r="E28" s="108">
        <f t="shared" si="8"/>
        <v>1059945.4791856669</v>
      </c>
      <c r="F28" s="110"/>
    </row>
    <row r="29" spans="1:24" s="51" customFormat="1" x14ac:dyDescent="0.25">
      <c r="A29" s="49">
        <v>40422</v>
      </c>
      <c r="B29" s="150">
        <f t="shared" si="9"/>
        <v>240624.2078809473</v>
      </c>
      <c r="C29" s="108"/>
      <c r="D29" s="108">
        <f t="shared" si="7"/>
        <v>846057.29440260259</v>
      </c>
      <c r="E29" s="108">
        <f t="shared" si="8"/>
        <v>1086681.5022835499</v>
      </c>
      <c r="F29" s="110"/>
    </row>
    <row r="30" spans="1:24" s="51" customFormat="1" x14ac:dyDescent="0.25">
      <c r="A30" s="49">
        <v>40452</v>
      </c>
      <c r="B30" s="150">
        <f t="shared" si="9"/>
        <v>267360.23097883031</v>
      </c>
      <c r="C30" s="108"/>
      <c r="D30" s="108">
        <f t="shared" si="7"/>
        <v>846057.29440260259</v>
      </c>
      <c r="E30" s="108">
        <f t="shared" si="8"/>
        <v>1113417.5253814328</v>
      </c>
      <c r="F30" s="110"/>
    </row>
    <row r="31" spans="1:24" s="51" customFormat="1" x14ac:dyDescent="0.25">
      <c r="A31" s="49">
        <v>40483</v>
      </c>
      <c r="B31" s="150">
        <f t="shared" si="9"/>
        <v>294096.25407671335</v>
      </c>
      <c r="C31" s="108" t="s">
        <v>93</v>
      </c>
      <c r="D31" s="108">
        <f t="shared" si="7"/>
        <v>846057.29440260259</v>
      </c>
      <c r="E31" s="108">
        <f t="shared" si="8"/>
        <v>1140153.5484793158</v>
      </c>
      <c r="F31" s="110"/>
    </row>
    <row r="32" spans="1:24" s="53" customFormat="1" x14ac:dyDescent="0.25">
      <c r="A32" s="52">
        <v>40513</v>
      </c>
      <c r="B32" s="150">
        <f t="shared" si="9"/>
        <v>320832.27717459638</v>
      </c>
      <c r="C32" s="109">
        <f>SUM(B21:B32)</f>
        <v>2085409.8016348763</v>
      </c>
      <c r="D32" s="109">
        <f t="shared" si="7"/>
        <v>846057.29440260259</v>
      </c>
      <c r="E32" s="109">
        <f t="shared" si="8"/>
        <v>1166889.571577199</v>
      </c>
      <c r="F32" s="110"/>
    </row>
    <row r="33" spans="1:5" s="48" customFormat="1" x14ac:dyDescent="0.25">
      <c r="A33" s="47">
        <v>40544</v>
      </c>
      <c r="B33" s="149">
        <f>INDEX($H$3:$H$15,MATCH(YEAR(A33),$A$3:$A$15,0))</f>
        <v>27474.677500000002</v>
      </c>
      <c r="C33" s="107">
        <f>INDEX($H$3:$H$15,MATCH(YEAR(A33),$A$3:$A$15,0))</f>
        <v>27474.677500000002</v>
      </c>
      <c r="D33" s="107">
        <f>INDEX($B$3:$B$15,MATCH(YEAR(A33),$A$3:$A$15,0))*IF($F$17=1,INDEX($Y$3:$Y$14,MATCH(MONTH(A33),$V$3:$V$14,0)),1/12)</f>
        <v>1095599.6841666666</v>
      </c>
      <c r="E33" s="107">
        <f>B33+D33</f>
        <v>1123074.3616666666</v>
      </c>
    </row>
    <row r="34" spans="1:5" s="51" customFormat="1" x14ac:dyDescent="0.25">
      <c r="A34" s="49">
        <v>40575</v>
      </c>
      <c r="B34" s="150">
        <f>B33+INDEX($H$3:$H$15,MATCH(YEAR(A33),$A$3:$A$15,0))</f>
        <v>54949.355000000003</v>
      </c>
      <c r="C34" s="108"/>
      <c r="D34" s="108">
        <f t="shared" ref="D34:D44" si="10">INDEX($B$3:$B$15,MATCH(YEAR(A34),$A$3:$A$15,0))*IF($F$17=1,INDEX($Y$3:$Y$14,MATCH(MONTH(A34),$V$3:$V$14,0)),1/12)</f>
        <v>1095599.6841666666</v>
      </c>
      <c r="E34" s="108">
        <f t="shared" ref="E34:E44" si="11">B34+D34</f>
        <v>1150549.0391666666</v>
      </c>
    </row>
    <row r="35" spans="1:5" s="51" customFormat="1" x14ac:dyDescent="0.25">
      <c r="A35" s="49">
        <v>40603</v>
      </c>
      <c r="B35" s="150">
        <f t="shared" ref="B35:B44" si="12">B34+INDEX($H$3:$H$15,MATCH(YEAR(A34),$A$3:$A$15,0))</f>
        <v>82424.032500000001</v>
      </c>
      <c r="C35" s="108"/>
      <c r="D35" s="108">
        <f t="shared" si="10"/>
        <v>1095599.6841666666</v>
      </c>
      <c r="E35" s="108">
        <f t="shared" si="11"/>
        <v>1178023.7166666666</v>
      </c>
    </row>
    <row r="36" spans="1:5" s="51" customFormat="1" x14ac:dyDescent="0.25">
      <c r="A36" s="49">
        <v>40634</v>
      </c>
      <c r="B36" s="150">
        <f t="shared" si="12"/>
        <v>109898.71</v>
      </c>
      <c r="C36" s="108"/>
      <c r="D36" s="108">
        <f t="shared" si="10"/>
        <v>1095599.6841666666</v>
      </c>
      <c r="E36" s="108">
        <f t="shared" si="11"/>
        <v>1205498.3941666665</v>
      </c>
    </row>
    <row r="37" spans="1:5" s="51" customFormat="1" x14ac:dyDescent="0.25">
      <c r="A37" s="49">
        <v>40664</v>
      </c>
      <c r="B37" s="150">
        <f t="shared" si="12"/>
        <v>137373.38750000001</v>
      </c>
      <c r="C37" s="108"/>
      <c r="D37" s="108">
        <f t="shared" si="10"/>
        <v>1095599.6841666666</v>
      </c>
      <c r="E37" s="108">
        <f t="shared" si="11"/>
        <v>1232973.0716666665</v>
      </c>
    </row>
    <row r="38" spans="1:5" s="51" customFormat="1" x14ac:dyDescent="0.25">
      <c r="A38" s="49">
        <v>40695</v>
      </c>
      <c r="B38" s="150">
        <f t="shared" si="12"/>
        <v>164848.065</v>
      </c>
      <c r="C38" s="108"/>
      <c r="D38" s="108">
        <f t="shared" si="10"/>
        <v>1095599.6841666666</v>
      </c>
      <c r="E38" s="108">
        <f t="shared" si="11"/>
        <v>1260447.7491666665</v>
      </c>
    </row>
    <row r="39" spans="1:5" s="51" customFormat="1" x14ac:dyDescent="0.25">
      <c r="A39" s="49">
        <v>40725</v>
      </c>
      <c r="B39" s="150">
        <f t="shared" si="12"/>
        <v>192322.74249999999</v>
      </c>
      <c r="C39" s="108"/>
      <c r="D39" s="108">
        <f t="shared" si="10"/>
        <v>1095599.6841666666</v>
      </c>
      <c r="E39" s="108">
        <f t="shared" si="11"/>
        <v>1287922.4266666665</v>
      </c>
    </row>
    <row r="40" spans="1:5" s="51" customFormat="1" x14ac:dyDescent="0.25">
      <c r="A40" s="49">
        <v>40756</v>
      </c>
      <c r="B40" s="150">
        <f t="shared" si="12"/>
        <v>219797.41999999998</v>
      </c>
      <c r="C40" s="108"/>
      <c r="D40" s="108">
        <f t="shared" si="10"/>
        <v>1095599.6841666666</v>
      </c>
      <c r="E40" s="108">
        <f t="shared" si="11"/>
        <v>1315397.1041666665</v>
      </c>
    </row>
    <row r="41" spans="1:5" s="51" customFormat="1" x14ac:dyDescent="0.25">
      <c r="A41" s="49">
        <v>40787</v>
      </c>
      <c r="B41" s="150">
        <f t="shared" si="12"/>
        <v>247272.09749999997</v>
      </c>
      <c r="C41" s="108"/>
      <c r="D41" s="108">
        <f t="shared" si="10"/>
        <v>1095599.6841666666</v>
      </c>
      <c r="E41" s="108">
        <f t="shared" si="11"/>
        <v>1342871.7816666665</v>
      </c>
    </row>
    <row r="42" spans="1:5" s="51" customFormat="1" x14ac:dyDescent="0.25">
      <c r="A42" s="49">
        <v>40817</v>
      </c>
      <c r="B42" s="150">
        <f t="shared" si="12"/>
        <v>274746.77499999997</v>
      </c>
      <c r="C42" s="108"/>
      <c r="D42" s="108">
        <f t="shared" si="10"/>
        <v>1095599.6841666666</v>
      </c>
      <c r="E42" s="108">
        <f t="shared" si="11"/>
        <v>1370346.4591666665</v>
      </c>
    </row>
    <row r="43" spans="1:5" s="51" customFormat="1" x14ac:dyDescent="0.25">
      <c r="A43" s="49">
        <v>40848</v>
      </c>
      <c r="B43" s="150">
        <f t="shared" si="12"/>
        <v>302221.45249999996</v>
      </c>
      <c r="C43" s="108" t="s">
        <v>93</v>
      </c>
      <c r="D43" s="108">
        <f t="shared" si="10"/>
        <v>1095599.6841666666</v>
      </c>
      <c r="E43" s="108">
        <f t="shared" si="11"/>
        <v>1397821.1366666665</v>
      </c>
    </row>
    <row r="44" spans="1:5" s="53" customFormat="1" x14ac:dyDescent="0.25">
      <c r="A44" s="52">
        <v>40878</v>
      </c>
      <c r="B44" s="150">
        <f t="shared" si="12"/>
        <v>329696.12999999995</v>
      </c>
      <c r="C44" s="109">
        <f>SUM(B33:B44)</f>
        <v>2143024.8449999997</v>
      </c>
      <c r="D44" s="109">
        <f t="shared" si="10"/>
        <v>1095599.6841666666</v>
      </c>
      <c r="E44" s="109">
        <f t="shared" si="11"/>
        <v>1425295.8141666665</v>
      </c>
    </row>
    <row r="45" spans="1:5" s="48" customFormat="1" x14ac:dyDescent="0.25">
      <c r="A45" s="47">
        <v>40909</v>
      </c>
      <c r="B45" s="149">
        <f>INDEX($H$3:$H$15,MATCH(YEAR(A45),$A$3:$A$15,0))</f>
        <v>37844.096153846156</v>
      </c>
      <c r="C45" s="107">
        <f>INDEX($H$3:$H$15,MATCH(YEAR(A45),$A$3:$A$15,0))</f>
        <v>37844.096153846156</v>
      </c>
      <c r="D45" s="107">
        <f>INDEX($B$3:$B$15,MATCH(YEAR(A45),$A$3:$A$15,0))*IF($F$17=1,INDEX($Y$3:$Y$14,MATCH(MONTH(A45),$V$3:$V$14,0)),1/12)</f>
        <v>1432481.9966666666</v>
      </c>
      <c r="E45" s="107">
        <f>B45+D45</f>
        <v>1470326.0928205128</v>
      </c>
    </row>
    <row r="46" spans="1:5" s="51" customFormat="1" x14ac:dyDescent="0.25">
      <c r="A46" s="49">
        <v>40940</v>
      </c>
      <c r="B46" s="150">
        <f>B45+INDEX($H$3:$H$15,MATCH(YEAR(A45),$A$3:$A$15,0))</f>
        <v>75688.192307692312</v>
      </c>
      <c r="C46" s="108"/>
      <c r="D46" s="108">
        <f t="shared" ref="D46:D56" si="13">INDEX($B$3:$B$15,MATCH(YEAR(A46),$A$3:$A$15,0))*IF($F$17=1,INDEX($Y$3:$Y$14,MATCH(MONTH(A46),$V$3:$V$14,0)),1/12)</f>
        <v>1432481.9966666666</v>
      </c>
      <c r="E46" s="108">
        <f t="shared" ref="E46:E56" si="14">B46+D46</f>
        <v>1508170.1889743588</v>
      </c>
    </row>
    <row r="47" spans="1:5" s="51" customFormat="1" x14ac:dyDescent="0.25">
      <c r="A47" s="49">
        <v>40969</v>
      </c>
      <c r="B47" s="150">
        <f t="shared" ref="B47:B56" si="15">B46+INDEX($H$3:$H$15,MATCH(YEAR(A46),$A$3:$A$15,0))</f>
        <v>113532.28846153847</v>
      </c>
      <c r="C47" s="108"/>
      <c r="D47" s="108">
        <f t="shared" si="13"/>
        <v>1432481.9966666666</v>
      </c>
      <c r="E47" s="108">
        <f t="shared" si="14"/>
        <v>1546014.2851282051</v>
      </c>
    </row>
    <row r="48" spans="1:5" s="51" customFormat="1" x14ac:dyDescent="0.25">
      <c r="A48" s="49">
        <v>41000</v>
      </c>
      <c r="B48" s="150">
        <f t="shared" si="15"/>
        <v>151376.38461538462</v>
      </c>
      <c r="C48" s="108"/>
      <c r="D48" s="108">
        <f t="shared" si="13"/>
        <v>1432481.9966666666</v>
      </c>
      <c r="E48" s="108">
        <f t="shared" si="14"/>
        <v>1583858.3812820511</v>
      </c>
    </row>
    <row r="49" spans="1:5" s="51" customFormat="1" x14ac:dyDescent="0.25">
      <c r="A49" s="49">
        <v>41030</v>
      </c>
      <c r="B49" s="150">
        <f t="shared" si="15"/>
        <v>189220.48076923078</v>
      </c>
      <c r="C49" s="108"/>
      <c r="D49" s="108">
        <f t="shared" si="13"/>
        <v>1432481.9966666666</v>
      </c>
      <c r="E49" s="108">
        <f t="shared" si="14"/>
        <v>1621702.4774358973</v>
      </c>
    </row>
    <row r="50" spans="1:5" s="51" customFormat="1" x14ac:dyDescent="0.25">
      <c r="A50" s="49">
        <v>41061</v>
      </c>
      <c r="B50" s="150">
        <f t="shared" si="15"/>
        <v>227064.57692307694</v>
      </c>
      <c r="C50" s="108"/>
      <c r="D50" s="108">
        <f t="shared" si="13"/>
        <v>1432481.9966666666</v>
      </c>
      <c r="E50" s="108">
        <f t="shared" si="14"/>
        <v>1659546.5735897436</v>
      </c>
    </row>
    <row r="51" spans="1:5" s="51" customFormat="1" x14ac:dyDescent="0.25">
      <c r="A51" s="49">
        <v>41091</v>
      </c>
      <c r="B51" s="150">
        <f t="shared" si="15"/>
        <v>264908.67307692312</v>
      </c>
      <c r="C51" s="108"/>
      <c r="D51" s="108">
        <f t="shared" si="13"/>
        <v>1432481.9966666666</v>
      </c>
      <c r="E51" s="108">
        <f t="shared" si="14"/>
        <v>1697390.6697435896</v>
      </c>
    </row>
    <row r="52" spans="1:5" s="51" customFormat="1" x14ac:dyDescent="0.25">
      <c r="A52" s="49">
        <v>41122</v>
      </c>
      <c r="B52" s="150">
        <f t="shared" si="15"/>
        <v>302752.76923076925</v>
      </c>
      <c r="C52" s="108"/>
      <c r="D52" s="108">
        <f t="shared" si="13"/>
        <v>1432481.9966666666</v>
      </c>
      <c r="E52" s="108">
        <f t="shared" si="14"/>
        <v>1735234.7658974358</v>
      </c>
    </row>
    <row r="53" spans="1:5" s="51" customFormat="1" x14ac:dyDescent="0.25">
      <c r="A53" s="49">
        <v>41153</v>
      </c>
      <c r="B53" s="150">
        <f t="shared" si="15"/>
        <v>340596.86538461538</v>
      </c>
      <c r="C53" s="108"/>
      <c r="D53" s="108">
        <f t="shared" si="13"/>
        <v>1432481.9966666666</v>
      </c>
      <c r="E53" s="108">
        <f t="shared" si="14"/>
        <v>1773078.8620512821</v>
      </c>
    </row>
    <row r="54" spans="1:5" s="51" customFormat="1" x14ac:dyDescent="0.25">
      <c r="A54" s="49">
        <v>41183</v>
      </c>
      <c r="B54" s="150">
        <f t="shared" si="15"/>
        <v>378440.9615384615</v>
      </c>
      <c r="C54" s="108"/>
      <c r="D54" s="108">
        <f t="shared" si="13"/>
        <v>1432481.9966666666</v>
      </c>
      <c r="E54" s="108">
        <f t="shared" si="14"/>
        <v>1810922.9582051281</v>
      </c>
    </row>
    <row r="55" spans="1:5" s="51" customFormat="1" x14ac:dyDescent="0.25">
      <c r="A55" s="49">
        <v>41214</v>
      </c>
      <c r="B55" s="150">
        <f t="shared" si="15"/>
        <v>416285.05769230763</v>
      </c>
      <c r="C55" s="108" t="s">
        <v>93</v>
      </c>
      <c r="D55" s="108">
        <f t="shared" si="13"/>
        <v>1432481.9966666666</v>
      </c>
      <c r="E55" s="108">
        <f t="shared" si="14"/>
        <v>1848767.0543589741</v>
      </c>
    </row>
    <row r="56" spans="1:5" s="53" customFormat="1" x14ac:dyDescent="0.25">
      <c r="A56" s="52">
        <v>41244</v>
      </c>
      <c r="B56" s="150">
        <f t="shared" si="15"/>
        <v>454129.15384615376</v>
      </c>
      <c r="C56" s="109">
        <f>SUM(B45:B56)</f>
        <v>2951839.5</v>
      </c>
      <c r="D56" s="109">
        <f t="shared" si="13"/>
        <v>1432481.9966666666</v>
      </c>
      <c r="E56" s="109">
        <f t="shared" si="14"/>
        <v>1886611.1505128203</v>
      </c>
    </row>
    <row r="57" spans="1:5" s="48" customFormat="1" x14ac:dyDescent="0.25">
      <c r="A57" s="47">
        <v>41275</v>
      </c>
      <c r="B57" s="149">
        <f>INDEX($H$3:$H$15,MATCH(YEAR(A57),$A$3:$A$15,0))</f>
        <v>44837.037307692306</v>
      </c>
      <c r="C57" s="107">
        <f>INDEX($H$3:$H$15,MATCH(YEAR(A57),$A$3:$A$15,0))</f>
        <v>44837.037307692306</v>
      </c>
      <c r="D57" s="107">
        <f>INDEX($B$3:$B$15,MATCH(YEAR(A57),$A$3:$A$15,0))*IF($F$17=1,INDEX($Y$3:$Y$14,MATCH(MONTH(A57),$V$3:$V$14,0)),1/12)</f>
        <v>1905557.97</v>
      </c>
      <c r="E57" s="107">
        <f>B57+D57</f>
        <v>1950395.0073076922</v>
      </c>
    </row>
    <row r="58" spans="1:5" s="51" customFormat="1" x14ac:dyDescent="0.25">
      <c r="A58" s="49">
        <v>41306</v>
      </c>
      <c r="B58" s="150">
        <f>B57+INDEX($H$3:$H$15,MATCH(YEAR(A57),$A$3:$A$15,0))</f>
        <v>89674.074615384612</v>
      </c>
      <c r="C58" s="108"/>
      <c r="D58" s="108">
        <f t="shared" ref="D58:D68" si="16">INDEX($B$3:$B$15,MATCH(YEAR(A58),$A$3:$A$15,0))*IF($F$17=1,INDEX($Y$3:$Y$14,MATCH(MONTH(A58),$V$3:$V$14,0)),1/12)</f>
        <v>1905557.97</v>
      </c>
      <c r="E58" s="108">
        <f t="shared" ref="E58:E68" si="17">B58+D58</f>
        <v>1995232.0446153847</v>
      </c>
    </row>
    <row r="59" spans="1:5" s="51" customFormat="1" x14ac:dyDescent="0.25">
      <c r="A59" s="49">
        <v>41334</v>
      </c>
      <c r="B59" s="150">
        <f t="shared" ref="B59:B68" si="18">B58+INDEX($H$3:$H$15,MATCH(YEAR(A58),$A$3:$A$15,0))</f>
        <v>134511.11192307691</v>
      </c>
      <c r="C59" s="108"/>
      <c r="D59" s="108">
        <f t="shared" si="16"/>
        <v>1905557.97</v>
      </c>
      <c r="E59" s="108">
        <f t="shared" si="17"/>
        <v>2040069.0819230769</v>
      </c>
    </row>
    <row r="60" spans="1:5" s="51" customFormat="1" x14ac:dyDescent="0.25">
      <c r="A60" s="49">
        <v>41365</v>
      </c>
      <c r="B60" s="150">
        <f t="shared" si="18"/>
        <v>179348.14923076922</v>
      </c>
      <c r="C60" s="108"/>
      <c r="D60" s="108">
        <f t="shared" si="16"/>
        <v>1905557.97</v>
      </c>
      <c r="E60" s="108">
        <f t="shared" si="17"/>
        <v>2084906.1192307691</v>
      </c>
    </row>
    <row r="61" spans="1:5" s="51" customFormat="1" x14ac:dyDescent="0.25">
      <c r="A61" s="49">
        <v>41395</v>
      </c>
      <c r="B61" s="150">
        <f t="shared" si="18"/>
        <v>224185.18653846154</v>
      </c>
      <c r="C61" s="108"/>
      <c r="D61" s="108">
        <f t="shared" si="16"/>
        <v>1905557.97</v>
      </c>
      <c r="E61" s="108">
        <f t="shared" si="17"/>
        <v>2129743.1565384613</v>
      </c>
    </row>
    <row r="62" spans="1:5" s="51" customFormat="1" x14ac:dyDescent="0.25">
      <c r="A62" s="49">
        <v>41426</v>
      </c>
      <c r="B62" s="150">
        <f t="shared" si="18"/>
        <v>269022.22384615382</v>
      </c>
      <c r="C62" s="108"/>
      <c r="D62" s="108">
        <f t="shared" si="16"/>
        <v>1905557.97</v>
      </c>
      <c r="E62" s="108">
        <f t="shared" si="17"/>
        <v>2174580.193846154</v>
      </c>
    </row>
    <row r="63" spans="1:5" s="51" customFormat="1" x14ac:dyDescent="0.25">
      <c r="A63" s="49">
        <v>41456</v>
      </c>
      <c r="B63" s="150">
        <f t="shared" si="18"/>
        <v>313859.26115384611</v>
      </c>
      <c r="C63" s="108"/>
      <c r="D63" s="108">
        <f t="shared" si="16"/>
        <v>1905557.97</v>
      </c>
      <c r="E63" s="108">
        <f t="shared" si="17"/>
        <v>2219417.2311538463</v>
      </c>
    </row>
    <row r="64" spans="1:5" s="51" customFormat="1" x14ac:dyDescent="0.25">
      <c r="A64" s="49">
        <v>41487</v>
      </c>
      <c r="B64" s="150">
        <f t="shared" si="18"/>
        <v>358696.29846153839</v>
      </c>
      <c r="C64" s="108"/>
      <c r="D64" s="108">
        <f t="shared" si="16"/>
        <v>1905557.97</v>
      </c>
      <c r="E64" s="108">
        <f t="shared" si="17"/>
        <v>2264254.2684615385</v>
      </c>
    </row>
    <row r="65" spans="1:5" s="51" customFormat="1" x14ac:dyDescent="0.25">
      <c r="A65" s="49">
        <v>41518</v>
      </c>
      <c r="B65" s="150">
        <f t="shared" si="18"/>
        <v>403533.33576923067</v>
      </c>
      <c r="C65" s="108"/>
      <c r="D65" s="108">
        <f t="shared" si="16"/>
        <v>1905557.97</v>
      </c>
      <c r="E65" s="108">
        <f t="shared" si="17"/>
        <v>2309091.3057692307</v>
      </c>
    </row>
    <row r="66" spans="1:5" s="51" customFormat="1" x14ac:dyDescent="0.25">
      <c r="A66" s="49">
        <v>41548</v>
      </c>
      <c r="B66" s="150">
        <f t="shared" si="18"/>
        <v>448370.37307692296</v>
      </c>
      <c r="C66" s="108"/>
      <c r="D66" s="108">
        <f t="shared" si="16"/>
        <v>1905557.97</v>
      </c>
      <c r="E66" s="108">
        <f t="shared" si="17"/>
        <v>2353928.3430769229</v>
      </c>
    </row>
    <row r="67" spans="1:5" s="51" customFormat="1" x14ac:dyDescent="0.25">
      <c r="A67" s="49">
        <v>41579</v>
      </c>
      <c r="B67" s="150">
        <f t="shared" si="18"/>
        <v>493207.41038461524</v>
      </c>
      <c r="C67" s="108" t="s">
        <v>93</v>
      </c>
      <c r="D67" s="108">
        <f t="shared" si="16"/>
        <v>1905557.97</v>
      </c>
      <c r="E67" s="108">
        <f t="shared" si="17"/>
        <v>2398765.3803846152</v>
      </c>
    </row>
    <row r="68" spans="1:5" s="53" customFormat="1" x14ac:dyDescent="0.25">
      <c r="A68" s="52">
        <v>41609</v>
      </c>
      <c r="B68" s="150">
        <f t="shared" si="18"/>
        <v>538044.44769230753</v>
      </c>
      <c r="C68" s="109">
        <f>SUM(B57:B68)</f>
        <v>3497288.9099999997</v>
      </c>
      <c r="D68" s="109">
        <f t="shared" si="16"/>
        <v>1905557.97</v>
      </c>
      <c r="E68" s="109">
        <f t="shared" si="17"/>
        <v>2443602.4176923074</v>
      </c>
    </row>
    <row r="69" spans="1:5" s="48" customFormat="1" x14ac:dyDescent="0.25">
      <c r="A69" s="47">
        <v>41640</v>
      </c>
      <c r="B69" s="149">
        <f>INDEX($H$3:$H$15,MATCH(YEAR(A69),$A$3:$A$15,0))</f>
        <v>216804.87230769231</v>
      </c>
      <c r="C69" s="107">
        <f>INDEX($H$3:$H$15,MATCH(YEAR(A69),$A$3:$A$15,0))</f>
        <v>216804.87230769231</v>
      </c>
      <c r="D69" s="107">
        <f>INDEX($B$3:$B$15,MATCH(YEAR(A69),$A$3:$A$15,0))*IF($F$17=1,INDEX($Y$3:$Y$14,MATCH(MONTH(A69),$V$3:$V$14,0)),1/12)</f>
        <v>2421817.79</v>
      </c>
      <c r="E69" s="107">
        <f>B69+D69</f>
        <v>2638622.6623076922</v>
      </c>
    </row>
    <row r="70" spans="1:5" s="51" customFormat="1" x14ac:dyDescent="0.25">
      <c r="A70" s="49">
        <v>41671</v>
      </c>
      <c r="B70" s="150">
        <f>B69+INDEX($H$3:$H$15,MATCH(YEAR(A69),$A$3:$A$15,0))</f>
        <v>433609.74461538461</v>
      </c>
      <c r="C70" s="108"/>
      <c r="D70" s="108">
        <f t="shared" ref="D70:D80" si="19">INDEX($B$3:$B$15,MATCH(YEAR(A70),$A$3:$A$15,0))*IF($F$17=1,INDEX($Y$3:$Y$14,MATCH(MONTH(A70),$V$3:$V$14,0)),1/12)</f>
        <v>2421817.79</v>
      </c>
      <c r="E70" s="108">
        <f t="shared" ref="E70:E80" si="20">B70+D70</f>
        <v>2855427.5346153844</v>
      </c>
    </row>
    <row r="71" spans="1:5" s="51" customFormat="1" x14ac:dyDescent="0.25">
      <c r="A71" s="49">
        <v>41699</v>
      </c>
      <c r="B71" s="150">
        <f t="shared" ref="B71:B80" si="21">B70+INDEX($H$3:$H$15,MATCH(YEAR(A70),$A$3:$A$15,0))</f>
        <v>650414.61692307692</v>
      </c>
      <c r="C71" s="108"/>
      <c r="D71" s="108">
        <f t="shared" si="19"/>
        <v>2421817.79</v>
      </c>
      <c r="E71" s="108">
        <f t="shared" si="20"/>
        <v>3072232.4069230771</v>
      </c>
    </row>
    <row r="72" spans="1:5" s="51" customFormat="1" x14ac:dyDescent="0.25">
      <c r="A72" s="49">
        <v>41730</v>
      </c>
      <c r="B72" s="150">
        <f t="shared" si="21"/>
        <v>867219.48923076922</v>
      </c>
      <c r="C72" s="108"/>
      <c r="D72" s="108">
        <f t="shared" si="19"/>
        <v>2421817.79</v>
      </c>
      <c r="E72" s="108">
        <f t="shared" si="20"/>
        <v>3289037.2792307693</v>
      </c>
    </row>
    <row r="73" spans="1:5" s="51" customFormat="1" x14ac:dyDescent="0.25">
      <c r="A73" s="49">
        <v>41760</v>
      </c>
      <c r="B73" s="150">
        <f t="shared" si="21"/>
        <v>1084024.3615384614</v>
      </c>
      <c r="C73" s="108"/>
      <c r="D73" s="108">
        <f t="shared" si="19"/>
        <v>2421817.79</v>
      </c>
      <c r="E73" s="108">
        <f t="shared" si="20"/>
        <v>3505842.1515384614</v>
      </c>
    </row>
    <row r="74" spans="1:5" s="51" customFormat="1" x14ac:dyDescent="0.25">
      <c r="A74" s="49">
        <v>41791</v>
      </c>
      <c r="B74" s="150">
        <f t="shared" si="21"/>
        <v>1300829.2338461536</v>
      </c>
      <c r="C74" s="108"/>
      <c r="D74" s="108">
        <f t="shared" si="19"/>
        <v>2421817.79</v>
      </c>
      <c r="E74" s="108">
        <f t="shared" si="20"/>
        <v>3722647.0238461536</v>
      </c>
    </row>
    <row r="75" spans="1:5" s="51" customFormat="1" x14ac:dyDescent="0.25">
      <c r="A75" s="49">
        <v>41821</v>
      </c>
      <c r="B75" s="150">
        <f t="shared" si="21"/>
        <v>1517634.1061538458</v>
      </c>
      <c r="C75" s="108"/>
      <c r="D75" s="108">
        <f t="shared" si="19"/>
        <v>2421817.79</v>
      </c>
      <c r="E75" s="108">
        <f t="shared" si="20"/>
        <v>3939451.8961538458</v>
      </c>
    </row>
    <row r="76" spans="1:5" s="51" customFormat="1" x14ac:dyDescent="0.25">
      <c r="A76" s="49">
        <v>41852</v>
      </c>
      <c r="B76" s="150">
        <f t="shared" si="21"/>
        <v>1734438.978461538</v>
      </c>
      <c r="C76" s="108"/>
      <c r="D76" s="108">
        <f t="shared" si="19"/>
        <v>2421817.79</v>
      </c>
      <c r="E76" s="108">
        <f t="shared" si="20"/>
        <v>4156256.768461538</v>
      </c>
    </row>
    <row r="77" spans="1:5" s="51" customFormat="1" x14ac:dyDescent="0.25">
      <c r="A77" s="49">
        <v>41883</v>
      </c>
      <c r="B77" s="150">
        <f t="shared" si="21"/>
        <v>1951243.8507692302</v>
      </c>
      <c r="C77" s="108"/>
      <c r="D77" s="108">
        <f t="shared" si="19"/>
        <v>2421817.79</v>
      </c>
      <c r="E77" s="108">
        <f t="shared" si="20"/>
        <v>4373061.6407692302</v>
      </c>
    </row>
    <row r="78" spans="1:5" s="51" customFormat="1" x14ac:dyDescent="0.25">
      <c r="A78" s="49">
        <v>41913</v>
      </c>
      <c r="B78" s="150">
        <f t="shared" si="21"/>
        <v>2168048.7230769224</v>
      </c>
      <c r="C78" s="108"/>
      <c r="D78" s="108">
        <f t="shared" si="19"/>
        <v>2421817.79</v>
      </c>
      <c r="E78" s="108">
        <f t="shared" si="20"/>
        <v>4589866.5130769219</v>
      </c>
    </row>
    <row r="79" spans="1:5" s="51" customFormat="1" x14ac:dyDescent="0.25">
      <c r="A79" s="49">
        <v>41944</v>
      </c>
      <c r="B79" s="150">
        <f t="shared" si="21"/>
        <v>2384853.5953846145</v>
      </c>
      <c r="C79" s="108" t="s">
        <v>93</v>
      </c>
      <c r="D79" s="108">
        <f t="shared" si="19"/>
        <v>2421817.79</v>
      </c>
      <c r="E79" s="108">
        <f t="shared" si="20"/>
        <v>4806671.3853846146</v>
      </c>
    </row>
    <row r="80" spans="1:5" s="53" customFormat="1" x14ac:dyDescent="0.25">
      <c r="A80" s="52">
        <v>41974</v>
      </c>
      <c r="B80" s="150">
        <f t="shared" si="21"/>
        <v>2601658.4676923067</v>
      </c>
      <c r="C80" s="109">
        <f>SUM(B69:B80)</f>
        <v>16910780.039999995</v>
      </c>
      <c r="D80" s="109">
        <f t="shared" si="19"/>
        <v>2421817.79</v>
      </c>
      <c r="E80" s="109">
        <f t="shared" si="20"/>
        <v>5023476.2576923072</v>
      </c>
    </row>
    <row r="81" spans="1:5" s="48" customFormat="1" x14ac:dyDescent="0.25">
      <c r="A81" s="47">
        <v>42005</v>
      </c>
      <c r="B81" s="149">
        <f>INDEX($H$3:$H$15,MATCH(YEAR(A81),$A$3:$A$15,0))</f>
        <v>61039.903846153844</v>
      </c>
      <c r="C81" s="107">
        <f>INDEX($H$3:$H$15,MATCH(YEAR(A81),$A$3:$A$15,0))</f>
        <v>61039.903846153844</v>
      </c>
      <c r="D81" s="107">
        <f>INDEX($B$3:$B$15,MATCH(YEAR(A81),$A$3:$A$15,0))*IF($F$17=1,INDEX($Y$3:$Y$14,MATCH(MONTH(A81),$V$3:$V$14,0)),1/12)</f>
        <v>5044012.3591666669</v>
      </c>
      <c r="E81" s="107">
        <f>B81+D81</f>
        <v>5105052.2630128209</v>
      </c>
    </row>
    <row r="82" spans="1:5" s="51" customFormat="1" x14ac:dyDescent="0.25">
      <c r="A82" s="49">
        <v>42036</v>
      </c>
      <c r="B82" s="150">
        <f>B81+INDEX($H$3:$H$15,MATCH(YEAR(A81),$A$3:$A$15,0))</f>
        <v>122079.80769230769</v>
      </c>
      <c r="C82" s="108"/>
      <c r="D82" s="108">
        <f t="shared" ref="D82:D92" si="22">INDEX($B$3:$B$15,MATCH(YEAR(A82),$A$3:$A$15,0))*IF($F$17=1,INDEX($Y$3:$Y$14,MATCH(MONTH(A82),$V$3:$V$14,0)),1/12)</f>
        <v>5044012.3591666669</v>
      </c>
      <c r="E82" s="108">
        <f t="shared" ref="E82:E92" si="23">B82+D82</f>
        <v>5166092.1668589748</v>
      </c>
    </row>
    <row r="83" spans="1:5" s="51" customFormat="1" x14ac:dyDescent="0.25">
      <c r="A83" s="49">
        <v>42064</v>
      </c>
      <c r="B83" s="150">
        <f t="shared" ref="B83:B92" si="24">B82+INDEX($H$3:$H$15,MATCH(YEAR(A82),$A$3:$A$15,0))</f>
        <v>183119.71153846153</v>
      </c>
      <c r="C83" s="108"/>
      <c r="D83" s="108">
        <f t="shared" si="22"/>
        <v>5044012.3591666669</v>
      </c>
      <c r="E83" s="108">
        <f t="shared" si="23"/>
        <v>5227132.0707051288</v>
      </c>
    </row>
    <row r="84" spans="1:5" s="51" customFormat="1" x14ac:dyDescent="0.25">
      <c r="A84" s="49">
        <v>42095</v>
      </c>
      <c r="B84" s="150">
        <f t="shared" si="24"/>
        <v>244159.61538461538</v>
      </c>
      <c r="C84" s="108"/>
      <c r="D84" s="108">
        <f t="shared" si="22"/>
        <v>5044012.3591666669</v>
      </c>
      <c r="E84" s="108">
        <f t="shared" si="23"/>
        <v>5288171.9745512819</v>
      </c>
    </row>
    <row r="85" spans="1:5" s="51" customFormat="1" x14ac:dyDescent="0.25">
      <c r="A85" s="49">
        <v>42125</v>
      </c>
      <c r="B85" s="150">
        <f t="shared" si="24"/>
        <v>305199.51923076925</v>
      </c>
      <c r="C85" s="108"/>
      <c r="D85" s="108">
        <f t="shared" si="22"/>
        <v>5044012.3591666669</v>
      </c>
      <c r="E85" s="108">
        <f t="shared" si="23"/>
        <v>5349211.8783974359</v>
      </c>
    </row>
    <row r="86" spans="1:5" s="51" customFormat="1" x14ac:dyDescent="0.25">
      <c r="A86" s="49">
        <v>42156</v>
      </c>
      <c r="B86" s="150">
        <f t="shared" si="24"/>
        <v>366239.42307692312</v>
      </c>
      <c r="C86" s="108"/>
      <c r="D86" s="108">
        <f t="shared" si="22"/>
        <v>5044012.3591666669</v>
      </c>
      <c r="E86" s="108">
        <f t="shared" si="23"/>
        <v>5410251.7822435899</v>
      </c>
    </row>
    <row r="87" spans="1:5" s="51" customFormat="1" x14ac:dyDescent="0.25">
      <c r="A87" s="49">
        <v>42186</v>
      </c>
      <c r="B87" s="150">
        <f t="shared" si="24"/>
        <v>427279.32692307699</v>
      </c>
      <c r="C87" s="108"/>
      <c r="D87" s="108">
        <f t="shared" si="22"/>
        <v>5044012.3591666669</v>
      </c>
      <c r="E87" s="108">
        <f t="shared" si="23"/>
        <v>5471291.6860897439</v>
      </c>
    </row>
    <row r="88" spans="1:5" s="51" customFormat="1" x14ac:dyDescent="0.25">
      <c r="A88" s="49">
        <v>42217</v>
      </c>
      <c r="B88" s="150">
        <f t="shared" si="24"/>
        <v>488319.23076923087</v>
      </c>
      <c r="C88" s="108"/>
      <c r="D88" s="108">
        <f t="shared" si="22"/>
        <v>5044012.3591666669</v>
      </c>
      <c r="E88" s="108">
        <f t="shared" si="23"/>
        <v>5532331.5899358978</v>
      </c>
    </row>
    <row r="89" spans="1:5" s="51" customFormat="1" x14ac:dyDescent="0.25">
      <c r="A89" s="49">
        <v>42248</v>
      </c>
      <c r="B89" s="150">
        <f t="shared" si="24"/>
        <v>549359.13461538474</v>
      </c>
      <c r="C89" s="108"/>
      <c r="D89" s="108">
        <f t="shared" si="22"/>
        <v>5044012.3591666669</v>
      </c>
      <c r="E89" s="108">
        <f t="shared" si="23"/>
        <v>5593371.4937820518</v>
      </c>
    </row>
    <row r="90" spans="1:5" s="51" customFormat="1" x14ac:dyDescent="0.25">
      <c r="A90" s="49">
        <v>42278</v>
      </c>
      <c r="B90" s="150">
        <f t="shared" si="24"/>
        <v>610399.03846153861</v>
      </c>
      <c r="C90" s="108"/>
      <c r="D90" s="108">
        <f t="shared" si="22"/>
        <v>5044012.3591666669</v>
      </c>
      <c r="E90" s="108">
        <f t="shared" si="23"/>
        <v>5654411.3976282058</v>
      </c>
    </row>
    <row r="91" spans="1:5" s="51" customFormat="1" x14ac:dyDescent="0.25">
      <c r="A91" s="49">
        <v>42309</v>
      </c>
      <c r="B91" s="150">
        <f t="shared" si="24"/>
        <v>671438.94230769249</v>
      </c>
      <c r="C91" s="108" t="s">
        <v>93</v>
      </c>
      <c r="D91" s="108">
        <f t="shared" si="22"/>
        <v>5044012.3591666669</v>
      </c>
      <c r="E91" s="108">
        <f t="shared" si="23"/>
        <v>5715451.3014743589</v>
      </c>
    </row>
    <row r="92" spans="1:5" s="53" customFormat="1" x14ac:dyDescent="0.25">
      <c r="A92" s="52">
        <v>42339</v>
      </c>
      <c r="B92" s="150">
        <f t="shared" si="24"/>
        <v>732478.84615384636</v>
      </c>
      <c r="C92" s="109">
        <f>SUM(B81:B92)</f>
        <v>4761112.5000000009</v>
      </c>
      <c r="D92" s="109">
        <f t="shared" si="22"/>
        <v>5044012.3591666669</v>
      </c>
      <c r="E92" s="109">
        <f t="shared" si="23"/>
        <v>5776491.2053205129</v>
      </c>
    </row>
    <row r="93" spans="1:5" s="48" customFormat="1" x14ac:dyDescent="0.25">
      <c r="A93" s="47">
        <v>42370</v>
      </c>
      <c r="B93" s="149">
        <f>INDEX($H$3:$H$15,MATCH(YEAR(A93),$A$3:$A$15,0))</f>
        <v>78086.378205128203</v>
      </c>
      <c r="C93" s="107">
        <f>INDEX($H$3:$H$15,MATCH(YEAR(A93),$A$3:$A$15,0))</f>
        <v>78086.378205128203</v>
      </c>
      <c r="D93" s="107">
        <f>INDEX($B$3:$B$15,MATCH(YEAR(A93),$A$3:$A$15,0))*IF($F$17=1,INDEX($Y$3:$Y$14,MATCH(MONTH(A93),$V$3:$V$14,0)),1/12)</f>
        <v>5740439.7016666662</v>
      </c>
      <c r="E93" s="107">
        <f>B93+D93</f>
        <v>5818526.0798717942</v>
      </c>
    </row>
    <row r="94" spans="1:5" s="51" customFormat="1" x14ac:dyDescent="0.25">
      <c r="A94" s="49">
        <v>42401</v>
      </c>
      <c r="B94" s="150">
        <f>B93+INDEX($H$3:$H$15,MATCH(YEAR(A93),$A$3:$A$15,0))</f>
        <v>156172.75641025641</v>
      </c>
      <c r="C94" s="108"/>
      <c r="D94" s="108">
        <f t="shared" ref="D94:D104" si="25">INDEX($B$3:$B$15,MATCH(YEAR(A94),$A$3:$A$15,0))*IF($F$17=1,INDEX($Y$3:$Y$14,MATCH(MONTH(A94),$V$3:$V$14,0)),1/12)</f>
        <v>5740439.7016666662</v>
      </c>
      <c r="E94" s="108">
        <f t="shared" ref="E94:E104" si="26">B94+D94</f>
        <v>5896612.4580769222</v>
      </c>
    </row>
    <row r="95" spans="1:5" s="51" customFormat="1" x14ac:dyDescent="0.25">
      <c r="A95" s="49">
        <v>42430</v>
      </c>
      <c r="B95" s="150">
        <f t="shared" ref="B95:B104" si="27">B94+INDEX($H$3:$H$15,MATCH(YEAR(A94),$A$3:$A$15,0))</f>
        <v>234259.13461538462</v>
      </c>
      <c r="C95" s="108"/>
      <c r="D95" s="108">
        <f t="shared" si="25"/>
        <v>5740439.7016666662</v>
      </c>
      <c r="E95" s="108">
        <f t="shared" si="26"/>
        <v>5974698.8362820512</v>
      </c>
    </row>
    <row r="96" spans="1:5" s="51" customFormat="1" x14ac:dyDescent="0.25">
      <c r="A96" s="49">
        <v>42461</v>
      </c>
      <c r="B96" s="150">
        <f t="shared" si="27"/>
        <v>312345.51282051281</v>
      </c>
      <c r="C96" s="108"/>
      <c r="D96" s="108">
        <f t="shared" si="25"/>
        <v>5740439.7016666662</v>
      </c>
      <c r="E96" s="108">
        <f t="shared" si="26"/>
        <v>6052785.2144871792</v>
      </c>
    </row>
    <row r="97" spans="1:5" s="51" customFormat="1" x14ac:dyDescent="0.25">
      <c r="A97" s="49">
        <v>42491</v>
      </c>
      <c r="B97" s="150">
        <f t="shared" si="27"/>
        <v>390431.891025641</v>
      </c>
      <c r="C97" s="108"/>
      <c r="D97" s="108">
        <f t="shared" si="25"/>
        <v>5740439.7016666662</v>
      </c>
      <c r="E97" s="108">
        <f t="shared" si="26"/>
        <v>6130871.5926923072</v>
      </c>
    </row>
    <row r="98" spans="1:5" s="51" customFormat="1" x14ac:dyDescent="0.25">
      <c r="A98" s="49">
        <v>42522</v>
      </c>
      <c r="B98" s="150">
        <f t="shared" si="27"/>
        <v>468518.26923076919</v>
      </c>
      <c r="C98" s="108"/>
      <c r="D98" s="108">
        <f t="shared" si="25"/>
        <v>5740439.7016666662</v>
      </c>
      <c r="E98" s="108">
        <f t="shared" si="26"/>
        <v>6208957.9708974352</v>
      </c>
    </row>
    <row r="99" spans="1:5" s="51" customFormat="1" x14ac:dyDescent="0.25">
      <c r="A99" s="49">
        <v>42552</v>
      </c>
      <c r="B99" s="150">
        <f t="shared" si="27"/>
        <v>546604.64743589738</v>
      </c>
      <c r="C99" s="108"/>
      <c r="D99" s="108">
        <f t="shared" si="25"/>
        <v>5740439.7016666662</v>
      </c>
      <c r="E99" s="108">
        <f t="shared" si="26"/>
        <v>6287044.3491025632</v>
      </c>
    </row>
    <row r="100" spans="1:5" s="51" customFormat="1" x14ac:dyDescent="0.25">
      <c r="A100" s="49">
        <v>42583</v>
      </c>
      <c r="B100" s="150">
        <f t="shared" si="27"/>
        <v>624691.02564102563</v>
      </c>
      <c r="C100" s="108"/>
      <c r="D100" s="108">
        <f t="shared" si="25"/>
        <v>5740439.7016666662</v>
      </c>
      <c r="E100" s="108">
        <f t="shared" si="26"/>
        <v>6365130.7273076922</v>
      </c>
    </row>
    <row r="101" spans="1:5" s="51" customFormat="1" x14ac:dyDescent="0.25">
      <c r="A101" s="49">
        <v>42614</v>
      </c>
      <c r="B101" s="150">
        <f t="shared" si="27"/>
        <v>702777.40384615387</v>
      </c>
      <c r="C101" s="108"/>
      <c r="D101" s="108">
        <f t="shared" si="25"/>
        <v>5740439.7016666662</v>
      </c>
      <c r="E101" s="108">
        <f t="shared" si="26"/>
        <v>6443217.1055128202</v>
      </c>
    </row>
    <row r="102" spans="1:5" s="51" customFormat="1" x14ac:dyDescent="0.25">
      <c r="A102" s="49">
        <v>42644</v>
      </c>
      <c r="B102" s="150">
        <f t="shared" si="27"/>
        <v>780863.78205128212</v>
      </c>
      <c r="C102" s="108"/>
      <c r="D102" s="108">
        <f t="shared" si="25"/>
        <v>5740439.7016666662</v>
      </c>
      <c r="E102" s="108">
        <f t="shared" si="26"/>
        <v>6521303.4837179482</v>
      </c>
    </row>
    <row r="103" spans="1:5" s="51" customFormat="1" x14ac:dyDescent="0.25">
      <c r="A103" s="49">
        <v>42675</v>
      </c>
      <c r="B103" s="150">
        <f t="shared" si="27"/>
        <v>858950.16025641037</v>
      </c>
      <c r="C103" s="108" t="s">
        <v>93</v>
      </c>
      <c r="D103" s="108">
        <f t="shared" si="25"/>
        <v>5740439.7016666662</v>
      </c>
      <c r="E103" s="108">
        <f t="shared" si="26"/>
        <v>6599389.8619230762</v>
      </c>
    </row>
    <row r="104" spans="1:5" s="53" customFormat="1" x14ac:dyDescent="0.25">
      <c r="A104" s="52">
        <v>42705</v>
      </c>
      <c r="B104" s="150">
        <f t="shared" si="27"/>
        <v>937036.53846153861</v>
      </c>
      <c r="C104" s="109">
        <f>SUM(B93:B104)</f>
        <v>6090737.5</v>
      </c>
      <c r="D104" s="109">
        <f t="shared" si="25"/>
        <v>5740439.7016666662</v>
      </c>
      <c r="E104" s="109">
        <f t="shared" si="26"/>
        <v>6677476.2401282052</v>
      </c>
    </row>
    <row r="105" spans="1:5" s="48" customFormat="1" x14ac:dyDescent="0.25">
      <c r="A105" s="47">
        <v>42736</v>
      </c>
      <c r="B105" s="149">
        <f>INDEX($H$3:$H$15,MATCH(YEAR(A105),$A$3:$A$15,0))</f>
        <v>105046.46153846153</v>
      </c>
      <c r="C105" s="107">
        <f>INDEX($H$3:$H$15,MATCH(YEAR(A105),$A$3:$A$15,0))</f>
        <v>105046.46153846153</v>
      </c>
      <c r="D105" s="107">
        <f>INDEX($B$3:$B$15,MATCH(YEAR(A105),$A$3:$A$15,0))*IF($F$17=1,INDEX($Y$3:$Y$14,MATCH(MONTH(A105),$V$3:$V$14,0)),1/12)</f>
        <v>6481668.833333333</v>
      </c>
      <c r="E105" s="107">
        <f>B105+D105</f>
        <v>6586715.294871795</v>
      </c>
    </row>
    <row r="106" spans="1:5" s="51" customFormat="1" x14ac:dyDescent="0.25">
      <c r="A106" s="49">
        <v>42767</v>
      </c>
      <c r="B106" s="150">
        <f>B105+INDEX($H$3:$H$15,MATCH(YEAR(A105),$A$3:$A$15,0))</f>
        <v>210092.92307692306</v>
      </c>
      <c r="C106" s="108"/>
      <c r="D106" s="108">
        <f t="shared" ref="D106:D116" si="28">INDEX($B$3:$B$15,MATCH(YEAR(A106),$A$3:$A$15,0))*IF($F$17=1,INDEX($Y$3:$Y$14,MATCH(MONTH(A106),$V$3:$V$14,0)),1/12)</f>
        <v>6481668.833333333</v>
      </c>
      <c r="E106" s="108">
        <f t="shared" ref="E106:E116" si="29">B106+D106</f>
        <v>6691761.756410256</v>
      </c>
    </row>
    <row r="107" spans="1:5" s="51" customFormat="1" x14ac:dyDescent="0.25">
      <c r="A107" s="49">
        <v>42795</v>
      </c>
      <c r="B107" s="150">
        <f t="shared" ref="B107:B116" si="30">B106+INDEX($H$3:$H$15,MATCH(YEAR(A106),$A$3:$A$15,0))</f>
        <v>315139.38461538462</v>
      </c>
      <c r="C107" s="108"/>
      <c r="D107" s="108">
        <f t="shared" si="28"/>
        <v>6481668.833333333</v>
      </c>
      <c r="E107" s="108">
        <f t="shared" si="29"/>
        <v>6796808.217948718</v>
      </c>
    </row>
    <row r="108" spans="1:5" s="51" customFormat="1" x14ac:dyDescent="0.25">
      <c r="A108" s="49">
        <v>42826</v>
      </c>
      <c r="B108" s="150">
        <f t="shared" si="30"/>
        <v>420185.84615384613</v>
      </c>
      <c r="C108" s="108"/>
      <c r="D108" s="108">
        <f t="shared" si="28"/>
        <v>6481668.833333333</v>
      </c>
      <c r="E108" s="108">
        <f t="shared" si="29"/>
        <v>6901854.679487179</v>
      </c>
    </row>
    <row r="109" spans="1:5" s="51" customFormat="1" x14ac:dyDescent="0.25">
      <c r="A109" s="49">
        <v>42856</v>
      </c>
      <c r="B109" s="150">
        <f t="shared" si="30"/>
        <v>525232.30769230763</v>
      </c>
      <c r="C109" s="108"/>
      <c r="D109" s="108">
        <f t="shared" si="28"/>
        <v>6481668.833333333</v>
      </c>
      <c r="E109" s="108">
        <f t="shared" si="29"/>
        <v>7006901.141025641</v>
      </c>
    </row>
    <row r="110" spans="1:5" s="51" customFormat="1" x14ac:dyDescent="0.25">
      <c r="A110" s="49">
        <v>42887</v>
      </c>
      <c r="B110" s="150">
        <f t="shared" si="30"/>
        <v>630278.76923076913</v>
      </c>
      <c r="C110" s="108"/>
      <c r="D110" s="108">
        <f t="shared" si="28"/>
        <v>6481668.833333333</v>
      </c>
      <c r="E110" s="108">
        <f t="shared" si="29"/>
        <v>7111947.602564102</v>
      </c>
    </row>
    <row r="111" spans="1:5" s="51" customFormat="1" x14ac:dyDescent="0.25">
      <c r="A111" s="49">
        <v>42917</v>
      </c>
      <c r="B111" s="150">
        <f t="shared" si="30"/>
        <v>735325.23076923063</v>
      </c>
      <c r="C111" s="108"/>
      <c r="D111" s="108">
        <f t="shared" si="28"/>
        <v>6481668.833333333</v>
      </c>
      <c r="E111" s="108">
        <f t="shared" si="29"/>
        <v>7216994.064102564</v>
      </c>
    </row>
    <row r="112" spans="1:5" s="51" customFormat="1" x14ac:dyDescent="0.25">
      <c r="A112" s="49">
        <v>42948</v>
      </c>
      <c r="B112" s="150">
        <f t="shared" si="30"/>
        <v>840371.69230769214</v>
      </c>
      <c r="C112" s="108"/>
      <c r="D112" s="108">
        <f t="shared" si="28"/>
        <v>6481668.833333333</v>
      </c>
      <c r="E112" s="108">
        <f t="shared" si="29"/>
        <v>7322040.525641025</v>
      </c>
    </row>
    <row r="113" spans="1:5" s="51" customFormat="1" x14ac:dyDescent="0.25">
      <c r="A113" s="49">
        <v>42979</v>
      </c>
      <c r="B113" s="150">
        <f t="shared" si="30"/>
        <v>945418.15384615364</v>
      </c>
      <c r="C113" s="108"/>
      <c r="D113" s="108">
        <f t="shared" si="28"/>
        <v>6481668.833333333</v>
      </c>
      <c r="E113" s="108">
        <f t="shared" si="29"/>
        <v>7427086.987179487</v>
      </c>
    </row>
    <row r="114" spans="1:5" s="51" customFormat="1" x14ac:dyDescent="0.25">
      <c r="A114" s="49">
        <v>43009</v>
      </c>
      <c r="B114" s="150">
        <f t="shared" si="30"/>
        <v>1050464.6153846153</v>
      </c>
      <c r="C114" s="108"/>
      <c r="D114" s="108">
        <f t="shared" si="28"/>
        <v>6481668.833333333</v>
      </c>
      <c r="E114" s="108">
        <f t="shared" si="29"/>
        <v>7532133.448717948</v>
      </c>
    </row>
    <row r="115" spans="1:5" s="51" customFormat="1" x14ac:dyDescent="0.25">
      <c r="A115" s="49">
        <v>43040</v>
      </c>
      <c r="B115" s="150">
        <f t="shared" si="30"/>
        <v>1155511.0769230768</v>
      </c>
      <c r="C115" s="108" t="s">
        <v>93</v>
      </c>
      <c r="D115" s="108">
        <f t="shared" si="28"/>
        <v>6481668.833333333</v>
      </c>
      <c r="E115" s="108">
        <f t="shared" si="29"/>
        <v>7637179.91025641</v>
      </c>
    </row>
    <row r="116" spans="1:5" s="53" customFormat="1" x14ac:dyDescent="0.25">
      <c r="A116" s="52">
        <v>43070</v>
      </c>
      <c r="B116" s="150">
        <f t="shared" si="30"/>
        <v>1260557.5384615383</v>
      </c>
      <c r="C116" s="109">
        <f>SUM(B105:B116)</f>
        <v>8193623.9999999981</v>
      </c>
      <c r="D116" s="109">
        <f t="shared" si="28"/>
        <v>6481668.833333333</v>
      </c>
      <c r="E116" s="109">
        <f t="shared" si="29"/>
        <v>7742226.3717948711</v>
      </c>
    </row>
    <row r="117" spans="1:5" s="48" customFormat="1" x14ac:dyDescent="0.25">
      <c r="A117" s="47">
        <v>43101</v>
      </c>
      <c r="B117" s="149">
        <f>INDEX($H$3:$H$15,MATCH(YEAR(A117),$A$3:$A$15,0))</f>
        <v>62162.570512820515</v>
      </c>
      <c r="C117" s="107">
        <f>INDEX($H$3:$H$15,MATCH(YEAR(A117),$A$3:$A$15,0))</f>
        <v>62162.570512820515</v>
      </c>
      <c r="D117" s="107">
        <f>INDEX($B$3:$B$15,MATCH(YEAR(A117),$A$3:$A$15,0))*IF($F$17=1,INDEX($Y$3:$Y$14,MATCH(MONTH(A117),$V$3:$V$14,0)),1/12)</f>
        <v>7554244.9458333328</v>
      </c>
      <c r="E117" s="107">
        <f>B117+D117</f>
        <v>7616407.5163461538</v>
      </c>
    </row>
    <row r="118" spans="1:5" s="51" customFormat="1" x14ac:dyDescent="0.25">
      <c r="A118" s="49">
        <v>43132</v>
      </c>
      <c r="B118" s="150">
        <f>B117+INDEX($H$3:$H$15,MATCH(YEAR(A117),$A$3:$A$15,0))</f>
        <v>124325.14102564103</v>
      </c>
      <c r="C118" s="108"/>
      <c r="D118" s="108">
        <f t="shared" ref="D118:D128" si="31">INDEX($B$3:$B$15,MATCH(YEAR(A118),$A$3:$A$15,0))*IF($F$17=1,INDEX($Y$3:$Y$14,MATCH(MONTH(A118),$V$3:$V$14,0)),1/12)</f>
        <v>7554244.9458333328</v>
      </c>
      <c r="E118" s="108">
        <f t="shared" ref="E118:E128" si="32">B118+D118</f>
        <v>7678570.0868589738</v>
      </c>
    </row>
    <row r="119" spans="1:5" s="51" customFormat="1" x14ac:dyDescent="0.25">
      <c r="A119" s="49">
        <v>43160</v>
      </c>
      <c r="B119" s="150">
        <f t="shared" ref="B119:B128" si="33">B118+INDEX($H$3:$H$15,MATCH(YEAR(A118),$A$3:$A$15,0))</f>
        <v>186487.71153846156</v>
      </c>
      <c r="C119" s="108"/>
      <c r="D119" s="108">
        <f t="shared" si="31"/>
        <v>7554244.9458333328</v>
      </c>
      <c r="E119" s="108">
        <f t="shared" si="32"/>
        <v>7740732.6573717948</v>
      </c>
    </row>
    <row r="120" spans="1:5" s="51" customFormat="1" x14ac:dyDescent="0.25">
      <c r="A120" s="49">
        <v>43191</v>
      </c>
      <c r="B120" s="150">
        <f t="shared" si="33"/>
        <v>248650.28205128206</v>
      </c>
      <c r="C120" s="108"/>
      <c r="D120" s="108">
        <f t="shared" si="31"/>
        <v>7554244.9458333328</v>
      </c>
      <c r="E120" s="108">
        <f t="shared" si="32"/>
        <v>7802895.2278846148</v>
      </c>
    </row>
    <row r="121" spans="1:5" s="51" customFormat="1" x14ac:dyDescent="0.25">
      <c r="A121" s="49">
        <v>43221</v>
      </c>
      <c r="B121" s="150">
        <f t="shared" si="33"/>
        <v>310812.85256410256</v>
      </c>
      <c r="C121" s="108"/>
      <c r="D121" s="108">
        <f t="shared" si="31"/>
        <v>7554244.9458333328</v>
      </c>
      <c r="E121" s="108">
        <f t="shared" si="32"/>
        <v>7865057.7983974358</v>
      </c>
    </row>
    <row r="122" spans="1:5" s="51" customFormat="1" x14ac:dyDescent="0.25">
      <c r="A122" s="49">
        <v>43252</v>
      </c>
      <c r="B122" s="150">
        <f t="shared" si="33"/>
        <v>372975.42307692306</v>
      </c>
      <c r="C122" s="108"/>
      <c r="D122" s="108">
        <f t="shared" si="31"/>
        <v>7554244.9458333328</v>
      </c>
      <c r="E122" s="108">
        <f t="shared" si="32"/>
        <v>7927220.3689102558</v>
      </c>
    </row>
    <row r="123" spans="1:5" s="51" customFormat="1" x14ac:dyDescent="0.25">
      <c r="A123" s="49">
        <v>43282</v>
      </c>
      <c r="B123" s="150">
        <f t="shared" si="33"/>
        <v>435137.99358974356</v>
      </c>
      <c r="C123" s="108"/>
      <c r="D123" s="108">
        <f t="shared" si="31"/>
        <v>7554244.9458333328</v>
      </c>
      <c r="E123" s="108">
        <f t="shared" si="32"/>
        <v>7989382.9394230768</v>
      </c>
    </row>
    <row r="124" spans="1:5" s="51" customFormat="1" x14ac:dyDescent="0.25">
      <c r="A124" s="49">
        <v>43313</v>
      </c>
      <c r="B124" s="150">
        <f t="shared" si="33"/>
        <v>497300.56410256407</v>
      </c>
      <c r="C124" s="108"/>
      <c r="D124" s="108">
        <f t="shared" si="31"/>
        <v>7554244.9458333328</v>
      </c>
      <c r="E124" s="108">
        <f t="shared" si="32"/>
        <v>8051545.5099358968</v>
      </c>
    </row>
    <row r="125" spans="1:5" s="51" customFormat="1" x14ac:dyDescent="0.25">
      <c r="A125" s="49">
        <v>43344</v>
      </c>
      <c r="B125" s="150">
        <f t="shared" si="33"/>
        <v>559463.13461538462</v>
      </c>
      <c r="C125" s="108"/>
      <c r="D125" s="108">
        <f t="shared" si="31"/>
        <v>7554244.9458333328</v>
      </c>
      <c r="E125" s="108">
        <f t="shared" si="32"/>
        <v>8113708.0804487178</v>
      </c>
    </row>
    <row r="126" spans="1:5" s="51" customFormat="1" x14ac:dyDescent="0.25">
      <c r="A126" s="49">
        <v>43374</v>
      </c>
      <c r="B126" s="150">
        <f t="shared" si="33"/>
        <v>621625.70512820513</v>
      </c>
      <c r="C126" s="108"/>
      <c r="D126" s="108">
        <f t="shared" si="31"/>
        <v>7554244.9458333328</v>
      </c>
      <c r="E126" s="108">
        <f t="shared" si="32"/>
        <v>8175870.6509615378</v>
      </c>
    </row>
    <row r="127" spans="1:5" s="51" customFormat="1" x14ac:dyDescent="0.25">
      <c r="A127" s="49">
        <v>43405</v>
      </c>
      <c r="B127" s="150">
        <f t="shared" si="33"/>
        <v>683788.27564102563</v>
      </c>
      <c r="C127" s="108" t="s">
        <v>93</v>
      </c>
      <c r="D127" s="108">
        <f t="shared" si="31"/>
        <v>7554244.9458333328</v>
      </c>
      <c r="E127" s="108">
        <f t="shared" si="32"/>
        <v>8238033.2214743588</v>
      </c>
    </row>
    <row r="128" spans="1:5" s="53" customFormat="1" x14ac:dyDescent="0.25">
      <c r="A128" s="52">
        <v>43435</v>
      </c>
      <c r="B128" s="150">
        <f t="shared" si="33"/>
        <v>745950.84615384613</v>
      </c>
      <c r="C128" s="109">
        <f>SUM(B117:B128)</f>
        <v>4848680.5</v>
      </c>
      <c r="D128" s="109">
        <f t="shared" si="31"/>
        <v>7554244.9458333328</v>
      </c>
      <c r="E128" s="109">
        <f t="shared" si="32"/>
        <v>8300195.7919871788</v>
      </c>
    </row>
    <row r="129" spans="1:5" s="48" customFormat="1" x14ac:dyDescent="0.25">
      <c r="A129" s="47">
        <v>43466</v>
      </c>
      <c r="B129" s="149">
        <f>INDEX($H$3:$H$15,MATCH(YEAR(A129),$A$3:$A$15,0))</f>
        <v>33008.371794871797</v>
      </c>
      <c r="C129" s="107">
        <f>INDEX($H$3:$H$15,MATCH(YEAR(A129),$A$3:$A$15,0))</f>
        <v>33008.371794871797</v>
      </c>
      <c r="D129" s="107">
        <f>INDEX($B$3:$B$15,MATCH(YEAR(A129),$A$3:$A$15,0))*IF($F$17=1,INDEX($Y$3:$Y$14,MATCH(MONTH(A129),$V$3:$V$14,0)),1/12)</f>
        <v>8006689.399166666</v>
      </c>
      <c r="E129" s="107">
        <f>B129+D129</f>
        <v>8039697.770961538</v>
      </c>
    </row>
    <row r="130" spans="1:5" s="51" customFormat="1" x14ac:dyDescent="0.25">
      <c r="A130" s="49">
        <v>43497</v>
      </c>
      <c r="B130" s="150">
        <f>B129+INDEX($H$3:$H$15,MATCH(YEAR(A129),$A$3:$A$15,0))</f>
        <v>66016.743589743593</v>
      </c>
      <c r="C130" s="108"/>
      <c r="D130" s="108">
        <f t="shared" ref="D130:D140" si="34">INDEX($B$3:$B$15,MATCH(YEAR(A130),$A$3:$A$15,0))*IF($F$17=1,INDEX($Y$3:$Y$14,MATCH(MONTH(A130),$V$3:$V$14,0)),1/12)</f>
        <v>8006689.399166666</v>
      </c>
      <c r="E130" s="108">
        <f t="shared" ref="E130:E140" si="35">B130+D130</f>
        <v>8072706.1427564099</v>
      </c>
    </row>
    <row r="131" spans="1:5" s="51" customFormat="1" x14ac:dyDescent="0.25">
      <c r="A131" s="49">
        <v>43525</v>
      </c>
      <c r="B131" s="150">
        <f t="shared" ref="B131:B140" si="36">B130+INDEX($H$3:$H$15,MATCH(YEAR(A130),$A$3:$A$15,0))</f>
        <v>99025.11538461539</v>
      </c>
      <c r="C131" s="108"/>
      <c r="D131" s="108">
        <f t="shared" si="34"/>
        <v>8006689.399166666</v>
      </c>
      <c r="E131" s="108">
        <f t="shared" si="35"/>
        <v>8105714.514551281</v>
      </c>
    </row>
    <row r="132" spans="1:5" s="51" customFormat="1" x14ac:dyDescent="0.25">
      <c r="A132" s="49">
        <v>43556</v>
      </c>
      <c r="B132" s="150">
        <f t="shared" si="36"/>
        <v>132033.48717948719</v>
      </c>
      <c r="C132" s="108"/>
      <c r="D132" s="108">
        <f t="shared" si="34"/>
        <v>8006689.399166666</v>
      </c>
      <c r="E132" s="108">
        <f t="shared" si="35"/>
        <v>8138722.886346153</v>
      </c>
    </row>
    <row r="133" spans="1:5" s="51" customFormat="1" x14ac:dyDescent="0.25">
      <c r="A133" s="49">
        <v>43586</v>
      </c>
      <c r="B133" s="150">
        <f t="shared" si="36"/>
        <v>165041.858974359</v>
      </c>
      <c r="C133" s="108"/>
      <c r="D133" s="108">
        <f t="shared" si="34"/>
        <v>8006689.399166666</v>
      </c>
      <c r="E133" s="108">
        <f t="shared" si="35"/>
        <v>8171731.258141025</v>
      </c>
    </row>
    <row r="134" spans="1:5" s="51" customFormat="1" x14ac:dyDescent="0.25">
      <c r="A134" s="49">
        <v>43617</v>
      </c>
      <c r="B134" s="150">
        <f t="shared" si="36"/>
        <v>198050.23076923081</v>
      </c>
      <c r="C134" s="108"/>
      <c r="D134" s="108">
        <f t="shared" si="34"/>
        <v>8006689.399166666</v>
      </c>
      <c r="E134" s="108">
        <f t="shared" si="35"/>
        <v>8204739.629935897</v>
      </c>
    </row>
    <row r="135" spans="1:5" s="51" customFormat="1" x14ac:dyDescent="0.25">
      <c r="A135" s="49">
        <v>43647</v>
      </c>
      <c r="B135" s="150">
        <f t="shared" si="36"/>
        <v>231058.60256410262</v>
      </c>
      <c r="C135" s="108"/>
      <c r="D135" s="108">
        <f t="shared" si="34"/>
        <v>8006689.399166666</v>
      </c>
      <c r="E135" s="108">
        <f t="shared" si="35"/>
        <v>8237748.0017307689</v>
      </c>
    </row>
    <row r="136" spans="1:5" s="51" customFormat="1" x14ac:dyDescent="0.25">
      <c r="A136" s="49">
        <v>43678</v>
      </c>
      <c r="B136" s="150">
        <f t="shared" si="36"/>
        <v>264066.97435897443</v>
      </c>
      <c r="C136" s="108"/>
      <c r="D136" s="108">
        <f t="shared" si="34"/>
        <v>8006689.399166666</v>
      </c>
      <c r="E136" s="108">
        <f t="shared" si="35"/>
        <v>8270756.37352564</v>
      </c>
    </row>
    <row r="137" spans="1:5" s="51" customFormat="1" x14ac:dyDescent="0.25">
      <c r="A137" s="49">
        <v>43709</v>
      </c>
      <c r="B137" s="150">
        <f t="shared" si="36"/>
        <v>297075.34615384624</v>
      </c>
      <c r="C137" s="108"/>
      <c r="D137" s="108">
        <f t="shared" si="34"/>
        <v>8006689.399166666</v>
      </c>
      <c r="E137" s="108">
        <f t="shared" si="35"/>
        <v>8303764.745320512</v>
      </c>
    </row>
    <row r="138" spans="1:5" s="51" customFormat="1" x14ac:dyDescent="0.25">
      <c r="A138" s="49">
        <v>43739</v>
      </c>
      <c r="B138" s="150">
        <f t="shared" si="36"/>
        <v>330083.71794871805</v>
      </c>
      <c r="C138" s="108"/>
      <c r="D138" s="108">
        <f t="shared" si="34"/>
        <v>8006689.399166666</v>
      </c>
      <c r="E138" s="108">
        <f t="shared" si="35"/>
        <v>8336773.117115384</v>
      </c>
    </row>
    <row r="139" spans="1:5" s="51" customFormat="1" x14ac:dyDescent="0.25">
      <c r="A139" s="49">
        <v>43770</v>
      </c>
      <c r="B139" s="150">
        <f t="shared" si="36"/>
        <v>363092.08974358987</v>
      </c>
      <c r="C139" s="108" t="s">
        <v>93</v>
      </c>
      <c r="D139" s="108">
        <f t="shared" si="34"/>
        <v>8006689.399166666</v>
      </c>
      <c r="E139" s="108">
        <f t="shared" si="35"/>
        <v>8369781.488910256</v>
      </c>
    </row>
    <row r="140" spans="1:5" s="53" customFormat="1" x14ac:dyDescent="0.25">
      <c r="A140" s="52">
        <v>43800</v>
      </c>
      <c r="B140" s="150">
        <f t="shared" si="36"/>
        <v>396100.46153846168</v>
      </c>
      <c r="C140" s="109">
        <f>SUM(B129:B140)</f>
        <v>2574653.0000000005</v>
      </c>
      <c r="D140" s="109">
        <f t="shared" si="34"/>
        <v>8006689.399166666</v>
      </c>
      <c r="E140" s="109">
        <f t="shared" si="35"/>
        <v>8402789.8607051279</v>
      </c>
    </row>
    <row r="141" spans="1:5" s="48" customFormat="1" x14ac:dyDescent="0.25">
      <c r="A141" s="47"/>
      <c r="B141" s="149"/>
      <c r="C141" s="107"/>
      <c r="D141" s="107"/>
      <c r="E141" s="107"/>
    </row>
    <row r="142" spans="1:5" s="51" customFormat="1" x14ac:dyDescent="0.25">
      <c r="A142" s="49"/>
      <c r="B142" s="150"/>
      <c r="C142" s="108"/>
      <c r="D142" s="108"/>
      <c r="E142" s="108"/>
    </row>
    <row r="143" spans="1:5" s="51" customFormat="1" x14ac:dyDescent="0.25">
      <c r="A143" s="49"/>
      <c r="B143" s="150"/>
      <c r="C143" s="108"/>
      <c r="D143" s="108"/>
      <c r="E143" s="108"/>
    </row>
    <row r="144" spans="1:5" s="51" customFormat="1" x14ac:dyDescent="0.25">
      <c r="A144" s="49"/>
      <c r="B144" s="150"/>
      <c r="C144" s="108"/>
      <c r="D144" s="108"/>
      <c r="E144" s="108"/>
    </row>
    <row r="145" spans="1:5" s="51" customFormat="1" x14ac:dyDescent="0.25">
      <c r="A145" s="49"/>
      <c r="B145" s="150"/>
      <c r="C145" s="108"/>
      <c r="D145" s="108"/>
      <c r="E145" s="108"/>
    </row>
    <row r="146" spans="1:5" s="51" customFormat="1" x14ac:dyDescent="0.25">
      <c r="A146" s="49"/>
      <c r="B146" s="150"/>
      <c r="C146" s="108"/>
      <c r="D146" s="108"/>
      <c r="E146" s="108"/>
    </row>
    <row r="147" spans="1:5" s="51" customFormat="1" x14ac:dyDescent="0.25">
      <c r="A147" s="49"/>
      <c r="B147" s="150"/>
      <c r="C147" s="108"/>
      <c r="D147" s="108"/>
      <c r="E147" s="108"/>
    </row>
    <row r="148" spans="1:5" s="51" customFormat="1" x14ac:dyDescent="0.25">
      <c r="A148" s="49"/>
      <c r="B148" s="150"/>
      <c r="C148" s="108"/>
      <c r="D148" s="108"/>
      <c r="E148" s="108"/>
    </row>
    <row r="149" spans="1:5" s="51" customFormat="1" x14ac:dyDescent="0.25">
      <c r="A149" s="49"/>
      <c r="B149" s="150"/>
      <c r="C149" s="108"/>
      <c r="D149" s="108"/>
      <c r="E149" s="108"/>
    </row>
    <row r="150" spans="1:5" s="51" customFormat="1" x14ac:dyDescent="0.25">
      <c r="A150" s="49"/>
      <c r="B150" s="150"/>
      <c r="C150" s="108"/>
      <c r="D150" s="108"/>
      <c r="E150" s="108"/>
    </row>
    <row r="151" spans="1:5" s="51" customFormat="1" x14ac:dyDescent="0.25">
      <c r="A151" s="49"/>
      <c r="B151" s="150"/>
      <c r="C151" s="108"/>
      <c r="D151" s="108"/>
      <c r="E151" s="108"/>
    </row>
    <row r="152" spans="1:5" s="53" customFormat="1" x14ac:dyDescent="0.25">
      <c r="A152" s="52"/>
      <c r="B152" s="150"/>
      <c r="C152" s="109"/>
      <c r="D152" s="109"/>
      <c r="E152" s="109"/>
    </row>
    <row r="153" spans="1:5" s="48" customFormat="1" x14ac:dyDescent="0.25">
      <c r="A153" s="47"/>
      <c r="B153" s="149"/>
      <c r="C153" s="107"/>
      <c r="D153" s="107"/>
      <c r="E153" s="107"/>
    </row>
    <row r="154" spans="1:5" s="51" customFormat="1" x14ac:dyDescent="0.25">
      <c r="A154" s="49"/>
      <c r="B154" s="150"/>
      <c r="C154" s="108"/>
      <c r="D154" s="108"/>
      <c r="E154" s="108"/>
    </row>
    <row r="155" spans="1:5" s="51" customFormat="1" x14ac:dyDescent="0.25">
      <c r="A155" s="49"/>
      <c r="B155" s="150"/>
      <c r="C155" s="108"/>
      <c r="D155" s="108"/>
      <c r="E155" s="108"/>
    </row>
    <row r="156" spans="1:5" s="51" customFormat="1" x14ac:dyDescent="0.25">
      <c r="A156" s="49"/>
      <c r="B156" s="150"/>
      <c r="C156" s="108"/>
      <c r="D156" s="108"/>
      <c r="E156" s="108"/>
    </row>
    <row r="157" spans="1:5" s="51" customFormat="1" x14ac:dyDescent="0.25">
      <c r="A157" s="49"/>
      <c r="B157" s="150"/>
      <c r="C157" s="108"/>
      <c r="D157" s="108"/>
      <c r="E157" s="108"/>
    </row>
    <row r="158" spans="1:5" s="51" customFormat="1" x14ac:dyDescent="0.25">
      <c r="A158" s="49"/>
      <c r="B158" s="150"/>
      <c r="C158" s="108"/>
      <c r="D158" s="108"/>
      <c r="E158" s="108"/>
    </row>
    <row r="159" spans="1:5" s="51" customFormat="1" x14ac:dyDescent="0.25">
      <c r="A159" s="49"/>
      <c r="B159" s="150"/>
      <c r="C159" s="108"/>
      <c r="D159" s="108"/>
      <c r="E159" s="108"/>
    </row>
    <row r="160" spans="1:5" s="51" customFormat="1" x14ac:dyDescent="0.25">
      <c r="A160" s="49"/>
      <c r="B160" s="150"/>
      <c r="C160" s="108"/>
      <c r="D160" s="108"/>
      <c r="E160" s="108"/>
    </row>
    <row r="161" spans="1:5" s="51" customFormat="1" x14ac:dyDescent="0.25">
      <c r="A161" s="49"/>
      <c r="B161" s="150"/>
      <c r="C161" s="108"/>
      <c r="D161" s="108"/>
      <c r="E161" s="108"/>
    </row>
    <row r="162" spans="1:5" s="51" customFormat="1" x14ac:dyDescent="0.25">
      <c r="A162" s="49"/>
      <c r="B162" s="150"/>
      <c r="C162" s="108"/>
      <c r="D162" s="108"/>
      <c r="E162" s="108"/>
    </row>
    <row r="163" spans="1:5" s="51" customFormat="1" x14ac:dyDescent="0.25">
      <c r="A163" s="49"/>
      <c r="B163" s="150"/>
      <c r="C163" s="108"/>
      <c r="D163" s="108"/>
      <c r="E163" s="108"/>
    </row>
    <row r="164" spans="1:5" s="53" customFormat="1" x14ac:dyDescent="0.25">
      <c r="A164" s="52"/>
      <c r="B164" s="150"/>
      <c r="C164" s="109"/>
      <c r="D164" s="109"/>
      <c r="E164" s="109"/>
    </row>
    <row r="165" spans="1:5" s="48" customFormat="1" x14ac:dyDescent="0.25">
      <c r="A165" s="47"/>
      <c r="B165" s="149"/>
      <c r="C165" s="107"/>
      <c r="D165" s="107"/>
      <c r="E165" s="107"/>
    </row>
    <row r="166" spans="1:5" s="51" customFormat="1" x14ac:dyDescent="0.25">
      <c r="A166" s="49"/>
      <c r="B166" s="150"/>
      <c r="C166" s="108"/>
      <c r="D166" s="108"/>
      <c r="E166" s="108"/>
    </row>
    <row r="167" spans="1:5" s="51" customFormat="1" x14ac:dyDescent="0.25">
      <c r="A167" s="49"/>
      <c r="B167" s="150"/>
      <c r="C167" s="108"/>
      <c r="D167" s="108"/>
      <c r="E167" s="108"/>
    </row>
    <row r="168" spans="1:5" s="51" customFormat="1" x14ac:dyDescent="0.25">
      <c r="A168" s="49"/>
      <c r="B168" s="150"/>
      <c r="C168" s="108"/>
      <c r="D168" s="108"/>
      <c r="E168" s="108"/>
    </row>
    <row r="169" spans="1:5" s="51" customFormat="1" x14ac:dyDescent="0.25">
      <c r="A169" s="49"/>
      <c r="B169" s="150"/>
      <c r="C169" s="108"/>
      <c r="D169" s="108"/>
      <c r="E169" s="108"/>
    </row>
    <row r="170" spans="1:5" s="51" customFormat="1" x14ac:dyDescent="0.25">
      <c r="A170" s="49"/>
      <c r="B170" s="150"/>
      <c r="C170" s="108"/>
      <c r="D170" s="108"/>
      <c r="E170" s="108"/>
    </row>
    <row r="171" spans="1:5" s="51" customFormat="1" x14ac:dyDescent="0.25">
      <c r="A171" s="49"/>
      <c r="B171" s="150"/>
      <c r="C171" s="108"/>
      <c r="D171" s="108"/>
      <c r="E171" s="108"/>
    </row>
    <row r="172" spans="1:5" s="51" customFormat="1" x14ac:dyDescent="0.25">
      <c r="A172" s="49"/>
      <c r="B172" s="150"/>
      <c r="C172" s="108"/>
      <c r="D172" s="108"/>
      <c r="E172" s="108"/>
    </row>
    <row r="173" spans="1:5" s="51" customFormat="1" x14ac:dyDescent="0.25">
      <c r="A173" s="49"/>
      <c r="B173" s="150"/>
      <c r="C173" s="108"/>
      <c r="D173" s="108"/>
      <c r="E173" s="108"/>
    </row>
    <row r="174" spans="1:5" s="51" customFormat="1" x14ac:dyDescent="0.25">
      <c r="A174" s="49"/>
      <c r="B174" s="150"/>
      <c r="C174" s="108"/>
      <c r="D174" s="108"/>
      <c r="E174" s="108"/>
    </row>
    <row r="175" spans="1:5" s="51" customFormat="1" x14ac:dyDescent="0.25">
      <c r="A175" s="49"/>
      <c r="B175" s="150"/>
      <c r="C175" s="108"/>
      <c r="D175" s="108"/>
      <c r="E175" s="108"/>
    </row>
    <row r="176" spans="1:5" s="53" customFormat="1" x14ac:dyDescent="0.25">
      <c r="A176" s="52"/>
      <c r="B176" s="150"/>
      <c r="C176" s="109"/>
      <c r="D176" s="109"/>
      <c r="E176" s="109"/>
    </row>
  </sheetData>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7030A0"/>
    <pageSetUpPr fitToPage="1"/>
  </sheetPr>
  <dimension ref="B1:AJ218"/>
  <sheetViews>
    <sheetView tabSelected="1" zoomScale="70" zoomScaleNormal="70" workbookViewId="0">
      <selection activeCell="K6" sqref="K6:K17"/>
    </sheetView>
  </sheetViews>
  <sheetFormatPr defaultColWidth="8.81640625" defaultRowHeight="12.5" x14ac:dyDescent="0.25"/>
  <cols>
    <col min="1" max="1" width="8.81640625" style="51"/>
    <col min="2" max="3" width="16.453125" style="175" customWidth="1"/>
    <col min="4" max="4" width="8.90625" style="51" customWidth="1"/>
    <col min="5" max="5" width="20.7265625" style="65" customWidth="1"/>
    <col min="6" max="6" width="20.54296875" style="175" customWidth="1"/>
    <col min="7" max="7" width="29.90625" style="175" customWidth="1"/>
    <col min="8" max="8" width="29.81640625" style="177" customWidth="1"/>
    <col min="9" max="9" width="30" style="175" customWidth="1"/>
    <col min="10" max="10" width="32.08984375" style="175" customWidth="1"/>
    <col min="11" max="11" width="8.81640625" style="175" customWidth="1"/>
    <col min="12" max="12" width="16.1796875" style="178" bestFit="1" customWidth="1"/>
    <col min="13" max="13" width="14.81640625" style="175" customWidth="1"/>
    <col min="14" max="14" width="30.36328125" style="175" customWidth="1"/>
    <col min="15" max="15" width="20" style="175" customWidth="1"/>
    <col min="16" max="16" width="15.453125" style="178" customWidth="1"/>
    <col min="17" max="17" width="17" style="51" customWidth="1"/>
    <col min="18" max="18" width="17.81640625" style="51" customWidth="1"/>
    <col min="19" max="19" width="12.81640625" style="51" bestFit="1" customWidth="1"/>
    <col min="20" max="20" width="13.81640625" style="51" bestFit="1" customWidth="1"/>
    <col min="21" max="26" width="8.81640625" style="51"/>
    <col min="27" max="27" width="10.54296875" style="51" bestFit="1" customWidth="1"/>
    <col min="28" max="28" width="30.54296875" style="51" bestFit="1" customWidth="1"/>
    <col min="29" max="29" width="18.453125" style="51" bestFit="1" customWidth="1"/>
    <col min="30" max="30" width="13.453125" style="51" bestFit="1" customWidth="1"/>
    <col min="31" max="32" width="8.81640625" style="51"/>
    <col min="33" max="36" width="13.1796875" style="51" bestFit="1" customWidth="1"/>
    <col min="37" max="16384" width="8.81640625" style="51"/>
  </cols>
  <sheetData>
    <row r="1" spans="4:36" x14ac:dyDescent="0.25">
      <c r="AB1" t="s">
        <v>15</v>
      </c>
      <c r="AC1"/>
      <c r="AD1"/>
      <c r="AE1"/>
      <c r="AF1"/>
      <c r="AG1"/>
      <c r="AH1"/>
      <c r="AI1"/>
      <c r="AJ1"/>
    </row>
    <row r="2" spans="4:36" ht="42" customHeight="1" thickBot="1" x14ac:dyDescent="0.3">
      <c r="AB2"/>
      <c r="AC2"/>
      <c r="AD2"/>
      <c r="AE2"/>
      <c r="AF2"/>
      <c r="AG2"/>
      <c r="AH2"/>
      <c r="AI2"/>
      <c r="AJ2"/>
    </row>
    <row r="3" spans="4:36" ht="13" x14ac:dyDescent="0.3">
      <c r="AB3" s="124" t="s">
        <v>16</v>
      </c>
      <c r="AC3" s="124"/>
      <c r="AD3"/>
      <c r="AE3"/>
      <c r="AF3"/>
      <c r="AG3"/>
      <c r="AH3"/>
      <c r="AI3"/>
      <c r="AJ3"/>
    </row>
    <row r="4" spans="4:36" x14ac:dyDescent="0.25">
      <c r="AA4" s="121"/>
      <c r="AB4" s="121" t="s">
        <v>17</v>
      </c>
      <c r="AC4" s="121">
        <v>0.96392387683116443</v>
      </c>
      <c r="AD4"/>
      <c r="AE4"/>
      <c r="AF4"/>
      <c r="AG4"/>
      <c r="AH4"/>
      <c r="AI4"/>
      <c r="AJ4"/>
    </row>
    <row r="5" spans="4:36" ht="15.5" x14ac:dyDescent="0.35">
      <c r="D5" s="215"/>
      <c r="E5" s="216" t="s">
        <v>152</v>
      </c>
      <c r="F5" s="217"/>
      <c r="G5" s="217"/>
      <c r="H5" s="217"/>
      <c r="I5" s="217"/>
      <c r="J5" s="218"/>
      <c r="AA5" s="121"/>
      <c r="AB5" s="121" t="s">
        <v>18</v>
      </c>
      <c r="AC5" s="121">
        <v>0.92914924032522184</v>
      </c>
      <c r="AD5"/>
      <c r="AE5"/>
      <c r="AF5"/>
      <c r="AG5"/>
      <c r="AH5"/>
      <c r="AI5"/>
      <c r="AJ5"/>
    </row>
    <row r="6" spans="4:36" ht="15.5" x14ac:dyDescent="0.35">
      <c r="D6" s="216" t="s">
        <v>150</v>
      </c>
      <c r="E6" s="215" t="s">
        <v>154</v>
      </c>
      <c r="F6" s="219" t="s">
        <v>156</v>
      </c>
      <c r="G6" s="219" t="s">
        <v>160</v>
      </c>
      <c r="H6" s="219" t="s">
        <v>161</v>
      </c>
      <c r="I6" s="219" t="s">
        <v>155</v>
      </c>
      <c r="J6" s="220" t="s">
        <v>159</v>
      </c>
      <c r="AB6" s="121" t="s">
        <v>19</v>
      </c>
      <c r="AC6" s="121">
        <v>0.92264917063028817</v>
      </c>
      <c r="AD6"/>
      <c r="AE6"/>
      <c r="AF6"/>
      <c r="AG6"/>
      <c r="AH6"/>
      <c r="AI6"/>
      <c r="AJ6"/>
    </row>
    <row r="7" spans="4:36" ht="15.5" x14ac:dyDescent="0.35">
      <c r="D7" s="215">
        <v>2010</v>
      </c>
      <c r="E7" s="221">
        <v>12</v>
      </c>
      <c r="F7" s="222">
        <v>950759112.65007687</v>
      </c>
      <c r="G7" s="222">
        <v>3500.8999999999996</v>
      </c>
      <c r="H7" s="232">
        <v>439.6</v>
      </c>
      <c r="I7" s="232">
        <v>968048822.27663279</v>
      </c>
      <c r="J7" s="223">
        <v>-17289709.626555994</v>
      </c>
      <c r="K7" s="236"/>
      <c r="N7" s="178"/>
      <c r="O7" s="178"/>
      <c r="AB7" s="121" t="s">
        <v>20</v>
      </c>
      <c r="AC7" s="121">
        <v>1775711.8053905657</v>
      </c>
      <c r="AD7"/>
      <c r="AE7"/>
      <c r="AF7"/>
      <c r="AG7"/>
      <c r="AH7"/>
      <c r="AI7"/>
      <c r="AJ7"/>
    </row>
    <row r="8" spans="4:36" ht="16" thickBot="1" x14ac:dyDescent="0.4">
      <c r="D8" s="224">
        <v>2011</v>
      </c>
      <c r="E8" s="225">
        <v>12</v>
      </c>
      <c r="F8" s="226">
        <v>944902732.12384617</v>
      </c>
      <c r="G8" s="226">
        <v>3647.4999999999995</v>
      </c>
      <c r="H8" s="233">
        <v>427.99999999999994</v>
      </c>
      <c r="I8" s="233">
        <v>990395154.85368085</v>
      </c>
      <c r="J8" s="227">
        <v>-45492422.72983475</v>
      </c>
      <c r="K8" s="236"/>
      <c r="AB8" s="122" t="s">
        <v>21</v>
      </c>
      <c r="AC8" s="122">
        <v>120</v>
      </c>
      <c r="AD8"/>
      <c r="AE8"/>
      <c r="AF8"/>
      <c r="AG8"/>
      <c r="AH8"/>
      <c r="AI8"/>
      <c r="AJ8"/>
    </row>
    <row r="9" spans="4:36" ht="15.5" x14ac:dyDescent="0.35">
      <c r="D9" s="224">
        <v>2012</v>
      </c>
      <c r="E9" s="225">
        <v>12</v>
      </c>
      <c r="F9" s="226">
        <v>964379230.70517492</v>
      </c>
      <c r="G9" s="226">
        <v>3215.4000000000005</v>
      </c>
      <c r="H9" s="233">
        <v>477.40000000000003</v>
      </c>
      <c r="I9" s="233">
        <v>1003267833.2412736</v>
      </c>
      <c r="J9" s="227">
        <v>-38888602.536098778</v>
      </c>
      <c r="K9" s="236"/>
      <c r="AB9"/>
      <c r="AC9"/>
      <c r="AD9"/>
      <c r="AE9"/>
      <c r="AF9"/>
      <c r="AG9"/>
      <c r="AH9"/>
      <c r="AI9"/>
      <c r="AJ9"/>
    </row>
    <row r="10" spans="4:36" ht="16" thickBot="1" x14ac:dyDescent="0.4">
      <c r="D10" s="224">
        <v>2013</v>
      </c>
      <c r="E10" s="225">
        <v>12</v>
      </c>
      <c r="F10" s="226">
        <v>961335479.00000012</v>
      </c>
      <c r="G10" s="226">
        <v>3774.7000000000003</v>
      </c>
      <c r="H10" s="233">
        <v>325.79999999999995</v>
      </c>
      <c r="I10" s="233">
        <v>1000566661.5107036</v>
      </c>
      <c r="J10" s="227">
        <v>-39231182.510703459</v>
      </c>
      <c r="K10" s="236"/>
      <c r="AB10" t="s">
        <v>22</v>
      </c>
      <c r="AC10"/>
      <c r="AD10"/>
      <c r="AE10"/>
      <c r="AF10"/>
      <c r="AG10"/>
      <c r="AH10"/>
      <c r="AI10"/>
      <c r="AJ10"/>
    </row>
    <row r="11" spans="4:36" ht="15.5" x14ac:dyDescent="0.35">
      <c r="D11" s="224">
        <v>2014</v>
      </c>
      <c r="E11" s="225">
        <v>12</v>
      </c>
      <c r="F11" s="226">
        <v>913546785.3566668</v>
      </c>
      <c r="G11" s="226">
        <v>4102.8999999999996</v>
      </c>
      <c r="H11" s="233">
        <v>264.2</v>
      </c>
      <c r="I11" s="233">
        <v>1013105863.0459676</v>
      </c>
      <c r="J11" s="227">
        <v>-99559077.689301044</v>
      </c>
      <c r="K11" s="236"/>
      <c r="AB11" s="123"/>
      <c r="AC11" s="123" t="s">
        <v>26</v>
      </c>
      <c r="AD11" s="123" t="s">
        <v>27</v>
      </c>
      <c r="AE11" s="123" t="s">
        <v>28</v>
      </c>
      <c r="AF11" s="123" t="s">
        <v>29</v>
      </c>
      <c r="AG11" s="123" t="s">
        <v>30</v>
      </c>
      <c r="AH11"/>
      <c r="AI11"/>
      <c r="AJ11"/>
    </row>
    <row r="12" spans="4:36" ht="15.5" x14ac:dyDescent="0.35">
      <c r="D12" s="224">
        <v>2015</v>
      </c>
      <c r="E12" s="225">
        <v>12</v>
      </c>
      <c r="F12" s="226">
        <v>920489866.98307681</v>
      </c>
      <c r="G12" s="226">
        <v>3765.5</v>
      </c>
      <c r="H12" s="233">
        <v>351.19999999999993</v>
      </c>
      <c r="I12" s="233">
        <v>1042029395.4364306</v>
      </c>
      <c r="J12" s="227">
        <v>-121539528.45335354</v>
      </c>
      <c r="K12" s="236"/>
      <c r="AB12" s="121" t="s">
        <v>23</v>
      </c>
      <c r="AC12" s="121">
        <v>10</v>
      </c>
      <c r="AD12" s="121">
        <v>4507258089950738</v>
      </c>
      <c r="AE12" s="121">
        <v>450725808995073.81</v>
      </c>
      <c r="AF12" s="121">
        <v>142.94450427960965</v>
      </c>
      <c r="AG12" s="121">
        <v>7.2687801775125784E-58</v>
      </c>
      <c r="AH12"/>
      <c r="AI12"/>
      <c r="AJ12"/>
    </row>
    <row r="13" spans="4:36" ht="15.5" x14ac:dyDescent="0.35">
      <c r="D13" s="224">
        <v>2016</v>
      </c>
      <c r="E13" s="225">
        <v>12</v>
      </c>
      <c r="F13" s="226">
        <v>928717584.78461564</v>
      </c>
      <c r="G13" s="226">
        <v>3462.2999999999997</v>
      </c>
      <c r="H13" s="233">
        <v>566.4</v>
      </c>
      <c r="I13" s="233">
        <v>1090508302.0251603</v>
      </c>
      <c r="J13" s="227">
        <v>-161790717.24054486</v>
      </c>
      <c r="K13" s="236"/>
      <c r="AB13" s="121" t="s">
        <v>24</v>
      </c>
      <c r="AC13" s="121">
        <v>109</v>
      </c>
      <c r="AD13" s="121">
        <v>343693613322573.06</v>
      </c>
      <c r="AE13" s="121">
        <v>3153152415803.4224</v>
      </c>
      <c r="AF13" s="121"/>
      <c r="AG13" s="121"/>
      <c r="AH13"/>
      <c r="AI13"/>
      <c r="AJ13"/>
    </row>
    <row r="14" spans="4:36" ht="16" thickBot="1" x14ac:dyDescent="0.4">
      <c r="D14" s="224">
        <v>2017</v>
      </c>
      <c r="E14" s="225">
        <v>12</v>
      </c>
      <c r="F14" s="226">
        <v>914942349.02142859</v>
      </c>
      <c r="G14" s="226">
        <v>3501.8999999999996</v>
      </c>
      <c r="H14" s="233">
        <v>348.5</v>
      </c>
      <c r="I14" s="233">
        <v>1090489530.085856</v>
      </c>
      <c r="J14" s="227">
        <v>-175547181.06442744</v>
      </c>
      <c r="K14" s="236"/>
      <c r="AB14" s="122" t="s">
        <v>9</v>
      </c>
      <c r="AC14" s="122">
        <v>119</v>
      </c>
      <c r="AD14" s="122">
        <v>4850951703273311</v>
      </c>
      <c r="AE14" s="122"/>
      <c r="AF14" s="122"/>
      <c r="AG14" s="122"/>
      <c r="AH14"/>
      <c r="AI14"/>
      <c r="AJ14"/>
    </row>
    <row r="15" spans="4:36" ht="16" thickBot="1" x14ac:dyDescent="0.4">
      <c r="D15" s="224">
        <v>2018</v>
      </c>
      <c r="E15" s="225">
        <v>12</v>
      </c>
      <c r="F15" s="226">
        <v>965883912.18000007</v>
      </c>
      <c r="G15" s="226">
        <v>3758.3</v>
      </c>
      <c r="H15" s="233">
        <v>518.70000000000005</v>
      </c>
      <c r="I15" s="233">
        <v>1149307508.3487101</v>
      </c>
      <c r="J15" s="227">
        <v>-183423596.16871032</v>
      </c>
      <c r="K15" s="236"/>
      <c r="AB15"/>
      <c r="AC15"/>
      <c r="AD15"/>
      <c r="AE15"/>
      <c r="AF15"/>
      <c r="AG15"/>
      <c r="AH15"/>
      <c r="AI15"/>
      <c r="AJ15"/>
    </row>
    <row r="16" spans="4:36" ht="15.5" x14ac:dyDescent="0.35">
      <c r="D16" s="224">
        <v>2019</v>
      </c>
      <c r="E16" s="225">
        <v>12</v>
      </c>
      <c r="F16" s="226">
        <v>959330220.76954007</v>
      </c>
      <c r="G16" s="226">
        <v>3914.900000000001</v>
      </c>
      <c r="H16" s="233">
        <v>342.00000000000006</v>
      </c>
      <c r="I16" s="233">
        <v>1154083080.0283906</v>
      </c>
      <c r="J16" s="227">
        <v>-194752859.25885028</v>
      </c>
      <c r="K16" s="236"/>
      <c r="AB16" s="123"/>
      <c r="AC16" s="123" t="s">
        <v>31</v>
      </c>
      <c r="AD16" s="123" t="s">
        <v>20</v>
      </c>
      <c r="AE16" s="123" t="s">
        <v>32</v>
      </c>
      <c r="AF16" s="123" t="s">
        <v>33</v>
      </c>
      <c r="AG16" s="123" t="s">
        <v>34</v>
      </c>
      <c r="AH16" s="123" t="s">
        <v>35</v>
      </c>
      <c r="AI16" s="123" t="s">
        <v>36</v>
      </c>
      <c r="AJ16" s="123" t="s">
        <v>37</v>
      </c>
    </row>
    <row r="17" spans="4:36" ht="18" x14ac:dyDescent="0.4">
      <c r="D17" s="224">
        <v>2020</v>
      </c>
      <c r="E17" s="225">
        <v>12</v>
      </c>
      <c r="F17" s="226">
        <v>961031702.85464001</v>
      </c>
      <c r="G17" s="226">
        <v>3512.0000000000009</v>
      </c>
      <c r="H17" s="233">
        <v>497.6</v>
      </c>
      <c r="I17" s="233">
        <v>1143729833.7007113</v>
      </c>
      <c r="J17" s="227">
        <v>-182698130.8460713</v>
      </c>
      <c r="K17" s="236"/>
      <c r="L17" s="188" t="s">
        <v>162</v>
      </c>
      <c r="M17" s="200"/>
      <c r="N17" s="200"/>
      <c r="O17" s="200"/>
      <c r="P17" s="201"/>
      <c r="Q17" s="202"/>
      <c r="R17" s="202"/>
      <c r="AB17" s="121" t="s">
        <v>25</v>
      </c>
      <c r="AC17" s="248">
        <v>-65831648.618372746</v>
      </c>
      <c r="AD17" s="248">
        <v>14882004.796165111</v>
      </c>
      <c r="AE17" s="248">
        <v>-4.4235739418211093</v>
      </c>
      <c r="AF17" s="248">
        <v>2.3089952239713654E-5</v>
      </c>
      <c r="AG17" s="248">
        <v>-95327298.306474447</v>
      </c>
      <c r="AH17" s="248">
        <v>-36335998.930271044</v>
      </c>
      <c r="AI17" s="248">
        <v>-95327298.306474447</v>
      </c>
      <c r="AJ17" s="248">
        <v>-36335998.930271044</v>
      </c>
    </row>
    <row r="18" spans="4:36" ht="18" x14ac:dyDescent="0.4">
      <c r="D18" s="224">
        <v>2021</v>
      </c>
      <c r="E18" s="225"/>
      <c r="F18" s="226"/>
      <c r="G18" s="226">
        <v>3681.61</v>
      </c>
      <c r="H18" s="233">
        <v>411.97999999999996</v>
      </c>
      <c r="I18" s="233">
        <v>1127288947.2762072</v>
      </c>
      <c r="J18" s="227">
        <v>-1127288947.2762072</v>
      </c>
      <c r="K18" s="236"/>
      <c r="L18" s="188" t="s">
        <v>157</v>
      </c>
      <c r="M18" s="200"/>
      <c r="N18" s="200"/>
      <c r="O18" s="200"/>
      <c r="P18" s="201"/>
      <c r="Q18" s="202"/>
      <c r="R18" s="202"/>
      <c r="AB18" s="121" t="s">
        <v>3</v>
      </c>
      <c r="AC18" s="248">
        <v>14216.952614222659</v>
      </c>
      <c r="AD18" s="248">
        <v>1043.2649895478905</v>
      </c>
      <c r="AE18" s="248">
        <v>13.627364817814618</v>
      </c>
      <c r="AF18" s="248">
        <v>2.7438764560932415E-25</v>
      </c>
      <c r="AG18" s="248">
        <v>12149.235321758464</v>
      </c>
      <c r="AH18" s="248">
        <v>16284.669906686853</v>
      </c>
      <c r="AI18" s="248">
        <v>12149.235321758464</v>
      </c>
      <c r="AJ18" s="248">
        <v>16284.669906686853</v>
      </c>
    </row>
    <row r="19" spans="4:36" ht="18" x14ac:dyDescent="0.4">
      <c r="D19" s="228">
        <v>2022</v>
      </c>
      <c r="E19" s="229"/>
      <c r="F19" s="230"/>
      <c r="G19" s="230">
        <v>3681.61</v>
      </c>
      <c r="H19" s="234">
        <v>411.97999999999996</v>
      </c>
      <c r="I19" s="234">
        <v>1173345735.5122623</v>
      </c>
      <c r="J19" s="231">
        <v>-1173345735.5122623</v>
      </c>
      <c r="L19" s="188" t="s">
        <v>157</v>
      </c>
      <c r="M19" s="200"/>
      <c r="N19" s="200"/>
      <c r="O19" s="200"/>
      <c r="P19" s="201"/>
      <c r="Q19" s="202"/>
      <c r="R19" s="202"/>
      <c r="AB19" s="121" t="s">
        <v>4</v>
      </c>
      <c r="AC19" s="248">
        <v>125724.13982256829</v>
      </c>
      <c r="AD19" s="248">
        <v>5572.85471860505</v>
      </c>
      <c r="AE19" s="248">
        <v>22.560096426493331</v>
      </c>
      <c r="AF19" s="248">
        <v>7.1782404893051399E-43</v>
      </c>
      <c r="AG19" s="248">
        <v>114678.92294526851</v>
      </c>
      <c r="AH19" s="248">
        <v>136769.35669986808</v>
      </c>
      <c r="AI19" s="248">
        <v>114678.92294526851</v>
      </c>
      <c r="AJ19" s="248">
        <v>136769.35669986808</v>
      </c>
    </row>
    <row r="20" spans="4:36" x14ac:dyDescent="0.25">
      <c r="D20"/>
      <c r="E20"/>
      <c r="F20"/>
      <c r="G20"/>
      <c r="H20" s="51"/>
      <c r="I20" s="51"/>
      <c r="J20" s="51"/>
      <c r="AB20" s="121" t="s">
        <v>181</v>
      </c>
      <c r="AC20" s="248">
        <v>581468.69710943336</v>
      </c>
      <c r="AD20" s="248">
        <v>102355.8242386073</v>
      </c>
      <c r="AE20" s="248">
        <v>5.680855988750964</v>
      </c>
      <c r="AF20" s="248">
        <v>1.1276174485731758E-7</v>
      </c>
      <c r="AG20" s="248">
        <v>378602.78108333191</v>
      </c>
      <c r="AH20" s="248">
        <v>784334.6131355348</v>
      </c>
      <c r="AI20" s="248">
        <v>378602.78108333191</v>
      </c>
      <c r="AJ20" s="248">
        <v>784334.6131355348</v>
      </c>
    </row>
    <row r="21" spans="4:36" x14ac:dyDescent="0.25">
      <c r="D21"/>
      <c r="E21"/>
      <c r="F21"/>
      <c r="G21" s="51"/>
      <c r="H21" s="51"/>
      <c r="I21" s="51"/>
      <c r="J21" s="51"/>
      <c r="K21" s="51"/>
      <c r="AB21" s="121" t="s">
        <v>5</v>
      </c>
      <c r="AC21" s="248">
        <v>2066421.445274452</v>
      </c>
      <c r="AD21" s="248">
        <v>233304.23762696679</v>
      </c>
      <c r="AE21" s="248">
        <v>8.8571963642532729</v>
      </c>
      <c r="AF21" s="248">
        <v>1.7123590752365793E-14</v>
      </c>
      <c r="AG21" s="248">
        <v>1604020.0310800481</v>
      </c>
      <c r="AH21" s="248">
        <v>2528822.8594688559</v>
      </c>
      <c r="AI21" s="248">
        <v>1604020.0310800481</v>
      </c>
      <c r="AJ21" s="248">
        <v>2528822.8594688559</v>
      </c>
    </row>
    <row r="22" spans="4:36" x14ac:dyDescent="0.25">
      <c r="D22"/>
      <c r="E22"/>
      <c r="F22"/>
      <c r="G22" s="51"/>
      <c r="H22" s="51"/>
      <c r="I22" s="51"/>
      <c r="J22" s="51"/>
      <c r="K22" s="51"/>
      <c r="AB22" s="121" t="s">
        <v>96</v>
      </c>
      <c r="AC22" s="248">
        <v>-1633213.6958615277</v>
      </c>
      <c r="AD22" s="248">
        <v>659474.4201317929</v>
      </c>
      <c r="AE22" s="248">
        <v>-2.4765383553999527</v>
      </c>
      <c r="AF22" s="248">
        <v>1.4803395491606173E-2</v>
      </c>
      <c r="AG22" s="248">
        <v>-2940270.5568755618</v>
      </c>
      <c r="AH22" s="248">
        <v>-326156.83484749356</v>
      </c>
      <c r="AI22" s="248">
        <v>-2940270.5568755618</v>
      </c>
      <c r="AJ22" s="248">
        <v>-326156.83484749356</v>
      </c>
    </row>
    <row r="23" spans="4:36" x14ac:dyDescent="0.25">
      <c r="D23"/>
      <c r="E23"/>
      <c r="F23"/>
      <c r="G23" s="51"/>
      <c r="H23" s="51"/>
      <c r="I23" s="51"/>
      <c r="J23" s="51"/>
      <c r="K23" s="51"/>
      <c r="AB23" s="121" t="s">
        <v>97</v>
      </c>
      <c r="AC23" s="248">
        <v>-4078976.9860055717</v>
      </c>
      <c r="AD23" s="248">
        <v>637718.2016534392</v>
      </c>
      <c r="AE23" s="248">
        <v>-6.3962059973038778</v>
      </c>
      <c r="AF23" s="248">
        <v>4.0841392852508181E-9</v>
      </c>
      <c r="AG23" s="248">
        <v>-5342913.7292959047</v>
      </c>
      <c r="AH23" s="248">
        <v>-2815040.2427152386</v>
      </c>
      <c r="AI23" s="248">
        <v>-5342913.7292959047</v>
      </c>
      <c r="AJ23" s="248">
        <v>-2815040.2427152386</v>
      </c>
    </row>
    <row r="24" spans="4:36" x14ac:dyDescent="0.25">
      <c r="E24" s="51"/>
      <c r="F24" s="51"/>
      <c r="G24" s="51"/>
      <c r="H24" s="51"/>
      <c r="I24" s="51"/>
      <c r="J24" s="51"/>
      <c r="AB24" s="121" t="s">
        <v>84</v>
      </c>
      <c r="AC24" s="248">
        <v>-3013430.3859776156</v>
      </c>
      <c r="AD24" s="248">
        <v>699329.24316533236</v>
      </c>
      <c r="AE24" s="248">
        <v>-4.3090295671579595</v>
      </c>
      <c r="AF24" s="248">
        <v>3.6060748557044804E-5</v>
      </c>
      <c r="AG24" s="248">
        <v>-4399478.2105533257</v>
      </c>
      <c r="AH24" s="248">
        <v>-1627382.5614019053</v>
      </c>
      <c r="AI24" s="248">
        <v>-4399478.2105533257</v>
      </c>
      <c r="AJ24" s="248">
        <v>-1627382.5614019053</v>
      </c>
    </row>
    <row r="25" spans="4:36" x14ac:dyDescent="0.25">
      <c r="E25" s="51"/>
      <c r="F25" s="51"/>
      <c r="AB25" s="121" t="s">
        <v>102</v>
      </c>
      <c r="AC25" s="248">
        <v>-1851697.9976928979</v>
      </c>
      <c r="AD25" s="248">
        <v>713809.97838899866</v>
      </c>
      <c r="AE25" s="248">
        <v>-2.5941049491518799</v>
      </c>
      <c r="AF25" s="248">
        <v>1.0786898564553761E-2</v>
      </c>
      <c r="AG25" s="248">
        <v>-3266446.1687093969</v>
      </c>
      <c r="AH25" s="248">
        <v>-436949.82667639898</v>
      </c>
      <c r="AI25" s="248">
        <v>-3266446.1687093969</v>
      </c>
      <c r="AJ25" s="248">
        <v>-436949.82667639898</v>
      </c>
    </row>
    <row r="26" spans="4:36" x14ac:dyDescent="0.25">
      <c r="E26" s="51"/>
      <c r="F26" s="51"/>
      <c r="AB26" s="121" t="s">
        <v>180</v>
      </c>
      <c r="AC26" s="248">
        <v>-9861.0635231417764</v>
      </c>
      <c r="AD26" s="248">
        <v>35073.028117728274</v>
      </c>
      <c r="AE26" s="248">
        <v>-0.28115803089603575</v>
      </c>
      <c r="AF26" s="248">
        <v>0.7791222157686315</v>
      </c>
      <c r="AG26" s="248">
        <v>-79374.665019092878</v>
      </c>
      <c r="AH26" s="248">
        <v>59652.537972809318</v>
      </c>
      <c r="AI26" s="248">
        <v>-79374.665019092878</v>
      </c>
      <c r="AJ26" s="248">
        <v>59652.537972809318</v>
      </c>
    </row>
    <row r="27" spans="4:36" ht="13" thickBot="1" x14ac:dyDescent="0.3">
      <c r="E27" s="51"/>
      <c r="F27" s="51"/>
      <c r="AB27" s="122" t="s">
        <v>190</v>
      </c>
      <c r="AC27" s="256">
        <v>-1.9971465448374257</v>
      </c>
      <c r="AD27" s="256">
        <v>0.31453601868257713</v>
      </c>
      <c r="AE27" s="256">
        <v>-6.3495002995281835</v>
      </c>
      <c r="AF27" s="256">
        <v>5.0986810291175987E-9</v>
      </c>
      <c r="AG27" s="256">
        <v>-2.6205467082174416</v>
      </c>
      <c r="AH27" s="256">
        <v>-1.3737463814574098</v>
      </c>
      <c r="AI27" s="256">
        <v>-2.6205467082174416</v>
      </c>
      <c r="AJ27" s="256">
        <v>-1.3737463814574098</v>
      </c>
    </row>
    <row r="28" spans="4:36" x14ac:dyDescent="0.25">
      <c r="E28" s="51"/>
      <c r="F28" s="51"/>
      <c r="AB28"/>
      <c r="AC28"/>
      <c r="AD28"/>
      <c r="AE28"/>
      <c r="AF28"/>
      <c r="AG28"/>
      <c r="AH28"/>
      <c r="AI28"/>
      <c r="AJ28"/>
    </row>
    <row r="29" spans="4:36" x14ac:dyDescent="0.25">
      <c r="E29" s="51"/>
      <c r="F29" s="51"/>
      <c r="AB29"/>
      <c r="AC29"/>
      <c r="AD29"/>
      <c r="AE29"/>
      <c r="AF29"/>
      <c r="AG29"/>
      <c r="AH29"/>
      <c r="AI29"/>
      <c r="AJ29"/>
    </row>
    <row r="30" spans="4:36" x14ac:dyDescent="0.25">
      <c r="E30" s="51"/>
      <c r="F30" s="51"/>
      <c r="AB30"/>
      <c r="AC30"/>
      <c r="AD30"/>
      <c r="AE30"/>
      <c r="AF30"/>
      <c r="AG30"/>
      <c r="AH30"/>
      <c r="AI30"/>
      <c r="AJ30"/>
    </row>
    <row r="31" spans="4:36" x14ac:dyDescent="0.25">
      <c r="E31" s="51"/>
      <c r="F31" s="51"/>
      <c r="AB31" s="121"/>
      <c r="AC31" s="121"/>
      <c r="AD31" s="121"/>
      <c r="AE31" s="121"/>
      <c r="AF31"/>
      <c r="AG31"/>
      <c r="AH31"/>
      <c r="AI31"/>
      <c r="AJ31"/>
    </row>
    <row r="32" spans="4:36" x14ac:dyDescent="0.25">
      <c r="E32" s="51"/>
      <c r="F32" s="51"/>
      <c r="AB32" s="121"/>
      <c r="AC32" s="121"/>
      <c r="AD32" s="121"/>
      <c r="AE32" s="121"/>
      <c r="AF32"/>
      <c r="AG32"/>
      <c r="AH32"/>
      <c r="AI32"/>
      <c r="AJ32"/>
    </row>
    <row r="33" spans="2:36" ht="54" x14ac:dyDescent="0.4">
      <c r="E33" s="51"/>
      <c r="F33" s="51"/>
      <c r="N33" s="278" t="s">
        <v>191</v>
      </c>
      <c r="O33" s="277">
        <f>CORREL(N35:N154,O35:O154)</f>
        <v>0.98163865736431732</v>
      </c>
      <c r="P33" s="51"/>
      <c r="AB33" s="121"/>
      <c r="AC33" s="121"/>
      <c r="AD33" s="121"/>
      <c r="AE33" s="121"/>
      <c r="AF33"/>
      <c r="AG33"/>
      <c r="AH33"/>
      <c r="AI33"/>
      <c r="AJ33"/>
    </row>
    <row r="34" spans="2:36" ht="37.5" customHeight="1" x14ac:dyDescent="0.35">
      <c r="B34" s="193" t="s">
        <v>153</v>
      </c>
      <c r="C34" s="193" t="s">
        <v>78</v>
      </c>
      <c r="D34" s="193" t="s">
        <v>150</v>
      </c>
      <c r="E34" s="193" t="s">
        <v>0</v>
      </c>
      <c r="F34" s="193" t="s">
        <v>3</v>
      </c>
      <c r="G34" s="193" t="s">
        <v>4</v>
      </c>
      <c r="H34" s="194" t="s">
        <v>181</v>
      </c>
      <c r="I34" s="193" t="s">
        <v>5</v>
      </c>
      <c r="J34" s="193" t="s">
        <v>96</v>
      </c>
      <c r="K34" s="193" t="s">
        <v>97</v>
      </c>
      <c r="L34" s="193" t="s">
        <v>84</v>
      </c>
      <c r="M34" s="193" t="s">
        <v>102</v>
      </c>
      <c r="N34" s="195" t="s">
        <v>180</v>
      </c>
      <c r="O34" s="195" t="s">
        <v>190</v>
      </c>
      <c r="P34" s="195" t="s">
        <v>125</v>
      </c>
      <c r="Q34" s="195" t="s">
        <v>158</v>
      </c>
    </row>
    <row r="35" spans="2:36" ht="14.5" x14ac:dyDescent="0.35">
      <c r="B35" s="197">
        <v>40179</v>
      </c>
      <c r="C35" s="175">
        <f>MONTH(B35)</f>
        <v>1</v>
      </c>
      <c r="D35" s="175">
        <v>2010</v>
      </c>
      <c r="E35" s="187">
        <v>85740317.673846155</v>
      </c>
      <c r="F35" s="174">
        <v>720</v>
      </c>
      <c r="G35" s="174">
        <v>0</v>
      </c>
      <c r="H35" s="212">
        <v>128.72733605771626</v>
      </c>
      <c r="I35" s="50">
        <v>31</v>
      </c>
      <c r="J35" s="50">
        <f>IF(MONTH($B35)=3,1,0)</f>
        <v>0</v>
      </c>
      <c r="K35" s="50">
        <f>IF(MONTH($B35)=4,1,0)</f>
        <v>0</v>
      </c>
      <c r="L35" s="50">
        <f>IF(MONTH($B35)=5,1,0)</f>
        <v>0</v>
      </c>
      <c r="M35" s="50">
        <f>IF(MONTH($B35)=10,1,0)</f>
        <v>0</v>
      </c>
      <c r="N35" s="185">
        <v>1</v>
      </c>
      <c r="O35" s="185">
        <f>'Negative Impact Var'!E21</f>
        <v>872793.31750048557</v>
      </c>
      <c r="P35" s="214">
        <f>$AC$17+MMULT(F35:O35,$AC$18:$AC$27)</f>
        <v>81561581.2252976</v>
      </c>
      <c r="Q35" s="214">
        <f>E35-P35</f>
        <v>4178736.4485485554</v>
      </c>
    </row>
    <row r="36" spans="2:36" ht="14.5" x14ac:dyDescent="0.35">
      <c r="B36" s="197">
        <v>40210</v>
      </c>
      <c r="C36" s="175">
        <f t="shared" ref="C36:C99" si="0">MONTH(B36)</f>
        <v>2</v>
      </c>
      <c r="D36" s="175">
        <v>2010</v>
      </c>
      <c r="E36" s="187">
        <v>76200452.517692298</v>
      </c>
      <c r="F36" s="174">
        <v>598.29999999999995</v>
      </c>
      <c r="G36" s="174">
        <v>0</v>
      </c>
      <c r="H36" s="212">
        <v>129.07908855613877</v>
      </c>
      <c r="I36" s="50">
        <v>28</v>
      </c>
      <c r="J36" s="50">
        <f t="shared" ref="J36:J99" si="1">IF(MONTH($B36)=3,1,0)</f>
        <v>0</v>
      </c>
      <c r="K36" s="50">
        <f t="shared" ref="K36:K99" si="2">IF(MONTH($B36)=4,1,0)</f>
        <v>0</v>
      </c>
      <c r="L36" s="50">
        <f t="shared" ref="L36:L99" si="3">IF(MONTH($B36)=5,1,0)</f>
        <v>0</v>
      </c>
      <c r="M36" s="50">
        <f t="shared" ref="M36:M99" si="4">IF(MONTH($B36)=10,1,0)</f>
        <v>0</v>
      </c>
      <c r="N36" s="185">
        <v>2</v>
      </c>
      <c r="O36" s="185">
        <f>'Negative Impact Var'!E22</f>
        <v>899529.34059836867</v>
      </c>
      <c r="P36" s="214">
        <f t="shared" ref="P36:P99" si="5">$AC$17+MMULT(F36:N36,$AC$18:$AC$26)</f>
        <v>75569881.91816622</v>
      </c>
      <c r="Q36" s="214">
        <f t="shared" ref="Q36:Q99" si="6">E36-P36</f>
        <v>630570.59952607751</v>
      </c>
    </row>
    <row r="37" spans="2:36" ht="14.5" x14ac:dyDescent="0.35">
      <c r="B37" s="197">
        <v>40238</v>
      </c>
      <c r="C37" s="175">
        <f t="shared" si="0"/>
        <v>3</v>
      </c>
      <c r="D37" s="175">
        <v>2010</v>
      </c>
      <c r="E37" s="187">
        <v>78025070.524615392</v>
      </c>
      <c r="F37" s="174">
        <v>422.8</v>
      </c>
      <c r="G37" s="174">
        <v>0</v>
      </c>
      <c r="H37" s="212">
        <v>129.43180223206977</v>
      </c>
      <c r="I37" s="50">
        <v>31</v>
      </c>
      <c r="J37" s="50">
        <f t="shared" si="1"/>
        <v>1</v>
      </c>
      <c r="K37" s="50">
        <f t="shared" si="2"/>
        <v>0</v>
      </c>
      <c r="L37" s="50">
        <f t="shared" si="3"/>
        <v>0</v>
      </c>
      <c r="M37" s="50">
        <f t="shared" si="4"/>
        <v>0</v>
      </c>
      <c r="N37" s="185">
        <v>3</v>
      </c>
      <c r="O37" s="185">
        <f>'Negative Impact Var'!E23</f>
        <v>926265.36369625165</v>
      </c>
      <c r="P37" s="214">
        <f t="shared" si="5"/>
        <v>77836088.272405118</v>
      </c>
      <c r="Q37" s="214">
        <f t="shared" si="6"/>
        <v>188982.25221027434</v>
      </c>
    </row>
    <row r="38" spans="2:36" ht="14.5" x14ac:dyDescent="0.35">
      <c r="B38" s="197">
        <v>40269</v>
      </c>
      <c r="C38" s="175">
        <f t="shared" si="0"/>
        <v>4</v>
      </c>
      <c r="D38" s="175">
        <v>2010</v>
      </c>
      <c r="E38" s="187">
        <v>69790833.687692314</v>
      </c>
      <c r="F38" s="174">
        <v>225.1</v>
      </c>
      <c r="G38" s="174">
        <v>0</v>
      </c>
      <c r="H38" s="212">
        <v>129.78547971196454</v>
      </c>
      <c r="I38" s="50">
        <v>30</v>
      </c>
      <c r="J38" s="50">
        <f t="shared" si="1"/>
        <v>0</v>
      </c>
      <c r="K38" s="50">
        <f t="shared" si="2"/>
        <v>1</v>
      </c>
      <c r="L38" s="50">
        <f t="shared" si="3"/>
        <v>0</v>
      </c>
      <c r="M38" s="50">
        <f t="shared" si="4"/>
        <v>0</v>
      </c>
      <c r="N38" s="185">
        <v>4</v>
      </c>
      <c r="O38" s="185">
        <f>'Negative Impact Var'!E24</f>
        <v>953001.38679413474</v>
      </c>
      <c r="P38" s="214">
        <f t="shared" si="5"/>
        <v>70709003.32506302</v>
      </c>
      <c r="Q38" s="214">
        <f t="shared" si="6"/>
        <v>-918169.6373707056</v>
      </c>
    </row>
    <row r="39" spans="2:36" ht="14.5" x14ac:dyDescent="0.35">
      <c r="B39" s="197">
        <v>40299</v>
      </c>
      <c r="C39" s="175">
        <f t="shared" si="0"/>
        <v>5</v>
      </c>
      <c r="D39" s="175">
        <v>2010</v>
      </c>
      <c r="E39" s="187">
        <v>76066069.509230763</v>
      </c>
      <c r="F39" s="174">
        <v>107.9</v>
      </c>
      <c r="G39" s="174">
        <v>45.7</v>
      </c>
      <c r="H39" s="212">
        <v>130.14012362945522</v>
      </c>
      <c r="I39" s="50">
        <v>31</v>
      </c>
      <c r="J39" s="50">
        <f t="shared" si="1"/>
        <v>0</v>
      </c>
      <c r="K39" s="50">
        <f t="shared" si="2"/>
        <v>0</v>
      </c>
      <c r="L39" s="50">
        <f t="shared" si="3"/>
        <v>1</v>
      </c>
      <c r="M39" s="50">
        <f t="shared" si="4"/>
        <v>0</v>
      </c>
      <c r="N39" s="185">
        <v>5</v>
      </c>
      <c r="O39" s="185">
        <f>'Negative Impact Var'!E25</f>
        <v>979737.40989201772</v>
      </c>
      <c r="P39" s="214">
        <f t="shared" si="5"/>
        <v>78116690.986987859</v>
      </c>
      <c r="Q39" s="214">
        <f t="shared" si="6"/>
        <v>-2050621.4777570963</v>
      </c>
    </row>
    <row r="40" spans="2:36" ht="14.5" x14ac:dyDescent="0.35">
      <c r="B40" s="197">
        <v>40330</v>
      </c>
      <c r="C40" s="175">
        <f t="shared" si="0"/>
        <v>6</v>
      </c>
      <c r="D40" s="175">
        <v>2010</v>
      </c>
      <c r="E40" s="187">
        <v>79225717.646153852</v>
      </c>
      <c r="F40" s="174">
        <v>21.7</v>
      </c>
      <c r="G40" s="174">
        <v>58.7</v>
      </c>
      <c r="H40" s="212">
        <v>130.49573662537048</v>
      </c>
      <c r="I40" s="50">
        <v>30</v>
      </c>
      <c r="J40" s="50">
        <f t="shared" si="1"/>
        <v>0</v>
      </c>
      <c r="K40" s="50">
        <f t="shared" si="2"/>
        <v>0</v>
      </c>
      <c r="L40" s="50">
        <f t="shared" si="3"/>
        <v>0</v>
      </c>
      <c r="M40" s="50">
        <f t="shared" si="4"/>
        <v>0</v>
      </c>
      <c r="N40" s="185">
        <v>6</v>
      </c>
      <c r="O40" s="185">
        <f>'Negative Impact Var'!E26</f>
        <v>1006473.4329899008</v>
      </c>
      <c r="P40" s="214">
        <f t="shared" si="5"/>
        <v>79669529.191925287</v>
      </c>
      <c r="Q40" s="214">
        <f t="shared" si="6"/>
        <v>-443811.5457714349</v>
      </c>
    </row>
    <row r="41" spans="2:36" ht="14.5" x14ac:dyDescent="0.35">
      <c r="B41" s="197">
        <v>40360</v>
      </c>
      <c r="C41" s="175">
        <f t="shared" si="0"/>
        <v>7</v>
      </c>
      <c r="D41" s="175">
        <v>2010</v>
      </c>
      <c r="E41" s="187">
        <v>89977040.172307685</v>
      </c>
      <c r="F41" s="174">
        <v>1.8</v>
      </c>
      <c r="G41" s="174">
        <v>164.9</v>
      </c>
      <c r="H41" s="212">
        <v>130.85232134775515</v>
      </c>
      <c r="I41" s="50">
        <f>DAY(EOMONTH(B41,0))</f>
        <v>31</v>
      </c>
      <c r="J41" s="50">
        <f t="shared" si="1"/>
        <v>0</v>
      </c>
      <c r="K41" s="50">
        <f t="shared" si="2"/>
        <v>0</v>
      </c>
      <c r="L41" s="50">
        <f t="shared" si="3"/>
        <v>0</v>
      </c>
      <c r="M41" s="50">
        <f t="shared" si="4"/>
        <v>0</v>
      </c>
      <c r="N41" s="185">
        <v>7</v>
      </c>
      <c r="O41" s="185">
        <f>'Negative Impact Var'!E27</f>
        <v>1033209.4560877838</v>
      </c>
      <c r="P41" s="214">
        <f t="shared" si="5"/>
        <v>95002418.719744474</v>
      </c>
      <c r="Q41" s="214">
        <f t="shared" si="6"/>
        <v>-5025378.5474367887</v>
      </c>
    </row>
    <row r="42" spans="2:36" ht="14.5" x14ac:dyDescent="0.35">
      <c r="B42" s="197">
        <v>40391</v>
      </c>
      <c r="C42" s="175">
        <f t="shared" si="0"/>
        <v>8</v>
      </c>
      <c r="D42" s="175">
        <v>2010</v>
      </c>
      <c r="E42" s="187">
        <v>88856918.292384624</v>
      </c>
      <c r="F42" s="174">
        <v>2.1</v>
      </c>
      <c r="G42" s="174">
        <v>138.80000000000001</v>
      </c>
      <c r="H42" s="212">
        <v>131.20988045188997</v>
      </c>
      <c r="I42" s="50">
        <f t="shared" ref="I42:I105" si="7">DAY(EOMONTH(B42,0))</f>
        <v>31</v>
      </c>
      <c r="J42" s="50">
        <f t="shared" si="1"/>
        <v>0</v>
      </c>
      <c r="K42" s="50">
        <f t="shared" si="2"/>
        <v>0</v>
      </c>
      <c r="L42" s="50">
        <f t="shared" si="3"/>
        <v>0</v>
      </c>
      <c r="M42" s="50">
        <f t="shared" si="4"/>
        <v>0</v>
      </c>
      <c r="N42" s="185">
        <v>8</v>
      </c>
      <c r="O42" s="185">
        <f>'Negative Impact Var'!E28</f>
        <v>1059945.4791856669</v>
      </c>
      <c r="P42" s="214">
        <f t="shared" si="5"/>
        <v>91923332.119057447</v>
      </c>
      <c r="Q42" s="214">
        <f t="shared" si="6"/>
        <v>-3066413.8266728222</v>
      </c>
    </row>
    <row r="43" spans="2:36" ht="14.5" x14ac:dyDescent="0.35">
      <c r="B43" s="197">
        <v>40422</v>
      </c>
      <c r="C43" s="175">
        <f t="shared" si="0"/>
        <v>9</v>
      </c>
      <c r="D43" s="175">
        <v>2010</v>
      </c>
      <c r="E43" s="187">
        <v>74349622.304615363</v>
      </c>
      <c r="F43" s="174">
        <v>78.099999999999994</v>
      </c>
      <c r="G43" s="174">
        <v>31.5</v>
      </c>
      <c r="H43" s="212">
        <v>131.56841660031131</v>
      </c>
      <c r="I43" s="50">
        <f t="shared" si="7"/>
        <v>30</v>
      </c>
      <c r="J43" s="50">
        <f t="shared" si="1"/>
        <v>0</v>
      </c>
      <c r="K43" s="50">
        <f t="shared" si="2"/>
        <v>0</v>
      </c>
      <c r="L43" s="50">
        <f t="shared" si="3"/>
        <v>0</v>
      </c>
      <c r="M43" s="50">
        <f t="shared" si="4"/>
        <v>0</v>
      </c>
      <c r="N43" s="185">
        <v>9</v>
      </c>
      <c r="O43" s="185">
        <f>'Negative Impact Var'!E29</f>
        <v>1086681.5022835499</v>
      </c>
      <c r="P43" s="214">
        <f t="shared" si="5"/>
        <v>77645815.353068411</v>
      </c>
      <c r="Q43" s="214">
        <f t="shared" si="6"/>
        <v>-3296193.0484530479</v>
      </c>
    </row>
    <row r="44" spans="2:36" ht="14.5" x14ac:dyDescent="0.35">
      <c r="B44" s="197">
        <v>40452</v>
      </c>
      <c r="C44" s="175">
        <f t="shared" si="0"/>
        <v>10</v>
      </c>
      <c r="D44" s="175">
        <v>2010</v>
      </c>
      <c r="E44" s="187">
        <v>73264038.258461535</v>
      </c>
      <c r="F44" s="174">
        <v>241.6</v>
      </c>
      <c r="G44" s="174">
        <v>0</v>
      </c>
      <c r="H44" s="212">
        <v>131.92793246283102</v>
      </c>
      <c r="I44" s="50">
        <f t="shared" si="7"/>
        <v>31</v>
      </c>
      <c r="J44" s="50">
        <f t="shared" si="1"/>
        <v>0</v>
      </c>
      <c r="K44" s="50">
        <f t="shared" si="2"/>
        <v>0</v>
      </c>
      <c r="L44" s="50">
        <f t="shared" si="3"/>
        <v>0</v>
      </c>
      <c r="M44" s="50">
        <f t="shared" si="4"/>
        <v>1</v>
      </c>
      <c r="N44" s="185">
        <v>10</v>
      </c>
      <c r="O44" s="185">
        <f>'Negative Impact Var'!E30</f>
        <v>1113417.5253814328</v>
      </c>
      <c r="P44" s="214">
        <f t="shared" si="5"/>
        <v>76423886.305310875</v>
      </c>
      <c r="Q44" s="214">
        <f t="shared" si="6"/>
        <v>-3159848.0468493402</v>
      </c>
    </row>
    <row r="45" spans="2:36" ht="14.5" x14ac:dyDescent="0.35">
      <c r="B45" s="197">
        <v>40483</v>
      </c>
      <c r="C45" s="175">
        <f t="shared" si="0"/>
        <v>11</v>
      </c>
      <c r="D45" s="175">
        <v>2010</v>
      </c>
      <c r="E45" s="187">
        <v>76397905.17076923</v>
      </c>
      <c r="F45" s="174">
        <v>405.3</v>
      </c>
      <c r="G45" s="174">
        <v>0</v>
      </c>
      <c r="H45" s="212">
        <v>132.28843071655632</v>
      </c>
      <c r="I45" s="50">
        <f t="shared" si="7"/>
        <v>30</v>
      </c>
      <c r="J45" s="50">
        <f t="shared" si="1"/>
        <v>0</v>
      </c>
      <c r="K45" s="50">
        <f t="shared" si="2"/>
        <v>0</v>
      </c>
      <c r="L45" s="50">
        <f t="shared" si="3"/>
        <v>0</v>
      </c>
      <c r="M45" s="50">
        <f t="shared" si="4"/>
        <v>0</v>
      </c>
      <c r="N45" s="185">
        <v>11</v>
      </c>
      <c r="O45" s="185">
        <f>'Negative Impact Var'!E31</f>
        <v>1140153.5484793158</v>
      </c>
      <c r="P45" s="214">
        <f t="shared" si="5"/>
        <v>78736235.387058258</v>
      </c>
      <c r="Q45" s="214">
        <f t="shared" si="6"/>
        <v>-2338330.2162890285</v>
      </c>
    </row>
    <row r="46" spans="2:36" ht="14.5" x14ac:dyDescent="0.35">
      <c r="B46" s="197">
        <v>40513</v>
      </c>
      <c r="C46" s="175">
        <f t="shared" si="0"/>
        <v>12</v>
      </c>
      <c r="D46" s="175">
        <v>2010</v>
      </c>
      <c r="E46" s="187">
        <v>82865126.892307699</v>
      </c>
      <c r="F46" s="174">
        <v>676.2</v>
      </c>
      <c r="G46" s="174">
        <v>0</v>
      </c>
      <c r="H46" s="212">
        <v>132.64991404590961</v>
      </c>
      <c r="I46" s="50">
        <f t="shared" si="7"/>
        <v>31</v>
      </c>
      <c r="J46" s="50">
        <f t="shared" si="1"/>
        <v>0</v>
      </c>
      <c r="K46" s="50">
        <f t="shared" si="2"/>
        <v>0</v>
      </c>
      <c r="L46" s="50">
        <f t="shared" si="3"/>
        <v>0</v>
      </c>
      <c r="M46" s="50">
        <f t="shared" si="4"/>
        <v>0</v>
      </c>
      <c r="N46" s="185">
        <v>12</v>
      </c>
      <c r="O46" s="185">
        <f>'Negative Impact Var'!E32</f>
        <v>1166889.571577199</v>
      </c>
      <c r="P46" s="214">
        <f t="shared" si="5"/>
        <v>84854359.472548336</v>
      </c>
      <c r="Q46" s="214">
        <f t="shared" si="6"/>
        <v>-1989232.5802406371</v>
      </c>
    </row>
    <row r="47" spans="2:36" ht="14.5" x14ac:dyDescent="0.35">
      <c r="B47" s="197">
        <v>40544</v>
      </c>
      <c r="C47" s="175">
        <f t="shared" si="0"/>
        <v>1</v>
      </c>
      <c r="D47" s="175">
        <v>2011</v>
      </c>
      <c r="E47" s="187">
        <v>86054286.131538451</v>
      </c>
      <c r="F47" s="174">
        <v>775.3</v>
      </c>
      <c r="G47" s="174">
        <v>0</v>
      </c>
      <c r="H47" s="212">
        <v>132.81780450021679</v>
      </c>
      <c r="I47" s="50">
        <f t="shared" si="7"/>
        <v>31</v>
      </c>
      <c r="J47" s="50">
        <f t="shared" si="1"/>
        <v>0</v>
      </c>
      <c r="K47" s="50">
        <f t="shared" si="2"/>
        <v>0</v>
      </c>
      <c r="L47" s="50">
        <f t="shared" si="3"/>
        <v>0</v>
      </c>
      <c r="M47" s="50">
        <f t="shared" si="4"/>
        <v>0</v>
      </c>
      <c r="N47" s="185">
        <v>13</v>
      </c>
      <c r="O47" s="185">
        <f>'Negative Impact Var'!E33</f>
        <v>1123074.3616666666</v>
      </c>
      <c r="P47" s="214">
        <f t="shared" si="5"/>
        <v>86351021.456817746</v>
      </c>
      <c r="Q47" s="214">
        <f t="shared" si="6"/>
        <v>-296735.32527929544</v>
      </c>
    </row>
    <row r="48" spans="2:36" ht="14.5" x14ac:dyDescent="0.35">
      <c r="B48" s="197">
        <v>40575</v>
      </c>
      <c r="C48" s="175">
        <f t="shared" si="0"/>
        <v>2</v>
      </c>
      <c r="D48" s="175">
        <v>2011</v>
      </c>
      <c r="E48" s="187">
        <v>76331649.843846157</v>
      </c>
      <c r="F48" s="174">
        <v>654.20000000000005</v>
      </c>
      <c r="G48" s="174">
        <v>0</v>
      </c>
      <c r="H48" s="212">
        <v>132.98590744772346</v>
      </c>
      <c r="I48" s="50">
        <f t="shared" si="7"/>
        <v>28</v>
      </c>
      <c r="J48" s="50">
        <f t="shared" si="1"/>
        <v>0</v>
      </c>
      <c r="K48" s="50">
        <f t="shared" si="2"/>
        <v>0</v>
      </c>
      <c r="L48" s="50">
        <f t="shared" si="3"/>
        <v>0</v>
      </c>
      <c r="M48" s="50">
        <f t="shared" si="4"/>
        <v>0</v>
      </c>
      <c r="N48" s="185">
        <v>14</v>
      </c>
      <c r="O48" s="185">
        <f>'Negative Impact Var'!E34</f>
        <v>1150549.0391666666</v>
      </c>
      <c r="P48" s="214">
        <f t="shared" si="5"/>
        <v>78517969.697755843</v>
      </c>
      <c r="Q48" s="214">
        <f t="shared" si="6"/>
        <v>-2186319.8539096862</v>
      </c>
    </row>
    <row r="49" spans="2:17" ht="14.5" x14ac:dyDescent="0.35">
      <c r="B49" s="197">
        <v>40603</v>
      </c>
      <c r="C49" s="175">
        <f t="shared" si="0"/>
        <v>3</v>
      </c>
      <c r="D49" s="175">
        <v>2011</v>
      </c>
      <c r="E49" s="187">
        <v>80293454.303076923</v>
      </c>
      <c r="F49" s="174">
        <v>572.79999999999995</v>
      </c>
      <c r="G49" s="174">
        <v>0</v>
      </c>
      <c r="H49" s="212">
        <v>133.15422315737499</v>
      </c>
      <c r="I49" s="50">
        <f t="shared" si="7"/>
        <v>31</v>
      </c>
      <c r="J49" s="50">
        <f t="shared" si="1"/>
        <v>1</v>
      </c>
      <c r="K49" s="50">
        <f t="shared" si="2"/>
        <v>0</v>
      </c>
      <c r="L49" s="50">
        <f t="shared" si="3"/>
        <v>0</v>
      </c>
      <c r="M49" s="50">
        <f t="shared" si="4"/>
        <v>0</v>
      </c>
      <c r="N49" s="185">
        <v>15</v>
      </c>
      <c r="O49" s="185">
        <f>'Negative Impact Var'!E35</f>
        <v>1178023.7166666666</v>
      </c>
      <c r="P49" s="214">
        <f t="shared" si="5"/>
        <v>82014769.647790968</v>
      </c>
      <c r="Q49" s="214">
        <f t="shared" si="6"/>
        <v>-1721315.3447140455</v>
      </c>
    </row>
    <row r="50" spans="2:17" ht="14.5" x14ac:dyDescent="0.35">
      <c r="B50" s="197">
        <v>40634</v>
      </c>
      <c r="C50" s="175">
        <f t="shared" si="0"/>
        <v>4</v>
      </c>
      <c r="D50" s="175">
        <v>2011</v>
      </c>
      <c r="E50" s="187">
        <v>71266777.976153851</v>
      </c>
      <c r="F50" s="174">
        <v>332.3</v>
      </c>
      <c r="G50" s="174">
        <v>0</v>
      </c>
      <c r="H50" s="212">
        <v>133.32275189845711</v>
      </c>
      <c r="I50" s="50">
        <f t="shared" si="7"/>
        <v>30</v>
      </c>
      <c r="J50" s="50">
        <f t="shared" si="1"/>
        <v>0</v>
      </c>
      <c r="K50" s="50">
        <f t="shared" si="2"/>
        <v>1</v>
      </c>
      <c r="L50" s="50">
        <f t="shared" si="3"/>
        <v>0</v>
      </c>
      <c r="M50" s="50">
        <f t="shared" si="4"/>
        <v>0</v>
      </c>
      <c r="N50" s="185">
        <v>16</v>
      </c>
      <c r="O50" s="185">
        <f>'Negative Impact Var'!E36</f>
        <v>1205498.3941666665</v>
      </c>
      <c r="P50" s="214">
        <f t="shared" si="5"/>
        <v>74171540.932631254</v>
      </c>
      <c r="Q50" s="214">
        <f t="shared" si="6"/>
        <v>-2904762.9564774036</v>
      </c>
    </row>
    <row r="51" spans="2:17" ht="14.5" x14ac:dyDescent="0.35">
      <c r="B51" s="197">
        <v>40664</v>
      </c>
      <c r="C51" s="175">
        <f t="shared" si="0"/>
        <v>5</v>
      </c>
      <c r="D51" s="175">
        <v>2011</v>
      </c>
      <c r="E51" s="187">
        <v>72652305.789999992</v>
      </c>
      <c r="F51" s="174">
        <v>134.1</v>
      </c>
      <c r="G51" s="174">
        <v>13</v>
      </c>
      <c r="H51" s="212">
        <v>133.49149394059646</v>
      </c>
      <c r="I51" s="50">
        <f t="shared" si="7"/>
        <v>31</v>
      </c>
      <c r="J51" s="50">
        <f t="shared" si="1"/>
        <v>0</v>
      </c>
      <c r="K51" s="50">
        <f t="shared" si="2"/>
        <v>0</v>
      </c>
      <c r="L51" s="50">
        <f t="shared" si="3"/>
        <v>1</v>
      </c>
      <c r="M51" s="50">
        <f t="shared" si="4"/>
        <v>0</v>
      </c>
      <c r="N51" s="185">
        <v>17</v>
      </c>
      <c r="O51" s="185">
        <f>'Negative Impact Var'!E37</f>
        <v>1232973.0716666665</v>
      </c>
      <c r="P51" s="214">
        <f t="shared" si="5"/>
        <v>76208379.939355314</v>
      </c>
      <c r="Q51" s="214">
        <f t="shared" si="6"/>
        <v>-3556074.1493553221</v>
      </c>
    </row>
    <row r="52" spans="2:17" ht="14.5" x14ac:dyDescent="0.35">
      <c r="B52" s="197">
        <v>40695</v>
      </c>
      <c r="C52" s="175">
        <f t="shared" si="0"/>
        <v>6</v>
      </c>
      <c r="D52" s="175">
        <v>2011</v>
      </c>
      <c r="E52" s="187">
        <v>76886231.902307689</v>
      </c>
      <c r="F52" s="174">
        <v>19</v>
      </c>
      <c r="G52" s="174">
        <v>52.2</v>
      </c>
      <c r="H52" s="212">
        <v>133.66044955376086</v>
      </c>
      <c r="I52" s="50">
        <f t="shared" si="7"/>
        <v>30</v>
      </c>
      <c r="J52" s="50">
        <f t="shared" si="1"/>
        <v>0</v>
      </c>
      <c r="K52" s="50">
        <f t="shared" si="2"/>
        <v>0</v>
      </c>
      <c r="L52" s="50">
        <f t="shared" si="3"/>
        <v>0</v>
      </c>
      <c r="M52" s="50">
        <f t="shared" si="4"/>
        <v>0</v>
      </c>
      <c r="N52" s="185">
        <v>18</v>
      </c>
      <c r="O52" s="185">
        <f>'Negative Impact Var'!E38</f>
        <v>1260447.7491666665</v>
      </c>
      <c r="P52" s="214">
        <f t="shared" si="5"/>
        <v>80535785.251939029</v>
      </c>
      <c r="Q52" s="214">
        <f t="shared" si="6"/>
        <v>-3649553.3496313393</v>
      </c>
    </row>
    <row r="53" spans="2:17" ht="14.5" x14ac:dyDescent="0.35">
      <c r="B53" s="197">
        <v>40725</v>
      </c>
      <c r="C53" s="175">
        <f t="shared" si="0"/>
        <v>7</v>
      </c>
      <c r="D53" s="175">
        <v>2011</v>
      </c>
      <c r="E53" s="187">
        <v>93432707.71615386</v>
      </c>
      <c r="F53" s="174">
        <v>0</v>
      </c>
      <c r="G53" s="174">
        <v>198.5</v>
      </c>
      <c r="H53" s="212">
        <v>133.82961900825984</v>
      </c>
      <c r="I53" s="50">
        <f t="shared" si="7"/>
        <v>31</v>
      </c>
      <c r="J53" s="50">
        <f t="shared" si="1"/>
        <v>0</v>
      </c>
      <c r="K53" s="50">
        <f t="shared" si="2"/>
        <v>0</v>
      </c>
      <c r="L53" s="50">
        <f t="shared" si="3"/>
        <v>0</v>
      </c>
      <c r="M53" s="50">
        <f t="shared" si="4"/>
        <v>0</v>
      </c>
      <c r="N53" s="185">
        <v>19</v>
      </c>
      <c r="O53" s="185">
        <f>'Negative Impact Var'!E39</f>
        <v>1287922.4266666665</v>
      </c>
      <c r="P53" s="214">
        <f t="shared" si="5"/>
        <v>100814031.93236008</v>
      </c>
      <c r="Q53" s="214">
        <f t="shared" si="6"/>
        <v>-7381324.2162062228</v>
      </c>
    </row>
    <row r="54" spans="2:17" ht="14.5" x14ac:dyDescent="0.35">
      <c r="B54" s="197">
        <v>40756</v>
      </c>
      <c r="C54" s="175">
        <f t="shared" si="0"/>
        <v>8</v>
      </c>
      <c r="D54" s="175">
        <v>2011</v>
      </c>
      <c r="E54" s="187">
        <v>86792642.630769238</v>
      </c>
      <c r="F54" s="174">
        <v>0</v>
      </c>
      <c r="G54" s="174">
        <v>122.2</v>
      </c>
      <c r="H54" s="212">
        <v>133.99900257474505</v>
      </c>
      <c r="I54" s="50">
        <f t="shared" si="7"/>
        <v>31</v>
      </c>
      <c r="J54" s="50">
        <f t="shared" si="1"/>
        <v>0</v>
      </c>
      <c r="K54" s="50">
        <f t="shared" si="2"/>
        <v>0</v>
      </c>
      <c r="L54" s="50">
        <f t="shared" si="3"/>
        <v>0</v>
      </c>
      <c r="M54" s="50">
        <f t="shared" si="4"/>
        <v>0</v>
      </c>
      <c r="N54" s="185">
        <v>20</v>
      </c>
      <c r="O54" s="185">
        <f>'Negative Impact Var'!E40</f>
        <v>1315397.1041666665</v>
      </c>
      <c r="P54" s="214">
        <f t="shared" si="5"/>
        <v>91309910.242090911</v>
      </c>
      <c r="Q54" s="214">
        <f t="shared" si="6"/>
        <v>-4517267.6113216728</v>
      </c>
    </row>
    <row r="55" spans="2:17" ht="14.5" x14ac:dyDescent="0.35">
      <c r="B55" s="197">
        <v>40787</v>
      </c>
      <c r="C55" s="175">
        <f t="shared" si="0"/>
        <v>9</v>
      </c>
      <c r="D55" s="175">
        <v>2011</v>
      </c>
      <c r="E55" s="187">
        <v>75561450.664615378</v>
      </c>
      <c r="F55" s="174">
        <v>48.2</v>
      </c>
      <c r="G55" s="174">
        <v>39.700000000000003</v>
      </c>
      <c r="H55" s="212">
        <v>134.16860052421072</v>
      </c>
      <c r="I55" s="50">
        <f t="shared" si="7"/>
        <v>30</v>
      </c>
      <c r="J55" s="50">
        <f t="shared" si="1"/>
        <v>0</v>
      </c>
      <c r="K55" s="50">
        <f t="shared" si="2"/>
        <v>0</v>
      </c>
      <c r="L55" s="50">
        <f t="shared" si="3"/>
        <v>0</v>
      </c>
      <c r="M55" s="50">
        <f t="shared" si="4"/>
        <v>0</v>
      </c>
      <c r="N55" s="185">
        <v>21</v>
      </c>
      <c r="O55" s="185">
        <f>'Negative Impact Var'!E41</f>
        <v>1342871.7816666665</v>
      </c>
      <c r="P55" s="214">
        <f t="shared" si="5"/>
        <v>79645259.212645173</v>
      </c>
      <c r="Q55" s="214">
        <f t="shared" si="6"/>
        <v>-4083808.5480297953</v>
      </c>
    </row>
    <row r="56" spans="2:17" ht="14.5" x14ac:dyDescent="0.35">
      <c r="B56" s="197">
        <v>40817</v>
      </c>
      <c r="C56" s="175">
        <f t="shared" si="0"/>
        <v>10</v>
      </c>
      <c r="D56" s="175">
        <v>2011</v>
      </c>
      <c r="E56" s="187">
        <v>73210551.581538469</v>
      </c>
      <c r="F56" s="174">
        <v>235.5</v>
      </c>
      <c r="G56" s="174">
        <v>2.4</v>
      </c>
      <c r="H56" s="212">
        <v>134.33841312799402</v>
      </c>
      <c r="I56" s="50">
        <f t="shared" si="7"/>
        <v>31</v>
      </c>
      <c r="J56" s="50">
        <f t="shared" si="1"/>
        <v>0</v>
      </c>
      <c r="K56" s="50">
        <f t="shared" si="2"/>
        <v>0</v>
      </c>
      <c r="L56" s="50">
        <f t="shared" si="3"/>
        <v>0</v>
      </c>
      <c r="M56" s="50">
        <f t="shared" si="4"/>
        <v>1</v>
      </c>
      <c r="N56" s="185">
        <v>22</v>
      </c>
      <c r="O56" s="185">
        <f>'Negative Impact Var'!E42</f>
        <v>1370346.4591666665</v>
      </c>
      <c r="P56" s="214">
        <f t="shared" si="5"/>
        <v>77922187.119440347</v>
      </c>
      <c r="Q56" s="214">
        <f t="shared" si="6"/>
        <v>-4711635.5379018784</v>
      </c>
    </row>
    <row r="57" spans="2:17" ht="14.5" x14ac:dyDescent="0.35">
      <c r="B57" s="197">
        <v>40848</v>
      </c>
      <c r="C57" s="175">
        <f t="shared" si="0"/>
        <v>11</v>
      </c>
      <c r="D57" s="175">
        <v>2011</v>
      </c>
      <c r="E57" s="187">
        <v>74362594.600769222</v>
      </c>
      <c r="F57" s="174">
        <v>342.1</v>
      </c>
      <c r="G57" s="174">
        <v>0</v>
      </c>
      <c r="H57" s="212">
        <v>134.50844065777559</v>
      </c>
      <c r="I57" s="50">
        <f t="shared" si="7"/>
        <v>30</v>
      </c>
      <c r="J57" s="50">
        <f t="shared" si="1"/>
        <v>0</v>
      </c>
      <c r="K57" s="50">
        <f t="shared" si="2"/>
        <v>0</v>
      </c>
      <c r="L57" s="50">
        <f t="shared" si="3"/>
        <v>0</v>
      </c>
      <c r="M57" s="50">
        <f t="shared" si="4"/>
        <v>0</v>
      </c>
      <c r="N57" s="185">
        <v>23</v>
      </c>
      <c r="O57" s="185">
        <f>'Negative Impact Var'!E43</f>
        <v>1397821.1366666665</v>
      </c>
      <c r="P57" s="214">
        <f t="shared" si="5"/>
        <v>79010257.507652402</v>
      </c>
      <c r="Q57" s="214">
        <f t="shared" si="6"/>
        <v>-4647662.9068831801</v>
      </c>
    </row>
    <row r="58" spans="2:17" ht="14.5" x14ac:dyDescent="0.35">
      <c r="B58" s="197">
        <v>40878</v>
      </c>
      <c r="C58" s="175">
        <f t="shared" si="0"/>
        <v>12</v>
      </c>
      <c r="D58" s="175">
        <v>2011</v>
      </c>
      <c r="E58" s="187">
        <v>78058078.98307693</v>
      </c>
      <c r="F58" s="174">
        <v>534</v>
      </c>
      <c r="G58" s="174">
        <v>0</v>
      </c>
      <c r="H58" s="212">
        <v>134.67868338557994</v>
      </c>
      <c r="I58" s="50">
        <f t="shared" si="7"/>
        <v>31</v>
      </c>
      <c r="J58" s="50">
        <f t="shared" si="1"/>
        <v>0</v>
      </c>
      <c r="K58" s="50">
        <f t="shared" si="2"/>
        <v>0</v>
      </c>
      <c r="L58" s="50">
        <f t="shared" si="3"/>
        <v>0</v>
      </c>
      <c r="M58" s="50">
        <f t="shared" si="4"/>
        <v>0</v>
      </c>
      <c r="N58" s="185">
        <v>24</v>
      </c>
      <c r="O58" s="185">
        <f>'Negative Impact Var'!E44</f>
        <v>1425295.8141666665</v>
      </c>
      <c r="P58" s="214">
        <f t="shared" si="5"/>
        <v>83894041.913201839</v>
      </c>
      <c r="Q58" s="214">
        <f t="shared" si="6"/>
        <v>-5835962.9301249087</v>
      </c>
    </row>
    <row r="59" spans="2:17" ht="14.5" x14ac:dyDescent="0.35">
      <c r="B59" s="197">
        <v>40909</v>
      </c>
      <c r="C59" s="175">
        <f t="shared" si="0"/>
        <v>1</v>
      </c>
      <c r="D59" s="175">
        <v>2012</v>
      </c>
      <c r="E59" s="187">
        <v>83475292.246923089</v>
      </c>
      <c r="F59" s="174">
        <v>610.80000000000007</v>
      </c>
      <c r="G59" s="174">
        <v>0</v>
      </c>
      <c r="H59" s="212">
        <v>134.80289547341587</v>
      </c>
      <c r="I59" s="50">
        <f t="shared" si="7"/>
        <v>31</v>
      </c>
      <c r="J59" s="50">
        <f t="shared" si="1"/>
        <v>0</v>
      </c>
      <c r="K59" s="50">
        <f t="shared" si="2"/>
        <v>0</v>
      </c>
      <c r="L59" s="50">
        <f t="shared" si="3"/>
        <v>0</v>
      </c>
      <c r="M59" s="50">
        <f t="shared" si="4"/>
        <v>0</v>
      </c>
      <c r="N59" s="185">
        <v>25</v>
      </c>
      <c r="O59" s="185">
        <f>'Negative Impact Var'!E45</f>
        <v>1470326.0928205128</v>
      </c>
      <c r="P59" s="214">
        <f t="shared" si="5"/>
        <v>85048268.251330197</v>
      </c>
      <c r="Q59" s="214">
        <f t="shared" si="6"/>
        <v>-1572976.0044071078</v>
      </c>
    </row>
    <row r="60" spans="2:17" ht="14.5" x14ac:dyDescent="0.35">
      <c r="B60" s="197">
        <v>40940</v>
      </c>
      <c r="C60" s="175">
        <f t="shared" si="0"/>
        <v>2</v>
      </c>
      <c r="D60" s="175">
        <v>2012</v>
      </c>
      <c r="E60" s="187">
        <v>76561559.599230751</v>
      </c>
      <c r="F60" s="174">
        <v>532</v>
      </c>
      <c r="G60" s="174">
        <v>0</v>
      </c>
      <c r="H60" s="212">
        <v>134.92722212015877</v>
      </c>
      <c r="I60" s="50">
        <f t="shared" si="7"/>
        <v>29</v>
      </c>
      <c r="J60" s="50">
        <f t="shared" si="1"/>
        <v>0</v>
      </c>
      <c r="K60" s="50">
        <f t="shared" si="2"/>
        <v>0</v>
      </c>
      <c r="L60" s="50">
        <f t="shared" si="3"/>
        <v>0</v>
      </c>
      <c r="M60" s="50">
        <f t="shared" si="4"/>
        <v>0</v>
      </c>
      <c r="N60" s="185">
        <v>26</v>
      </c>
      <c r="O60" s="185">
        <f>'Negative Impact Var'!E46</f>
        <v>1508170.1889743588</v>
      </c>
      <c r="P60" s="214">
        <f t="shared" si="5"/>
        <v>79857560.484554976</v>
      </c>
      <c r="Q60" s="214">
        <f t="shared" si="6"/>
        <v>-3296000.8853242248</v>
      </c>
    </row>
    <row r="61" spans="2:17" ht="14.5" x14ac:dyDescent="0.35">
      <c r="B61" s="197">
        <v>40969</v>
      </c>
      <c r="C61" s="175">
        <f t="shared" si="0"/>
        <v>3</v>
      </c>
      <c r="D61" s="175">
        <v>2012</v>
      </c>
      <c r="E61" s="187">
        <v>76020277.875384629</v>
      </c>
      <c r="F61" s="174">
        <v>349.40000000000009</v>
      </c>
      <c r="G61" s="174">
        <v>0.2</v>
      </c>
      <c r="H61" s="212">
        <v>135.05166343146462</v>
      </c>
      <c r="I61" s="50">
        <f t="shared" si="7"/>
        <v>31</v>
      </c>
      <c r="J61" s="50">
        <f t="shared" si="1"/>
        <v>1</v>
      </c>
      <c r="K61" s="50">
        <f t="shared" si="2"/>
        <v>0</v>
      </c>
      <c r="L61" s="50">
        <f t="shared" si="3"/>
        <v>0</v>
      </c>
      <c r="M61" s="50">
        <f t="shared" si="4"/>
        <v>0</v>
      </c>
      <c r="N61" s="185">
        <v>27</v>
      </c>
      <c r="O61" s="185">
        <f>'Negative Impact Var'!E47</f>
        <v>1546014.2851282051</v>
      </c>
      <c r="P61" s="214">
        <f t="shared" si="5"/>
        <v>79848816.623478293</v>
      </c>
      <c r="Q61" s="214">
        <f t="shared" si="6"/>
        <v>-3828538.7480936646</v>
      </c>
    </row>
    <row r="62" spans="2:17" ht="14.5" x14ac:dyDescent="0.35">
      <c r="B62" s="197">
        <v>41000</v>
      </c>
      <c r="C62" s="175">
        <f t="shared" si="0"/>
        <v>4</v>
      </c>
      <c r="D62" s="175">
        <v>2012</v>
      </c>
      <c r="E62" s="187">
        <v>69885111.659999996</v>
      </c>
      <c r="F62" s="174">
        <v>321.70000000000005</v>
      </c>
      <c r="G62" s="174">
        <v>0</v>
      </c>
      <c r="H62" s="212">
        <v>135.17621951308675</v>
      </c>
      <c r="I62" s="50">
        <f t="shared" si="7"/>
        <v>30</v>
      </c>
      <c r="J62" s="50">
        <f t="shared" si="1"/>
        <v>0</v>
      </c>
      <c r="K62" s="50">
        <f t="shared" si="2"/>
        <v>1</v>
      </c>
      <c r="L62" s="50">
        <f t="shared" si="3"/>
        <v>0</v>
      </c>
      <c r="M62" s="50">
        <f t="shared" si="4"/>
        <v>0</v>
      </c>
      <c r="N62" s="185">
        <v>28</v>
      </c>
      <c r="O62" s="185">
        <f>'Negative Impact Var'!E48</f>
        <v>1583858.3812820511</v>
      </c>
      <c r="P62" s="214">
        <f t="shared" si="5"/>
        <v>74980241.87165603</v>
      </c>
      <c r="Q62" s="214">
        <f t="shared" si="6"/>
        <v>-5095130.211656034</v>
      </c>
    </row>
    <row r="63" spans="2:17" ht="14.5" x14ac:dyDescent="0.35">
      <c r="B63" s="197">
        <v>41030</v>
      </c>
      <c r="C63" s="175">
        <f t="shared" si="0"/>
        <v>5</v>
      </c>
      <c r="D63" s="175">
        <v>2012</v>
      </c>
      <c r="E63" s="187">
        <v>77152267.277272731</v>
      </c>
      <c r="F63" s="174">
        <v>81.300000000000011</v>
      </c>
      <c r="G63" s="174">
        <v>36.700000000000003</v>
      </c>
      <c r="H63" s="212">
        <v>135.30089047087608</v>
      </c>
      <c r="I63" s="50">
        <f t="shared" si="7"/>
        <v>31</v>
      </c>
      <c r="J63" s="50">
        <f t="shared" si="1"/>
        <v>0</v>
      </c>
      <c r="K63" s="50">
        <f t="shared" si="2"/>
        <v>0</v>
      </c>
      <c r="L63" s="50">
        <f t="shared" si="3"/>
        <v>1</v>
      </c>
      <c r="M63" s="50">
        <f t="shared" si="4"/>
        <v>0</v>
      </c>
      <c r="N63" s="185">
        <v>29</v>
      </c>
      <c r="O63" s="185">
        <f>'Negative Impact Var'!E49</f>
        <v>1621702.4774358973</v>
      </c>
      <c r="P63" s="214">
        <f t="shared" si="5"/>
        <v>79371161.635857552</v>
      </c>
      <c r="Q63" s="214">
        <f t="shared" si="6"/>
        <v>-2218894.3585848212</v>
      </c>
    </row>
    <row r="64" spans="2:17" ht="14.5" x14ac:dyDescent="0.35">
      <c r="B64" s="197">
        <v>41061</v>
      </c>
      <c r="C64" s="175">
        <f t="shared" si="0"/>
        <v>6</v>
      </c>
      <c r="D64" s="175">
        <v>2012</v>
      </c>
      <c r="E64" s="187">
        <v>83683996.899090916</v>
      </c>
      <c r="F64" s="174">
        <v>23.2</v>
      </c>
      <c r="G64" s="174">
        <v>101.60000000000001</v>
      </c>
      <c r="H64" s="212">
        <v>135.42567641078114</v>
      </c>
      <c r="I64" s="50">
        <f t="shared" si="7"/>
        <v>30</v>
      </c>
      <c r="J64" s="50">
        <f t="shared" si="1"/>
        <v>0</v>
      </c>
      <c r="K64" s="50">
        <f t="shared" si="2"/>
        <v>0</v>
      </c>
      <c r="L64" s="50">
        <f t="shared" si="3"/>
        <v>0</v>
      </c>
      <c r="M64" s="50">
        <f t="shared" si="4"/>
        <v>0</v>
      </c>
      <c r="N64" s="185">
        <v>30</v>
      </c>
      <c r="O64" s="185">
        <f>'Negative Impact Var'!E50</f>
        <v>1659546.5735897436</v>
      </c>
      <c r="P64" s="214">
        <f t="shared" si="5"/>
        <v>87714360.358530104</v>
      </c>
      <c r="Q64" s="214">
        <f t="shared" si="6"/>
        <v>-4030363.4594391882</v>
      </c>
    </row>
    <row r="65" spans="2:17" ht="14.5" x14ac:dyDescent="0.35">
      <c r="B65" s="197">
        <v>41091</v>
      </c>
      <c r="C65" s="175">
        <f t="shared" si="0"/>
        <v>7</v>
      </c>
      <c r="D65" s="175">
        <v>2012</v>
      </c>
      <c r="E65" s="187">
        <v>97430291.178181812</v>
      </c>
      <c r="F65" s="174">
        <v>0</v>
      </c>
      <c r="G65" s="174">
        <v>190.09999999999997</v>
      </c>
      <c r="H65" s="212">
        <v>135.55057743884817</v>
      </c>
      <c r="I65" s="50">
        <f t="shared" si="7"/>
        <v>31</v>
      </c>
      <c r="J65" s="50">
        <f t="shared" si="1"/>
        <v>0</v>
      </c>
      <c r="K65" s="50">
        <f t="shared" si="2"/>
        <v>0</v>
      </c>
      <c r="L65" s="50">
        <f t="shared" si="3"/>
        <v>0</v>
      </c>
      <c r="M65" s="50">
        <f t="shared" si="4"/>
        <v>0</v>
      </c>
      <c r="N65" s="185">
        <v>31</v>
      </c>
      <c r="O65" s="185">
        <f>'Negative Impact Var'!E51</f>
        <v>1697390.6697435896</v>
      </c>
      <c r="P65" s="214">
        <f t="shared" si="5"/>
        <v>100640299.8519865</v>
      </c>
      <c r="Q65" s="214">
        <f t="shared" si="6"/>
        <v>-3210008.6738046855</v>
      </c>
    </row>
    <row r="66" spans="2:17" ht="14.5" x14ac:dyDescent="0.35">
      <c r="B66" s="197">
        <v>41122</v>
      </c>
      <c r="C66" s="175">
        <f t="shared" si="0"/>
        <v>8</v>
      </c>
      <c r="D66" s="175">
        <v>2012</v>
      </c>
      <c r="E66" s="187">
        <v>90717698.745454535</v>
      </c>
      <c r="F66" s="174">
        <v>2</v>
      </c>
      <c r="G66" s="174">
        <v>112.10000000000001</v>
      </c>
      <c r="H66" s="212">
        <v>135.67559366122123</v>
      </c>
      <c r="I66" s="50">
        <f t="shared" si="7"/>
        <v>31</v>
      </c>
      <c r="J66" s="50">
        <f t="shared" si="1"/>
        <v>0</v>
      </c>
      <c r="K66" s="50">
        <f t="shared" si="2"/>
        <v>0</v>
      </c>
      <c r="L66" s="50">
        <f t="shared" si="3"/>
        <v>0</v>
      </c>
      <c r="M66" s="50">
        <f t="shared" si="4"/>
        <v>0</v>
      </c>
      <c r="N66" s="185">
        <v>32</v>
      </c>
      <c r="O66" s="185">
        <f>'Negative Impact Var'!E52</f>
        <v>1735234.7658974358</v>
      </c>
      <c r="P66" s="214">
        <f t="shared" si="5"/>
        <v>90925082.807472289</v>
      </c>
      <c r="Q66" s="214">
        <f t="shared" si="6"/>
        <v>-207384.06201775372</v>
      </c>
    </row>
    <row r="67" spans="2:17" ht="14.5" x14ac:dyDescent="0.35">
      <c r="B67" s="197">
        <v>41153</v>
      </c>
      <c r="C67" s="175">
        <f t="shared" si="0"/>
        <v>9</v>
      </c>
      <c r="D67" s="175">
        <v>2012</v>
      </c>
      <c r="E67" s="187">
        <v>77862574.99090907</v>
      </c>
      <c r="F67" s="174">
        <v>85</v>
      </c>
      <c r="G67" s="174">
        <v>35.6</v>
      </c>
      <c r="H67" s="212">
        <v>135.80072518414227</v>
      </c>
      <c r="I67" s="50">
        <f t="shared" si="7"/>
        <v>30</v>
      </c>
      <c r="J67" s="50">
        <f t="shared" si="1"/>
        <v>0</v>
      </c>
      <c r="K67" s="50">
        <f t="shared" si="2"/>
        <v>0</v>
      </c>
      <c r="L67" s="50">
        <f t="shared" si="3"/>
        <v>0</v>
      </c>
      <c r="M67" s="50">
        <f t="shared" si="4"/>
        <v>0</v>
      </c>
      <c r="N67" s="185">
        <v>33</v>
      </c>
      <c r="O67" s="185">
        <f>'Negative Impact Var'!E53</f>
        <v>1773078.8620512821</v>
      </c>
      <c r="P67" s="214">
        <f t="shared" si="5"/>
        <v>80483670.732828915</v>
      </c>
      <c r="Q67" s="214">
        <f t="shared" si="6"/>
        <v>-2621095.7419198453</v>
      </c>
    </row>
    <row r="68" spans="2:17" ht="14.5" x14ac:dyDescent="0.35">
      <c r="B68" s="197">
        <v>41183</v>
      </c>
      <c r="C68" s="175">
        <f t="shared" si="0"/>
        <v>10</v>
      </c>
      <c r="D68" s="175">
        <v>2012</v>
      </c>
      <c r="E68" s="187">
        <v>75966062.297272757</v>
      </c>
      <c r="F68" s="174">
        <v>242.50000000000003</v>
      </c>
      <c r="G68" s="174">
        <v>1.1000000000000001</v>
      </c>
      <c r="H68" s="212">
        <v>135.92597211395122</v>
      </c>
      <c r="I68" s="50">
        <f t="shared" si="7"/>
        <v>31</v>
      </c>
      <c r="J68" s="50">
        <f t="shared" si="1"/>
        <v>0</v>
      </c>
      <c r="K68" s="50">
        <f t="shared" si="2"/>
        <v>0</v>
      </c>
      <c r="L68" s="50">
        <f t="shared" si="3"/>
        <v>0</v>
      </c>
      <c r="M68" s="50">
        <f t="shared" si="4"/>
        <v>1</v>
      </c>
      <c r="N68" s="185">
        <v>34</v>
      </c>
      <c r="O68" s="185">
        <f>'Negative Impact Var'!E54</f>
        <v>1810922.9582051281</v>
      </c>
      <c r="P68" s="214">
        <f t="shared" si="5"/>
        <v>78663047.498841763</v>
      </c>
      <c r="Q68" s="214">
        <f t="shared" si="6"/>
        <v>-2696985.2015690058</v>
      </c>
    </row>
    <row r="69" spans="2:17" ht="14.5" x14ac:dyDescent="0.35">
      <c r="B69" s="197">
        <v>41214</v>
      </c>
      <c r="C69" s="175">
        <f t="shared" si="0"/>
        <v>11</v>
      </c>
      <c r="D69" s="175">
        <v>2012</v>
      </c>
      <c r="E69" s="187">
        <v>77579680.941818193</v>
      </c>
      <c r="F69" s="174">
        <v>433.99999999999994</v>
      </c>
      <c r="G69" s="174">
        <v>0</v>
      </c>
      <c r="H69" s="212">
        <v>136.05133455708605</v>
      </c>
      <c r="I69" s="50">
        <f t="shared" si="7"/>
        <v>30</v>
      </c>
      <c r="J69" s="50">
        <f t="shared" si="1"/>
        <v>0</v>
      </c>
      <c r="K69" s="50">
        <f t="shared" si="2"/>
        <v>0</v>
      </c>
      <c r="L69" s="50">
        <f t="shared" si="3"/>
        <v>0</v>
      </c>
      <c r="M69" s="50">
        <f t="shared" si="4"/>
        <v>0</v>
      </c>
      <c r="N69" s="185">
        <v>35</v>
      </c>
      <c r="O69" s="185">
        <f>'Negative Impact Var'!E55</f>
        <v>1848767.0543589741</v>
      </c>
      <c r="P69" s="214">
        <f t="shared" si="5"/>
        <v>81095607.196031958</v>
      </c>
      <c r="Q69" s="214">
        <f t="shared" si="6"/>
        <v>-3515926.2542137653</v>
      </c>
    </row>
    <row r="70" spans="2:17" ht="14.5" x14ac:dyDescent="0.35">
      <c r="B70" s="197">
        <v>41244</v>
      </c>
      <c r="C70" s="175">
        <f t="shared" si="0"/>
        <v>12</v>
      </c>
      <c r="D70" s="175">
        <v>2012</v>
      </c>
      <c r="E70" s="187">
        <v>78044416.993636355</v>
      </c>
      <c r="F70" s="174">
        <v>533.50000000000011</v>
      </c>
      <c r="G70" s="174">
        <v>0</v>
      </c>
      <c r="H70" s="212">
        <v>136.17681262008293</v>
      </c>
      <c r="I70" s="50">
        <f t="shared" si="7"/>
        <v>31</v>
      </c>
      <c r="J70" s="50">
        <f t="shared" si="1"/>
        <v>0</v>
      </c>
      <c r="K70" s="50">
        <f t="shared" si="2"/>
        <v>0</v>
      </c>
      <c r="L70" s="50">
        <f t="shared" si="3"/>
        <v>0</v>
      </c>
      <c r="M70" s="50">
        <f t="shared" si="4"/>
        <v>0</v>
      </c>
      <c r="N70" s="185">
        <v>36</v>
      </c>
      <c r="O70" s="185">
        <f>'Negative Impact Var'!E56</f>
        <v>1886611.1505128203</v>
      </c>
      <c r="P70" s="214">
        <f t="shared" si="5"/>
        <v>84639715.928705037</v>
      </c>
      <c r="Q70" s="214">
        <f t="shared" si="6"/>
        <v>-6595298.9350686818</v>
      </c>
    </row>
    <row r="71" spans="2:17" ht="14.5" x14ac:dyDescent="0.35">
      <c r="B71" s="197">
        <v>41275</v>
      </c>
      <c r="C71" s="175">
        <f t="shared" si="0"/>
        <v>1</v>
      </c>
      <c r="D71" s="175">
        <v>2013</v>
      </c>
      <c r="E71" s="187">
        <v>84721792.143333375</v>
      </c>
      <c r="F71" s="174">
        <v>624.40000000000009</v>
      </c>
      <c r="G71" s="174">
        <v>0</v>
      </c>
      <c r="H71" s="212">
        <v>136.33254285243484</v>
      </c>
      <c r="I71" s="50">
        <f t="shared" si="7"/>
        <v>31</v>
      </c>
      <c r="J71" s="50">
        <f t="shared" si="1"/>
        <v>0</v>
      </c>
      <c r="K71" s="50">
        <f t="shared" si="2"/>
        <v>0</v>
      </c>
      <c r="L71" s="50">
        <f t="shared" si="3"/>
        <v>0</v>
      </c>
      <c r="M71" s="50">
        <f t="shared" si="4"/>
        <v>0</v>
      </c>
      <c r="N71" s="185">
        <v>37</v>
      </c>
      <c r="O71" s="185">
        <f>'Negative Impact Var'!E57</f>
        <v>1950395.0073076922</v>
      </c>
      <c r="P71" s="214">
        <f t="shared" si="5"/>
        <v>86012728.113120943</v>
      </c>
      <c r="Q71" s="214">
        <f t="shared" si="6"/>
        <v>-1290935.9697875679</v>
      </c>
    </row>
    <row r="72" spans="2:17" ht="14.5" x14ac:dyDescent="0.35">
      <c r="B72" s="197">
        <v>41306</v>
      </c>
      <c r="C72" s="175">
        <f t="shared" si="0"/>
        <v>2</v>
      </c>
      <c r="D72" s="175">
        <v>2013</v>
      </c>
      <c r="E72" s="187">
        <v>76515852.360000014</v>
      </c>
      <c r="F72" s="174">
        <v>631.49999999999989</v>
      </c>
      <c r="G72" s="174">
        <v>0</v>
      </c>
      <c r="H72" s="212">
        <v>136.4884511760844</v>
      </c>
      <c r="I72" s="50">
        <f t="shared" si="7"/>
        <v>28</v>
      </c>
      <c r="J72" s="50">
        <f t="shared" si="1"/>
        <v>0</v>
      </c>
      <c r="K72" s="50">
        <f t="shared" si="2"/>
        <v>0</v>
      </c>
      <c r="L72" s="50">
        <f t="shared" si="3"/>
        <v>0</v>
      </c>
      <c r="M72" s="50">
        <f t="shared" si="4"/>
        <v>0</v>
      </c>
      <c r="N72" s="185">
        <v>38</v>
      </c>
      <c r="O72" s="185">
        <f>'Negative Impact Var'!E58</f>
        <v>1995232.0446153847</v>
      </c>
      <c r="P72" s="214">
        <f t="shared" si="5"/>
        <v>79995198.887156427</v>
      </c>
      <c r="Q72" s="214">
        <f t="shared" si="6"/>
        <v>-3479346.5271564126</v>
      </c>
    </row>
    <row r="73" spans="2:17" ht="14.5" x14ac:dyDescent="0.35">
      <c r="B73" s="197">
        <v>41334</v>
      </c>
      <c r="C73" s="175">
        <f t="shared" si="0"/>
        <v>3</v>
      </c>
      <c r="D73" s="175">
        <v>2013</v>
      </c>
      <c r="E73" s="187">
        <v>80320040.103333354</v>
      </c>
      <c r="F73" s="174">
        <v>554.79999999999995</v>
      </c>
      <c r="G73" s="174">
        <v>0</v>
      </c>
      <c r="H73" s="212">
        <v>136.64453779469474</v>
      </c>
      <c r="I73" s="50">
        <f t="shared" si="7"/>
        <v>31</v>
      </c>
      <c r="J73" s="50">
        <f t="shared" si="1"/>
        <v>1</v>
      </c>
      <c r="K73" s="50">
        <f t="shared" si="2"/>
        <v>0</v>
      </c>
      <c r="L73" s="50">
        <f t="shared" si="3"/>
        <v>0</v>
      </c>
      <c r="M73" s="50">
        <f t="shared" si="4"/>
        <v>0</v>
      </c>
      <c r="N73" s="185">
        <v>39</v>
      </c>
      <c r="O73" s="185">
        <f>'Negative Impact Var'!E59</f>
        <v>2040069.0819230769</v>
      </c>
      <c r="P73" s="214">
        <f t="shared" si="5"/>
        <v>83551707.6808438</v>
      </c>
      <c r="Q73" s="214">
        <f t="shared" si="6"/>
        <v>-3231667.5775104463</v>
      </c>
    </row>
    <row r="74" spans="2:17" ht="14.5" x14ac:dyDescent="0.35">
      <c r="B74" s="197">
        <v>41365</v>
      </c>
      <c r="C74" s="175">
        <f t="shared" si="0"/>
        <v>4</v>
      </c>
      <c r="D74" s="175">
        <v>2013</v>
      </c>
      <c r="E74" s="187">
        <v>73854214.826666668</v>
      </c>
      <c r="F74" s="174">
        <v>358.6</v>
      </c>
      <c r="G74" s="174">
        <v>0</v>
      </c>
      <c r="H74" s="212">
        <v>136.80080291216194</v>
      </c>
      <c r="I74" s="50">
        <f t="shared" si="7"/>
        <v>30</v>
      </c>
      <c r="J74" s="50">
        <f t="shared" si="1"/>
        <v>0</v>
      </c>
      <c r="K74" s="50">
        <f t="shared" si="2"/>
        <v>1</v>
      </c>
      <c r="L74" s="50">
        <f t="shared" si="3"/>
        <v>0</v>
      </c>
      <c r="M74" s="50">
        <f t="shared" si="4"/>
        <v>0</v>
      </c>
      <c r="N74" s="185">
        <v>40</v>
      </c>
      <c r="O74" s="185">
        <f>'Negative Impact Var'!E60</f>
        <v>2084906.1192307691</v>
      </c>
      <c r="P74" s="214">
        <f t="shared" si="5"/>
        <v>76331159.053248972</v>
      </c>
      <c r="Q74" s="214">
        <f t="shared" si="6"/>
        <v>-2476944.2265823036</v>
      </c>
    </row>
    <row r="75" spans="2:17" ht="14.5" x14ac:dyDescent="0.35">
      <c r="B75" s="197">
        <v>41395</v>
      </c>
      <c r="C75" s="175">
        <f t="shared" si="0"/>
        <v>5</v>
      </c>
      <c r="D75" s="175">
        <v>2013</v>
      </c>
      <c r="E75" s="187">
        <v>75766818.393333361</v>
      </c>
      <c r="F75" s="174">
        <v>109.10000000000001</v>
      </c>
      <c r="G75" s="174">
        <v>23.1</v>
      </c>
      <c r="H75" s="212">
        <v>136.95724673261523</v>
      </c>
      <c r="I75" s="50">
        <f t="shared" si="7"/>
        <v>31</v>
      </c>
      <c r="J75" s="50">
        <f t="shared" si="1"/>
        <v>0</v>
      </c>
      <c r="K75" s="50">
        <f t="shared" si="2"/>
        <v>0</v>
      </c>
      <c r="L75" s="50">
        <f t="shared" si="3"/>
        <v>1</v>
      </c>
      <c r="M75" s="50">
        <f t="shared" si="4"/>
        <v>0</v>
      </c>
      <c r="N75" s="185">
        <v>41</v>
      </c>
      <c r="O75" s="185">
        <f>'Negative Impact Var'!E61</f>
        <v>2129743.1565384613</v>
      </c>
      <c r="P75" s="214">
        <f t="shared" si="5"/>
        <v>78901331.172130823</v>
      </c>
      <c r="Q75" s="214">
        <f t="shared" si="6"/>
        <v>-3134512.7787974626</v>
      </c>
    </row>
    <row r="76" spans="2:17" ht="14.5" x14ac:dyDescent="0.35">
      <c r="B76" s="197">
        <v>41426</v>
      </c>
      <c r="C76" s="175">
        <f t="shared" si="0"/>
        <v>6</v>
      </c>
      <c r="D76" s="175">
        <v>2013</v>
      </c>
      <c r="E76" s="187">
        <v>79605453.473333344</v>
      </c>
      <c r="F76" s="179">
        <v>33</v>
      </c>
      <c r="G76" s="179">
        <v>59.599999999999994</v>
      </c>
      <c r="H76" s="212">
        <v>137.11386946041728</v>
      </c>
      <c r="I76" s="50">
        <f t="shared" si="7"/>
        <v>30</v>
      </c>
      <c r="J76" s="50">
        <f t="shared" si="1"/>
        <v>0</v>
      </c>
      <c r="K76" s="50">
        <f t="shared" si="2"/>
        <v>0</v>
      </c>
      <c r="L76" s="50">
        <f t="shared" si="3"/>
        <v>0</v>
      </c>
      <c r="M76" s="50">
        <f t="shared" si="4"/>
        <v>0</v>
      </c>
      <c r="N76" s="185">
        <v>42</v>
      </c>
      <c r="O76" s="185">
        <f>'Negative Impact Var'!E62</f>
        <v>2174580.193846154</v>
      </c>
      <c r="P76" s="214">
        <f t="shared" si="5"/>
        <v>83436571.272365034</v>
      </c>
      <c r="Q76" s="214">
        <f t="shared" si="6"/>
        <v>-3831117.7990316898</v>
      </c>
    </row>
    <row r="77" spans="2:17" ht="14.5" x14ac:dyDescent="0.35">
      <c r="B77" s="197">
        <v>41456</v>
      </c>
      <c r="C77" s="175">
        <f t="shared" si="0"/>
        <v>7</v>
      </c>
      <c r="D77" s="175">
        <v>2013</v>
      </c>
      <c r="E77" s="187">
        <v>91347063.430000022</v>
      </c>
      <c r="F77" s="174">
        <v>1.2999999999999998</v>
      </c>
      <c r="G77" s="174">
        <v>120.80000000000003</v>
      </c>
      <c r="H77" s="212">
        <v>137.27067130016448</v>
      </c>
      <c r="I77" s="50">
        <f t="shared" si="7"/>
        <v>31</v>
      </c>
      <c r="J77" s="50">
        <f t="shared" si="1"/>
        <v>0</v>
      </c>
      <c r="K77" s="50">
        <f t="shared" si="2"/>
        <v>0</v>
      </c>
      <c r="L77" s="50">
        <f t="shared" si="3"/>
        <v>0</v>
      </c>
      <c r="M77" s="50">
        <f t="shared" si="4"/>
        <v>0</v>
      </c>
      <c r="N77" s="185">
        <v>43</v>
      </c>
      <c r="O77" s="185">
        <f>'Negative Impact Var'!E63</f>
        <v>2219417.2311538463</v>
      </c>
      <c r="P77" s="214">
        <f t="shared" si="5"/>
        <v>92827946.974848866</v>
      </c>
      <c r="Q77" s="214">
        <f t="shared" si="6"/>
        <v>-1480883.5448488444</v>
      </c>
    </row>
    <row r="78" spans="2:17" ht="14.5" x14ac:dyDescent="0.35">
      <c r="B78" s="197">
        <v>41487</v>
      </c>
      <c r="C78" s="175">
        <f t="shared" si="0"/>
        <v>8</v>
      </c>
      <c r="D78" s="175">
        <v>2013</v>
      </c>
      <c r="E78" s="187">
        <v>86194913.580000013</v>
      </c>
      <c r="F78" s="174">
        <v>4.4000000000000004</v>
      </c>
      <c r="G78" s="174">
        <v>93.799999999999983</v>
      </c>
      <c r="H78" s="212">
        <v>137.42765245668718</v>
      </c>
      <c r="I78" s="50">
        <f t="shared" si="7"/>
        <v>31</v>
      </c>
      <c r="J78" s="50">
        <f t="shared" si="1"/>
        <v>0</v>
      </c>
      <c r="K78" s="50">
        <f t="shared" si="2"/>
        <v>0</v>
      </c>
      <c r="L78" s="50">
        <f t="shared" si="3"/>
        <v>0</v>
      </c>
      <c r="M78" s="50">
        <f t="shared" si="4"/>
        <v>0</v>
      </c>
      <c r="N78" s="185">
        <v>44</v>
      </c>
      <c r="O78" s="185">
        <f>'Negative Impact Var'!E64</f>
        <v>2264254.2684615385</v>
      </c>
      <c r="P78" s="214">
        <f t="shared" si="5"/>
        <v>89558886.317774445</v>
      </c>
      <c r="Q78" s="214">
        <f t="shared" si="6"/>
        <v>-3363972.7377744317</v>
      </c>
    </row>
    <row r="79" spans="2:17" ht="14.5" x14ac:dyDescent="0.35">
      <c r="B79" s="197">
        <v>41518</v>
      </c>
      <c r="C79" s="175">
        <f t="shared" si="0"/>
        <v>9</v>
      </c>
      <c r="D79" s="175">
        <v>2013</v>
      </c>
      <c r="E79" s="187">
        <v>77473370.183333322</v>
      </c>
      <c r="F79" s="174">
        <v>82.999999999999986</v>
      </c>
      <c r="G79" s="174">
        <v>28.099999999999998</v>
      </c>
      <c r="H79" s="212">
        <v>137.58481313504998</v>
      </c>
      <c r="I79" s="50">
        <f t="shared" si="7"/>
        <v>30</v>
      </c>
      <c r="J79" s="50">
        <f t="shared" si="1"/>
        <v>0</v>
      </c>
      <c r="K79" s="50">
        <f t="shared" si="2"/>
        <v>0</v>
      </c>
      <c r="L79" s="50">
        <f t="shared" si="3"/>
        <v>0</v>
      </c>
      <c r="M79" s="50">
        <f t="shared" si="4"/>
        <v>0</v>
      </c>
      <c r="N79" s="185">
        <v>45</v>
      </c>
      <c r="O79" s="185">
        <f>'Negative Impact Var'!E65</f>
        <v>2309091.3057692307</v>
      </c>
      <c r="P79" s="214">
        <f t="shared" si="5"/>
        <v>80431364.312996447</v>
      </c>
      <c r="Q79" s="214">
        <f t="shared" si="6"/>
        <v>-2957994.1296631247</v>
      </c>
    </row>
    <row r="80" spans="2:17" ht="14.5" x14ac:dyDescent="0.35">
      <c r="B80" s="197">
        <v>41548</v>
      </c>
      <c r="C80" s="175">
        <f t="shared" si="0"/>
        <v>10</v>
      </c>
      <c r="D80" s="175">
        <v>2013</v>
      </c>
      <c r="E80" s="187">
        <v>76800878.560000002</v>
      </c>
      <c r="F80" s="174">
        <v>208.5</v>
      </c>
      <c r="G80" s="174">
        <v>0.4</v>
      </c>
      <c r="H80" s="212">
        <v>137.74215354055198</v>
      </c>
      <c r="I80" s="50">
        <f t="shared" si="7"/>
        <v>31</v>
      </c>
      <c r="J80" s="50">
        <f t="shared" si="1"/>
        <v>0</v>
      </c>
      <c r="K80" s="50">
        <f t="shared" si="2"/>
        <v>0</v>
      </c>
      <c r="L80" s="50">
        <f t="shared" si="3"/>
        <v>0</v>
      </c>
      <c r="M80" s="50">
        <f t="shared" si="4"/>
        <v>1</v>
      </c>
      <c r="N80" s="185">
        <v>46</v>
      </c>
      <c r="O80" s="185">
        <f>'Negative Impact Var'!E66</f>
        <v>2353928.3430769229</v>
      </c>
      <c r="P80" s="214">
        <f t="shared" si="5"/>
        <v>79029384.097644597</v>
      </c>
      <c r="Q80" s="214">
        <f t="shared" si="6"/>
        <v>-2228505.5376445949</v>
      </c>
    </row>
    <row r="81" spans="2:17" ht="14.5" x14ac:dyDescent="0.35">
      <c r="B81" s="197">
        <v>41579</v>
      </c>
      <c r="C81" s="175">
        <f t="shared" si="0"/>
        <v>11</v>
      </c>
      <c r="D81" s="175">
        <v>2013</v>
      </c>
      <c r="E81" s="187">
        <v>77253769.396666661</v>
      </c>
      <c r="F81" s="174">
        <v>478.20000000000005</v>
      </c>
      <c r="G81" s="174">
        <v>0</v>
      </c>
      <c r="H81" s="212">
        <v>137.89967387872707</v>
      </c>
      <c r="I81" s="50">
        <f t="shared" si="7"/>
        <v>30</v>
      </c>
      <c r="J81" s="50">
        <f t="shared" si="1"/>
        <v>0</v>
      </c>
      <c r="K81" s="50">
        <f t="shared" si="2"/>
        <v>0</v>
      </c>
      <c r="L81" s="50">
        <f t="shared" si="3"/>
        <v>0</v>
      </c>
      <c r="M81" s="50">
        <f t="shared" si="4"/>
        <v>0</v>
      </c>
      <c r="N81" s="185">
        <v>47</v>
      </c>
      <c r="O81" s="185">
        <f>'Negative Impact Var'!E67</f>
        <v>2398765.3803846152</v>
      </c>
      <c r="P81" s="214">
        <f t="shared" si="5"/>
        <v>82680415.196473628</v>
      </c>
      <c r="Q81" s="214">
        <f t="shared" si="6"/>
        <v>-5426645.7998069674</v>
      </c>
    </row>
    <row r="82" spans="2:17" ht="14.5" x14ac:dyDescent="0.35">
      <c r="B82" s="197">
        <v>41609</v>
      </c>
      <c r="C82" s="175">
        <f t="shared" si="0"/>
        <v>12</v>
      </c>
      <c r="D82" s="175">
        <v>2013</v>
      </c>
      <c r="E82" s="187">
        <v>81481312.549999997</v>
      </c>
      <c r="F82" s="174">
        <v>687.9</v>
      </c>
      <c r="G82" s="174">
        <v>0</v>
      </c>
      <c r="H82" s="212">
        <v>138.05737435534434</v>
      </c>
      <c r="I82" s="50">
        <f t="shared" si="7"/>
        <v>31</v>
      </c>
      <c r="J82" s="50">
        <f t="shared" si="1"/>
        <v>0</v>
      </c>
      <c r="K82" s="50">
        <f t="shared" si="2"/>
        <v>0</v>
      </c>
      <c r="L82" s="50">
        <f t="shared" si="3"/>
        <v>0</v>
      </c>
      <c r="M82" s="50">
        <f t="shared" si="4"/>
        <v>0</v>
      </c>
      <c r="N82" s="185">
        <v>48</v>
      </c>
      <c r="O82" s="185">
        <f>'Negative Impact Var'!E68</f>
        <v>2443602.4176923074</v>
      </c>
      <c r="P82" s="214">
        <f t="shared" si="5"/>
        <v>87809968.432099611</v>
      </c>
      <c r="Q82" s="214">
        <f t="shared" si="6"/>
        <v>-6328655.8820996135</v>
      </c>
    </row>
    <row r="83" spans="2:17" ht="14.5" x14ac:dyDescent="0.35">
      <c r="B83" s="197">
        <v>41640</v>
      </c>
      <c r="C83" s="175">
        <f t="shared" si="0"/>
        <v>1</v>
      </c>
      <c r="D83" s="175">
        <v>2014</v>
      </c>
      <c r="E83" s="187">
        <v>87110628.419999987</v>
      </c>
      <c r="F83" s="174">
        <v>825.90000000000009</v>
      </c>
      <c r="G83" s="174">
        <v>0</v>
      </c>
      <c r="H83" s="212">
        <v>138.29854859030914</v>
      </c>
      <c r="I83" s="50">
        <f t="shared" si="7"/>
        <v>31</v>
      </c>
      <c r="J83" s="50">
        <f t="shared" si="1"/>
        <v>0</v>
      </c>
      <c r="K83" s="50">
        <f t="shared" si="2"/>
        <v>0</v>
      </c>
      <c r="L83" s="50">
        <f t="shared" si="3"/>
        <v>0</v>
      </c>
      <c r="M83" s="50">
        <f t="shared" si="4"/>
        <v>0</v>
      </c>
      <c r="N83" s="185">
        <v>49</v>
      </c>
      <c r="O83" s="185">
        <f>'Negative Impact Var'!E69</f>
        <v>2638622.6623076922</v>
      </c>
      <c r="P83" s="214">
        <f t="shared" si="5"/>
        <v>89902282.09752053</v>
      </c>
      <c r="Q83" s="214">
        <f t="shared" si="6"/>
        <v>-2791653.6775205433</v>
      </c>
    </row>
    <row r="84" spans="2:17" ht="14.5" x14ac:dyDescent="0.35">
      <c r="B84" s="197">
        <v>41671</v>
      </c>
      <c r="C84" s="175">
        <f t="shared" si="0"/>
        <v>2</v>
      </c>
      <c r="D84" s="175">
        <v>2014</v>
      </c>
      <c r="E84" s="187">
        <v>75310896.296666682</v>
      </c>
      <c r="F84" s="174">
        <v>737.09999999999991</v>
      </c>
      <c r="G84" s="174">
        <v>0</v>
      </c>
      <c r="H84" s="212">
        <v>138.54014413570292</v>
      </c>
      <c r="I84" s="50">
        <f t="shared" si="7"/>
        <v>28</v>
      </c>
      <c r="J84" s="50">
        <f t="shared" si="1"/>
        <v>0</v>
      </c>
      <c r="K84" s="50">
        <f t="shared" si="2"/>
        <v>0</v>
      </c>
      <c r="L84" s="50">
        <f t="shared" si="3"/>
        <v>0</v>
      </c>
      <c r="M84" s="50">
        <f t="shared" si="4"/>
        <v>0</v>
      </c>
      <c r="N84" s="185">
        <v>50</v>
      </c>
      <c r="O84" s="185">
        <f>'Negative Impact Var'!E70</f>
        <v>2855427.5346153844</v>
      </c>
      <c r="P84" s="214">
        <f t="shared" si="5"/>
        <v>82571171.553038627</v>
      </c>
      <c r="Q84" s="214">
        <f t="shared" si="6"/>
        <v>-7260275.2563719451</v>
      </c>
    </row>
    <row r="85" spans="2:17" ht="14.5" x14ac:dyDescent="0.35">
      <c r="B85" s="197">
        <v>41699</v>
      </c>
      <c r="C85" s="175">
        <f t="shared" si="0"/>
        <v>3</v>
      </c>
      <c r="D85" s="175">
        <v>2014</v>
      </c>
      <c r="E85" s="187">
        <v>79598361.859999985</v>
      </c>
      <c r="F85" s="174">
        <v>690.6</v>
      </c>
      <c r="G85" s="174">
        <v>0</v>
      </c>
      <c r="H85" s="212">
        <v>138.78216172751834</v>
      </c>
      <c r="I85" s="50">
        <f t="shared" si="7"/>
        <v>31</v>
      </c>
      <c r="J85" s="50">
        <f t="shared" si="1"/>
        <v>1</v>
      </c>
      <c r="K85" s="50">
        <f t="shared" si="2"/>
        <v>0</v>
      </c>
      <c r="L85" s="50">
        <f t="shared" si="3"/>
        <v>0</v>
      </c>
      <c r="M85" s="50">
        <f t="shared" si="4"/>
        <v>0</v>
      </c>
      <c r="N85" s="185">
        <v>51</v>
      </c>
      <c r="O85" s="185">
        <f>'Negative Impact Var'!E71</f>
        <v>3072232.4069230771</v>
      </c>
      <c r="P85" s="214">
        <f t="shared" si="5"/>
        <v>86606998.486706436</v>
      </c>
      <c r="Q85" s="214">
        <f t="shared" si="6"/>
        <v>-7008636.6267064512</v>
      </c>
    </row>
    <row r="86" spans="2:17" ht="14.5" x14ac:dyDescent="0.35">
      <c r="B86" s="197">
        <v>41730</v>
      </c>
      <c r="C86" s="175">
        <f t="shared" si="0"/>
        <v>4</v>
      </c>
      <c r="D86" s="175">
        <v>2014</v>
      </c>
      <c r="E86" s="187">
        <v>69107663.240000024</v>
      </c>
      <c r="F86" s="174">
        <v>356.90000000000003</v>
      </c>
      <c r="G86" s="174">
        <v>0</v>
      </c>
      <c r="H86" s="212">
        <v>139.02460210303386</v>
      </c>
      <c r="I86" s="50">
        <f t="shared" si="7"/>
        <v>30</v>
      </c>
      <c r="J86" s="50">
        <f t="shared" si="1"/>
        <v>0</v>
      </c>
      <c r="K86" s="50">
        <f t="shared" si="2"/>
        <v>1</v>
      </c>
      <c r="L86" s="50">
        <f t="shared" si="3"/>
        <v>0</v>
      </c>
      <c r="M86" s="50">
        <f t="shared" si="4"/>
        <v>0</v>
      </c>
      <c r="N86" s="185">
        <v>52</v>
      </c>
      <c r="O86" s="185">
        <f>'Negative Impact Var'!E72</f>
        <v>3289037.2792307693</v>
      </c>
      <c r="P86" s="214">
        <f t="shared" si="5"/>
        <v>77481727.08967644</v>
      </c>
      <c r="Q86" s="214">
        <f t="shared" si="6"/>
        <v>-8374063.8496764153</v>
      </c>
    </row>
    <row r="87" spans="2:17" ht="14.5" x14ac:dyDescent="0.35">
      <c r="B87" s="197">
        <v>41760</v>
      </c>
      <c r="C87" s="175">
        <f t="shared" si="0"/>
        <v>5</v>
      </c>
      <c r="D87" s="175">
        <v>2014</v>
      </c>
      <c r="E87" s="187">
        <v>69871028.140769228</v>
      </c>
      <c r="F87" s="174">
        <v>132.10000000000005</v>
      </c>
      <c r="G87" s="174">
        <v>11.9</v>
      </c>
      <c r="H87" s="212">
        <v>139.26746600081583</v>
      </c>
      <c r="I87" s="50">
        <f t="shared" si="7"/>
        <v>31</v>
      </c>
      <c r="J87" s="50">
        <f t="shared" si="1"/>
        <v>0</v>
      </c>
      <c r="K87" s="50">
        <f t="shared" si="2"/>
        <v>0</v>
      </c>
      <c r="L87" s="50">
        <f t="shared" si="3"/>
        <v>1</v>
      </c>
      <c r="M87" s="50">
        <f t="shared" si="4"/>
        <v>0</v>
      </c>
      <c r="N87" s="185">
        <v>53</v>
      </c>
      <c r="O87" s="185">
        <f>'Negative Impact Var'!E73</f>
        <v>3505842.1515384614</v>
      </c>
      <c r="P87" s="214">
        <f t="shared" si="5"/>
        <v>79045198.141885191</v>
      </c>
      <c r="Q87" s="214">
        <f t="shared" si="6"/>
        <v>-9174170.0011159629</v>
      </c>
    </row>
    <row r="88" spans="2:17" ht="14.5" x14ac:dyDescent="0.35">
      <c r="B88" s="197">
        <v>41791</v>
      </c>
      <c r="C88" s="175">
        <f t="shared" si="0"/>
        <v>6</v>
      </c>
      <c r="D88" s="175">
        <v>2014</v>
      </c>
      <c r="E88" s="187">
        <v>77517701.584615394</v>
      </c>
      <c r="F88" s="174">
        <v>14.1</v>
      </c>
      <c r="G88" s="174">
        <v>68.099999999999994</v>
      </c>
      <c r="H88" s="212">
        <v>139.51075416072086</v>
      </c>
      <c r="I88" s="50">
        <f t="shared" si="7"/>
        <v>30</v>
      </c>
      <c r="J88" s="50">
        <f t="shared" si="1"/>
        <v>0</v>
      </c>
      <c r="K88" s="50">
        <f t="shared" si="2"/>
        <v>0</v>
      </c>
      <c r="L88" s="50">
        <f t="shared" si="3"/>
        <v>0</v>
      </c>
      <c r="M88" s="50">
        <f t="shared" si="4"/>
        <v>0</v>
      </c>
      <c r="N88" s="185">
        <v>54</v>
      </c>
      <c r="O88" s="185">
        <f>'Negative Impact Var'!E74</f>
        <v>3722647.0238461536</v>
      </c>
      <c r="P88" s="214">
        <f t="shared" si="5"/>
        <v>85511906.717977434</v>
      </c>
      <c r="Q88" s="214">
        <f t="shared" si="6"/>
        <v>-7994205.1333620399</v>
      </c>
    </row>
    <row r="89" spans="2:17" ht="14.5" x14ac:dyDescent="0.35">
      <c r="B89" s="197">
        <v>41821</v>
      </c>
      <c r="C89" s="175">
        <f t="shared" si="0"/>
        <v>7</v>
      </c>
      <c r="D89" s="175">
        <v>2014</v>
      </c>
      <c r="E89" s="187">
        <v>79980081.605384618</v>
      </c>
      <c r="F89" s="174">
        <v>4</v>
      </c>
      <c r="G89" s="174">
        <v>71</v>
      </c>
      <c r="H89" s="212">
        <v>139.75446732389804</v>
      </c>
      <c r="I89" s="50">
        <f t="shared" si="7"/>
        <v>31</v>
      </c>
      <c r="J89" s="50">
        <f t="shared" si="1"/>
        <v>0</v>
      </c>
      <c r="K89" s="50">
        <f t="shared" si="2"/>
        <v>0</v>
      </c>
      <c r="L89" s="50">
        <f t="shared" si="3"/>
        <v>0</v>
      </c>
      <c r="M89" s="50">
        <f t="shared" si="4"/>
        <v>0</v>
      </c>
      <c r="N89" s="185">
        <v>55</v>
      </c>
      <c r="O89" s="185">
        <f>'Negative Impact Var'!E75</f>
        <v>3939451.8961538458</v>
      </c>
      <c r="P89" s="214">
        <f t="shared" si="5"/>
        <v>87931187.45927158</v>
      </c>
      <c r="Q89" s="214">
        <f t="shared" si="6"/>
        <v>-7951105.8538869619</v>
      </c>
    </row>
    <row r="90" spans="2:17" ht="14.5" x14ac:dyDescent="0.35">
      <c r="B90" s="197">
        <v>41852</v>
      </c>
      <c r="C90" s="175">
        <f t="shared" si="0"/>
        <v>8</v>
      </c>
      <c r="D90" s="175">
        <v>2014</v>
      </c>
      <c r="E90" s="187">
        <v>78148911.668461546</v>
      </c>
      <c r="F90" s="174">
        <v>8.7999999999999989</v>
      </c>
      <c r="G90" s="174">
        <v>81.799999999999983</v>
      </c>
      <c r="H90" s="212">
        <v>139.9986062327911</v>
      </c>
      <c r="I90" s="50">
        <f t="shared" si="7"/>
        <v>31</v>
      </c>
      <c r="J90" s="50">
        <f t="shared" si="1"/>
        <v>0</v>
      </c>
      <c r="K90" s="50">
        <f t="shared" si="2"/>
        <v>0</v>
      </c>
      <c r="L90" s="50">
        <f t="shared" si="3"/>
        <v>0</v>
      </c>
      <c r="M90" s="50">
        <f t="shared" si="4"/>
        <v>0</v>
      </c>
      <c r="N90" s="185">
        <v>56</v>
      </c>
      <c r="O90" s="185">
        <f>'Negative Impact Var'!E76</f>
        <v>4156256.768461538</v>
      </c>
      <c r="P90" s="214">
        <f t="shared" si="5"/>
        <v>89489347.611648202</v>
      </c>
      <c r="Q90" s="214">
        <f t="shared" si="6"/>
        <v>-11340435.943186656</v>
      </c>
    </row>
    <row r="91" spans="2:17" ht="14.5" x14ac:dyDescent="0.35">
      <c r="B91" s="197">
        <v>41883</v>
      </c>
      <c r="C91" s="175">
        <f t="shared" si="0"/>
        <v>9</v>
      </c>
      <c r="D91" s="175">
        <v>2014</v>
      </c>
      <c r="E91" s="187">
        <v>73189575.230769232</v>
      </c>
      <c r="F91" s="174">
        <v>69.700000000000017</v>
      </c>
      <c r="G91" s="174">
        <v>30.099999999999998</v>
      </c>
      <c r="H91" s="212">
        <v>140.24317163114083</v>
      </c>
      <c r="I91" s="50">
        <f t="shared" si="7"/>
        <v>30</v>
      </c>
      <c r="J91" s="50">
        <f t="shared" si="1"/>
        <v>0</v>
      </c>
      <c r="K91" s="50">
        <f t="shared" si="2"/>
        <v>0</v>
      </c>
      <c r="L91" s="50">
        <f t="shared" si="3"/>
        <v>0</v>
      </c>
      <c r="M91" s="50">
        <f t="shared" si="4"/>
        <v>0</v>
      </c>
      <c r="N91" s="185">
        <v>57</v>
      </c>
      <c r="O91" s="185">
        <f>'Negative Impact Var'!E77</f>
        <v>4373061.6407692302</v>
      </c>
      <c r="P91" s="214">
        <f t="shared" si="5"/>
        <v>81921146.611766458</v>
      </c>
      <c r="Q91" s="214">
        <f t="shared" si="6"/>
        <v>-8731571.3809972256</v>
      </c>
    </row>
    <row r="92" spans="2:17" ht="14.5" x14ac:dyDescent="0.35">
      <c r="B92" s="197">
        <v>41913</v>
      </c>
      <c r="C92" s="175">
        <f t="shared" si="0"/>
        <v>10</v>
      </c>
      <c r="D92" s="175">
        <v>2014</v>
      </c>
      <c r="E92" s="187">
        <v>72005492.011538461</v>
      </c>
      <c r="F92" s="174">
        <v>224.30000000000004</v>
      </c>
      <c r="G92" s="174">
        <v>1.3</v>
      </c>
      <c r="H92" s="212">
        <v>140.48816426398724</v>
      </c>
      <c r="I92" s="50">
        <f t="shared" si="7"/>
        <v>31</v>
      </c>
      <c r="J92" s="50">
        <f t="shared" si="1"/>
        <v>0</v>
      </c>
      <c r="K92" s="50">
        <f t="shared" si="2"/>
        <v>0</v>
      </c>
      <c r="L92" s="50">
        <f t="shared" si="3"/>
        <v>0</v>
      </c>
      <c r="M92" s="50">
        <f t="shared" si="4"/>
        <v>1</v>
      </c>
      <c r="N92" s="185">
        <v>58</v>
      </c>
      <c r="O92" s="185">
        <f>'Negative Impact Var'!E78</f>
        <v>4589866.5130769219</v>
      </c>
      <c r="P92" s="214">
        <f t="shared" si="5"/>
        <v>80845550.190116316</v>
      </c>
      <c r="Q92" s="214">
        <f t="shared" si="6"/>
        <v>-8840058.1785778552</v>
      </c>
    </row>
    <row r="93" spans="2:17" ht="14.5" x14ac:dyDescent="0.35">
      <c r="B93" s="197">
        <v>41944</v>
      </c>
      <c r="C93" s="175">
        <f t="shared" si="0"/>
        <v>11</v>
      </c>
      <c r="D93" s="175">
        <v>2014</v>
      </c>
      <c r="E93" s="187">
        <v>74401960.572307676</v>
      </c>
      <c r="F93" s="174">
        <v>482.1</v>
      </c>
      <c r="G93" s="174">
        <v>0</v>
      </c>
      <c r="H93" s="212">
        <v>140.73358487767186</v>
      </c>
      <c r="I93" s="50">
        <f t="shared" si="7"/>
        <v>30</v>
      </c>
      <c r="J93" s="50">
        <f t="shared" si="1"/>
        <v>0</v>
      </c>
      <c r="K93" s="50">
        <f t="shared" si="2"/>
        <v>0</v>
      </c>
      <c r="L93" s="50">
        <f t="shared" si="3"/>
        <v>0</v>
      </c>
      <c r="M93" s="50">
        <f t="shared" si="4"/>
        <v>0</v>
      </c>
      <c r="N93" s="185">
        <v>59</v>
      </c>
      <c r="O93" s="185">
        <f>'Negative Impact Var'!E79</f>
        <v>4806671.3853846146</v>
      </c>
      <c r="P93" s="214">
        <f t="shared" si="5"/>
        <v>84265359.085671902</v>
      </c>
      <c r="Q93" s="214">
        <f t="shared" si="6"/>
        <v>-9863398.5133642256</v>
      </c>
    </row>
    <row r="94" spans="2:17" ht="14.5" x14ac:dyDescent="0.35">
      <c r="B94" s="197">
        <v>41974</v>
      </c>
      <c r="C94" s="175">
        <f t="shared" si="0"/>
        <v>12</v>
      </c>
      <c r="D94" s="175">
        <v>2014</v>
      </c>
      <c r="E94" s="187">
        <v>77304484.726153851</v>
      </c>
      <c r="F94" s="174">
        <v>557.29999999999995</v>
      </c>
      <c r="G94" s="174">
        <v>0</v>
      </c>
      <c r="H94" s="212">
        <v>140.97943421984021</v>
      </c>
      <c r="I94" s="50">
        <f t="shared" si="7"/>
        <v>31</v>
      </c>
      <c r="J94" s="50">
        <f t="shared" si="1"/>
        <v>0</v>
      </c>
      <c r="K94" s="50">
        <f t="shared" si="2"/>
        <v>0</v>
      </c>
      <c r="L94" s="50">
        <f t="shared" si="3"/>
        <v>0</v>
      </c>
      <c r="M94" s="50">
        <f t="shared" si="4"/>
        <v>0</v>
      </c>
      <c r="N94" s="185">
        <v>60</v>
      </c>
      <c r="O94" s="185">
        <f>'Negative Impact Var'!E80</f>
        <v>5023476.2576923072</v>
      </c>
      <c r="P94" s="214">
        <f t="shared" si="5"/>
        <v>87533988.000688612</v>
      </c>
      <c r="Q94" s="214">
        <f t="shared" si="6"/>
        <v>-10229503.274534762</v>
      </c>
    </row>
    <row r="95" spans="2:17" ht="14.5" x14ac:dyDescent="0.35">
      <c r="B95" s="197">
        <v>42005</v>
      </c>
      <c r="C95" s="175">
        <f t="shared" si="0"/>
        <v>1</v>
      </c>
      <c r="D95" s="175">
        <v>2015</v>
      </c>
      <c r="E95" s="187">
        <v>84626740.919999987</v>
      </c>
      <c r="F95" s="174">
        <v>792.39999999999975</v>
      </c>
      <c r="G95" s="174">
        <v>0</v>
      </c>
      <c r="H95" s="212">
        <v>141.3034903565966</v>
      </c>
      <c r="I95" s="50">
        <f t="shared" si="7"/>
        <v>31</v>
      </c>
      <c r="J95" s="50">
        <f t="shared" si="1"/>
        <v>0</v>
      </c>
      <c r="K95" s="50">
        <f t="shared" si="2"/>
        <v>0</v>
      </c>
      <c r="L95" s="50">
        <f t="shared" si="3"/>
        <v>0</v>
      </c>
      <c r="M95" s="50">
        <f t="shared" si="4"/>
        <v>0</v>
      </c>
      <c r="N95" s="185">
        <v>61</v>
      </c>
      <c r="O95" s="185">
        <f>'Negative Impact Var'!E81</f>
        <v>5105052.2630128209</v>
      </c>
      <c r="P95" s="214">
        <f t="shared" si="5"/>
        <v>91054960.996399283</v>
      </c>
      <c r="Q95" s="214">
        <f t="shared" si="6"/>
        <v>-6428220.0763992965</v>
      </c>
    </row>
    <row r="96" spans="2:17" ht="14.5" x14ac:dyDescent="0.35">
      <c r="B96" s="197">
        <v>42036</v>
      </c>
      <c r="C96" s="175">
        <f t="shared" si="0"/>
        <v>2</v>
      </c>
      <c r="D96" s="175">
        <v>2015</v>
      </c>
      <c r="E96" s="187">
        <v>77436620.475384608</v>
      </c>
      <c r="F96" s="174">
        <v>856.8</v>
      </c>
      <c r="G96" s="174">
        <v>0</v>
      </c>
      <c r="H96" s="212">
        <v>141.62829137064909</v>
      </c>
      <c r="I96" s="50">
        <f t="shared" si="7"/>
        <v>28</v>
      </c>
      <c r="J96" s="50">
        <f t="shared" si="1"/>
        <v>0</v>
      </c>
      <c r="K96" s="50">
        <f t="shared" si="2"/>
        <v>0</v>
      </c>
      <c r="L96" s="50">
        <f t="shared" si="3"/>
        <v>0</v>
      </c>
      <c r="M96" s="50">
        <f t="shared" si="4"/>
        <v>0</v>
      </c>
      <c r="N96" s="185">
        <v>62</v>
      </c>
      <c r="O96" s="185">
        <f>'Negative Impact Var'!E82</f>
        <v>5166092.1668589748</v>
      </c>
      <c r="P96" s="214">
        <f t="shared" si="5"/>
        <v>85950268.967869639</v>
      </c>
      <c r="Q96" s="214">
        <f t="shared" si="6"/>
        <v>-8513648.4924850315</v>
      </c>
    </row>
    <row r="97" spans="2:17" ht="14.5" x14ac:dyDescent="0.35">
      <c r="B97" s="197">
        <v>42064</v>
      </c>
      <c r="C97" s="175">
        <f t="shared" si="0"/>
        <v>3</v>
      </c>
      <c r="D97" s="175">
        <v>2015</v>
      </c>
      <c r="E97" s="187">
        <v>78097659.106923103</v>
      </c>
      <c r="F97" s="174">
        <v>615.49999999999989</v>
      </c>
      <c r="G97" s="174">
        <v>0</v>
      </c>
      <c r="H97" s="212">
        <v>141.95383897417693</v>
      </c>
      <c r="I97" s="50">
        <f t="shared" si="7"/>
        <v>31</v>
      </c>
      <c r="J97" s="50">
        <f t="shared" si="1"/>
        <v>1</v>
      </c>
      <c r="K97" s="50">
        <f t="shared" si="2"/>
        <v>0</v>
      </c>
      <c r="L97" s="50">
        <f t="shared" si="3"/>
        <v>0</v>
      </c>
      <c r="M97" s="50">
        <f t="shared" si="4"/>
        <v>0</v>
      </c>
      <c r="N97" s="185">
        <v>63</v>
      </c>
      <c r="O97" s="185">
        <f>'Negative Impact Var'!E83</f>
        <v>5227132.0707051288</v>
      </c>
      <c r="P97" s="214">
        <f t="shared" si="5"/>
        <v>87265203.619366854</v>
      </c>
      <c r="Q97" s="214">
        <f t="shared" si="6"/>
        <v>-9167544.5124437511</v>
      </c>
    </row>
    <row r="98" spans="2:17" ht="14.5" x14ac:dyDescent="0.35">
      <c r="B98" s="197">
        <v>42095</v>
      </c>
      <c r="C98" s="175">
        <f t="shared" si="0"/>
        <v>4</v>
      </c>
      <c r="D98" s="175">
        <v>2015</v>
      </c>
      <c r="E98" s="187">
        <v>68989289.843076915</v>
      </c>
      <c r="F98" s="174">
        <v>313.7</v>
      </c>
      <c r="G98" s="174">
        <v>0</v>
      </c>
      <c r="H98" s="212">
        <v>142.28013488329495</v>
      </c>
      <c r="I98" s="50">
        <f t="shared" si="7"/>
        <v>30</v>
      </c>
      <c r="J98" s="50">
        <f t="shared" si="1"/>
        <v>0</v>
      </c>
      <c r="K98" s="50">
        <f t="shared" si="2"/>
        <v>1</v>
      </c>
      <c r="L98" s="50">
        <f t="shared" si="3"/>
        <v>0</v>
      </c>
      <c r="M98" s="50">
        <f t="shared" si="4"/>
        <v>0</v>
      </c>
      <c r="N98" s="185">
        <v>64</v>
      </c>
      <c r="O98" s="185">
        <f>'Negative Impact Var'!E84</f>
        <v>5288171.9745512819</v>
      </c>
      <c r="P98" s="214">
        <f t="shared" si="5"/>
        <v>78642212.378599793</v>
      </c>
      <c r="Q98" s="214">
        <f t="shared" si="6"/>
        <v>-9652922.5355228782</v>
      </c>
    </row>
    <row r="99" spans="2:17" ht="14.5" x14ac:dyDescent="0.35">
      <c r="B99" s="197">
        <v>42125</v>
      </c>
      <c r="C99" s="175">
        <f t="shared" si="0"/>
        <v>5</v>
      </c>
      <c r="D99" s="175">
        <v>2015</v>
      </c>
      <c r="E99" s="187">
        <v>73375077.214615405</v>
      </c>
      <c r="F99" s="174">
        <v>89.3</v>
      </c>
      <c r="G99" s="174">
        <v>34.1</v>
      </c>
      <c r="H99" s="212">
        <v>142.60718081806269</v>
      </c>
      <c r="I99" s="50">
        <f t="shared" si="7"/>
        <v>31</v>
      </c>
      <c r="J99" s="50">
        <f t="shared" si="1"/>
        <v>0</v>
      </c>
      <c r="K99" s="50">
        <f t="shared" si="2"/>
        <v>0</v>
      </c>
      <c r="L99" s="50">
        <f t="shared" si="3"/>
        <v>1</v>
      </c>
      <c r="M99" s="50">
        <f t="shared" si="4"/>
        <v>0</v>
      </c>
      <c r="N99" s="185">
        <v>65</v>
      </c>
      <c r="O99" s="185">
        <f>'Negative Impact Var'!E85</f>
        <v>5349211.8783974359</v>
      </c>
      <c r="P99" s="214">
        <f t="shared" si="5"/>
        <v>83051395.335281402</v>
      </c>
      <c r="Q99" s="214">
        <f t="shared" si="6"/>
        <v>-9676318.1206659973</v>
      </c>
    </row>
    <row r="100" spans="2:17" ht="14.5" x14ac:dyDescent="0.35">
      <c r="B100" s="197">
        <v>42156</v>
      </c>
      <c r="C100" s="175">
        <f t="shared" ref="C100:C163" si="8">MONTH(B100)</f>
        <v>6</v>
      </c>
      <c r="D100" s="175">
        <v>2015</v>
      </c>
      <c r="E100" s="187">
        <v>75340519.323076934</v>
      </c>
      <c r="F100" s="174">
        <v>33.800000000000004</v>
      </c>
      <c r="G100" s="174">
        <v>32.299999999999997</v>
      </c>
      <c r="H100" s="212">
        <v>142.93497850249344</v>
      </c>
      <c r="I100" s="50">
        <f t="shared" si="7"/>
        <v>30</v>
      </c>
      <c r="J100" s="50">
        <f t="shared" ref="J100:J163" si="9">IF(MONTH($B100)=3,1,0)</f>
        <v>0</v>
      </c>
      <c r="K100" s="50">
        <f t="shared" ref="K100:K163" si="10">IF(MONTH($B100)=4,1,0)</f>
        <v>0</v>
      </c>
      <c r="L100" s="50">
        <f t="shared" ref="L100:L163" si="11">IF(MONTH($B100)=5,1,0)</f>
        <v>0</v>
      </c>
      <c r="M100" s="50">
        <f t="shared" ref="M100:M163" si="12">IF(MONTH($B100)=10,1,0)</f>
        <v>0</v>
      </c>
      <c r="N100" s="185">
        <v>66</v>
      </c>
      <c r="O100" s="185">
        <f>'Negative Impact Var'!E86</f>
        <v>5410251.7822435899</v>
      </c>
      <c r="P100" s="214">
        <f t="shared" ref="P100:P163" si="13">$AC$17+MMULT(F100:N100,$AC$18:$AC$26)</f>
        <v>83163802.983172864</v>
      </c>
      <c r="Q100" s="214">
        <f t="shared" ref="Q100:Q163" si="14">E100-P100</f>
        <v>-7823283.6600959301</v>
      </c>
    </row>
    <row r="101" spans="2:17" ht="14.5" x14ac:dyDescent="0.35">
      <c r="B101" s="197">
        <v>42186</v>
      </c>
      <c r="C101" s="175">
        <f t="shared" si="8"/>
        <v>7</v>
      </c>
      <c r="D101" s="175">
        <v>2015</v>
      </c>
      <c r="E101" s="187">
        <v>85365000.161538452</v>
      </c>
      <c r="F101" s="174">
        <v>4</v>
      </c>
      <c r="G101" s="174">
        <v>114.29999999999998</v>
      </c>
      <c r="H101" s="212">
        <v>143.26352966456326</v>
      </c>
      <c r="I101" s="50">
        <f t="shared" si="7"/>
        <v>31</v>
      </c>
      <c r="J101" s="50">
        <f t="shared" si="9"/>
        <v>0</v>
      </c>
      <c r="K101" s="50">
        <f t="shared" si="10"/>
        <v>0</v>
      </c>
      <c r="L101" s="50">
        <f t="shared" si="11"/>
        <v>0</v>
      </c>
      <c r="M101" s="50">
        <f t="shared" si="12"/>
        <v>0</v>
      </c>
      <c r="N101" s="185">
        <v>67</v>
      </c>
      <c r="O101" s="185">
        <f>'Negative Impact Var'!E87</f>
        <v>5471291.6860897439</v>
      </c>
      <c r="P101" s="214">
        <f t="shared" si="13"/>
        <v>95297119.858613461</v>
      </c>
      <c r="Q101" s="214">
        <f t="shared" si="14"/>
        <v>-9932119.6970750093</v>
      </c>
    </row>
    <row r="102" spans="2:17" ht="14.5" x14ac:dyDescent="0.35">
      <c r="B102" s="197">
        <v>42217</v>
      </c>
      <c r="C102" s="175">
        <f t="shared" si="8"/>
        <v>8</v>
      </c>
      <c r="D102" s="175">
        <v>2015</v>
      </c>
      <c r="E102" s="187">
        <v>81751305.839230776</v>
      </c>
      <c r="F102" s="174">
        <v>4.4000000000000004</v>
      </c>
      <c r="G102" s="174">
        <v>88.6</v>
      </c>
      <c r="H102" s="212">
        <v>143.59283603622018</v>
      </c>
      <c r="I102" s="50">
        <f t="shared" si="7"/>
        <v>31</v>
      </c>
      <c r="J102" s="50">
        <f t="shared" si="9"/>
        <v>0</v>
      </c>
      <c r="K102" s="50">
        <f t="shared" si="10"/>
        <v>0</v>
      </c>
      <c r="L102" s="50">
        <f t="shared" si="11"/>
        <v>0</v>
      </c>
      <c r="M102" s="50">
        <f t="shared" si="12"/>
        <v>0</v>
      </c>
      <c r="N102" s="185">
        <v>68</v>
      </c>
      <c r="O102" s="185">
        <f>'Negative Impact Var'!E88</f>
        <v>5532331.5899358978</v>
      </c>
      <c r="P102" s="214">
        <f t="shared" si="13"/>
        <v>92253316.529573202</v>
      </c>
      <c r="Q102" s="214">
        <f t="shared" si="14"/>
        <v>-10502010.690342426</v>
      </c>
    </row>
    <row r="103" spans="2:17" ht="14.5" x14ac:dyDescent="0.35">
      <c r="B103" s="197">
        <v>42248</v>
      </c>
      <c r="C103" s="175">
        <f t="shared" si="8"/>
        <v>9</v>
      </c>
      <c r="D103" s="175">
        <v>2015</v>
      </c>
      <c r="E103" s="187">
        <v>79343691.187692299</v>
      </c>
      <c r="F103" s="174">
        <v>31.099999999999994</v>
      </c>
      <c r="G103" s="174">
        <v>81.900000000000006</v>
      </c>
      <c r="H103" s="212">
        <v>143.92289935339329</v>
      </c>
      <c r="I103" s="50">
        <f t="shared" si="7"/>
        <v>30</v>
      </c>
      <c r="J103" s="50">
        <f t="shared" si="9"/>
        <v>0</v>
      </c>
      <c r="K103" s="50">
        <f t="shared" si="10"/>
        <v>0</v>
      </c>
      <c r="L103" s="50">
        <f t="shared" si="11"/>
        <v>0</v>
      </c>
      <c r="M103" s="50">
        <f t="shared" si="12"/>
        <v>0</v>
      </c>
      <c r="N103" s="185">
        <v>69</v>
      </c>
      <c r="O103" s="185">
        <f>'Negative Impact Var'!E89</f>
        <v>5593371.4937820518</v>
      </c>
      <c r="P103" s="214">
        <f t="shared" si="13"/>
        <v>89906196.405764401</v>
      </c>
      <c r="Q103" s="214">
        <f t="shared" si="14"/>
        <v>-10562505.218072101</v>
      </c>
    </row>
    <row r="104" spans="2:17" ht="14.5" x14ac:dyDescent="0.35">
      <c r="B104" s="197">
        <v>42278</v>
      </c>
      <c r="C104" s="175">
        <f t="shared" si="8"/>
        <v>10</v>
      </c>
      <c r="D104" s="175">
        <v>2015</v>
      </c>
      <c r="E104" s="187">
        <v>71236445.923076928</v>
      </c>
      <c r="F104" s="174">
        <v>249.8</v>
      </c>
      <c r="G104" s="174">
        <v>0</v>
      </c>
      <c r="H104" s="212">
        <v>144.2537213560019</v>
      </c>
      <c r="I104" s="50">
        <f t="shared" si="7"/>
        <v>31</v>
      </c>
      <c r="J104" s="50">
        <f t="shared" si="9"/>
        <v>0</v>
      </c>
      <c r="K104" s="50">
        <f t="shared" si="10"/>
        <v>0</v>
      </c>
      <c r="L104" s="50">
        <f t="shared" si="11"/>
        <v>0</v>
      </c>
      <c r="M104" s="50">
        <f t="shared" si="12"/>
        <v>1</v>
      </c>
      <c r="N104" s="185">
        <v>70</v>
      </c>
      <c r="O104" s="185">
        <f>'Negative Impact Var'!E90</f>
        <v>5654411.3976282058</v>
      </c>
      <c r="P104" s="214">
        <f t="shared" si="13"/>
        <v>83115861.913916945</v>
      </c>
      <c r="Q104" s="214">
        <f t="shared" si="14"/>
        <v>-11879415.990840018</v>
      </c>
    </row>
    <row r="105" spans="2:17" ht="14.5" x14ac:dyDescent="0.35">
      <c r="B105" s="197">
        <v>42309</v>
      </c>
      <c r="C105" s="175">
        <f t="shared" si="8"/>
        <v>11</v>
      </c>
      <c r="D105" s="175">
        <v>2015</v>
      </c>
      <c r="E105" s="187">
        <v>71636023.820769221</v>
      </c>
      <c r="F105" s="174">
        <v>345</v>
      </c>
      <c r="G105" s="174">
        <v>0</v>
      </c>
      <c r="H105" s="212">
        <v>144.58530378796473</v>
      </c>
      <c r="I105" s="50">
        <f t="shared" si="7"/>
        <v>30</v>
      </c>
      <c r="J105" s="50">
        <f t="shared" si="9"/>
        <v>0</v>
      </c>
      <c r="K105" s="50">
        <f t="shared" si="10"/>
        <v>0</v>
      </c>
      <c r="L105" s="50">
        <f t="shared" si="11"/>
        <v>0</v>
      </c>
      <c r="M105" s="50">
        <f t="shared" si="12"/>
        <v>0</v>
      </c>
      <c r="N105" s="185">
        <v>71</v>
      </c>
      <c r="O105" s="185">
        <f>'Negative Impact Var'!E91</f>
        <v>5715451.3014743589</v>
      </c>
      <c r="P105" s="214">
        <f t="shared" si="13"/>
        <v>84437536.096384019</v>
      </c>
      <c r="Q105" s="214">
        <f t="shared" si="14"/>
        <v>-12801512.275614798</v>
      </c>
    </row>
    <row r="106" spans="2:17" ht="14.5" x14ac:dyDescent="0.35">
      <c r="B106" s="197">
        <v>42339</v>
      </c>
      <c r="C106" s="175">
        <f t="shared" si="8"/>
        <v>12</v>
      </c>
      <c r="D106" s="175">
        <v>2015</v>
      </c>
      <c r="E106" s="187">
        <v>73291493.167692319</v>
      </c>
      <c r="F106" s="174">
        <v>429.70000000000005</v>
      </c>
      <c r="G106" s="174">
        <v>0</v>
      </c>
      <c r="H106" s="212">
        <v>144.91764839720901</v>
      </c>
      <c r="I106" s="50">
        <f t="shared" ref="I106:I169" si="15">DAY(EOMONTH(B106,0))</f>
        <v>31</v>
      </c>
      <c r="J106" s="50">
        <f t="shared" si="9"/>
        <v>0</v>
      </c>
      <c r="K106" s="50">
        <f t="shared" si="10"/>
        <v>0</v>
      </c>
      <c r="L106" s="50">
        <f t="shared" si="11"/>
        <v>0</v>
      </c>
      <c r="M106" s="50">
        <f t="shared" si="12"/>
        <v>0</v>
      </c>
      <c r="N106" s="185">
        <v>72</v>
      </c>
      <c r="O106" s="185">
        <f>'Negative Impact Var'!E92</f>
        <v>5776491.2053205129</v>
      </c>
      <c r="P106" s="214">
        <f t="shared" si="13"/>
        <v>87891520.35148862</v>
      </c>
      <c r="Q106" s="214">
        <f t="shared" si="14"/>
        <v>-14600027.183796301</v>
      </c>
    </row>
    <row r="107" spans="2:17" ht="14.5" x14ac:dyDescent="0.35">
      <c r="B107" s="197">
        <v>42370</v>
      </c>
      <c r="C107" s="175">
        <f t="shared" si="8"/>
        <v>1</v>
      </c>
      <c r="D107" s="175">
        <v>2016</v>
      </c>
      <c r="E107" s="187">
        <v>79986061.065384641</v>
      </c>
      <c r="F107" s="174">
        <v>670.4</v>
      </c>
      <c r="G107" s="174">
        <v>0</v>
      </c>
      <c r="H107" s="212">
        <v>145.18982487994964</v>
      </c>
      <c r="I107" s="50">
        <f t="shared" si="15"/>
        <v>31</v>
      </c>
      <c r="J107" s="50">
        <f t="shared" si="9"/>
        <v>0</v>
      </c>
      <c r="K107" s="50">
        <f t="shared" si="10"/>
        <v>0</v>
      </c>
      <c r="L107" s="50">
        <f t="shared" si="11"/>
        <v>0</v>
      </c>
      <c r="M107" s="50">
        <f t="shared" si="12"/>
        <v>0</v>
      </c>
      <c r="N107" s="185">
        <v>73</v>
      </c>
      <c r="O107" s="185">
        <f>'Negative Impact Var'!E93</f>
        <v>5818526.0798717942</v>
      </c>
      <c r="P107" s="214">
        <f t="shared" si="13"/>
        <v>91461941.887011886</v>
      </c>
      <c r="Q107" s="214">
        <f t="shared" si="14"/>
        <v>-11475880.821627244</v>
      </c>
    </row>
    <row r="108" spans="2:17" ht="14.5" x14ac:dyDescent="0.35">
      <c r="B108" s="197">
        <v>42401</v>
      </c>
      <c r="C108" s="175">
        <f t="shared" si="8"/>
        <v>2</v>
      </c>
      <c r="D108" s="175">
        <v>2016</v>
      </c>
      <c r="E108" s="187">
        <v>73679442.001538455</v>
      </c>
      <c r="F108" s="174">
        <v>588.4</v>
      </c>
      <c r="G108" s="174">
        <v>0</v>
      </c>
      <c r="H108" s="212">
        <v>145.46251254982707</v>
      </c>
      <c r="I108" s="50">
        <f t="shared" si="15"/>
        <v>29</v>
      </c>
      <c r="J108" s="50">
        <f t="shared" si="9"/>
        <v>0</v>
      </c>
      <c r="K108" s="50">
        <f t="shared" si="10"/>
        <v>0</v>
      </c>
      <c r="L108" s="50">
        <f t="shared" si="11"/>
        <v>0</v>
      </c>
      <c r="M108" s="50">
        <f t="shared" si="12"/>
        <v>0</v>
      </c>
      <c r="N108" s="185">
        <v>74</v>
      </c>
      <c r="O108" s="185">
        <f>'Negative Impact Var'!E94</f>
        <v>5896612.4580769222</v>
      </c>
      <c r="P108" s="214">
        <f t="shared" si="13"/>
        <v>86312007.16269502</v>
      </c>
      <c r="Q108" s="214">
        <f t="shared" si="14"/>
        <v>-12632565.161156565</v>
      </c>
    </row>
    <row r="109" spans="2:17" ht="14.5" x14ac:dyDescent="0.35">
      <c r="B109" s="197">
        <v>42430</v>
      </c>
      <c r="C109" s="175">
        <f t="shared" si="8"/>
        <v>3</v>
      </c>
      <c r="D109" s="175">
        <v>2016</v>
      </c>
      <c r="E109" s="187">
        <v>73829400.356153846</v>
      </c>
      <c r="F109" s="174">
        <v>476.0999999999998</v>
      </c>
      <c r="G109" s="174">
        <v>0</v>
      </c>
      <c r="H109" s="212">
        <v>145.73571236692533</v>
      </c>
      <c r="I109" s="50">
        <f t="shared" si="15"/>
        <v>31</v>
      </c>
      <c r="J109" s="50">
        <f t="shared" si="9"/>
        <v>1</v>
      </c>
      <c r="K109" s="50">
        <f t="shared" si="10"/>
        <v>0</v>
      </c>
      <c r="L109" s="50">
        <f t="shared" si="11"/>
        <v>0</v>
      </c>
      <c r="M109" s="50">
        <f t="shared" si="12"/>
        <v>0</v>
      </c>
      <c r="N109" s="185">
        <v>75</v>
      </c>
      <c r="O109" s="185">
        <f>'Negative Impact Var'!E95</f>
        <v>5974698.8362820512</v>
      </c>
      <c r="P109" s="214">
        <f t="shared" si="13"/>
        <v>87364068.656980723</v>
      </c>
      <c r="Q109" s="214">
        <f t="shared" si="14"/>
        <v>-13534668.300826877</v>
      </c>
    </row>
    <row r="110" spans="2:17" ht="14.5" x14ac:dyDescent="0.35">
      <c r="B110" s="197">
        <v>42461</v>
      </c>
      <c r="C110" s="175">
        <f t="shared" si="8"/>
        <v>4</v>
      </c>
      <c r="D110" s="175">
        <v>2016</v>
      </c>
      <c r="E110" s="187">
        <v>69308215.465384632</v>
      </c>
      <c r="F110" s="174">
        <v>394.8</v>
      </c>
      <c r="G110" s="174">
        <v>0</v>
      </c>
      <c r="H110" s="212">
        <v>146.00942529313159</v>
      </c>
      <c r="I110" s="50">
        <f t="shared" si="15"/>
        <v>30</v>
      </c>
      <c r="J110" s="50">
        <f t="shared" si="9"/>
        <v>0</v>
      </c>
      <c r="K110" s="50">
        <f t="shared" si="10"/>
        <v>1</v>
      </c>
      <c r="L110" s="50">
        <f t="shared" si="11"/>
        <v>0</v>
      </c>
      <c r="M110" s="50">
        <f t="shared" si="12"/>
        <v>0</v>
      </c>
      <c r="N110" s="185">
        <v>76</v>
      </c>
      <c r="O110" s="185">
        <f>'Negative Impact Var'!E96</f>
        <v>6052785.2144871792</v>
      </c>
      <c r="P110" s="214">
        <f t="shared" si="13"/>
        <v>81845340.109085947</v>
      </c>
      <c r="Q110" s="214">
        <f t="shared" si="14"/>
        <v>-12537124.643701315</v>
      </c>
    </row>
    <row r="111" spans="2:17" ht="14.5" x14ac:dyDescent="0.35">
      <c r="B111" s="197">
        <v>42491</v>
      </c>
      <c r="C111" s="175">
        <f t="shared" si="8"/>
        <v>5</v>
      </c>
      <c r="D111" s="175">
        <v>2016</v>
      </c>
      <c r="E111" s="187">
        <v>72726898.225384623</v>
      </c>
      <c r="F111" s="174">
        <v>142.50000000000003</v>
      </c>
      <c r="G111" s="174">
        <v>36.9</v>
      </c>
      <c r="H111" s="212">
        <v>146.28365229213961</v>
      </c>
      <c r="I111" s="50">
        <f t="shared" si="15"/>
        <v>31</v>
      </c>
      <c r="J111" s="50">
        <f t="shared" si="9"/>
        <v>0</v>
      </c>
      <c r="K111" s="50">
        <f t="shared" si="10"/>
        <v>0</v>
      </c>
      <c r="L111" s="50">
        <f t="shared" si="11"/>
        <v>1</v>
      </c>
      <c r="M111" s="50">
        <f t="shared" si="12"/>
        <v>0</v>
      </c>
      <c r="N111" s="185">
        <v>77</v>
      </c>
      <c r="O111" s="185">
        <f>'Negative Impact Var'!E97</f>
        <v>6130871.5926923072</v>
      </c>
      <c r="P111" s="214">
        <f t="shared" si="13"/>
        <v>86179185.121575028</v>
      </c>
      <c r="Q111" s="214">
        <f t="shared" si="14"/>
        <v>-13452286.896190405</v>
      </c>
    </row>
    <row r="112" spans="2:17" ht="14.5" x14ac:dyDescent="0.35">
      <c r="B112" s="197">
        <v>42522</v>
      </c>
      <c r="C112" s="175">
        <f t="shared" si="8"/>
        <v>6</v>
      </c>
      <c r="D112" s="175">
        <v>2016</v>
      </c>
      <c r="E112" s="187">
        <v>79069060.420000032</v>
      </c>
      <c r="F112" s="174">
        <v>24.200000000000003</v>
      </c>
      <c r="G112" s="174">
        <v>83.7</v>
      </c>
      <c r="H112" s="212">
        <v>146.55839432945308</v>
      </c>
      <c r="I112" s="50">
        <f t="shared" si="15"/>
        <v>30</v>
      </c>
      <c r="J112" s="50">
        <f t="shared" si="9"/>
        <v>0</v>
      </c>
      <c r="K112" s="50">
        <f t="shared" si="10"/>
        <v>0</v>
      </c>
      <c r="L112" s="50">
        <f t="shared" si="11"/>
        <v>0</v>
      </c>
      <c r="M112" s="50">
        <f t="shared" si="12"/>
        <v>0</v>
      </c>
      <c r="N112" s="185">
        <v>78</v>
      </c>
      <c r="O112" s="185">
        <f>'Negative Impact Var'!E98</f>
        <v>6208957.9708974352</v>
      </c>
      <c r="P112" s="214">
        <f t="shared" si="13"/>
        <v>91478111.142666578</v>
      </c>
      <c r="Q112" s="214">
        <f t="shared" si="14"/>
        <v>-12409050.722666547</v>
      </c>
    </row>
    <row r="113" spans="2:17" ht="14.5" x14ac:dyDescent="0.35">
      <c r="B113" s="197">
        <v>42552</v>
      </c>
      <c r="C113" s="175">
        <f t="shared" si="8"/>
        <v>7</v>
      </c>
      <c r="D113" s="175">
        <v>2016</v>
      </c>
      <c r="E113" s="187">
        <v>90249922.476153865</v>
      </c>
      <c r="F113" s="174">
        <v>0</v>
      </c>
      <c r="G113" s="174">
        <v>176.89999999999998</v>
      </c>
      <c r="H113" s="212">
        <v>146.83365237238908</v>
      </c>
      <c r="I113" s="50">
        <f t="shared" si="15"/>
        <v>31</v>
      </c>
      <c r="J113" s="50">
        <f t="shared" si="9"/>
        <v>0</v>
      </c>
      <c r="K113" s="50">
        <f t="shared" si="10"/>
        <v>0</v>
      </c>
      <c r="L113" s="50">
        <f t="shared" si="11"/>
        <v>0</v>
      </c>
      <c r="M113" s="50">
        <f t="shared" si="12"/>
        <v>0</v>
      </c>
      <c r="N113" s="185">
        <v>79</v>
      </c>
      <c r="O113" s="185">
        <f>'Negative Impact Var'!E99</f>
        <v>6287044.3491025632</v>
      </c>
      <c r="P113" s="214">
        <f t="shared" si="13"/>
        <v>105068165.03821194</v>
      </c>
      <c r="Q113" s="214">
        <f t="shared" si="14"/>
        <v>-14818242.562058076</v>
      </c>
    </row>
    <row r="114" spans="2:17" ht="14.5" x14ac:dyDescent="0.35">
      <c r="B114" s="197">
        <v>42583</v>
      </c>
      <c r="C114" s="175">
        <f t="shared" si="8"/>
        <v>8</v>
      </c>
      <c r="D114" s="175">
        <v>2016</v>
      </c>
      <c r="E114" s="187">
        <v>94016713.441538468</v>
      </c>
      <c r="F114" s="174">
        <v>0</v>
      </c>
      <c r="G114" s="174">
        <v>195.4</v>
      </c>
      <c r="H114" s="212">
        <v>147.10942739008146</v>
      </c>
      <c r="I114" s="50">
        <f t="shared" si="15"/>
        <v>31</v>
      </c>
      <c r="J114" s="50">
        <f t="shared" si="9"/>
        <v>0</v>
      </c>
      <c r="K114" s="50">
        <f t="shared" si="10"/>
        <v>0</v>
      </c>
      <c r="L114" s="50">
        <f t="shared" si="11"/>
        <v>0</v>
      </c>
      <c r="M114" s="50">
        <f t="shared" si="12"/>
        <v>0</v>
      </c>
      <c r="N114" s="185">
        <v>80</v>
      </c>
      <c r="O114" s="185">
        <f>'Negative Impact Var'!E100</f>
        <v>6365130.7273076922</v>
      </c>
      <c r="P114" s="214">
        <f t="shared" si="13"/>
        <v>107544555.10163924</v>
      </c>
      <c r="Q114" s="214">
        <f t="shared" si="14"/>
        <v>-13527841.660100773</v>
      </c>
    </row>
    <row r="115" spans="2:17" ht="14.5" x14ac:dyDescent="0.35">
      <c r="B115" s="197">
        <v>42614</v>
      </c>
      <c r="C115" s="175">
        <f t="shared" si="8"/>
        <v>9</v>
      </c>
      <c r="D115" s="175">
        <v>2016</v>
      </c>
      <c r="E115" s="187">
        <v>77678226.287692308</v>
      </c>
      <c r="F115" s="174">
        <v>25.900000000000006</v>
      </c>
      <c r="G115" s="174">
        <v>69.400000000000006</v>
      </c>
      <c r="H115" s="212">
        <v>147.3857203534842</v>
      </c>
      <c r="I115" s="50">
        <f t="shared" si="15"/>
        <v>30</v>
      </c>
      <c r="J115" s="50">
        <f t="shared" si="9"/>
        <v>0</v>
      </c>
      <c r="K115" s="50">
        <f t="shared" si="10"/>
        <v>0</v>
      </c>
      <c r="L115" s="50">
        <f t="shared" si="11"/>
        <v>0</v>
      </c>
      <c r="M115" s="50">
        <f t="shared" si="12"/>
        <v>0</v>
      </c>
      <c r="N115" s="185">
        <v>81</v>
      </c>
      <c r="O115" s="185">
        <f>'Negative Impact Var'!E101</f>
        <v>6443217.1055128202</v>
      </c>
      <c r="P115" s="214">
        <f t="shared" si="13"/>
        <v>90155905.757356703</v>
      </c>
      <c r="Q115" s="214">
        <f t="shared" si="14"/>
        <v>-12477679.469664395</v>
      </c>
    </row>
    <row r="116" spans="2:17" ht="14.5" x14ac:dyDescent="0.35">
      <c r="B116" s="197">
        <v>42644</v>
      </c>
      <c r="C116" s="175">
        <f t="shared" si="8"/>
        <v>10</v>
      </c>
      <c r="D116" s="175">
        <v>2016</v>
      </c>
      <c r="E116" s="187">
        <v>71025278.580769241</v>
      </c>
      <c r="F116" s="174">
        <v>194.20000000000002</v>
      </c>
      <c r="G116" s="174">
        <v>4.0999999999999996</v>
      </c>
      <c r="H116" s="212">
        <v>147.6625322353749</v>
      </c>
      <c r="I116" s="50">
        <f t="shared" si="15"/>
        <v>31</v>
      </c>
      <c r="J116" s="50">
        <f t="shared" si="9"/>
        <v>0</v>
      </c>
      <c r="K116" s="50">
        <f t="shared" si="10"/>
        <v>0</v>
      </c>
      <c r="L116" s="50">
        <f t="shared" si="11"/>
        <v>0</v>
      </c>
      <c r="M116" s="50">
        <f t="shared" si="12"/>
        <v>1</v>
      </c>
      <c r="N116" s="185">
        <v>82</v>
      </c>
      <c r="O116" s="185">
        <f>'Negative Impact Var'!E102</f>
        <v>6521303.4837179482</v>
      </c>
      <c r="P116" s="214">
        <f t="shared" si="13"/>
        <v>84704652.380282491</v>
      </c>
      <c r="Q116" s="214">
        <f t="shared" si="14"/>
        <v>-13679373.799513251</v>
      </c>
    </row>
    <row r="117" spans="2:17" ht="14.5" x14ac:dyDescent="0.35">
      <c r="B117" s="197">
        <v>42675</v>
      </c>
      <c r="C117" s="175">
        <f t="shared" si="8"/>
        <v>11</v>
      </c>
      <c r="D117" s="175">
        <v>2016</v>
      </c>
      <c r="E117" s="187">
        <v>71123495.761538461</v>
      </c>
      <c r="F117" s="174">
        <v>337.80000000000007</v>
      </c>
      <c r="G117" s="174">
        <v>0</v>
      </c>
      <c r="H117" s="212">
        <v>147.93986401035815</v>
      </c>
      <c r="I117" s="50">
        <f t="shared" si="15"/>
        <v>30</v>
      </c>
      <c r="J117" s="50">
        <f t="shared" si="9"/>
        <v>0</v>
      </c>
      <c r="K117" s="50">
        <f t="shared" si="10"/>
        <v>0</v>
      </c>
      <c r="L117" s="50">
        <f t="shared" si="11"/>
        <v>0</v>
      </c>
      <c r="M117" s="50">
        <f t="shared" si="12"/>
        <v>0</v>
      </c>
      <c r="N117" s="185">
        <v>83</v>
      </c>
      <c r="O117" s="185">
        <f>'Negative Impact Var'!E103</f>
        <v>6599389.8619230762</v>
      </c>
      <c r="P117" s="214">
        <f t="shared" si="13"/>
        <v>86167413.037174165</v>
      </c>
      <c r="Q117" s="214">
        <f t="shared" si="14"/>
        <v>-15043917.275635704</v>
      </c>
    </row>
    <row r="118" spans="2:17" ht="14.5" x14ac:dyDescent="0.35">
      <c r="B118" s="197">
        <v>42705</v>
      </c>
      <c r="C118" s="175">
        <f t="shared" si="8"/>
        <v>12</v>
      </c>
      <c r="D118" s="175">
        <v>2016</v>
      </c>
      <c r="E118" s="187">
        <v>76024870.703076944</v>
      </c>
      <c r="F118" s="174">
        <v>607.99999999999989</v>
      </c>
      <c r="G118" s="174">
        <v>0</v>
      </c>
      <c r="H118" s="212">
        <v>148.21771665486904</v>
      </c>
      <c r="I118" s="50">
        <f t="shared" si="15"/>
        <v>31</v>
      </c>
      <c r="J118" s="50">
        <f t="shared" si="9"/>
        <v>0</v>
      </c>
      <c r="K118" s="50">
        <f t="shared" si="10"/>
        <v>0</v>
      </c>
      <c r="L118" s="50">
        <f t="shared" si="11"/>
        <v>0</v>
      </c>
      <c r="M118" s="50">
        <f t="shared" si="12"/>
        <v>0</v>
      </c>
      <c r="N118" s="185">
        <v>84</v>
      </c>
      <c r="O118" s="185">
        <f>'Negative Impact Var'!E104</f>
        <v>6677476.2401282052</v>
      </c>
      <c r="P118" s="214">
        <f t="shared" si="13"/>
        <v>92226956.630480617</v>
      </c>
      <c r="Q118" s="214">
        <f t="shared" si="14"/>
        <v>-16202085.927403674</v>
      </c>
    </row>
    <row r="119" spans="2:17" ht="14.5" x14ac:dyDescent="0.35">
      <c r="B119" s="197">
        <v>42736</v>
      </c>
      <c r="C119" s="175">
        <f t="shared" si="8"/>
        <v>1</v>
      </c>
      <c r="D119" s="175">
        <v>2017</v>
      </c>
      <c r="E119" s="187">
        <v>78997942.227619052</v>
      </c>
      <c r="F119" s="174">
        <v>608.9</v>
      </c>
      <c r="G119" s="174">
        <v>0</v>
      </c>
      <c r="H119" s="212">
        <v>148.6475381454095</v>
      </c>
      <c r="I119" s="50">
        <f t="shared" si="15"/>
        <v>31</v>
      </c>
      <c r="J119" s="50">
        <f t="shared" si="9"/>
        <v>0</v>
      </c>
      <c r="K119" s="50">
        <f t="shared" si="10"/>
        <v>0</v>
      </c>
      <c r="L119" s="50">
        <f t="shared" si="11"/>
        <v>0</v>
      </c>
      <c r="M119" s="50">
        <f t="shared" si="12"/>
        <v>0</v>
      </c>
      <c r="N119" s="185">
        <v>85</v>
      </c>
      <c r="O119" s="185">
        <f>'Negative Impact Var'!E105</f>
        <v>6586715.294871795</v>
      </c>
      <c r="P119" s="214">
        <f t="shared" si="13"/>
        <v>92479818.566404462</v>
      </c>
      <c r="Q119" s="214">
        <f t="shared" si="14"/>
        <v>-13481876.33878541</v>
      </c>
    </row>
    <row r="120" spans="2:17" ht="14.5" x14ac:dyDescent="0.35">
      <c r="B120" s="197">
        <v>42767</v>
      </c>
      <c r="C120" s="175">
        <f t="shared" si="8"/>
        <v>2</v>
      </c>
      <c r="D120" s="175">
        <v>2017</v>
      </c>
      <c r="E120" s="187">
        <v>69829356.909999996</v>
      </c>
      <c r="F120" s="174">
        <v>510.4</v>
      </c>
      <c r="G120" s="174">
        <v>0</v>
      </c>
      <c r="H120" s="212">
        <v>149.07860608959868</v>
      </c>
      <c r="I120" s="50">
        <f t="shared" si="15"/>
        <v>28</v>
      </c>
      <c r="J120" s="50">
        <f t="shared" si="9"/>
        <v>0</v>
      </c>
      <c r="K120" s="50">
        <f t="shared" si="10"/>
        <v>0</v>
      </c>
      <c r="L120" s="50">
        <f t="shared" si="11"/>
        <v>0</v>
      </c>
      <c r="M120" s="50">
        <f t="shared" si="12"/>
        <v>0</v>
      </c>
      <c r="N120" s="185">
        <v>86</v>
      </c>
      <c r="O120" s="185">
        <f>'Negative Impact Var'!E106</f>
        <v>6691761.756410256</v>
      </c>
      <c r="P120" s="214">
        <f t="shared" si="13"/>
        <v>85120975.85043034</v>
      </c>
      <c r="Q120" s="214">
        <f t="shared" si="14"/>
        <v>-15291618.940430343</v>
      </c>
    </row>
    <row r="121" spans="2:17" ht="14.5" x14ac:dyDescent="0.35">
      <c r="B121" s="197">
        <v>42795</v>
      </c>
      <c r="C121" s="175">
        <f t="shared" si="8"/>
        <v>3</v>
      </c>
      <c r="D121" s="175">
        <v>2017</v>
      </c>
      <c r="E121" s="187">
        <v>76565564.916190505</v>
      </c>
      <c r="F121" s="174">
        <v>574</v>
      </c>
      <c r="G121" s="174">
        <v>0</v>
      </c>
      <c r="H121" s="212">
        <v>149.51092410206903</v>
      </c>
      <c r="I121" s="50">
        <f t="shared" si="15"/>
        <v>31</v>
      </c>
      <c r="J121" s="50">
        <f t="shared" si="9"/>
        <v>1</v>
      </c>
      <c r="K121" s="50">
        <f t="shared" si="10"/>
        <v>0</v>
      </c>
      <c r="L121" s="50">
        <f t="shared" si="11"/>
        <v>0</v>
      </c>
      <c r="M121" s="50">
        <f t="shared" si="12"/>
        <v>0</v>
      </c>
      <c r="N121" s="185">
        <v>87</v>
      </c>
      <c r="O121" s="185">
        <f>'Negative Impact Var'!E107</f>
        <v>6796808.217948718</v>
      </c>
      <c r="P121" s="214">
        <f t="shared" si="13"/>
        <v>90832743.00458169</v>
      </c>
      <c r="Q121" s="214">
        <f t="shared" si="14"/>
        <v>-14267178.088391185</v>
      </c>
    </row>
    <row r="122" spans="2:17" ht="14.5" x14ac:dyDescent="0.35">
      <c r="B122" s="197">
        <v>42826</v>
      </c>
      <c r="C122" s="175">
        <f t="shared" si="8"/>
        <v>4</v>
      </c>
      <c r="D122" s="175">
        <v>2017</v>
      </c>
      <c r="E122" s="187">
        <v>66644954.449523814</v>
      </c>
      <c r="F122" s="174">
        <v>257.49999999999994</v>
      </c>
      <c r="G122" s="174">
        <v>0</v>
      </c>
      <c r="H122" s="212">
        <v>149.94449580793514</v>
      </c>
      <c r="I122" s="50">
        <f t="shared" si="15"/>
        <v>30</v>
      </c>
      <c r="J122" s="50">
        <f t="shared" si="9"/>
        <v>0</v>
      </c>
      <c r="K122" s="50">
        <f t="shared" si="10"/>
        <v>1</v>
      </c>
      <c r="L122" s="50">
        <f t="shared" si="11"/>
        <v>0</v>
      </c>
      <c r="M122" s="50">
        <f t="shared" si="12"/>
        <v>0</v>
      </c>
      <c r="N122" s="185">
        <v>88</v>
      </c>
      <c r="O122" s="185">
        <f>'Negative Impact Var'!E108</f>
        <v>6901854.679487179</v>
      </c>
      <c r="P122" s="214">
        <f t="shared" si="13"/>
        <v>82063140.078152061</v>
      </c>
      <c r="Q122" s="214">
        <f t="shared" si="14"/>
        <v>-15418185.628628246</v>
      </c>
    </row>
    <row r="123" spans="2:17" ht="14.5" x14ac:dyDescent="0.35">
      <c r="B123" s="197">
        <v>42856</v>
      </c>
      <c r="C123" s="175">
        <f t="shared" si="8"/>
        <v>5</v>
      </c>
      <c r="D123" s="175">
        <v>2017</v>
      </c>
      <c r="E123" s="187">
        <v>70677545.254761904</v>
      </c>
      <c r="F123" s="174">
        <v>177</v>
      </c>
      <c r="G123" s="174">
        <v>9</v>
      </c>
      <c r="H123" s="212">
        <v>150.37932484282425</v>
      </c>
      <c r="I123" s="50">
        <f t="shared" si="15"/>
        <v>31</v>
      </c>
      <c r="J123" s="50">
        <f t="shared" si="9"/>
        <v>0</v>
      </c>
      <c r="K123" s="50">
        <f t="shared" si="10"/>
        <v>0</v>
      </c>
      <c r="L123" s="50">
        <f t="shared" si="11"/>
        <v>1</v>
      </c>
      <c r="M123" s="50">
        <f t="shared" si="12"/>
        <v>0</v>
      </c>
      <c r="N123" s="185">
        <v>89</v>
      </c>
      <c r="O123" s="185">
        <f>'Negative Impact Var'!E109</f>
        <v>7006901.141025641</v>
      </c>
      <c r="P123" s="214">
        <f t="shared" si="13"/>
        <v>85425139.105271816</v>
      </c>
      <c r="Q123" s="214">
        <f t="shared" si="14"/>
        <v>-14747593.850509912</v>
      </c>
    </row>
    <row r="124" spans="2:17" ht="14.5" x14ac:dyDescent="0.35">
      <c r="B124" s="197">
        <v>42887</v>
      </c>
      <c r="C124" s="175">
        <f t="shared" si="8"/>
        <v>6</v>
      </c>
      <c r="D124" s="175">
        <v>2017</v>
      </c>
      <c r="E124" s="187">
        <v>78699725.353333339</v>
      </c>
      <c r="F124" s="174">
        <v>26.699999999999996</v>
      </c>
      <c r="G124" s="174">
        <v>68.2</v>
      </c>
      <c r="H124" s="212">
        <v>150.81541485290663</v>
      </c>
      <c r="I124" s="50">
        <f t="shared" si="15"/>
        <v>30</v>
      </c>
      <c r="J124" s="50">
        <f t="shared" si="9"/>
        <v>0</v>
      </c>
      <c r="K124" s="50">
        <f t="shared" si="10"/>
        <v>0</v>
      </c>
      <c r="L124" s="50">
        <f t="shared" si="11"/>
        <v>0</v>
      </c>
      <c r="M124" s="50">
        <f t="shared" si="12"/>
        <v>0</v>
      </c>
      <c r="N124" s="185">
        <v>90</v>
      </c>
      <c r="O124" s="185">
        <f>'Negative Impact Var'!E110</f>
        <v>7111947.602564102</v>
      </c>
      <c r="P124" s="214">
        <f t="shared" si="13"/>
        <v>91921920.772015244</v>
      </c>
      <c r="Q124" s="214">
        <f t="shared" si="14"/>
        <v>-13222195.418681905</v>
      </c>
    </row>
    <row r="125" spans="2:17" ht="14.5" x14ac:dyDescent="0.35">
      <c r="B125" s="197">
        <v>42917</v>
      </c>
      <c r="C125" s="175">
        <f t="shared" si="8"/>
        <v>7</v>
      </c>
      <c r="D125" s="175">
        <v>2017</v>
      </c>
      <c r="E125" s="187">
        <v>85577695.760000005</v>
      </c>
      <c r="F125" s="174">
        <v>0</v>
      </c>
      <c r="G125" s="174">
        <v>116.49999999999999</v>
      </c>
      <c r="H125" s="212">
        <v>151.25276949492624</v>
      </c>
      <c r="I125" s="50">
        <f t="shared" si="15"/>
        <v>31</v>
      </c>
      <c r="J125" s="50">
        <f t="shared" si="9"/>
        <v>0</v>
      </c>
      <c r="K125" s="50">
        <f t="shared" si="10"/>
        <v>0</v>
      </c>
      <c r="L125" s="50">
        <f t="shared" si="11"/>
        <v>0</v>
      </c>
      <c r="M125" s="50">
        <f t="shared" si="12"/>
        <v>0</v>
      </c>
      <c r="N125" s="185">
        <v>91</v>
      </c>
      <c r="O125" s="185">
        <f>'Negative Impact Var'!E111</f>
        <v>7216994.064102564</v>
      </c>
      <c r="P125" s="214">
        <f t="shared" si="13"/>
        <v>99925672.506266773</v>
      </c>
      <c r="Q125" s="214">
        <f t="shared" si="14"/>
        <v>-14347976.746266767</v>
      </c>
    </row>
    <row r="126" spans="2:17" ht="14.5" x14ac:dyDescent="0.35">
      <c r="B126" s="197">
        <v>42948</v>
      </c>
      <c r="C126" s="175">
        <f t="shared" si="8"/>
        <v>8</v>
      </c>
      <c r="D126" s="175">
        <v>2017</v>
      </c>
      <c r="E126" s="187">
        <v>83019509.650000006</v>
      </c>
      <c r="F126" s="174">
        <v>11.6</v>
      </c>
      <c r="G126" s="174">
        <v>75.2</v>
      </c>
      <c r="H126" s="212">
        <v>151.69139243623133</v>
      </c>
      <c r="I126" s="50">
        <f t="shared" si="15"/>
        <v>31</v>
      </c>
      <c r="J126" s="50">
        <f t="shared" si="9"/>
        <v>0</v>
      </c>
      <c r="K126" s="50">
        <f t="shared" si="10"/>
        <v>0</v>
      </c>
      <c r="L126" s="50">
        <f t="shared" si="11"/>
        <v>0</v>
      </c>
      <c r="M126" s="50">
        <f t="shared" si="12"/>
        <v>0</v>
      </c>
      <c r="N126" s="185">
        <v>92</v>
      </c>
      <c r="O126" s="185">
        <f>'Negative Impact Var'!E112</f>
        <v>7322040.525641025</v>
      </c>
      <c r="P126" s="214">
        <f t="shared" si="13"/>
        <v>95143366.628599524</v>
      </c>
      <c r="Q126" s="214">
        <f t="shared" si="14"/>
        <v>-12123856.978599519</v>
      </c>
    </row>
    <row r="127" spans="2:17" ht="14.5" x14ac:dyDescent="0.35">
      <c r="B127" s="197">
        <v>42979</v>
      </c>
      <c r="C127" s="175">
        <f t="shared" si="8"/>
        <v>9</v>
      </c>
      <c r="D127" s="175">
        <v>2017</v>
      </c>
      <c r="E127" s="187">
        <v>77334131.13666667</v>
      </c>
      <c r="F127" s="174">
        <v>49.1</v>
      </c>
      <c r="G127" s="174">
        <v>71.499999999999986</v>
      </c>
      <c r="H127" s="212">
        <v>152.13128735480518</v>
      </c>
      <c r="I127" s="50">
        <f t="shared" si="15"/>
        <v>30</v>
      </c>
      <c r="J127" s="50">
        <f t="shared" si="9"/>
        <v>0</v>
      </c>
      <c r="K127" s="50">
        <f t="shared" si="10"/>
        <v>0</v>
      </c>
      <c r="L127" s="50">
        <f t="shared" si="11"/>
        <v>0</v>
      </c>
      <c r="M127" s="50">
        <f t="shared" si="12"/>
        <v>0</v>
      </c>
      <c r="N127" s="185">
        <v>93</v>
      </c>
      <c r="O127" s="185">
        <f>'Negative Impact Var'!E113</f>
        <v>7427086.987179487</v>
      </c>
      <c r="P127" s="214">
        <f t="shared" si="13"/>
        <v>93390825.650659978</v>
      </c>
      <c r="Q127" s="214">
        <f t="shared" si="14"/>
        <v>-16056694.513993308</v>
      </c>
    </row>
    <row r="128" spans="2:17" ht="14.5" x14ac:dyDescent="0.35">
      <c r="B128" s="197">
        <v>43009</v>
      </c>
      <c r="C128" s="175">
        <f t="shared" si="8"/>
        <v>10</v>
      </c>
      <c r="D128" s="175">
        <v>2017</v>
      </c>
      <c r="E128" s="187">
        <v>73469057.820000008</v>
      </c>
      <c r="F128" s="174">
        <v>153.99999999999997</v>
      </c>
      <c r="G128" s="174">
        <v>8.1</v>
      </c>
      <c r="H128" s="212">
        <v>152.57245793929707</v>
      </c>
      <c r="I128" s="50">
        <f t="shared" si="15"/>
        <v>31</v>
      </c>
      <c r="J128" s="50">
        <f t="shared" si="9"/>
        <v>0</v>
      </c>
      <c r="K128" s="50">
        <f t="shared" si="10"/>
        <v>0</v>
      </c>
      <c r="L128" s="50">
        <f t="shared" si="11"/>
        <v>0</v>
      </c>
      <c r="M128" s="50">
        <f t="shared" si="12"/>
        <v>1</v>
      </c>
      <c r="N128" s="185">
        <v>94</v>
      </c>
      <c r="O128" s="185">
        <f>'Negative Impact Var'!E114</f>
        <v>7532133.448717948</v>
      </c>
      <c r="P128" s="214">
        <f t="shared" si="13"/>
        <v>87372662.784167051</v>
      </c>
      <c r="Q128" s="214">
        <f t="shared" si="14"/>
        <v>-13903604.964167044</v>
      </c>
    </row>
    <row r="129" spans="2:17" ht="14.5" x14ac:dyDescent="0.35">
      <c r="B129" s="197">
        <v>43040</v>
      </c>
      <c r="C129" s="175">
        <f t="shared" si="8"/>
        <v>11</v>
      </c>
      <c r="D129" s="175">
        <v>2017</v>
      </c>
      <c r="E129" s="187">
        <v>74459348.126666665</v>
      </c>
      <c r="F129" s="174">
        <v>414.2</v>
      </c>
      <c r="G129" s="174">
        <v>0</v>
      </c>
      <c r="H129" s="212">
        <v>153.01490788905303</v>
      </c>
      <c r="I129" s="50">
        <f t="shared" si="15"/>
        <v>30</v>
      </c>
      <c r="J129" s="50">
        <f t="shared" si="9"/>
        <v>0</v>
      </c>
      <c r="K129" s="50">
        <f t="shared" si="10"/>
        <v>0</v>
      </c>
      <c r="L129" s="50">
        <f t="shared" si="11"/>
        <v>0</v>
      </c>
      <c r="M129" s="50">
        <f t="shared" si="12"/>
        <v>0</v>
      </c>
      <c r="N129" s="185">
        <v>95</v>
      </c>
      <c r="O129" s="185">
        <f>'Negative Impact Var'!E115</f>
        <v>7637179.91025641</v>
      </c>
      <c r="P129" s="214">
        <f t="shared" si="13"/>
        <v>90086234.606541008</v>
      </c>
      <c r="Q129" s="214">
        <f t="shared" si="14"/>
        <v>-15626886.479874343</v>
      </c>
    </row>
    <row r="130" spans="2:17" ht="14.5" x14ac:dyDescent="0.35">
      <c r="B130" s="197">
        <v>43070</v>
      </c>
      <c r="C130" s="175">
        <f t="shared" si="8"/>
        <v>12</v>
      </c>
      <c r="D130" s="175">
        <v>2017</v>
      </c>
      <c r="E130" s="187">
        <v>79667517.416666657</v>
      </c>
      <c r="F130" s="174">
        <v>718.49999999999989</v>
      </c>
      <c r="G130" s="174">
        <v>0</v>
      </c>
      <c r="H130" s="212">
        <v>153.45864091414703</v>
      </c>
      <c r="I130" s="50">
        <f t="shared" si="15"/>
        <v>31</v>
      </c>
      <c r="J130" s="50">
        <f t="shared" si="9"/>
        <v>0</v>
      </c>
      <c r="K130" s="50">
        <f t="shared" si="10"/>
        <v>0</v>
      </c>
      <c r="L130" s="50">
        <f t="shared" si="11"/>
        <v>0</v>
      </c>
      <c r="M130" s="50">
        <f t="shared" si="12"/>
        <v>0</v>
      </c>
      <c r="N130" s="185">
        <v>96</v>
      </c>
      <c r="O130" s="185">
        <f>'Negative Impact Var'!E116</f>
        <v>7742226.3717948711</v>
      </c>
      <c r="P130" s="214">
        <f t="shared" si="13"/>
        <v>96727030.532766104</v>
      </c>
      <c r="Q130" s="214">
        <f t="shared" si="14"/>
        <v>-17059513.116099447</v>
      </c>
    </row>
    <row r="131" spans="2:17" ht="14.5" x14ac:dyDescent="0.35">
      <c r="B131" s="197">
        <v>43101</v>
      </c>
      <c r="C131" s="175">
        <f t="shared" si="8"/>
        <v>1</v>
      </c>
      <c r="D131" s="175">
        <v>2018</v>
      </c>
      <c r="E131" s="187">
        <v>84752511.140000001</v>
      </c>
      <c r="F131" s="174">
        <v>732.29999999999984</v>
      </c>
      <c r="G131" s="174">
        <v>0</v>
      </c>
      <c r="H131" s="212">
        <v>153.85890281731997</v>
      </c>
      <c r="I131" s="50">
        <f t="shared" si="15"/>
        <v>31</v>
      </c>
      <c r="J131" s="50">
        <f t="shared" si="9"/>
        <v>0</v>
      </c>
      <c r="K131" s="50">
        <f t="shared" si="10"/>
        <v>0</v>
      </c>
      <c r="L131" s="50">
        <f t="shared" si="11"/>
        <v>0</v>
      </c>
      <c r="M131" s="50">
        <f t="shared" si="12"/>
        <v>0</v>
      </c>
      <c r="N131" s="185">
        <v>97</v>
      </c>
      <c r="O131" s="185">
        <f>'Negative Impact Var'!E117</f>
        <v>7616407.5163461538</v>
      </c>
      <c r="P131" s="214">
        <f t="shared" si="13"/>
        <v>97146103.182659745</v>
      </c>
      <c r="Q131" s="214">
        <f t="shared" si="14"/>
        <v>-12393592.042659745</v>
      </c>
    </row>
    <row r="132" spans="2:17" ht="14.5" x14ac:dyDescent="0.35">
      <c r="B132" s="197">
        <v>43132</v>
      </c>
      <c r="C132" s="175">
        <f t="shared" si="8"/>
        <v>2</v>
      </c>
      <c r="D132" s="175">
        <v>2018</v>
      </c>
      <c r="E132" s="187">
        <v>72631313.480000004</v>
      </c>
      <c r="F132" s="174">
        <v>555.00000000000023</v>
      </c>
      <c r="G132" s="174">
        <v>0</v>
      </c>
      <c r="H132" s="212">
        <v>154.26020871247783</v>
      </c>
      <c r="I132" s="50">
        <f t="shared" si="15"/>
        <v>28</v>
      </c>
      <c r="J132" s="50">
        <f t="shared" si="9"/>
        <v>0</v>
      </c>
      <c r="K132" s="50">
        <f t="shared" si="10"/>
        <v>0</v>
      </c>
      <c r="L132" s="50">
        <f t="shared" si="11"/>
        <v>0</v>
      </c>
      <c r="M132" s="50">
        <f t="shared" si="12"/>
        <v>0</v>
      </c>
      <c r="N132" s="185">
        <v>98</v>
      </c>
      <c r="O132" s="185">
        <f>'Negative Impact Var'!E118</f>
        <v>7678570.0868589738</v>
      </c>
      <c r="P132" s="214">
        <f t="shared" si="13"/>
        <v>88649658.900811374</v>
      </c>
      <c r="Q132" s="214">
        <f t="shared" si="14"/>
        <v>-16018345.42081137</v>
      </c>
    </row>
    <row r="133" spans="2:17" ht="14.5" x14ac:dyDescent="0.35">
      <c r="B133" s="197">
        <v>43160</v>
      </c>
      <c r="C133" s="175">
        <f t="shared" si="8"/>
        <v>3</v>
      </c>
      <c r="D133" s="175">
        <v>2018</v>
      </c>
      <c r="E133" s="187">
        <v>77931843.100000009</v>
      </c>
      <c r="F133" s="174">
        <v>553.99999999999989</v>
      </c>
      <c r="G133" s="174">
        <v>0</v>
      </c>
      <c r="H133" s="212">
        <v>154.66256132263587</v>
      </c>
      <c r="I133" s="50">
        <f t="shared" si="15"/>
        <v>31</v>
      </c>
      <c r="J133" s="50">
        <f t="shared" si="9"/>
        <v>1</v>
      </c>
      <c r="K133" s="50">
        <f t="shared" si="10"/>
        <v>0</v>
      </c>
      <c r="L133" s="50">
        <f t="shared" si="11"/>
        <v>0</v>
      </c>
      <c r="M133" s="50">
        <f t="shared" si="12"/>
        <v>0</v>
      </c>
      <c r="N133" s="185">
        <v>99</v>
      </c>
      <c r="O133" s="185">
        <f>'Negative Impact Var'!E119</f>
        <v>7740732.6573717948</v>
      </c>
      <c r="P133" s="214">
        <f t="shared" si="13"/>
        <v>93425586.972642988</v>
      </c>
      <c r="Q133" s="214">
        <f t="shared" si="14"/>
        <v>-15493743.872642979</v>
      </c>
    </row>
    <row r="134" spans="2:17" ht="14.5" x14ac:dyDescent="0.35">
      <c r="B134" s="197">
        <v>43191</v>
      </c>
      <c r="C134" s="175">
        <f t="shared" si="8"/>
        <v>4</v>
      </c>
      <c r="D134" s="175">
        <v>2018</v>
      </c>
      <c r="E134" s="187">
        <v>72888274.790000007</v>
      </c>
      <c r="F134" s="174">
        <v>437.20000000000005</v>
      </c>
      <c r="G134" s="174">
        <v>0</v>
      </c>
      <c r="H134" s="212">
        <v>155.06596337791169</v>
      </c>
      <c r="I134" s="50">
        <f t="shared" si="15"/>
        <v>30</v>
      </c>
      <c r="J134" s="50">
        <f t="shared" si="9"/>
        <v>0</v>
      </c>
      <c r="K134" s="50">
        <f t="shared" si="10"/>
        <v>1</v>
      </c>
      <c r="L134" s="50">
        <f t="shared" si="11"/>
        <v>0</v>
      </c>
      <c r="M134" s="50">
        <f t="shared" si="12"/>
        <v>0</v>
      </c>
      <c r="N134" s="185">
        <v>100</v>
      </c>
      <c r="O134" s="185">
        <f>'Negative Impact Var'!E120</f>
        <v>7802895.2278846148</v>
      </c>
      <c r="P134" s="214">
        <f t="shared" si="13"/>
        <v>87477566.77585265</v>
      </c>
      <c r="Q134" s="214">
        <f t="shared" si="14"/>
        <v>-14589291.985852644</v>
      </c>
    </row>
    <row r="135" spans="2:17" ht="14.5" x14ac:dyDescent="0.35">
      <c r="B135" s="197">
        <v>43221</v>
      </c>
      <c r="C135" s="175">
        <f t="shared" si="8"/>
        <v>5</v>
      </c>
      <c r="D135" s="175">
        <v>2018</v>
      </c>
      <c r="E135" s="187">
        <v>76624694.199999973</v>
      </c>
      <c r="F135" s="174">
        <v>75.3</v>
      </c>
      <c r="G135" s="174">
        <v>43.4</v>
      </c>
      <c r="H135" s="212">
        <v>155.47041761554377</v>
      </c>
      <c r="I135" s="50">
        <f t="shared" si="15"/>
        <v>31</v>
      </c>
      <c r="J135" s="50">
        <f t="shared" si="9"/>
        <v>0</v>
      </c>
      <c r="K135" s="50">
        <f t="shared" si="10"/>
        <v>0</v>
      </c>
      <c r="L135" s="50">
        <f t="shared" si="11"/>
        <v>1</v>
      </c>
      <c r="M135" s="50">
        <f t="shared" si="12"/>
        <v>0</v>
      </c>
      <c r="N135" s="185">
        <v>101</v>
      </c>
      <c r="O135" s="185">
        <f>'Negative Impact Var'!E121</f>
        <v>7865057.7983974358</v>
      </c>
      <c r="P135" s="214">
        <f t="shared" si="13"/>
        <v>91146163.753440499</v>
      </c>
      <c r="Q135" s="214">
        <f t="shared" si="14"/>
        <v>-14521469.553440526</v>
      </c>
    </row>
    <row r="136" spans="2:17" ht="14.5" x14ac:dyDescent="0.35">
      <c r="B136" s="197">
        <v>43252</v>
      </c>
      <c r="C136" s="175">
        <f t="shared" si="8"/>
        <v>6</v>
      </c>
      <c r="D136" s="175">
        <v>2018</v>
      </c>
      <c r="E136" s="187">
        <v>80769043.830000013</v>
      </c>
      <c r="F136" s="174">
        <v>14.799999999999999</v>
      </c>
      <c r="G136" s="174">
        <v>60.5</v>
      </c>
      <c r="H136" s="212">
        <v>155.87592677991009</v>
      </c>
      <c r="I136" s="50">
        <f t="shared" si="15"/>
        <v>30</v>
      </c>
      <c r="J136" s="50">
        <f t="shared" si="9"/>
        <v>0</v>
      </c>
      <c r="K136" s="50">
        <f t="shared" si="10"/>
        <v>0</v>
      </c>
      <c r="L136" s="50">
        <f t="shared" si="11"/>
        <v>0</v>
      </c>
      <c r="M136" s="50">
        <f t="shared" si="12"/>
        <v>0</v>
      </c>
      <c r="N136" s="185">
        <v>102</v>
      </c>
      <c r="O136" s="185">
        <f>'Negative Impact Var'!E122</f>
        <v>7927220.3689102558</v>
      </c>
      <c r="P136" s="214">
        <f t="shared" si="13"/>
        <v>93608859.673895985</v>
      </c>
      <c r="Q136" s="214">
        <f t="shared" si="14"/>
        <v>-12839815.843895972</v>
      </c>
    </row>
    <row r="137" spans="2:17" ht="14.5" x14ac:dyDescent="0.35">
      <c r="B137" s="197">
        <v>43282</v>
      </c>
      <c r="C137" s="175">
        <f t="shared" si="8"/>
        <v>7</v>
      </c>
      <c r="D137" s="175">
        <v>2018</v>
      </c>
      <c r="E137" s="187">
        <v>95230727.25999999</v>
      </c>
      <c r="F137" s="174">
        <v>0</v>
      </c>
      <c r="G137" s="174">
        <v>167.8</v>
      </c>
      <c r="H137" s="212">
        <v>156.2824936225467</v>
      </c>
      <c r="I137" s="50">
        <f t="shared" si="15"/>
        <v>31</v>
      </c>
      <c r="J137" s="50">
        <f t="shared" si="9"/>
        <v>0</v>
      </c>
      <c r="K137" s="50">
        <f t="shared" si="10"/>
        <v>0</v>
      </c>
      <c r="L137" s="50">
        <f t="shared" si="11"/>
        <v>0</v>
      </c>
      <c r="M137" s="50">
        <f t="shared" si="12"/>
        <v>0</v>
      </c>
      <c r="N137" s="185">
        <v>103</v>
      </c>
      <c r="O137" s="185">
        <f>'Negative Impact Var'!E123</f>
        <v>7989382.9394230768</v>
      </c>
      <c r="P137" s="214">
        <f t="shared" si="13"/>
        <v>109181615.2521942</v>
      </c>
      <c r="Q137" s="214">
        <f t="shared" si="14"/>
        <v>-13950887.992194206</v>
      </c>
    </row>
    <row r="138" spans="2:17" ht="14.5" x14ac:dyDescent="0.35">
      <c r="B138" s="197">
        <v>43313</v>
      </c>
      <c r="C138" s="175">
        <f t="shared" si="8"/>
        <v>8</v>
      </c>
      <c r="D138" s="175">
        <v>2018</v>
      </c>
      <c r="E138" s="187">
        <v>93580216.839999989</v>
      </c>
      <c r="F138" s="174">
        <v>1.2</v>
      </c>
      <c r="G138" s="174">
        <v>162.4</v>
      </c>
      <c r="H138" s="212">
        <v>156.6901209021664</v>
      </c>
      <c r="I138" s="50">
        <f t="shared" si="15"/>
        <v>31</v>
      </c>
      <c r="J138" s="50">
        <f t="shared" si="9"/>
        <v>0</v>
      </c>
      <c r="K138" s="50">
        <f t="shared" si="10"/>
        <v>0</v>
      </c>
      <c r="L138" s="50">
        <f t="shared" si="11"/>
        <v>0</v>
      </c>
      <c r="M138" s="50">
        <f t="shared" si="12"/>
        <v>0</v>
      </c>
      <c r="N138" s="185">
        <v>104</v>
      </c>
      <c r="O138" s="185">
        <f>'Negative Impact Var'!E124</f>
        <v>8051545.5099358968</v>
      </c>
      <c r="P138" s="214">
        <f t="shared" si="13"/>
        <v>108746926.67995298</v>
      </c>
      <c r="Q138" s="214">
        <f t="shared" si="14"/>
        <v>-15166709.83995299</v>
      </c>
    </row>
    <row r="139" spans="2:17" ht="14.5" x14ac:dyDescent="0.35">
      <c r="B139" s="197">
        <v>43344</v>
      </c>
      <c r="C139" s="175">
        <f t="shared" si="8"/>
        <v>9</v>
      </c>
      <c r="D139" s="175">
        <v>2018</v>
      </c>
      <c r="E139" s="187">
        <v>79916023.120000005</v>
      </c>
      <c r="F139" s="174">
        <v>41.399999999999991</v>
      </c>
      <c r="G139" s="174">
        <v>76.399999999999977</v>
      </c>
      <c r="H139" s="212">
        <v>157.09881138467748</v>
      </c>
      <c r="I139" s="50">
        <f t="shared" si="15"/>
        <v>30</v>
      </c>
      <c r="J139" s="50">
        <f t="shared" si="9"/>
        <v>0</v>
      </c>
      <c r="K139" s="50">
        <f t="shared" si="10"/>
        <v>0</v>
      </c>
      <c r="L139" s="50">
        <f t="shared" si="11"/>
        <v>0</v>
      </c>
      <c r="M139" s="50">
        <f t="shared" si="12"/>
        <v>0</v>
      </c>
      <c r="N139" s="185">
        <v>105</v>
      </c>
      <c r="O139" s="185">
        <f>'Negative Impact Var'!E125</f>
        <v>8113708.0804487178</v>
      </c>
      <c r="P139" s="214">
        <f t="shared" si="13"/>
        <v>96667530.363893002</v>
      </c>
      <c r="Q139" s="214">
        <f t="shared" si="14"/>
        <v>-16751507.243892998</v>
      </c>
    </row>
    <row r="140" spans="2:17" ht="14.5" x14ac:dyDescent="0.35">
      <c r="B140" s="197">
        <v>43374</v>
      </c>
      <c r="C140" s="175">
        <f t="shared" si="8"/>
        <v>10</v>
      </c>
      <c r="D140" s="175">
        <v>2018</v>
      </c>
      <c r="E140" s="187">
        <v>75870343.00999999</v>
      </c>
      <c r="F140" s="174">
        <v>289.40000000000003</v>
      </c>
      <c r="G140" s="174">
        <v>8.1999999999999993</v>
      </c>
      <c r="H140" s="212">
        <v>157.50856784320246</v>
      </c>
      <c r="I140" s="50">
        <f t="shared" si="15"/>
        <v>31</v>
      </c>
      <c r="J140" s="50">
        <f t="shared" si="9"/>
        <v>0</v>
      </c>
      <c r="K140" s="50">
        <f t="shared" si="10"/>
        <v>0</v>
      </c>
      <c r="L140" s="50">
        <f t="shared" si="11"/>
        <v>0</v>
      </c>
      <c r="M140" s="50">
        <f t="shared" si="12"/>
        <v>1</v>
      </c>
      <c r="N140" s="185">
        <v>106</v>
      </c>
      <c r="O140" s="185">
        <f>'Negative Impact Var'!E126</f>
        <v>8175870.6509615378</v>
      </c>
      <c r="P140" s="214">
        <f t="shared" si="13"/>
        <v>92062071.214450181</v>
      </c>
      <c r="Q140" s="214">
        <f t="shared" si="14"/>
        <v>-16191728.20445019</v>
      </c>
    </row>
    <row r="141" spans="2:17" ht="14.5" x14ac:dyDescent="0.35">
      <c r="B141" s="197">
        <v>43405</v>
      </c>
      <c r="C141" s="175">
        <f t="shared" si="8"/>
        <v>11</v>
      </c>
      <c r="D141" s="175">
        <v>2018</v>
      </c>
      <c r="E141" s="187">
        <v>77972578.930000007</v>
      </c>
      <c r="F141" s="174">
        <v>494.1</v>
      </c>
      <c r="G141" s="174">
        <v>0</v>
      </c>
      <c r="H141" s="212">
        <v>157.91939305809689</v>
      </c>
      <c r="I141" s="50">
        <f t="shared" si="15"/>
        <v>30</v>
      </c>
      <c r="J141" s="50">
        <f t="shared" si="9"/>
        <v>0</v>
      </c>
      <c r="K141" s="50">
        <f t="shared" si="10"/>
        <v>0</v>
      </c>
      <c r="L141" s="50">
        <f t="shared" si="11"/>
        <v>0</v>
      </c>
      <c r="M141" s="50">
        <f t="shared" si="12"/>
        <v>0</v>
      </c>
      <c r="N141" s="185">
        <v>107</v>
      </c>
      <c r="O141" s="185">
        <f>'Negative Impact Var'!E127</f>
        <v>8238033.2214743588</v>
      </c>
      <c r="P141" s="214">
        <f t="shared" si="13"/>
        <v>93955640.959376156</v>
      </c>
      <c r="Q141" s="214">
        <f t="shared" si="14"/>
        <v>-15983062.029376149</v>
      </c>
    </row>
    <row r="142" spans="2:17" ht="14.5" x14ac:dyDescent="0.35">
      <c r="B142" s="197">
        <v>43435</v>
      </c>
      <c r="C142" s="175">
        <f t="shared" si="8"/>
        <v>12</v>
      </c>
      <c r="D142" s="175">
        <v>2018</v>
      </c>
      <c r="E142" s="187">
        <v>77716342.479999989</v>
      </c>
      <c r="F142" s="174">
        <v>563.60000000000014</v>
      </c>
      <c r="G142" s="174">
        <v>0</v>
      </c>
      <c r="H142" s="212">
        <v>158.33128981696836</v>
      </c>
      <c r="I142" s="50">
        <f t="shared" si="15"/>
        <v>31</v>
      </c>
      <c r="J142" s="50">
        <f t="shared" si="9"/>
        <v>0</v>
      </c>
      <c r="K142" s="50">
        <f t="shared" si="10"/>
        <v>0</v>
      </c>
      <c r="L142" s="50">
        <f t="shared" si="11"/>
        <v>0</v>
      </c>
      <c r="M142" s="50">
        <f t="shared" si="12"/>
        <v>0</v>
      </c>
      <c r="N142" s="185">
        <v>108</v>
      </c>
      <c r="O142" s="185">
        <f>'Negative Impact Var'!E128</f>
        <v>8300195.7919871788</v>
      </c>
      <c r="P142" s="214">
        <f t="shared" si="13"/>
        <v>97239784.619540542</v>
      </c>
      <c r="Q142" s="214">
        <f t="shared" si="14"/>
        <v>-19523442.139540553</v>
      </c>
    </row>
    <row r="143" spans="2:17" ht="14.5" x14ac:dyDescent="0.35">
      <c r="B143" s="197">
        <v>43466</v>
      </c>
      <c r="C143" s="175">
        <f t="shared" si="8"/>
        <v>1</v>
      </c>
      <c r="D143" s="175">
        <v>2019</v>
      </c>
      <c r="E143" s="187">
        <v>85029523.596500009</v>
      </c>
      <c r="F143" s="174">
        <v>764.5</v>
      </c>
      <c r="G143" s="174">
        <v>0</v>
      </c>
      <c r="H143" s="212">
        <v>158.56186296962741</v>
      </c>
      <c r="I143" s="50">
        <f t="shared" si="15"/>
        <v>31</v>
      </c>
      <c r="J143" s="50">
        <f t="shared" si="9"/>
        <v>0</v>
      </c>
      <c r="K143" s="50">
        <f t="shared" si="10"/>
        <v>0</v>
      </c>
      <c r="L143" s="50">
        <f t="shared" si="11"/>
        <v>0</v>
      </c>
      <c r="M143" s="50">
        <f t="shared" si="12"/>
        <v>0</v>
      </c>
      <c r="N143" s="185">
        <v>109</v>
      </c>
      <c r="O143" s="185">
        <f>'Negative Impact Var'!E129</f>
        <v>8039697.770961538</v>
      </c>
      <c r="P143" s="214">
        <f t="shared" si="13"/>
        <v>100220180.40687978</v>
      </c>
      <c r="Q143" s="214">
        <f t="shared" si="14"/>
        <v>-15190656.810379773</v>
      </c>
    </row>
    <row r="144" spans="2:17" ht="14.5" x14ac:dyDescent="0.35">
      <c r="B144" s="197">
        <v>43497</v>
      </c>
      <c r="C144" s="175">
        <f t="shared" si="8"/>
        <v>2</v>
      </c>
      <c r="D144" s="175">
        <v>2019</v>
      </c>
      <c r="E144" s="187">
        <v>75571374.736000016</v>
      </c>
      <c r="F144" s="174">
        <v>621.70000000000016</v>
      </c>
      <c r="G144" s="174">
        <v>0</v>
      </c>
      <c r="H144" s="212">
        <v>158.79277189911735</v>
      </c>
      <c r="I144" s="50">
        <f t="shared" si="15"/>
        <v>28</v>
      </c>
      <c r="J144" s="50">
        <f t="shared" si="9"/>
        <v>0</v>
      </c>
      <c r="K144" s="50">
        <f t="shared" si="10"/>
        <v>0</v>
      </c>
      <c r="L144" s="50">
        <f t="shared" si="11"/>
        <v>0</v>
      </c>
      <c r="M144" s="50">
        <f t="shared" si="12"/>
        <v>0</v>
      </c>
      <c r="N144" s="185">
        <v>110</v>
      </c>
      <c r="O144" s="185">
        <f>'Negative Impact Var'!E130</f>
        <v>8072706.1427564099</v>
      </c>
      <c r="P144" s="214">
        <f t="shared" si="13"/>
        <v>92115140.488603741</v>
      </c>
      <c r="Q144" s="214">
        <f t="shared" si="14"/>
        <v>-16543765.752603725</v>
      </c>
    </row>
    <row r="145" spans="2:17" ht="14.5" x14ac:dyDescent="0.35">
      <c r="B145" s="197">
        <v>43525</v>
      </c>
      <c r="C145" s="175">
        <f t="shared" si="8"/>
        <v>3</v>
      </c>
      <c r="D145" s="175">
        <v>2019</v>
      </c>
      <c r="E145" s="187">
        <v>79381068.277800009</v>
      </c>
      <c r="F145" s="174">
        <v>593.90000000000009</v>
      </c>
      <c r="G145" s="174">
        <v>0</v>
      </c>
      <c r="H145" s="212">
        <v>159.02401709442</v>
      </c>
      <c r="I145" s="50">
        <f t="shared" si="15"/>
        <v>31</v>
      </c>
      <c r="J145" s="50">
        <f t="shared" si="9"/>
        <v>1</v>
      </c>
      <c r="K145" s="50">
        <f t="shared" si="10"/>
        <v>0</v>
      </c>
      <c r="L145" s="50">
        <f t="shared" si="11"/>
        <v>0</v>
      </c>
      <c r="M145" s="50">
        <f t="shared" si="12"/>
        <v>0</v>
      </c>
      <c r="N145" s="185">
        <v>111</v>
      </c>
      <c r="O145" s="185">
        <f>'Negative Impact Var'!E131</f>
        <v>8105714.514551281</v>
      </c>
      <c r="P145" s="214">
        <f t="shared" si="13"/>
        <v>96410560.624792516</v>
      </c>
      <c r="Q145" s="214">
        <f t="shared" si="14"/>
        <v>-17029492.346992508</v>
      </c>
    </row>
    <row r="146" spans="2:17" ht="14.5" x14ac:dyDescent="0.35">
      <c r="B146" s="197">
        <v>43556</v>
      </c>
      <c r="C146" s="175">
        <f t="shared" si="8"/>
        <v>4</v>
      </c>
      <c r="D146" s="175">
        <v>2019</v>
      </c>
      <c r="E146" s="187">
        <v>73998852.774599999</v>
      </c>
      <c r="F146" s="174">
        <v>346.8</v>
      </c>
      <c r="G146" s="174">
        <v>0</v>
      </c>
      <c r="H146" s="212">
        <v>159.2555990452293</v>
      </c>
      <c r="I146" s="50">
        <f t="shared" si="15"/>
        <v>30</v>
      </c>
      <c r="J146" s="50">
        <f t="shared" si="9"/>
        <v>0</v>
      </c>
      <c r="K146" s="50">
        <f t="shared" si="10"/>
        <v>1</v>
      </c>
      <c r="L146" s="50">
        <f t="shared" si="11"/>
        <v>0</v>
      </c>
      <c r="M146" s="50">
        <f t="shared" si="12"/>
        <v>0</v>
      </c>
      <c r="N146" s="185">
        <v>112</v>
      </c>
      <c r="O146" s="185">
        <f>'Negative Impact Var'!E132</f>
        <v>8138722.886346153</v>
      </c>
      <c r="P146" s="214">
        <f t="shared" si="13"/>
        <v>88510163.490087599</v>
      </c>
      <c r="Q146" s="214">
        <f t="shared" si="14"/>
        <v>-14511310.715487599</v>
      </c>
    </row>
    <row r="147" spans="2:17" ht="14.5" x14ac:dyDescent="0.35">
      <c r="B147" s="197">
        <v>43586</v>
      </c>
      <c r="C147" s="175">
        <f t="shared" si="8"/>
        <v>5</v>
      </c>
      <c r="D147" s="175">
        <v>2019</v>
      </c>
      <c r="E147" s="187">
        <v>74079885.052200004</v>
      </c>
      <c r="F147" s="174">
        <v>180.99999999999997</v>
      </c>
      <c r="G147" s="174">
        <v>0</v>
      </c>
      <c r="H147" s="212">
        <v>159.48751824195227</v>
      </c>
      <c r="I147" s="50">
        <f t="shared" si="15"/>
        <v>31</v>
      </c>
      <c r="J147" s="50">
        <f t="shared" si="9"/>
        <v>0</v>
      </c>
      <c r="K147" s="50">
        <f t="shared" si="10"/>
        <v>0</v>
      </c>
      <c r="L147" s="50">
        <f t="shared" si="11"/>
        <v>1</v>
      </c>
      <c r="M147" s="50">
        <f t="shared" si="12"/>
        <v>0</v>
      </c>
      <c r="N147" s="185">
        <v>113</v>
      </c>
      <c r="O147" s="185">
        <f>'Negative Impact Var'!E133</f>
        <v>8171731.258141025</v>
      </c>
      <c r="P147" s="214">
        <f t="shared" si="13"/>
        <v>89409953.481581926</v>
      </c>
      <c r="Q147" s="214">
        <f t="shared" si="14"/>
        <v>-15330068.429381922</v>
      </c>
    </row>
    <row r="148" spans="2:17" ht="14.5" x14ac:dyDescent="0.35">
      <c r="B148" s="197">
        <v>43617</v>
      </c>
      <c r="C148" s="175">
        <f t="shared" si="8"/>
        <v>6</v>
      </c>
      <c r="D148" s="175">
        <v>2019</v>
      </c>
      <c r="E148" s="187">
        <v>77200774.899399996</v>
      </c>
      <c r="F148" s="174">
        <v>35.5</v>
      </c>
      <c r="G148" s="174">
        <v>41.300000000000004</v>
      </c>
      <c r="H148" s="212">
        <v>159.71977517571011</v>
      </c>
      <c r="I148" s="50">
        <f t="shared" si="15"/>
        <v>30</v>
      </c>
      <c r="J148" s="50">
        <f t="shared" si="9"/>
        <v>0</v>
      </c>
      <c r="K148" s="50">
        <f t="shared" si="10"/>
        <v>0</v>
      </c>
      <c r="L148" s="50">
        <f t="shared" si="11"/>
        <v>0</v>
      </c>
      <c r="M148" s="50">
        <f t="shared" si="12"/>
        <v>0</v>
      </c>
      <c r="N148" s="185">
        <v>114</v>
      </c>
      <c r="O148" s="185">
        <f>'Negative Impact Var'!E134</f>
        <v>8204739.629935897</v>
      </c>
      <c r="P148" s="214">
        <f t="shared" si="13"/>
        <v>93605991.864731401</v>
      </c>
      <c r="Q148" s="214">
        <f t="shared" si="14"/>
        <v>-16405216.965331405</v>
      </c>
    </row>
    <row r="149" spans="2:17" ht="14.5" x14ac:dyDescent="0.35">
      <c r="B149" s="197">
        <v>43647</v>
      </c>
      <c r="C149" s="175">
        <f t="shared" si="8"/>
        <v>7</v>
      </c>
      <c r="D149" s="175">
        <v>2019</v>
      </c>
      <c r="E149" s="187">
        <v>97266632.718700007</v>
      </c>
      <c r="F149" s="174">
        <v>0</v>
      </c>
      <c r="G149" s="174">
        <v>166.90000000000003</v>
      </c>
      <c r="H149" s="212">
        <v>159.95237033833922</v>
      </c>
      <c r="I149" s="50">
        <f t="shared" si="15"/>
        <v>31</v>
      </c>
      <c r="J149" s="50">
        <f t="shared" si="9"/>
        <v>0</v>
      </c>
      <c r="K149" s="50">
        <f t="shared" si="10"/>
        <v>0</v>
      </c>
      <c r="L149" s="50">
        <f t="shared" si="11"/>
        <v>0</v>
      </c>
      <c r="M149" s="50">
        <f t="shared" si="12"/>
        <v>0</v>
      </c>
      <c r="N149" s="185">
        <v>115</v>
      </c>
      <c r="O149" s="185">
        <f>'Negative Impact Var'!E135</f>
        <v>8237748.0017307689</v>
      </c>
      <c r="P149" s="214">
        <f t="shared" si="13"/>
        <v>111084049.19656032</v>
      </c>
      <c r="Q149" s="214">
        <f t="shared" si="14"/>
        <v>-13817416.477860317</v>
      </c>
    </row>
    <row r="150" spans="2:17" ht="14.5" x14ac:dyDescent="0.35">
      <c r="B150" s="197">
        <v>43678</v>
      </c>
      <c r="C150" s="175">
        <f t="shared" si="8"/>
        <v>8</v>
      </c>
      <c r="D150" s="175">
        <v>2019</v>
      </c>
      <c r="E150" s="187">
        <v>88226114.621299982</v>
      </c>
      <c r="F150" s="174">
        <v>0.89999999999999991</v>
      </c>
      <c r="G150" s="174">
        <v>103.30000000000003</v>
      </c>
      <c r="H150" s="212">
        <v>160.18530422239229</v>
      </c>
      <c r="I150" s="50">
        <f t="shared" si="15"/>
        <v>31</v>
      </c>
      <c r="J150" s="50">
        <f t="shared" si="9"/>
        <v>0</v>
      </c>
      <c r="K150" s="50">
        <f t="shared" si="10"/>
        <v>0</v>
      </c>
      <c r="L150" s="50">
        <f t="shared" si="11"/>
        <v>0</v>
      </c>
      <c r="M150" s="50">
        <f t="shared" si="12"/>
        <v>0</v>
      </c>
      <c r="N150" s="185">
        <v>116</v>
      </c>
      <c r="O150" s="185">
        <f>'Negative Impact Var'!E136</f>
        <v>8270756.37352564</v>
      </c>
      <c r="P150" s="214">
        <f t="shared" si="13"/>
        <v>103226371.85974759</v>
      </c>
      <c r="Q150" s="214">
        <f t="shared" si="14"/>
        <v>-15000257.238447607</v>
      </c>
    </row>
    <row r="151" spans="2:17" ht="14.5" x14ac:dyDescent="0.35">
      <c r="B151" s="197">
        <v>43709</v>
      </c>
      <c r="C151" s="175">
        <f t="shared" si="8"/>
        <v>9</v>
      </c>
      <c r="D151" s="175">
        <v>2019</v>
      </c>
      <c r="E151" s="187">
        <v>76664331.356100008</v>
      </c>
      <c r="F151" s="174">
        <v>38.400000000000006</v>
      </c>
      <c r="G151" s="174">
        <v>25.400000000000002</v>
      </c>
      <c r="H151" s="212">
        <v>160.41857732113922</v>
      </c>
      <c r="I151" s="50">
        <f t="shared" si="15"/>
        <v>30</v>
      </c>
      <c r="J151" s="50">
        <f t="shared" si="9"/>
        <v>0</v>
      </c>
      <c r="K151" s="50">
        <f t="shared" si="10"/>
        <v>0</v>
      </c>
      <c r="L151" s="50">
        <f t="shared" si="11"/>
        <v>0</v>
      </c>
      <c r="M151" s="50">
        <f t="shared" si="12"/>
        <v>0</v>
      </c>
      <c r="N151" s="185">
        <v>117</v>
      </c>
      <c r="O151" s="185">
        <f>'Negative Impact Var'!E137</f>
        <v>8303764.745320512</v>
      </c>
      <c r="P151" s="214">
        <f t="shared" si="13"/>
        <v>92024955.586604357</v>
      </c>
      <c r="Q151" s="214">
        <f t="shared" si="14"/>
        <v>-15360624.230504349</v>
      </c>
    </row>
    <row r="152" spans="2:17" ht="14.5" x14ac:dyDescent="0.35">
      <c r="B152" s="197">
        <v>43739</v>
      </c>
      <c r="C152" s="175">
        <f t="shared" si="8"/>
        <v>10</v>
      </c>
      <c r="D152" s="175">
        <v>2019</v>
      </c>
      <c r="E152" s="187">
        <v>75138464.501400009</v>
      </c>
      <c r="F152" s="174">
        <v>236.5</v>
      </c>
      <c r="G152" s="174">
        <v>5.0999999999999996</v>
      </c>
      <c r="H152" s="212">
        <v>160.65219012856832</v>
      </c>
      <c r="I152" s="50">
        <f t="shared" si="15"/>
        <v>31</v>
      </c>
      <c r="J152" s="50">
        <f t="shared" si="9"/>
        <v>0</v>
      </c>
      <c r="K152" s="50">
        <f t="shared" si="10"/>
        <v>0</v>
      </c>
      <c r="L152" s="50">
        <f t="shared" si="11"/>
        <v>0</v>
      </c>
      <c r="M152" s="50">
        <f t="shared" si="12"/>
        <v>1</v>
      </c>
      <c r="N152" s="185">
        <v>118</v>
      </c>
      <c r="O152" s="185">
        <f>'Negative Impact Var'!E138</f>
        <v>8336773.117115384</v>
      </c>
      <c r="P152" s="214">
        <f t="shared" si="13"/>
        <v>92629834.779906005</v>
      </c>
      <c r="Q152" s="214">
        <f t="shared" si="14"/>
        <v>-17491370.278505996</v>
      </c>
    </row>
    <row r="153" spans="2:17" ht="14.5" x14ac:dyDescent="0.35">
      <c r="B153" s="197">
        <v>43770</v>
      </c>
      <c r="C153" s="175">
        <f t="shared" si="8"/>
        <v>11</v>
      </c>
      <c r="D153" s="175">
        <v>2019</v>
      </c>
      <c r="E153" s="187">
        <v>79324528.1259</v>
      </c>
      <c r="F153" s="174">
        <v>513.30000000000007</v>
      </c>
      <c r="G153" s="174">
        <v>0</v>
      </c>
      <c r="H153" s="212">
        <v>160.88614313938723</v>
      </c>
      <c r="I153" s="50">
        <f t="shared" si="15"/>
        <v>30</v>
      </c>
      <c r="J153" s="50">
        <f t="shared" si="9"/>
        <v>0</v>
      </c>
      <c r="K153" s="50">
        <f t="shared" si="10"/>
        <v>0</v>
      </c>
      <c r="L153" s="50">
        <f t="shared" si="11"/>
        <v>0</v>
      </c>
      <c r="M153" s="50">
        <f t="shared" si="12"/>
        <v>0</v>
      </c>
      <c r="N153" s="185">
        <v>119</v>
      </c>
      <c r="O153" s="185">
        <f>'Negative Impact Var'!E139</f>
        <v>8369781.488910256</v>
      </c>
      <c r="P153" s="214">
        <f t="shared" si="13"/>
        <v>95835345.991708726</v>
      </c>
      <c r="Q153" s="214">
        <f t="shared" si="14"/>
        <v>-16510817.865808725</v>
      </c>
    </row>
    <row r="154" spans="2:17" ht="14.5" x14ac:dyDescent="0.35">
      <c r="B154" s="197">
        <v>43800</v>
      </c>
      <c r="C154" s="175">
        <f t="shared" si="8"/>
        <v>12</v>
      </c>
      <c r="D154" s="175">
        <v>2019</v>
      </c>
      <c r="E154" s="187">
        <v>77448670.109640002</v>
      </c>
      <c r="F154" s="174">
        <v>582.4</v>
      </c>
      <c r="G154" s="174">
        <v>0</v>
      </c>
      <c r="H154" s="212">
        <v>161.12043684902417</v>
      </c>
      <c r="I154" s="50">
        <f t="shared" si="15"/>
        <v>31</v>
      </c>
      <c r="J154" s="50">
        <f t="shared" si="9"/>
        <v>0</v>
      </c>
      <c r="K154" s="50">
        <f t="shared" si="10"/>
        <v>0</v>
      </c>
      <c r="L154" s="50">
        <f t="shared" si="11"/>
        <v>0</v>
      </c>
      <c r="M154" s="50">
        <f t="shared" si="12"/>
        <v>0</v>
      </c>
      <c r="N154" s="185">
        <v>120</v>
      </c>
      <c r="O154" s="185">
        <f>'Negative Impact Var'!E140</f>
        <v>8402789.8607051279</v>
      </c>
      <c r="P154" s="214">
        <f t="shared" si="13"/>
        <v>99010532.257186353</v>
      </c>
      <c r="Q154" s="214">
        <f t="shared" si="14"/>
        <v>-21561862.147546351</v>
      </c>
    </row>
    <row r="155" spans="2:17" ht="14.5" x14ac:dyDescent="0.35">
      <c r="B155" s="268">
        <v>43831</v>
      </c>
      <c r="C155" s="269">
        <f t="shared" si="8"/>
        <v>1</v>
      </c>
      <c r="D155" s="269">
        <v>2020</v>
      </c>
      <c r="E155" s="270">
        <v>81251440.013279989</v>
      </c>
      <c r="F155" s="271">
        <v>605</v>
      </c>
      <c r="G155" s="271">
        <v>0</v>
      </c>
      <c r="H155" s="272">
        <v>160.36267106853012</v>
      </c>
      <c r="I155" s="273">
        <f t="shared" si="15"/>
        <v>31</v>
      </c>
      <c r="J155" s="273">
        <f t="shared" si="9"/>
        <v>0</v>
      </c>
      <c r="K155" s="273">
        <f t="shared" si="10"/>
        <v>0</v>
      </c>
      <c r="L155" s="273">
        <f t="shared" si="11"/>
        <v>0</v>
      </c>
      <c r="M155" s="273">
        <f t="shared" si="12"/>
        <v>0</v>
      </c>
      <c r="N155" s="274">
        <v>121</v>
      </c>
      <c r="O155" s="274">
        <f>O154</f>
        <v>8402789.8607051279</v>
      </c>
      <c r="P155" s="275">
        <f t="shared" si="13"/>
        <v>98881357.241646647</v>
      </c>
      <c r="Q155" s="275">
        <f t="shared" si="14"/>
        <v>-17629917.228366658</v>
      </c>
    </row>
    <row r="156" spans="2:17" ht="14.5" x14ac:dyDescent="0.35">
      <c r="B156" s="268">
        <v>43862</v>
      </c>
      <c r="C156" s="269">
        <f t="shared" si="8"/>
        <v>2</v>
      </c>
      <c r="D156" s="269">
        <v>2020</v>
      </c>
      <c r="E156" s="270">
        <v>75883614.011019975</v>
      </c>
      <c r="F156" s="271">
        <v>611.79999999999995</v>
      </c>
      <c r="G156" s="271">
        <v>0</v>
      </c>
      <c r="H156" s="272">
        <v>159.60846913747267</v>
      </c>
      <c r="I156" s="273">
        <f t="shared" si="15"/>
        <v>29</v>
      </c>
      <c r="J156" s="273">
        <f t="shared" si="9"/>
        <v>0</v>
      </c>
      <c r="K156" s="273">
        <f t="shared" si="10"/>
        <v>0</v>
      </c>
      <c r="L156" s="273">
        <f t="shared" si="11"/>
        <v>0</v>
      </c>
      <c r="M156" s="273">
        <f t="shared" si="12"/>
        <v>0</v>
      </c>
      <c r="N156" s="274">
        <v>122</v>
      </c>
      <c r="O156" s="274">
        <f t="shared" ref="O156:O190" si="16">O155</f>
        <v>8402789.8607051279</v>
      </c>
      <c r="P156" s="275">
        <f t="shared" si="13"/>
        <v>94396783.751141936</v>
      </c>
      <c r="Q156" s="275">
        <f t="shared" si="14"/>
        <v>-18513169.740121961</v>
      </c>
    </row>
    <row r="157" spans="2:17" ht="14.5" x14ac:dyDescent="0.35">
      <c r="B157" s="268">
        <v>43891</v>
      </c>
      <c r="C157" s="269">
        <f t="shared" si="8"/>
        <v>3</v>
      </c>
      <c r="D157" s="269">
        <v>2020</v>
      </c>
      <c r="E157" s="270">
        <v>75425735.247120008</v>
      </c>
      <c r="F157" s="271">
        <v>458.69999999999993</v>
      </c>
      <c r="G157" s="271">
        <v>0</v>
      </c>
      <c r="H157" s="272">
        <v>158.85781429470592</v>
      </c>
      <c r="I157" s="273">
        <f t="shared" si="15"/>
        <v>31</v>
      </c>
      <c r="J157" s="273">
        <f t="shared" si="9"/>
        <v>1</v>
      </c>
      <c r="K157" s="273">
        <f t="shared" si="10"/>
        <v>0</v>
      </c>
      <c r="L157" s="273">
        <f t="shared" si="11"/>
        <v>0</v>
      </c>
      <c r="M157" s="273">
        <f t="shared" si="12"/>
        <v>0</v>
      </c>
      <c r="N157" s="274">
        <v>123</v>
      </c>
      <c r="O157" s="274">
        <f t="shared" si="16"/>
        <v>8402789.8607051279</v>
      </c>
      <c r="P157" s="275">
        <f t="shared" si="13"/>
        <v>94273454.143666208</v>
      </c>
      <c r="Q157" s="275">
        <f t="shared" si="14"/>
        <v>-18847718.8965462</v>
      </c>
    </row>
    <row r="158" spans="2:17" ht="14.5" x14ac:dyDescent="0.35">
      <c r="B158" s="268">
        <v>43922</v>
      </c>
      <c r="C158" s="269">
        <f t="shared" si="8"/>
        <v>4</v>
      </c>
      <c r="D158" s="269">
        <v>2020</v>
      </c>
      <c r="E158" s="270">
        <v>68179453.099079981</v>
      </c>
      <c r="F158" s="271">
        <v>362.2999999999999</v>
      </c>
      <c r="G158" s="271">
        <v>0</v>
      </c>
      <c r="H158" s="272">
        <v>158.11068985791331</v>
      </c>
      <c r="I158" s="273">
        <f t="shared" si="15"/>
        <v>30</v>
      </c>
      <c r="J158" s="273">
        <f t="shared" si="9"/>
        <v>0</v>
      </c>
      <c r="K158" s="273">
        <f t="shared" si="10"/>
        <v>1</v>
      </c>
      <c r="L158" s="273">
        <f t="shared" si="11"/>
        <v>0</v>
      </c>
      <c r="M158" s="273">
        <f t="shared" si="12"/>
        <v>0</v>
      </c>
      <c r="N158" s="274">
        <v>124</v>
      </c>
      <c r="O158" s="274">
        <f t="shared" si="16"/>
        <v>8402789.8607051279</v>
      </c>
      <c r="P158" s="275">
        <f t="shared" si="13"/>
        <v>87946464.639873087</v>
      </c>
      <c r="Q158" s="275">
        <f t="shared" si="14"/>
        <v>-19767011.540793106</v>
      </c>
    </row>
    <row r="159" spans="2:17" ht="14.5" x14ac:dyDescent="0.35">
      <c r="B159" s="268">
        <v>43952</v>
      </c>
      <c r="C159" s="269">
        <f t="shared" si="8"/>
        <v>5</v>
      </c>
      <c r="D159" s="269">
        <v>2020</v>
      </c>
      <c r="E159" s="270">
        <v>72113730.421249986</v>
      </c>
      <c r="F159" s="271">
        <v>208.09999999999997</v>
      </c>
      <c r="G159" s="271">
        <v>24.2</v>
      </c>
      <c r="H159" s="272">
        <v>157.36707922323697</v>
      </c>
      <c r="I159" s="273">
        <f t="shared" si="15"/>
        <v>31</v>
      </c>
      <c r="J159" s="273">
        <f t="shared" si="9"/>
        <v>0</v>
      </c>
      <c r="K159" s="273">
        <f t="shared" si="10"/>
        <v>0</v>
      </c>
      <c r="L159" s="273">
        <f t="shared" si="11"/>
        <v>1</v>
      </c>
      <c r="M159" s="273">
        <f t="shared" si="12"/>
        <v>0</v>
      </c>
      <c r="N159" s="274">
        <v>125</v>
      </c>
      <c r="O159" s="274">
        <f t="shared" si="16"/>
        <v>8402789.8607051279</v>
      </c>
      <c r="P159" s="275">
        <f t="shared" si="13"/>
        <v>91486455.405343384</v>
      </c>
      <c r="Q159" s="275">
        <f t="shared" si="14"/>
        <v>-19372724.984093398</v>
      </c>
    </row>
    <row r="160" spans="2:17" ht="14.5" x14ac:dyDescent="0.35">
      <c r="B160" s="268">
        <v>43983</v>
      </c>
      <c r="C160" s="269">
        <f t="shared" si="8"/>
        <v>6</v>
      </c>
      <c r="D160" s="269">
        <v>2020</v>
      </c>
      <c r="E160" s="270">
        <v>86099647.89466998</v>
      </c>
      <c r="F160" s="271">
        <v>23.799999999999997</v>
      </c>
      <c r="G160" s="271">
        <v>97.700000000000017</v>
      </c>
      <c r="H160" s="272">
        <v>156.62696586490861</v>
      </c>
      <c r="I160" s="273">
        <f t="shared" si="15"/>
        <v>30</v>
      </c>
      <c r="J160" s="273">
        <f t="shared" si="9"/>
        <v>0</v>
      </c>
      <c r="K160" s="273">
        <f t="shared" si="10"/>
        <v>0</v>
      </c>
      <c r="L160" s="273">
        <f t="shared" si="11"/>
        <v>0</v>
      </c>
      <c r="M160" s="273">
        <f t="shared" si="12"/>
        <v>0</v>
      </c>
      <c r="N160" s="274">
        <v>126</v>
      </c>
      <c r="O160" s="274">
        <f t="shared" si="16"/>
        <v>8402789.8607051279</v>
      </c>
      <c r="P160" s="275">
        <f t="shared" si="13"/>
        <v>98613790.442500472</v>
      </c>
      <c r="Q160" s="275">
        <f t="shared" si="14"/>
        <v>-12514142.547830492</v>
      </c>
    </row>
    <row r="161" spans="2:17" ht="14.5" x14ac:dyDescent="0.35">
      <c r="B161" s="268">
        <v>44013</v>
      </c>
      <c r="C161" s="269">
        <f t="shared" si="8"/>
        <v>7</v>
      </c>
      <c r="D161" s="269">
        <v>2020</v>
      </c>
      <c r="E161" s="270">
        <v>103947133.04603</v>
      </c>
      <c r="F161" s="271">
        <v>0</v>
      </c>
      <c r="G161" s="271">
        <v>215.7</v>
      </c>
      <c r="H161" s="272">
        <v>155.89033333488234</v>
      </c>
      <c r="I161" s="273">
        <f t="shared" si="15"/>
        <v>31</v>
      </c>
      <c r="J161" s="273">
        <f t="shared" si="9"/>
        <v>0</v>
      </c>
      <c r="K161" s="273">
        <f t="shared" si="10"/>
        <v>0</v>
      </c>
      <c r="L161" s="273">
        <f t="shared" si="11"/>
        <v>0</v>
      </c>
      <c r="M161" s="273">
        <f t="shared" si="12"/>
        <v>0</v>
      </c>
      <c r="N161" s="274">
        <v>127</v>
      </c>
      <c r="O161" s="274">
        <f t="shared" si="16"/>
        <v>8402789.8607051279</v>
      </c>
      <c r="P161" s="275">
        <f t="shared" si="13"/>
        <v>114739107.09361354</v>
      </c>
      <c r="Q161" s="275">
        <f t="shared" si="14"/>
        <v>-10791974.047583535</v>
      </c>
    </row>
    <row r="162" spans="2:17" ht="14.5" x14ac:dyDescent="0.35">
      <c r="B162" s="268">
        <v>44044</v>
      </c>
      <c r="C162" s="269">
        <f t="shared" si="8"/>
        <v>8</v>
      </c>
      <c r="D162" s="269">
        <v>2020</v>
      </c>
      <c r="E162" s="270">
        <v>92534942.41407001</v>
      </c>
      <c r="F162" s="271">
        <v>0.8</v>
      </c>
      <c r="G162" s="271">
        <v>126.69999999999999</v>
      </c>
      <c r="H162" s="272">
        <v>155.15716526246908</v>
      </c>
      <c r="I162" s="273">
        <f t="shared" si="15"/>
        <v>31</v>
      </c>
      <c r="J162" s="273">
        <f t="shared" si="9"/>
        <v>0</v>
      </c>
      <c r="K162" s="273">
        <f t="shared" si="10"/>
        <v>0</v>
      </c>
      <c r="L162" s="273">
        <f t="shared" si="11"/>
        <v>0</v>
      </c>
      <c r="M162" s="273">
        <f t="shared" si="12"/>
        <v>0</v>
      </c>
      <c r="N162" s="274">
        <v>128</v>
      </c>
      <c r="O162" s="274">
        <f t="shared" si="16"/>
        <v>8402789.8607051279</v>
      </c>
      <c r="P162" s="275">
        <f t="shared" si="13"/>
        <v>103124856.86414486</v>
      </c>
      <c r="Q162" s="275">
        <f t="shared" si="14"/>
        <v>-10589914.450074852</v>
      </c>
    </row>
    <row r="163" spans="2:17" ht="14.5" x14ac:dyDescent="0.35">
      <c r="B163" s="268">
        <v>44075</v>
      </c>
      <c r="C163" s="269">
        <f t="shared" si="8"/>
        <v>9</v>
      </c>
      <c r="D163" s="269">
        <v>2020</v>
      </c>
      <c r="E163" s="270">
        <v>76554649.522059992</v>
      </c>
      <c r="F163" s="271">
        <v>69.100000000000009</v>
      </c>
      <c r="G163" s="271">
        <v>33.300000000000004</v>
      </c>
      <c r="H163" s="272">
        <v>154.42744535397276</v>
      </c>
      <c r="I163" s="273">
        <f t="shared" si="15"/>
        <v>30</v>
      </c>
      <c r="J163" s="273">
        <f t="shared" si="9"/>
        <v>0</v>
      </c>
      <c r="K163" s="273">
        <f t="shared" si="10"/>
        <v>0</v>
      </c>
      <c r="L163" s="273">
        <f t="shared" si="11"/>
        <v>0</v>
      </c>
      <c r="M163" s="273">
        <f t="shared" si="12"/>
        <v>0</v>
      </c>
      <c r="N163" s="274">
        <v>129</v>
      </c>
      <c r="O163" s="274">
        <f t="shared" si="16"/>
        <v>8402789.8607051279</v>
      </c>
      <c r="P163" s="275">
        <f t="shared" si="13"/>
        <v>89852648.275022596</v>
      </c>
      <c r="Q163" s="275">
        <f t="shared" si="14"/>
        <v>-13297998.752962604</v>
      </c>
    </row>
    <row r="164" spans="2:17" ht="14.5" x14ac:dyDescent="0.35">
      <c r="B164" s="268">
        <v>44105</v>
      </c>
      <c r="C164" s="269">
        <f t="shared" ref="C164:C190" si="17">MONTH(B164)</f>
        <v>10</v>
      </c>
      <c r="D164" s="269">
        <v>2020</v>
      </c>
      <c r="E164" s="270">
        <v>74574750.82904999</v>
      </c>
      <c r="F164" s="271">
        <v>270.3</v>
      </c>
      <c r="G164" s="271">
        <v>0</v>
      </c>
      <c r="H164" s="272">
        <v>153.70115739232821</v>
      </c>
      <c r="I164" s="273">
        <f t="shared" si="15"/>
        <v>31</v>
      </c>
      <c r="J164" s="273">
        <f t="shared" ref="J164:J190" si="18">IF(MONTH($B164)=3,1,0)</f>
        <v>0</v>
      </c>
      <c r="K164" s="273">
        <f t="shared" ref="K164:K190" si="19">IF(MONTH($B164)=4,1,0)</f>
        <v>0</v>
      </c>
      <c r="L164" s="273">
        <f t="shared" ref="L164:L190" si="20">IF(MONTH($B164)=5,1,0)</f>
        <v>0</v>
      </c>
      <c r="M164" s="273">
        <f t="shared" ref="M164:M190" si="21">IF(MONTH($B164)=10,1,0)</f>
        <v>1</v>
      </c>
      <c r="N164" s="274">
        <v>130</v>
      </c>
      <c r="O164" s="274">
        <f t="shared" si="16"/>
        <v>8402789.8607051279</v>
      </c>
      <c r="P164" s="275">
        <f t="shared" ref="P164:P190" si="22">$AC$17+MMULT(F164:N164,$AC$18:$AC$26)</f>
        <v>88309033.954187393</v>
      </c>
      <c r="Q164" s="275">
        <f t="shared" ref="Q164:Q190" si="23">E164-P164</f>
        <v>-13734283.125137404</v>
      </c>
    </row>
    <row r="165" spans="2:17" ht="14.5" x14ac:dyDescent="0.35">
      <c r="B165" s="268">
        <v>44136</v>
      </c>
      <c r="C165" s="269">
        <f t="shared" si="17"/>
        <v>11</v>
      </c>
      <c r="D165" s="269">
        <v>2020</v>
      </c>
      <c r="E165" s="270">
        <v>75524140.206439972</v>
      </c>
      <c r="F165" s="271">
        <v>334.79999999999995</v>
      </c>
      <c r="G165" s="271">
        <v>0</v>
      </c>
      <c r="H165" s="272">
        <v>152.97828523674082</v>
      </c>
      <c r="I165" s="273">
        <f t="shared" si="15"/>
        <v>30</v>
      </c>
      <c r="J165" s="273">
        <f t="shared" si="18"/>
        <v>0</v>
      </c>
      <c r="K165" s="273">
        <f t="shared" si="19"/>
        <v>0</v>
      </c>
      <c r="L165" s="273">
        <f t="shared" si="20"/>
        <v>0</v>
      </c>
      <c r="M165" s="273">
        <f t="shared" si="21"/>
        <v>0</v>
      </c>
      <c r="N165" s="274">
        <v>131</v>
      </c>
      <c r="O165" s="274">
        <f t="shared" si="16"/>
        <v>8402789.8607051279</v>
      </c>
      <c r="P165" s="275">
        <f t="shared" si="22"/>
        <v>88581115.356213957</v>
      </c>
      <c r="Q165" s="275">
        <f t="shared" si="23"/>
        <v>-13056975.149773985</v>
      </c>
    </row>
    <row r="166" spans="2:17" ht="14.5" x14ac:dyDescent="0.35">
      <c r="B166" s="268">
        <v>44166</v>
      </c>
      <c r="C166" s="269">
        <f t="shared" si="17"/>
        <v>12</v>
      </c>
      <c r="D166" s="269">
        <v>2020</v>
      </c>
      <c r="E166" s="270">
        <v>78942466.150570005</v>
      </c>
      <c r="F166" s="271">
        <v>567.29999999999995</v>
      </c>
      <c r="G166" s="271">
        <v>0</v>
      </c>
      <c r="H166" s="272">
        <v>152.25881282232783</v>
      </c>
      <c r="I166" s="273">
        <f t="shared" si="15"/>
        <v>31</v>
      </c>
      <c r="J166" s="273">
        <f t="shared" si="18"/>
        <v>0</v>
      </c>
      <c r="K166" s="273">
        <f t="shared" si="19"/>
        <v>0</v>
      </c>
      <c r="L166" s="273">
        <f t="shared" si="20"/>
        <v>0</v>
      </c>
      <c r="M166" s="273">
        <f t="shared" si="21"/>
        <v>0</v>
      </c>
      <c r="N166" s="274">
        <v>132</v>
      </c>
      <c r="O166" s="274">
        <f t="shared" si="16"/>
        <v>8402789.8607051279</v>
      </c>
      <c r="P166" s="275">
        <f t="shared" si="22"/>
        <v>93524766.533357143</v>
      </c>
      <c r="Q166" s="275">
        <f t="shared" si="23"/>
        <v>-14582300.382787138</v>
      </c>
    </row>
    <row r="167" spans="2:17" ht="14.5" x14ac:dyDescent="0.35">
      <c r="B167" s="268">
        <v>44197</v>
      </c>
      <c r="C167" s="269">
        <f t="shared" si="17"/>
        <v>1</v>
      </c>
      <c r="D167" s="269">
        <v>2021</v>
      </c>
      <c r="E167" s="270"/>
      <c r="F167" s="276">
        <f>'HDD&amp;CDD'!AF8</f>
        <v>700.99</v>
      </c>
      <c r="G167" s="276">
        <f>'HDD&amp;CDD'!AF28</f>
        <v>0</v>
      </c>
      <c r="H167" s="272">
        <v>152.76950332981193</v>
      </c>
      <c r="I167" s="273">
        <f t="shared" si="15"/>
        <v>31</v>
      </c>
      <c r="J167" s="273">
        <f t="shared" si="18"/>
        <v>0</v>
      </c>
      <c r="K167" s="273">
        <f t="shared" si="19"/>
        <v>0</v>
      </c>
      <c r="L167" s="273">
        <f t="shared" si="20"/>
        <v>0</v>
      </c>
      <c r="M167" s="273">
        <f t="shared" si="21"/>
        <v>0</v>
      </c>
      <c r="N167" s="274">
        <v>133</v>
      </c>
      <c r="O167" s="274">
        <f t="shared" si="16"/>
        <v>8402789.8607051279</v>
      </c>
      <c r="P167" s="275">
        <f t="shared" si="22"/>
        <v>95712520.408842355</v>
      </c>
      <c r="Q167" s="275">
        <f t="shared" si="23"/>
        <v>-95712520.408842355</v>
      </c>
    </row>
    <row r="168" spans="2:17" ht="14.5" x14ac:dyDescent="0.35">
      <c r="B168" s="268">
        <v>44228</v>
      </c>
      <c r="C168" s="269">
        <f t="shared" si="17"/>
        <v>2</v>
      </c>
      <c r="D168" s="269">
        <v>2021</v>
      </c>
      <c r="E168" s="270"/>
      <c r="F168" s="276">
        <f>'HDD&amp;CDD'!AF9</f>
        <v>629.89</v>
      </c>
      <c r="G168" s="276">
        <f>'HDD&amp;CDD'!AF29</f>
        <v>0</v>
      </c>
      <c r="H168" s="272">
        <v>153.28190674172239</v>
      </c>
      <c r="I168" s="273">
        <f t="shared" si="15"/>
        <v>28</v>
      </c>
      <c r="J168" s="273">
        <f t="shared" si="18"/>
        <v>0</v>
      </c>
      <c r="K168" s="273">
        <f t="shared" si="19"/>
        <v>0</v>
      </c>
      <c r="L168" s="273">
        <f t="shared" si="20"/>
        <v>0</v>
      </c>
      <c r="M168" s="273">
        <f t="shared" si="21"/>
        <v>0</v>
      </c>
      <c r="N168" s="274">
        <v>134</v>
      </c>
      <c r="O168" s="274">
        <f t="shared" si="16"/>
        <v>8402789.8607051279</v>
      </c>
      <c r="P168" s="275">
        <f t="shared" si="22"/>
        <v>88790516.222942621</v>
      </c>
      <c r="Q168" s="275">
        <f t="shared" si="23"/>
        <v>-88790516.222942621</v>
      </c>
    </row>
    <row r="169" spans="2:17" ht="14.5" x14ac:dyDescent="0.35">
      <c r="B169" s="268">
        <v>44256</v>
      </c>
      <c r="C169" s="269">
        <f t="shared" si="17"/>
        <v>3</v>
      </c>
      <c r="D169" s="269">
        <v>2021</v>
      </c>
      <c r="E169" s="270"/>
      <c r="F169" s="276">
        <f>'HDD&amp;CDD'!AF10</f>
        <v>543.98</v>
      </c>
      <c r="G169" s="276">
        <f>'HDD&amp;CDD'!AF30</f>
        <v>0.02</v>
      </c>
      <c r="H169" s="272">
        <v>153.79602880330322</v>
      </c>
      <c r="I169" s="273">
        <f t="shared" si="15"/>
        <v>31</v>
      </c>
      <c r="J169" s="273">
        <f t="shared" si="18"/>
        <v>1</v>
      </c>
      <c r="K169" s="273">
        <f t="shared" si="19"/>
        <v>0</v>
      </c>
      <c r="L169" s="273">
        <f t="shared" si="20"/>
        <v>0</v>
      </c>
      <c r="M169" s="273">
        <f t="shared" si="21"/>
        <v>0</v>
      </c>
      <c r="N169" s="274">
        <v>135</v>
      </c>
      <c r="O169" s="274">
        <f t="shared" si="16"/>
        <v>8402789.8607051279</v>
      </c>
      <c r="P169" s="275">
        <f t="shared" si="22"/>
        <v>92426787.768392533</v>
      </c>
      <c r="Q169" s="275">
        <f t="shared" si="23"/>
        <v>-92426787.768392533</v>
      </c>
    </row>
    <row r="170" spans="2:17" ht="14.5" x14ac:dyDescent="0.35">
      <c r="B170" s="268">
        <v>44287</v>
      </c>
      <c r="C170" s="269">
        <f t="shared" si="17"/>
        <v>4</v>
      </c>
      <c r="D170" s="269">
        <v>2021</v>
      </c>
      <c r="E170" s="270"/>
      <c r="F170" s="276">
        <f>'HDD&amp;CDD'!AF11</f>
        <v>348.17999999999995</v>
      </c>
      <c r="G170" s="276">
        <f>'HDD&amp;CDD'!AF31</f>
        <v>0</v>
      </c>
      <c r="H170" s="272">
        <v>154.31187527906849</v>
      </c>
      <c r="I170" s="273">
        <f t="shared" ref="I170:I190" si="24">DAY(EOMONTH(B170,0))</f>
        <v>30</v>
      </c>
      <c r="J170" s="273">
        <f t="shared" si="18"/>
        <v>0</v>
      </c>
      <c r="K170" s="273">
        <f t="shared" si="19"/>
        <v>1</v>
      </c>
      <c r="L170" s="273">
        <f t="shared" si="20"/>
        <v>0</v>
      </c>
      <c r="M170" s="273">
        <f t="shared" si="21"/>
        <v>0</v>
      </c>
      <c r="N170" s="274">
        <v>136</v>
      </c>
      <c r="O170" s="274">
        <f t="shared" si="16"/>
        <v>8402789.8607051279</v>
      </c>
      <c r="P170" s="275">
        <f t="shared" si="22"/>
        <v>85418496.742961347</v>
      </c>
      <c r="Q170" s="275">
        <f t="shared" si="23"/>
        <v>-85418496.742961347</v>
      </c>
    </row>
    <row r="171" spans="2:17" ht="14.5" x14ac:dyDescent="0.35">
      <c r="B171" s="268">
        <v>44317</v>
      </c>
      <c r="C171" s="269">
        <f t="shared" si="17"/>
        <v>5</v>
      </c>
      <c r="D171" s="269">
        <v>2021</v>
      </c>
      <c r="E171" s="270"/>
      <c r="F171" s="276">
        <f>'HDD&amp;CDD'!AF12</f>
        <v>132.97999999999996</v>
      </c>
      <c r="G171" s="276">
        <f>'HDD&amp;CDD'!AF32</f>
        <v>23.23</v>
      </c>
      <c r="H171" s="272">
        <v>154.829451952867</v>
      </c>
      <c r="I171" s="273">
        <f t="shared" si="24"/>
        <v>31</v>
      </c>
      <c r="J171" s="273">
        <f t="shared" si="18"/>
        <v>0</v>
      </c>
      <c r="K171" s="273">
        <f t="shared" si="19"/>
        <v>0</v>
      </c>
      <c r="L171" s="273">
        <f t="shared" si="20"/>
        <v>1</v>
      </c>
      <c r="M171" s="273">
        <f t="shared" si="21"/>
        <v>0</v>
      </c>
      <c r="N171" s="274">
        <v>137</v>
      </c>
      <c r="O171" s="274">
        <f t="shared" si="16"/>
        <v>8402789.8607051279</v>
      </c>
      <c r="P171" s="275">
        <f t="shared" si="22"/>
        <v>88702641.924405992</v>
      </c>
      <c r="Q171" s="275">
        <f t="shared" si="23"/>
        <v>-88702641.924405992</v>
      </c>
    </row>
    <row r="172" spans="2:17" ht="14.5" x14ac:dyDescent="0.35">
      <c r="B172" s="268">
        <v>44348</v>
      </c>
      <c r="C172" s="269">
        <f t="shared" si="17"/>
        <v>6</v>
      </c>
      <c r="D172" s="269">
        <v>2021</v>
      </c>
      <c r="E172" s="270"/>
      <c r="F172" s="276">
        <f>'HDD&amp;CDD'!AF13</f>
        <v>24.6</v>
      </c>
      <c r="G172" s="276">
        <f>'HDD&amp;CDD'!AF33</f>
        <v>66.52000000000001</v>
      </c>
      <c r="H172" s="272">
        <v>155.34876462794719</v>
      </c>
      <c r="I172" s="273">
        <f t="shared" si="24"/>
        <v>30</v>
      </c>
      <c r="J172" s="273">
        <f t="shared" si="18"/>
        <v>0</v>
      </c>
      <c r="K172" s="273">
        <f t="shared" si="19"/>
        <v>0</v>
      </c>
      <c r="L172" s="273">
        <f t="shared" si="20"/>
        <v>0</v>
      </c>
      <c r="M172" s="273">
        <f t="shared" si="21"/>
        <v>0</v>
      </c>
      <c r="N172" s="274">
        <v>138</v>
      </c>
      <c r="O172" s="274">
        <f t="shared" si="16"/>
        <v>8402789.8607051279</v>
      </c>
      <c r="P172" s="275">
        <f t="shared" si="22"/>
        <v>93843518.554746866</v>
      </c>
      <c r="Q172" s="275">
        <f t="shared" si="23"/>
        <v>-93843518.554746866</v>
      </c>
    </row>
    <row r="173" spans="2:17" ht="14.5" x14ac:dyDescent="0.35">
      <c r="B173" s="268">
        <v>44378</v>
      </c>
      <c r="C173" s="269">
        <f t="shared" si="17"/>
        <v>7</v>
      </c>
      <c r="D173" s="269">
        <v>2021</v>
      </c>
      <c r="E173" s="270"/>
      <c r="F173" s="276">
        <f>'HDD&amp;CDD'!AF14</f>
        <v>1.1099999999999999</v>
      </c>
      <c r="G173" s="276">
        <f>'HDD&amp;CDD'!AF34</f>
        <v>153.85</v>
      </c>
      <c r="H173" s="272">
        <v>155.86981912702208</v>
      </c>
      <c r="I173" s="273">
        <f t="shared" si="24"/>
        <v>31</v>
      </c>
      <c r="J173" s="273">
        <f t="shared" si="18"/>
        <v>0</v>
      </c>
      <c r="K173" s="273">
        <f t="shared" si="19"/>
        <v>0</v>
      </c>
      <c r="L173" s="273">
        <f t="shared" si="20"/>
        <v>0</v>
      </c>
      <c r="M173" s="273">
        <f t="shared" si="21"/>
        <v>0</v>
      </c>
      <c r="N173" s="274">
        <v>139</v>
      </c>
      <c r="O173" s="274">
        <f t="shared" si="16"/>
        <v>8402789.8607051279</v>
      </c>
      <c r="P173" s="275">
        <f t="shared" si="22"/>
        <v>106848588.73099503</v>
      </c>
      <c r="Q173" s="275">
        <f t="shared" si="23"/>
        <v>-106848588.73099503</v>
      </c>
    </row>
    <row r="174" spans="2:17" ht="14.5" x14ac:dyDescent="0.35">
      <c r="B174" s="268">
        <v>44409</v>
      </c>
      <c r="C174" s="269">
        <f t="shared" si="17"/>
        <v>8</v>
      </c>
      <c r="D174" s="269">
        <v>2021</v>
      </c>
      <c r="E174" s="270"/>
      <c r="F174" s="276">
        <f>'HDD&amp;CDD'!AF15</f>
        <v>3.54</v>
      </c>
      <c r="G174" s="276">
        <f>'HDD&amp;CDD'!AF35</f>
        <v>116.15</v>
      </c>
      <c r="H174" s="272">
        <v>156.39262129233467</v>
      </c>
      <c r="I174" s="273">
        <f t="shared" si="24"/>
        <v>31</v>
      </c>
      <c r="J174" s="273">
        <f t="shared" si="18"/>
        <v>0</v>
      </c>
      <c r="K174" s="273">
        <f t="shared" si="19"/>
        <v>0</v>
      </c>
      <c r="L174" s="273">
        <f t="shared" si="20"/>
        <v>0</v>
      </c>
      <c r="M174" s="273">
        <f t="shared" si="21"/>
        <v>0</v>
      </c>
      <c r="N174" s="274">
        <v>140</v>
      </c>
      <c r="O174" s="274">
        <f t="shared" si="16"/>
        <v>8402789.8607051279</v>
      </c>
      <c r="P174" s="275">
        <f t="shared" si="22"/>
        <v>102437467.88492393</v>
      </c>
      <c r="Q174" s="275">
        <f t="shared" si="23"/>
        <v>-102437467.88492393</v>
      </c>
    </row>
    <row r="175" spans="2:17" ht="14.5" x14ac:dyDescent="0.35">
      <c r="B175" s="268">
        <v>44440</v>
      </c>
      <c r="C175" s="269">
        <f t="shared" si="17"/>
        <v>9</v>
      </c>
      <c r="D175" s="269">
        <v>2021</v>
      </c>
      <c r="E175" s="270"/>
      <c r="F175" s="276">
        <f>'HDD&amp;CDD'!AF16</f>
        <v>54.989999999999995</v>
      </c>
      <c r="G175" s="276">
        <f>'HDD&amp;CDD'!AF36</f>
        <v>49.14</v>
      </c>
      <c r="H175" s="272">
        <v>156.91717698572333</v>
      </c>
      <c r="I175" s="273">
        <f t="shared" si="24"/>
        <v>30</v>
      </c>
      <c r="J175" s="273">
        <f t="shared" si="18"/>
        <v>0</v>
      </c>
      <c r="K175" s="273">
        <f t="shared" si="19"/>
        <v>0</v>
      </c>
      <c r="L175" s="273">
        <f t="shared" si="20"/>
        <v>0</v>
      </c>
      <c r="M175" s="273">
        <f t="shared" si="21"/>
        <v>0</v>
      </c>
      <c r="N175" s="274">
        <v>141</v>
      </c>
      <c r="O175" s="274">
        <f t="shared" si="16"/>
        <v>8402789.8607051279</v>
      </c>
      <c r="P175" s="275">
        <f t="shared" si="22"/>
        <v>92972885.694213837</v>
      </c>
      <c r="Q175" s="275">
        <f t="shared" si="23"/>
        <v>-92972885.694213837</v>
      </c>
    </row>
    <row r="176" spans="2:17" ht="14.5" x14ac:dyDescent="0.35">
      <c r="B176" s="268">
        <v>44470</v>
      </c>
      <c r="C176" s="269">
        <f t="shared" si="17"/>
        <v>10</v>
      </c>
      <c r="D176" s="269">
        <v>2021</v>
      </c>
      <c r="E176" s="270"/>
      <c r="F176" s="276">
        <f>'HDD&amp;CDD'!AF17</f>
        <v>227.63000000000002</v>
      </c>
      <c r="G176" s="276">
        <f>'HDD&amp;CDD'!AF37</f>
        <v>3.0699999999999994</v>
      </c>
      <c r="H176" s="272">
        <v>157.44349208868769</v>
      </c>
      <c r="I176" s="273">
        <f t="shared" si="24"/>
        <v>31</v>
      </c>
      <c r="J176" s="273">
        <f t="shared" si="18"/>
        <v>0</v>
      </c>
      <c r="K176" s="273">
        <f t="shared" si="19"/>
        <v>0</v>
      </c>
      <c r="L176" s="273">
        <f t="shared" si="20"/>
        <v>0</v>
      </c>
      <c r="M176" s="273">
        <f t="shared" si="21"/>
        <v>1</v>
      </c>
      <c r="N176" s="274">
        <v>142</v>
      </c>
      <c r="O176" s="274">
        <f t="shared" si="16"/>
        <v>8402789.8607051279</v>
      </c>
      <c r="P176" s="275">
        <f t="shared" si="22"/>
        <v>90146087.413155615</v>
      </c>
      <c r="Q176" s="275">
        <f t="shared" si="23"/>
        <v>-90146087.413155615</v>
      </c>
    </row>
    <row r="177" spans="2:18" ht="14.5" x14ac:dyDescent="0.35">
      <c r="B177" s="268">
        <v>44501</v>
      </c>
      <c r="C177" s="269">
        <f t="shared" si="17"/>
        <v>11</v>
      </c>
      <c r="D177" s="269">
        <v>2021</v>
      </c>
      <c r="E177" s="270"/>
      <c r="F177" s="276">
        <f>'HDD&amp;CDD'!AF18</f>
        <v>424.61</v>
      </c>
      <c r="G177" s="276">
        <f>'HDD&amp;CDD'!AF38</f>
        <v>0</v>
      </c>
      <c r="H177" s="272">
        <v>157.97157250245439</v>
      </c>
      <c r="I177" s="273">
        <f t="shared" si="24"/>
        <v>30</v>
      </c>
      <c r="J177" s="273">
        <f t="shared" si="18"/>
        <v>0</v>
      </c>
      <c r="K177" s="273">
        <f t="shared" si="19"/>
        <v>0</v>
      </c>
      <c r="L177" s="273">
        <f t="shared" si="20"/>
        <v>0</v>
      </c>
      <c r="M177" s="273">
        <f t="shared" si="21"/>
        <v>0</v>
      </c>
      <c r="N177" s="274">
        <v>143</v>
      </c>
      <c r="O177" s="274">
        <f t="shared" si="16"/>
        <v>8402789.8607051279</v>
      </c>
      <c r="P177" s="275">
        <f t="shared" si="22"/>
        <v>92643047.348907143</v>
      </c>
      <c r="Q177" s="275">
        <f t="shared" si="23"/>
        <v>-92643047.348907143</v>
      </c>
    </row>
    <row r="178" spans="2:18" ht="14.5" x14ac:dyDescent="0.35">
      <c r="B178" s="268">
        <v>44531</v>
      </c>
      <c r="C178" s="269">
        <f t="shared" si="17"/>
        <v>12</v>
      </c>
      <c r="D178" s="269">
        <v>2021</v>
      </c>
      <c r="E178" s="270"/>
      <c r="F178" s="276">
        <f>'HDD&amp;CDD'!AF19</f>
        <v>589.11</v>
      </c>
      <c r="G178" s="276">
        <f>'HDD&amp;CDD'!AF39</f>
        <v>0</v>
      </c>
      <c r="H178" s="272">
        <v>158.50142414804324</v>
      </c>
      <c r="I178" s="273">
        <f t="shared" si="24"/>
        <v>31</v>
      </c>
      <c r="J178" s="273">
        <f t="shared" si="18"/>
        <v>0</v>
      </c>
      <c r="K178" s="273">
        <f t="shared" si="19"/>
        <v>0</v>
      </c>
      <c r="L178" s="273">
        <f t="shared" si="20"/>
        <v>0</v>
      </c>
      <c r="M178" s="273">
        <f t="shared" si="21"/>
        <v>0</v>
      </c>
      <c r="N178" s="274">
        <v>144</v>
      </c>
      <c r="O178" s="274">
        <f t="shared" si="16"/>
        <v>8402789.8607051279</v>
      </c>
      <c r="P178" s="275">
        <f t="shared" si="22"/>
        <v>97346388.581719935</v>
      </c>
      <c r="Q178" s="275">
        <f t="shared" si="23"/>
        <v>-97346388.581719935</v>
      </c>
    </row>
    <row r="179" spans="2:18" ht="14.5" x14ac:dyDescent="0.35">
      <c r="B179" s="268">
        <v>44562</v>
      </c>
      <c r="C179" s="269">
        <f t="shared" si="17"/>
        <v>1</v>
      </c>
      <c r="D179" s="269">
        <v>2022</v>
      </c>
      <c r="E179" s="270"/>
      <c r="F179" s="276">
        <f>'HDD&amp;CDD'!AF8</f>
        <v>700.99</v>
      </c>
      <c r="G179" s="276">
        <f>'HDD&amp;CDD'!AF28</f>
        <v>0</v>
      </c>
      <c r="H179" s="272">
        <v>159.09656722616333</v>
      </c>
      <c r="I179" s="273">
        <f t="shared" si="24"/>
        <v>31</v>
      </c>
      <c r="J179" s="273">
        <f t="shared" si="18"/>
        <v>0</v>
      </c>
      <c r="K179" s="273">
        <f t="shared" si="19"/>
        <v>0</v>
      </c>
      <c r="L179" s="273">
        <f t="shared" si="20"/>
        <v>0</v>
      </c>
      <c r="M179" s="273">
        <f t="shared" si="21"/>
        <v>0</v>
      </c>
      <c r="N179" s="274">
        <v>145</v>
      </c>
      <c r="O179" s="274">
        <f t="shared" si="16"/>
        <v>8402789.8607051279</v>
      </c>
      <c r="P179" s="275">
        <f t="shared" si="22"/>
        <v>99273177.246904254</v>
      </c>
      <c r="Q179" s="275">
        <f t="shared" si="23"/>
        <v>-99273177.246904254</v>
      </c>
    </row>
    <row r="180" spans="2:18" ht="14.5" x14ac:dyDescent="0.35">
      <c r="B180" s="268">
        <v>44593</v>
      </c>
      <c r="C180" s="269">
        <f t="shared" si="17"/>
        <v>2</v>
      </c>
      <c r="D180" s="269">
        <v>2022</v>
      </c>
      <c r="E180" s="270"/>
      <c r="F180" s="276">
        <f>'HDD&amp;CDD'!AF9</f>
        <v>629.89</v>
      </c>
      <c r="G180" s="276">
        <f>'HDD&amp;CDD'!AF29</f>
        <v>0</v>
      </c>
      <c r="H180" s="272">
        <v>159.69394495476266</v>
      </c>
      <c r="I180" s="273">
        <f t="shared" si="24"/>
        <v>28</v>
      </c>
      <c r="J180" s="273">
        <f t="shared" si="18"/>
        <v>0</v>
      </c>
      <c r="K180" s="273">
        <f t="shared" si="19"/>
        <v>0</v>
      </c>
      <c r="L180" s="273">
        <f t="shared" si="20"/>
        <v>0</v>
      </c>
      <c r="M180" s="273">
        <f t="shared" si="21"/>
        <v>0</v>
      </c>
      <c r="N180" s="274">
        <v>146</v>
      </c>
      <c r="O180" s="274">
        <f t="shared" si="16"/>
        <v>8402789.8607051279</v>
      </c>
      <c r="P180" s="275">
        <f t="shared" si="22"/>
        <v>92400582.966217369</v>
      </c>
      <c r="Q180" s="275">
        <f t="shared" si="23"/>
        <v>-92400582.966217369</v>
      </c>
    </row>
    <row r="181" spans="2:18" ht="14.5" x14ac:dyDescent="0.35">
      <c r="B181" s="268">
        <v>44621</v>
      </c>
      <c r="C181" s="269">
        <f t="shared" si="17"/>
        <v>3</v>
      </c>
      <c r="D181" s="269">
        <v>2022</v>
      </c>
      <c r="E181" s="270"/>
      <c r="F181" s="276">
        <f>'HDD&amp;CDD'!AF10</f>
        <v>543.98</v>
      </c>
      <c r="G181" s="276">
        <f>'HDD&amp;CDD'!AF30</f>
        <v>0.02</v>
      </c>
      <c r="H181" s="272">
        <v>160.29356572453409</v>
      </c>
      <c r="I181" s="273">
        <f t="shared" si="24"/>
        <v>31</v>
      </c>
      <c r="J181" s="273">
        <f t="shared" si="18"/>
        <v>1</v>
      </c>
      <c r="K181" s="273">
        <f t="shared" si="19"/>
        <v>0</v>
      </c>
      <c r="L181" s="273">
        <f t="shared" si="20"/>
        <v>0</v>
      </c>
      <c r="M181" s="273">
        <f t="shared" si="21"/>
        <v>0</v>
      </c>
      <c r="N181" s="274">
        <v>147</v>
      </c>
      <c r="O181" s="274">
        <f t="shared" si="16"/>
        <v>8402789.8607051279</v>
      </c>
      <c r="P181" s="275">
        <f t="shared" si="22"/>
        <v>96086569.334123373</v>
      </c>
      <c r="Q181" s="275">
        <f t="shared" si="23"/>
        <v>-96086569.334123373</v>
      </c>
    </row>
    <row r="182" spans="2:18" ht="14.5" x14ac:dyDescent="0.35">
      <c r="B182" s="268">
        <v>44652</v>
      </c>
      <c r="C182" s="269">
        <f t="shared" si="17"/>
        <v>4</v>
      </c>
      <c r="D182" s="269">
        <v>2022</v>
      </c>
      <c r="E182" s="270"/>
      <c r="F182" s="276">
        <f>'HDD&amp;CDD'!AF11</f>
        <v>348.17999999999995</v>
      </c>
      <c r="G182" s="276">
        <f>'HDD&amp;CDD'!AF31</f>
        <v>0</v>
      </c>
      <c r="H182" s="272">
        <v>160.89543795767591</v>
      </c>
      <c r="I182" s="273">
        <f t="shared" si="24"/>
        <v>30</v>
      </c>
      <c r="J182" s="273">
        <f t="shared" si="18"/>
        <v>0</v>
      </c>
      <c r="K182" s="273">
        <f t="shared" si="19"/>
        <v>1</v>
      </c>
      <c r="L182" s="273">
        <f t="shared" si="20"/>
        <v>0</v>
      </c>
      <c r="M182" s="273">
        <f t="shared" si="21"/>
        <v>0</v>
      </c>
      <c r="N182" s="274">
        <v>148</v>
      </c>
      <c r="O182" s="274">
        <f t="shared" si="16"/>
        <v>8402789.8607051279</v>
      </c>
      <c r="P182" s="275">
        <f t="shared" si="22"/>
        <v>89128299.593751788</v>
      </c>
      <c r="Q182" s="275">
        <f t="shared" si="23"/>
        <v>-89128299.593751788</v>
      </c>
    </row>
    <row r="183" spans="2:18" ht="14.5" x14ac:dyDescent="0.35">
      <c r="B183" s="268">
        <v>44682</v>
      </c>
      <c r="C183" s="269">
        <f t="shared" si="17"/>
        <v>5</v>
      </c>
      <c r="D183" s="269">
        <v>2022</v>
      </c>
      <c r="E183" s="270"/>
      <c r="F183" s="276">
        <f>'HDD&amp;CDD'!AF12</f>
        <v>132.97999999999996</v>
      </c>
      <c r="G183" s="276">
        <f>'HDD&amp;CDD'!AF32</f>
        <v>23.23</v>
      </c>
      <c r="H183" s="272">
        <v>161.49957010801023</v>
      </c>
      <c r="I183" s="273">
        <f t="shared" si="24"/>
        <v>31</v>
      </c>
      <c r="J183" s="273">
        <f t="shared" si="18"/>
        <v>0</v>
      </c>
      <c r="K183" s="273">
        <f t="shared" si="19"/>
        <v>0</v>
      </c>
      <c r="L183" s="273">
        <f t="shared" si="20"/>
        <v>1</v>
      </c>
      <c r="M183" s="273">
        <f t="shared" si="21"/>
        <v>0</v>
      </c>
      <c r="N183" s="274">
        <v>149</v>
      </c>
      <c r="O183" s="274">
        <f t="shared" si="16"/>
        <v>8402789.8607051279</v>
      </c>
      <c r="P183" s="275">
        <f t="shared" si="22"/>
        <v>92462774.075365424</v>
      </c>
      <c r="Q183" s="275">
        <f t="shared" si="23"/>
        <v>-92462774.075365424</v>
      </c>
    </row>
    <row r="184" spans="2:18" ht="14.5" x14ac:dyDescent="0.35">
      <c r="B184" s="268">
        <v>44713</v>
      </c>
      <c r="C184" s="269">
        <f t="shared" si="17"/>
        <v>6</v>
      </c>
      <c r="D184" s="269">
        <v>2022</v>
      </c>
      <c r="E184" s="270"/>
      <c r="F184" s="276">
        <f>'HDD&amp;CDD'!AF13</f>
        <v>24.6</v>
      </c>
      <c r="G184" s="276">
        <f>'HDD&amp;CDD'!AF33</f>
        <v>66.52000000000001</v>
      </c>
      <c r="H184" s="272">
        <v>162.10597066110165</v>
      </c>
      <c r="I184" s="273">
        <f t="shared" si="24"/>
        <v>30</v>
      </c>
      <c r="J184" s="273">
        <f t="shared" si="18"/>
        <v>0</v>
      </c>
      <c r="K184" s="273">
        <f t="shared" si="19"/>
        <v>0</v>
      </c>
      <c r="L184" s="273">
        <f t="shared" si="20"/>
        <v>0</v>
      </c>
      <c r="M184" s="273">
        <f t="shared" si="21"/>
        <v>0</v>
      </c>
      <c r="N184" s="274">
        <v>150</v>
      </c>
      <c r="O184" s="274">
        <f t="shared" si="16"/>
        <v>8402789.8607051279</v>
      </c>
      <c r="P184" s="275">
        <f t="shared" si="22"/>
        <v>97654289.580667466</v>
      </c>
      <c r="Q184" s="275">
        <f t="shared" si="23"/>
        <v>-97654289.580667466</v>
      </c>
    </row>
    <row r="185" spans="2:18" ht="14.5" x14ac:dyDescent="0.35">
      <c r="B185" s="268">
        <v>44743</v>
      </c>
      <c r="C185" s="269">
        <f t="shared" si="17"/>
        <v>7</v>
      </c>
      <c r="D185" s="269">
        <v>2022</v>
      </c>
      <c r="E185" s="270"/>
      <c r="F185" s="276">
        <f>'HDD&amp;CDD'!AF14</f>
        <v>1.1099999999999999</v>
      </c>
      <c r="G185" s="276">
        <f>'HDD&amp;CDD'!AF34</f>
        <v>153.85</v>
      </c>
      <c r="H185" s="272">
        <v>162.71464813437649</v>
      </c>
      <c r="I185" s="273">
        <f t="shared" si="24"/>
        <v>31</v>
      </c>
      <c r="J185" s="273">
        <f t="shared" si="18"/>
        <v>0</v>
      </c>
      <c r="K185" s="273">
        <f t="shared" si="19"/>
        <v>0</v>
      </c>
      <c r="L185" s="273">
        <f t="shared" si="20"/>
        <v>0</v>
      </c>
      <c r="M185" s="273">
        <f t="shared" si="21"/>
        <v>0</v>
      </c>
      <c r="N185" s="274">
        <v>151</v>
      </c>
      <c r="O185" s="274">
        <f t="shared" si="16"/>
        <v>8402789.8607051279</v>
      </c>
      <c r="P185" s="275">
        <f t="shared" si="22"/>
        <v>110710309.77356058</v>
      </c>
      <c r="Q185" s="275">
        <f t="shared" si="23"/>
        <v>-110710309.77356058</v>
      </c>
    </row>
    <row r="186" spans="2:18" ht="14.5" x14ac:dyDescent="0.35">
      <c r="B186" s="268">
        <v>44774</v>
      </c>
      <c r="C186" s="269">
        <f t="shared" si="17"/>
        <v>8</v>
      </c>
      <c r="D186" s="269">
        <v>2022</v>
      </c>
      <c r="E186" s="270"/>
      <c r="F186" s="276">
        <f>'HDD&amp;CDD'!AF15</f>
        <v>3.54</v>
      </c>
      <c r="G186" s="276">
        <f>'HDD&amp;CDD'!AF35</f>
        <v>116.15</v>
      </c>
      <c r="H186" s="272">
        <v>163.32561107724234</v>
      </c>
      <c r="I186" s="273">
        <f t="shared" si="24"/>
        <v>31</v>
      </c>
      <c r="J186" s="273">
        <f t="shared" si="18"/>
        <v>0</v>
      </c>
      <c r="K186" s="273">
        <f t="shared" si="19"/>
        <v>0</v>
      </c>
      <c r="L186" s="273">
        <f t="shared" si="20"/>
        <v>0</v>
      </c>
      <c r="M186" s="273">
        <f t="shared" si="21"/>
        <v>0</v>
      </c>
      <c r="N186" s="274">
        <v>152</v>
      </c>
      <c r="O186" s="274">
        <f t="shared" si="16"/>
        <v>8402789.8607051279</v>
      </c>
      <c r="P186" s="275">
        <f t="shared" si="22"/>
        <v>106350451.65994951</v>
      </c>
      <c r="Q186" s="275">
        <f t="shared" si="23"/>
        <v>-106350451.65994951</v>
      </c>
    </row>
    <row r="187" spans="2:18" ht="14.5" x14ac:dyDescent="0.35">
      <c r="B187" s="268">
        <v>44805</v>
      </c>
      <c r="C187" s="269">
        <f t="shared" si="17"/>
        <v>9</v>
      </c>
      <c r="D187" s="269">
        <v>2022</v>
      </c>
      <c r="E187" s="270"/>
      <c r="F187" s="276">
        <f>'HDD&amp;CDD'!AF16</f>
        <v>54.989999999999995</v>
      </c>
      <c r="G187" s="276">
        <f>'HDD&amp;CDD'!AF36</f>
        <v>49.14</v>
      </c>
      <c r="H187" s="272">
        <v>163.9388680712083</v>
      </c>
      <c r="I187" s="273">
        <f t="shared" si="24"/>
        <v>30</v>
      </c>
      <c r="J187" s="273">
        <f t="shared" si="18"/>
        <v>0</v>
      </c>
      <c r="K187" s="273">
        <f t="shared" si="19"/>
        <v>0</v>
      </c>
      <c r="L187" s="273">
        <f t="shared" si="20"/>
        <v>0</v>
      </c>
      <c r="M187" s="273">
        <f t="shared" si="21"/>
        <v>0</v>
      </c>
      <c r="N187" s="274">
        <v>153</v>
      </c>
      <c r="O187" s="274">
        <f t="shared" si="16"/>
        <v>8402789.8607051279</v>
      </c>
      <c r="P187" s="275">
        <f t="shared" si="22"/>
        <v>96937446.498917997</v>
      </c>
      <c r="Q187" s="275">
        <f t="shared" si="23"/>
        <v>-96937446.498917997</v>
      </c>
    </row>
    <row r="188" spans="2:18" ht="14.5" x14ac:dyDescent="0.35">
      <c r="B188" s="268">
        <v>44835</v>
      </c>
      <c r="C188" s="269">
        <f t="shared" si="17"/>
        <v>10</v>
      </c>
      <c r="D188" s="269">
        <v>2022</v>
      </c>
      <c r="E188" s="270"/>
      <c r="F188" s="276">
        <f>'HDD&amp;CDD'!AF17</f>
        <v>227.63000000000002</v>
      </c>
      <c r="G188" s="276">
        <f>'HDD&amp;CDD'!AF37</f>
        <v>3.0699999999999994</v>
      </c>
      <c r="H188" s="272">
        <v>164.55442773000539</v>
      </c>
      <c r="I188" s="273">
        <f t="shared" si="24"/>
        <v>31</v>
      </c>
      <c r="J188" s="273">
        <f t="shared" si="18"/>
        <v>0</v>
      </c>
      <c r="K188" s="273">
        <f t="shared" si="19"/>
        <v>0</v>
      </c>
      <c r="L188" s="273">
        <f t="shared" si="20"/>
        <v>0</v>
      </c>
      <c r="M188" s="273">
        <f t="shared" si="21"/>
        <v>1</v>
      </c>
      <c r="N188" s="274">
        <v>154</v>
      </c>
      <c r="O188" s="274">
        <f t="shared" si="16"/>
        <v>8402789.8607051279</v>
      </c>
      <c r="P188" s="275">
        <f t="shared" si="22"/>
        <v>94162541.133464009</v>
      </c>
      <c r="Q188" s="275">
        <f t="shared" si="23"/>
        <v>-94162541.133464009</v>
      </c>
    </row>
    <row r="189" spans="2:18" ht="14.5" x14ac:dyDescent="0.35">
      <c r="B189" s="268">
        <v>44866</v>
      </c>
      <c r="C189" s="269">
        <f t="shared" si="17"/>
        <v>11</v>
      </c>
      <c r="D189" s="269">
        <v>2022</v>
      </c>
      <c r="E189" s="270"/>
      <c r="F189" s="276">
        <f>'HDD&amp;CDD'!AF18</f>
        <v>424.61</v>
      </c>
      <c r="G189" s="276">
        <f>'HDD&amp;CDD'!AF38</f>
        <v>0</v>
      </c>
      <c r="H189" s="272">
        <v>165.17229869970754</v>
      </c>
      <c r="I189" s="273">
        <f t="shared" si="24"/>
        <v>30</v>
      </c>
      <c r="J189" s="273">
        <f t="shared" si="18"/>
        <v>0</v>
      </c>
      <c r="K189" s="273">
        <f t="shared" si="19"/>
        <v>0</v>
      </c>
      <c r="L189" s="273">
        <f t="shared" si="20"/>
        <v>0</v>
      </c>
      <c r="M189" s="273">
        <f t="shared" si="21"/>
        <v>0</v>
      </c>
      <c r="N189" s="274">
        <v>155</v>
      </c>
      <c r="O189" s="274">
        <f t="shared" si="16"/>
        <v>8402789.8607051279</v>
      </c>
      <c r="P189" s="275">
        <f t="shared" si="22"/>
        <v>96711711.466788024</v>
      </c>
      <c r="Q189" s="275">
        <f t="shared" si="23"/>
        <v>-96711711.466788024</v>
      </c>
    </row>
    <row r="190" spans="2:18" ht="14.5" x14ac:dyDescent="0.35">
      <c r="B190" s="268">
        <v>44896</v>
      </c>
      <c r="C190" s="269">
        <f t="shared" si="17"/>
        <v>12</v>
      </c>
      <c r="D190" s="269">
        <v>2022</v>
      </c>
      <c r="E190" s="270"/>
      <c r="F190" s="276">
        <f>'HDD&amp;CDD'!AF19</f>
        <v>589.11</v>
      </c>
      <c r="G190" s="276">
        <f>'HDD&amp;CDD'!AF39</f>
        <v>0</v>
      </c>
      <c r="H190" s="272">
        <v>165.79248965885324</v>
      </c>
      <c r="I190" s="273">
        <f t="shared" si="24"/>
        <v>31</v>
      </c>
      <c r="J190" s="273">
        <f t="shared" si="18"/>
        <v>0</v>
      </c>
      <c r="K190" s="273">
        <f t="shared" si="19"/>
        <v>0</v>
      </c>
      <c r="L190" s="273">
        <f t="shared" si="20"/>
        <v>0</v>
      </c>
      <c r="M190" s="273">
        <f t="shared" si="21"/>
        <v>0</v>
      </c>
      <c r="N190" s="274">
        <v>156</v>
      </c>
      <c r="O190" s="274">
        <f t="shared" si="16"/>
        <v>8402789.8607051279</v>
      </c>
      <c r="P190" s="275">
        <f t="shared" si="22"/>
        <v>101467582.18255246</v>
      </c>
      <c r="Q190" s="275">
        <f t="shared" si="23"/>
        <v>-101467582.18255246</v>
      </c>
    </row>
    <row r="191" spans="2:18" x14ac:dyDescent="0.25">
      <c r="B191" s="186"/>
      <c r="C191" s="186"/>
      <c r="D191" s="176"/>
      <c r="R191" s="110"/>
    </row>
    <row r="192" spans="2:18" ht="14.5" x14ac:dyDescent="0.35">
      <c r="B192" s="175">
        <v>2010</v>
      </c>
      <c r="E192" s="187">
        <f>SUMIF($D$35:$D$190,"="&amp;B192,$E$35:$E$190)</f>
        <v>950759112.65007687</v>
      </c>
      <c r="Q192" s="187">
        <f>SUMIF($D$35:$D$190,"="&amp;$B192,$P$35:$P$190)</f>
        <v>968048822.27663279</v>
      </c>
      <c r="R192" s="187"/>
    </row>
    <row r="193" spans="2:18" ht="14.5" x14ac:dyDescent="0.35">
      <c r="B193" s="175">
        <v>2011</v>
      </c>
      <c r="E193" s="187">
        <f>SUMIF($D$35:$D$190,"="&amp;B193,$E$35:$E$190)</f>
        <v>944902732.12384617</v>
      </c>
      <c r="Q193" s="187">
        <f t="shared" ref="Q193:Q204" si="25">SUMIF($D$35:$D$190,"="&amp;$B193,$P$35:$P$190)</f>
        <v>990395154.85368085</v>
      </c>
      <c r="R193" s="187"/>
    </row>
    <row r="194" spans="2:18" ht="14.5" x14ac:dyDescent="0.35">
      <c r="B194" s="175">
        <v>2012</v>
      </c>
      <c r="E194" s="187">
        <f t="shared" ref="E194:E204" si="26">SUMIF($D$35:$D$190,"="&amp;B194,$E$35:$E$190)</f>
        <v>964379230.70517492</v>
      </c>
      <c r="Q194" s="187">
        <f t="shared" si="25"/>
        <v>1003267833.2412736</v>
      </c>
      <c r="R194" s="187"/>
    </row>
    <row r="195" spans="2:18" ht="14.5" x14ac:dyDescent="0.35">
      <c r="B195" s="175">
        <v>2013</v>
      </c>
      <c r="E195" s="187">
        <f t="shared" si="26"/>
        <v>961335479.00000012</v>
      </c>
      <c r="Q195" s="187">
        <f t="shared" si="25"/>
        <v>1000566661.5107036</v>
      </c>
      <c r="R195" s="187"/>
    </row>
    <row r="196" spans="2:18" ht="14.5" x14ac:dyDescent="0.35">
      <c r="B196" s="175">
        <v>2014</v>
      </c>
      <c r="E196" s="187">
        <f t="shared" si="26"/>
        <v>913546785.3566668</v>
      </c>
      <c r="Q196" s="187">
        <f t="shared" si="25"/>
        <v>1013105863.0459676</v>
      </c>
      <c r="R196" s="187"/>
    </row>
    <row r="197" spans="2:18" ht="14.5" x14ac:dyDescent="0.35">
      <c r="B197" s="175">
        <v>2015</v>
      </c>
      <c r="E197" s="187">
        <f t="shared" si="26"/>
        <v>920489866.98307681</v>
      </c>
      <c r="Q197" s="187">
        <f t="shared" si="25"/>
        <v>1042029395.4364306</v>
      </c>
      <c r="R197" s="187"/>
    </row>
    <row r="198" spans="2:18" ht="14.5" x14ac:dyDescent="0.35">
      <c r="B198" s="175">
        <v>2016</v>
      </c>
      <c r="E198" s="187">
        <f t="shared" si="26"/>
        <v>928717584.78461564</v>
      </c>
      <c r="Q198" s="187">
        <f t="shared" si="25"/>
        <v>1090508302.0251603</v>
      </c>
      <c r="R198" s="187"/>
    </row>
    <row r="199" spans="2:18" ht="14.5" x14ac:dyDescent="0.35">
      <c r="B199" s="175">
        <v>2017</v>
      </c>
      <c r="E199" s="187">
        <f t="shared" si="26"/>
        <v>914942349.02142859</v>
      </c>
      <c r="F199" s="208"/>
      <c r="Q199" s="187">
        <f t="shared" si="25"/>
        <v>1090489530.085856</v>
      </c>
      <c r="R199" s="187"/>
    </row>
    <row r="200" spans="2:18" ht="14.5" x14ac:dyDescent="0.35">
      <c r="B200" s="175">
        <v>2018</v>
      </c>
      <c r="E200" s="187">
        <f>SUMIF($D$35:$D$190,"="&amp;B200,$E$35:$E$190)</f>
        <v>965883912.18000007</v>
      </c>
      <c r="F200" s="187"/>
      <c r="Q200" s="187">
        <f t="shared" si="25"/>
        <v>1149307508.3487101</v>
      </c>
      <c r="R200" s="187"/>
    </row>
    <row r="201" spans="2:18" ht="14.5" x14ac:dyDescent="0.35">
      <c r="B201" s="175">
        <v>2019</v>
      </c>
      <c r="E201" s="187">
        <f t="shared" si="26"/>
        <v>959330220.76954007</v>
      </c>
      <c r="F201" s="187"/>
      <c r="Q201" s="187">
        <f t="shared" si="25"/>
        <v>1154083080.0283906</v>
      </c>
      <c r="R201" s="187"/>
    </row>
    <row r="202" spans="2:18" ht="14.5" x14ac:dyDescent="0.35">
      <c r="B202" s="175">
        <v>2020</v>
      </c>
      <c r="E202" s="187">
        <f t="shared" si="26"/>
        <v>961031702.85464001</v>
      </c>
      <c r="F202" s="187"/>
      <c r="Q202" s="187">
        <f t="shared" si="25"/>
        <v>1143729833.7007113</v>
      </c>
      <c r="R202" s="187"/>
    </row>
    <row r="203" spans="2:18" ht="14.5" x14ac:dyDescent="0.35">
      <c r="B203" s="200">
        <v>2021</v>
      </c>
      <c r="C203" s="200"/>
      <c r="D203" s="202"/>
      <c r="E203" s="210">
        <f t="shared" si="26"/>
        <v>0</v>
      </c>
      <c r="F203" s="200"/>
      <c r="G203" s="200"/>
      <c r="H203" s="211"/>
      <c r="I203" s="200"/>
      <c r="J203" s="200"/>
      <c r="K203" s="200"/>
      <c r="L203" s="201"/>
      <c r="M203" s="200"/>
      <c r="N203" s="200"/>
      <c r="O203" s="200"/>
      <c r="P203" s="201"/>
      <c r="Q203" s="187">
        <f t="shared" si="25"/>
        <v>1127288947.2762072</v>
      </c>
      <c r="R203" s="187"/>
    </row>
    <row r="204" spans="2:18" ht="14.5" x14ac:dyDescent="0.35">
      <c r="B204" s="175">
        <v>2022</v>
      </c>
      <c r="E204" s="187">
        <f t="shared" si="26"/>
        <v>0</v>
      </c>
      <c r="Q204" s="187">
        <f t="shared" si="25"/>
        <v>1173345735.5122623</v>
      </c>
      <c r="R204" s="187"/>
    </row>
    <row r="205" spans="2:18" x14ac:dyDescent="0.25">
      <c r="Q205" s="181"/>
      <c r="R205" s="173"/>
    </row>
    <row r="206" spans="2:18" x14ac:dyDescent="0.25">
      <c r="Q206" s="181"/>
      <c r="R206" s="173"/>
    </row>
    <row r="207" spans="2:18" x14ac:dyDescent="0.25">
      <c r="Q207" s="181"/>
      <c r="R207" s="173"/>
    </row>
    <row r="208" spans="2:18" x14ac:dyDescent="0.25">
      <c r="Q208" s="181"/>
      <c r="R208" s="173"/>
    </row>
    <row r="209" spans="2:18" x14ac:dyDescent="0.25">
      <c r="K209" s="186"/>
      <c r="Q209" s="181"/>
      <c r="R209" s="173"/>
    </row>
    <row r="210" spans="2:18" x14ac:dyDescent="0.25">
      <c r="K210" s="206"/>
      <c r="R210" s="173"/>
    </row>
    <row r="211" spans="2:18" x14ac:dyDescent="0.25">
      <c r="K211" s="182"/>
      <c r="L211" s="183"/>
      <c r="M211" s="182"/>
      <c r="N211" s="182"/>
      <c r="O211" s="182"/>
      <c r="P211" s="183"/>
      <c r="Q211" s="184"/>
      <c r="R211" s="173"/>
    </row>
    <row r="212" spans="2:18" x14ac:dyDescent="0.25">
      <c r="B212" s="181"/>
      <c r="C212" s="181"/>
      <c r="D212" s="181"/>
      <c r="E212" s="181"/>
      <c r="K212" s="182"/>
      <c r="L212" s="183"/>
      <c r="M212" s="182"/>
      <c r="N212" s="182"/>
      <c r="O212" s="182"/>
      <c r="P212" s="183"/>
      <c r="R212" s="173"/>
    </row>
    <row r="213" spans="2:18" x14ac:dyDescent="0.25">
      <c r="B213" s="181"/>
      <c r="C213" s="181"/>
      <c r="D213" s="181"/>
      <c r="E213" s="181"/>
      <c r="K213" s="182"/>
      <c r="L213" s="183"/>
      <c r="M213" s="182"/>
      <c r="N213" s="182"/>
      <c r="O213" s="182"/>
      <c r="P213" s="183"/>
      <c r="Q213" s="181"/>
    </row>
    <row r="214" spans="2:18" x14ac:dyDescent="0.25">
      <c r="K214" s="182"/>
      <c r="L214" s="183"/>
      <c r="M214" s="182"/>
      <c r="N214" s="182"/>
      <c r="O214" s="182"/>
      <c r="P214" s="183"/>
      <c r="Q214" s="181"/>
    </row>
    <row r="215" spans="2:18" x14ac:dyDescent="0.25">
      <c r="R215" s="180"/>
    </row>
    <row r="216" spans="2:18" x14ac:dyDescent="0.25">
      <c r="R216" s="181"/>
    </row>
    <row r="217" spans="2:18" x14ac:dyDescent="0.25">
      <c r="R217" s="181"/>
    </row>
    <row r="218" spans="2:18" x14ac:dyDescent="0.25">
      <c r="F218" s="178"/>
      <c r="G218" s="178"/>
      <c r="I218" s="178"/>
      <c r="J218" s="178"/>
      <c r="K218" s="178"/>
      <c r="M218" s="178"/>
      <c r="N218" s="178"/>
      <c r="O218" s="178"/>
      <c r="R218" s="181"/>
    </row>
  </sheetData>
  <pageMargins left="0.38" right="0.75" top="0.73" bottom="0.74" header="0.5" footer="0.5"/>
  <pageSetup scale="17" orientation="landscape" verticalDpi="300"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6"/>
    <pageSetUpPr fitToPage="1"/>
  </sheetPr>
  <dimension ref="A1:Q72"/>
  <sheetViews>
    <sheetView zoomScaleNormal="100" workbookViewId="0">
      <pane xSplit="1" ySplit="3" topLeftCell="G4" activePane="bottomRight" state="frozen"/>
      <selection pane="topRight" activeCell="B1" sqref="B1"/>
      <selection pane="bottomLeft" activeCell="A4" sqref="A4"/>
      <selection pane="bottomRight" activeCell="M13" sqref="M13"/>
    </sheetView>
  </sheetViews>
  <sheetFormatPr defaultColWidth="9.1796875" defaultRowHeight="12.5" x14ac:dyDescent="0.25"/>
  <cols>
    <col min="1" max="1" width="32.54296875" style="63" customWidth="1"/>
    <col min="2" max="7" width="14" style="45" bestFit="1" customWidth="1"/>
    <col min="8" max="12" width="14" style="45" customWidth="1"/>
    <col min="13" max="13" width="13.81640625" style="45" bestFit="1" customWidth="1"/>
    <col min="14" max="14" width="13.453125" style="33" bestFit="1" customWidth="1"/>
    <col min="15" max="15" width="11.54296875" style="143" bestFit="1" customWidth="1"/>
    <col min="16" max="17" width="11.54296875" style="63" bestFit="1" customWidth="1"/>
    <col min="18" max="16384" width="9.1796875" style="63"/>
  </cols>
  <sheetData>
    <row r="1" spans="1:17" ht="46.5" x14ac:dyDescent="0.35">
      <c r="A1" s="91" t="s">
        <v>146</v>
      </c>
    </row>
    <row r="2" spans="1:17" x14ac:dyDescent="0.25">
      <c r="B2" s="199">
        <v>2010</v>
      </c>
      <c r="C2" s="199">
        <v>2011</v>
      </c>
      <c r="D2" s="199">
        <v>2012</v>
      </c>
      <c r="E2" s="199">
        <v>2013</v>
      </c>
      <c r="F2" s="199">
        <v>2014</v>
      </c>
      <c r="G2" s="199">
        <v>2015</v>
      </c>
      <c r="H2" s="199">
        <v>2016</v>
      </c>
      <c r="I2" s="199">
        <v>2017</v>
      </c>
      <c r="J2" s="199">
        <v>2018</v>
      </c>
      <c r="K2" s="199">
        <v>2019</v>
      </c>
      <c r="L2" s="199">
        <v>2020</v>
      </c>
      <c r="M2" s="199">
        <v>2021</v>
      </c>
      <c r="N2" s="199">
        <v>2022</v>
      </c>
    </row>
    <row r="3" spans="1:17" ht="39" x14ac:dyDescent="0.3">
      <c r="B3" s="153" t="s">
        <v>64</v>
      </c>
      <c r="C3" s="153" t="s">
        <v>66</v>
      </c>
      <c r="D3" s="153" t="s">
        <v>70</v>
      </c>
      <c r="E3" s="153" t="s">
        <v>69</v>
      </c>
      <c r="F3" s="153" t="s">
        <v>68</v>
      </c>
      <c r="G3" s="153" t="s">
        <v>67</v>
      </c>
      <c r="H3" s="153" t="s">
        <v>138</v>
      </c>
      <c r="I3" s="153" t="s">
        <v>139</v>
      </c>
      <c r="J3" s="153" t="s">
        <v>140</v>
      </c>
      <c r="K3" s="153" t="s">
        <v>141</v>
      </c>
      <c r="L3" s="153" t="s">
        <v>143</v>
      </c>
      <c r="M3" s="129" t="s">
        <v>142</v>
      </c>
      <c r="N3" s="127" t="s">
        <v>144</v>
      </c>
      <c r="O3" s="160"/>
    </row>
    <row r="4" spans="1:17" ht="13" x14ac:dyDescent="0.3">
      <c r="A4" s="92" t="s">
        <v>50</v>
      </c>
      <c r="B4" s="46">
        <f>GETPIVOTDATA("Sum of Purchased2",'Purch. Power Model '!$D$5,"Year",B2)</f>
        <v>950759112.65007687</v>
      </c>
      <c r="C4" s="46">
        <f>GETPIVOTDATA("Sum of Purchased2",'Purch. Power Model '!$D$5,"Year",C2)</f>
        <v>944902732.12384617</v>
      </c>
      <c r="D4" s="46">
        <f>GETPIVOTDATA("Sum of Purchased2",'Purch. Power Model '!$D$5,"Year",D2)</f>
        <v>964379230.70517492</v>
      </c>
      <c r="E4" s="46">
        <f>GETPIVOTDATA("Sum of Purchased2",'Purch. Power Model '!$D$5,"Year",E2)</f>
        <v>961335479.00000012</v>
      </c>
      <c r="F4" s="46">
        <f>GETPIVOTDATA("Sum of Purchased2",'Purch. Power Model '!$D$5,"Year",F2)</f>
        <v>913546785.3566668</v>
      </c>
      <c r="G4" s="46">
        <f>GETPIVOTDATA("Sum of Purchased2",'Purch. Power Model '!$D$5,"Year",G2)</f>
        <v>920489866.98307681</v>
      </c>
      <c r="H4" s="46">
        <f>GETPIVOTDATA("Sum of Purchased2",'Purch. Power Model '!$D$5,"Year",H2)</f>
        <v>928717584.78461564</v>
      </c>
      <c r="I4" s="46">
        <f>GETPIVOTDATA("Sum of Purchased2",'Purch. Power Model '!$D$5,"Year",I2)</f>
        <v>914942349.02142859</v>
      </c>
      <c r="J4" s="46">
        <f>GETPIVOTDATA("Sum of Purchased2",'Purch. Power Model '!$D$5,"Year",J2)</f>
        <v>965883912.18000007</v>
      </c>
      <c r="K4" s="46">
        <f>GETPIVOTDATA("Sum of Purchased2",'Purch. Power Model '!$D$5,"Year",K2)</f>
        <v>959330220.76954007</v>
      </c>
      <c r="L4" s="46">
        <f>GETPIVOTDATA("Sum of Purchased2",'Purch. Power Model '!$D$5,"Year",L2)</f>
        <v>961031702.85464001</v>
      </c>
      <c r="M4" s="131"/>
      <c r="N4" s="132"/>
    </row>
    <row r="5" spans="1:17" ht="13" x14ac:dyDescent="0.3">
      <c r="A5" s="92" t="s">
        <v>51</v>
      </c>
      <c r="B5" s="46">
        <f>GETPIVOTDATA("Sum of Predicted Purchases ",'Purch. Power Model '!$D$5,"Year",B2)</f>
        <v>968048822.27663279</v>
      </c>
      <c r="C5" s="46">
        <f>GETPIVOTDATA("Sum of Predicted Purchases ",'Purch. Power Model '!$D$5,"Year",C2)</f>
        <v>990395154.85368085</v>
      </c>
      <c r="D5" s="46">
        <f>GETPIVOTDATA("Sum of Predicted Purchases ",'Purch. Power Model '!$D$5,"Year",D2)</f>
        <v>1003267833.2412736</v>
      </c>
      <c r="E5" s="46">
        <f>GETPIVOTDATA("Sum of Predicted Purchases ",'Purch. Power Model '!$D$5,"Year",E2)</f>
        <v>1000566661.5107036</v>
      </c>
      <c r="F5" s="46">
        <f>GETPIVOTDATA("Sum of Predicted Purchases ",'Purch. Power Model '!$D$5,"Year",F2)</f>
        <v>1013105863.0459676</v>
      </c>
      <c r="G5" s="46">
        <f>GETPIVOTDATA("Sum of Predicted Purchases ",'Purch. Power Model '!$D$5,"Year",G2)</f>
        <v>1042029395.4364306</v>
      </c>
      <c r="H5" s="46">
        <f>GETPIVOTDATA("Sum of Predicted Purchases ",'Purch. Power Model '!$D$5,"Year",H2)</f>
        <v>1090508302.0251603</v>
      </c>
      <c r="I5" s="46">
        <f>GETPIVOTDATA("Sum of Predicted Purchases ",'Purch. Power Model '!$D$5,"Year",I2)</f>
        <v>1090489530.085856</v>
      </c>
      <c r="J5" s="46">
        <f>GETPIVOTDATA("Sum of Predicted Purchases ",'Purch. Power Model '!$D$5,"Year",J2)</f>
        <v>1149307508.3487101</v>
      </c>
      <c r="K5" s="46">
        <f>GETPIVOTDATA("Sum of Predicted Purchases ",'Purch. Power Model '!$D$5,"Year",K2)</f>
        <v>1154083080.0283906</v>
      </c>
      <c r="L5" s="46">
        <f>GETPIVOTDATA("Sum of Predicted Purchases ",'Purch. Power Model '!$D$5,"Year",L2)</f>
        <v>1143729833.7007113</v>
      </c>
      <c r="M5" s="133">
        <f>GETPIVOTDATA("Sum of Predicted Purchases ",'Purch. Power Model '!$D$5,"Year",M2)</f>
        <v>1127288947.2762072</v>
      </c>
      <c r="N5" s="132">
        <f>GETPIVOTDATA("Sum of Predicted Purchases ",'Purch. Power Model '!$D$5,"Year",N2)</f>
        <v>1173345735.5122623</v>
      </c>
    </row>
    <row r="6" spans="1:17" ht="13" x14ac:dyDescent="0.3">
      <c r="A6" s="92" t="s">
        <v>8</v>
      </c>
      <c r="B6" s="154">
        <f t="shared" ref="B6:L6" si="0">(B5-B4)/B4</f>
        <v>1.8185163199081877E-2</v>
      </c>
      <c r="C6" s="154">
        <f t="shared" si="0"/>
        <v>4.8145085396866107E-2</v>
      </c>
      <c r="D6" s="154">
        <f t="shared" si="0"/>
        <v>4.0325010429416372E-2</v>
      </c>
      <c r="E6" s="154">
        <f t="shared" si="0"/>
        <v>4.0809044675551229E-2</v>
      </c>
      <c r="F6" s="154">
        <f t="shared" si="0"/>
        <v>0.10898081990451199</v>
      </c>
      <c r="G6" s="154">
        <f t="shared" si="0"/>
        <v>0.13203787767018219</v>
      </c>
      <c r="H6" s="154">
        <f t="shared" si="0"/>
        <v>0.17420873674752968</v>
      </c>
      <c r="I6" s="154">
        <f t="shared" si="0"/>
        <v>0.19186693156370221</v>
      </c>
      <c r="J6" s="154">
        <f t="shared" si="0"/>
        <v>0.1899023204090054</v>
      </c>
      <c r="K6" s="154">
        <f t="shared" si="0"/>
        <v>0.2030091985454465</v>
      </c>
      <c r="L6" s="154">
        <f t="shared" si="0"/>
        <v>0.19010624759140238</v>
      </c>
      <c r="M6" s="133"/>
      <c r="N6" s="134"/>
      <c r="O6" s="144"/>
      <c r="P6" s="94"/>
      <c r="Q6" s="94"/>
    </row>
    <row r="7" spans="1:17" ht="13" x14ac:dyDescent="0.3">
      <c r="A7" s="92"/>
      <c r="M7" s="131"/>
      <c r="N7" s="132"/>
    </row>
    <row r="8" spans="1:17" ht="13" x14ac:dyDescent="0.3">
      <c r="A8" s="92" t="s">
        <v>53</v>
      </c>
      <c r="B8" s="155">
        <f>'Rate Class Energy Model'!$G7</f>
        <v>917169662</v>
      </c>
      <c r="C8" s="155">
        <f>'Rate Class Energy Model'!$G8</f>
        <v>919260512</v>
      </c>
      <c r="D8" s="155">
        <f>'Rate Class Energy Model'!$G9</f>
        <v>936319334</v>
      </c>
      <c r="E8" s="155">
        <f>'Rate Class Energy Model'!$G10</f>
        <v>926349236</v>
      </c>
      <c r="F8" s="155">
        <f>'Rate Class Energy Model'!$G11</f>
        <v>889619639</v>
      </c>
      <c r="G8" s="155">
        <f>'Rate Class Energy Model'!$G12</f>
        <v>904891892</v>
      </c>
      <c r="H8" s="155">
        <f>'Rate Class Energy Model'!G13</f>
        <v>909331461</v>
      </c>
      <c r="I8" s="155">
        <f>'Rate Class Energy Model'!G14</f>
        <v>892260753</v>
      </c>
      <c r="J8" s="155">
        <f>'Rate Class Energy Model'!G15</f>
        <v>934510743</v>
      </c>
      <c r="K8" s="155">
        <f>'Rate Class Energy Model'!G16</f>
        <v>932356870.25999999</v>
      </c>
      <c r="L8" s="155">
        <f>'Rate Class Energy Model'!G17</f>
        <v>933148229.9000001</v>
      </c>
      <c r="M8" s="135">
        <f>'Rate Class Energy Model'!G84</f>
        <v>1096703373.4817805</v>
      </c>
      <c r="N8" s="136">
        <f>'Rate Class Energy Model'!G85</f>
        <v>1141510550.1619592</v>
      </c>
      <c r="O8" s="164"/>
      <c r="Q8" s="102"/>
    </row>
    <row r="9" spans="1:17" ht="25.5" x14ac:dyDescent="0.3">
      <c r="A9" s="92"/>
      <c r="H9" s="103"/>
      <c r="I9" s="103"/>
      <c r="J9" s="103"/>
      <c r="K9" s="103"/>
      <c r="L9" s="103" t="s">
        <v>148</v>
      </c>
      <c r="M9" s="140">
        <f>M8/K8-1</f>
        <v>0.17626995463223261</v>
      </c>
      <c r="N9" s="141">
        <f>N8/K8-1</f>
        <v>0.22432792268011492</v>
      </c>
      <c r="O9" s="164"/>
    </row>
    <row r="10" spans="1:17" ht="15.5" x14ac:dyDescent="0.35">
      <c r="A10" s="91" t="s">
        <v>52</v>
      </c>
      <c r="M10" s="131"/>
      <c r="N10" s="132"/>
    </row>
    <row r="11" spans="1:17" ht="13" x14ac:dyDescent="0.3">
      <c r="A11" s="95" t="str">
        <f>'Rate Class Energy Model'!H2</f>
        <v>Residential</v>
      </c>
      <c r="M11" s="131"/>
      <c r="N11" s="132"/>
    </row>
    <row r="12" spans="1:17" x14ac:dyDescent="0.25">
      <c r="A12" s="63" t="s">
        <v>45</v>
      </c>
      <c r="B12" s="46">
        <f>'Rate Class Customer Model'!$B$7</f>
        <v>34256</v>
      </c>
      <c r="C12" s="46">
        <f>'Rate Class Customer Model'!$B$8</f>
        <v>34643</v>
      </c>
      <c r="D12" s="46">
        <f>'Rate Class Customer Model'!$B$9</f>
        <v>34938</v>
      </c>
      <c r="E12" s="46">
        <f>'Rate Class Customer Model'!$B$10</f>
        <v>35225.5</v>
      </c>
      <c r="F12" s="46">
        <f>'Rate Class Customer Model'!$B$11</f>
        <v>35479</v>
      </c>
      <c r="G12" s="46">
        <f>'Rate Class Customer Model'!$B$12</f>
        <v>35743.5</v>
      </c>
      <c r="H12" s="46">
        <f>'Rate Class Customer Model'!B13</f>
        <v>36042.75</v>
      </c>
      <c r="I12" s="46">
        <f>'Rate Class Customer Model'!B14</f>
        <v>36240.75</v>
      </c>
      <c r="J12" s="46">
        <f>'Rate Class Customer Model'!B15</f>
        <v>36520.5</v>
      </c>
      <c r="K12" s="46">
        <f>'Rate Class Customer Model'!B16</f>
        <v>36732.5</v>
      </c>
      <c r="L12" s="46">
        <f>'Rate Class Customer Model'!B17</f>
        <v>37076.5</v>
      </c>
      <c r="M12" s="131">
        <f>'Rate Class Customer Model'!$B$18</f>
        <v>37371.01885563018</v>
      </c>
      <c r="N12" s="132">
        <f>'Rate Class Customer Model'!$B$19</f>
        <v>37667.87723511838</v>
      </c>
      <c r="P12" s="102"/>
    </row>
    <row r="13" spans="1:17" x14ac:dyDescent="0.25">
      <c r="A13" s="63" t="s">
        <v>46</v>
      </c>
      <c r="B13" s="46">
        <f>'Rate Class Energy Model'!$H$7</f>
        <v>287357342</v>
      </c>
      <c r="C13" s="46">
        <f>'Rate Class Energy Model'!$H$8</f>
        <v>291380972</v>
      </c>
      <c r="D13" s="46">
        <f>'Rate Class Energy Model'!$H$9</f>
        <v>287058174</v>
      </c>
      <c r="E13" s="46">
        <f>'Rate Class Energy Model'!$H$10</f>
        <v>282501947</v>
      </c>
      <c r="F13" s="46">
        <f>'Rate Class Energy Model'!$H$11</f>
        <v>282925750</v>
      </c>
      <c r="G13" s="125">
        <f>'Rate Class Energy Model'!$H$12</f>
        <v>287594336</v>
      </c>
      <c r="H13" s="125">
        <f>'Rate Class Energy Model'!H13</f>
        <v>291787861</v>
      </c>
      <c r="I13" s="125">
        <f>'Rate Class Energy Model'!H14</f>
        <v>273448641</v>
      </c>
      <c r="J13" s="125">
        <f>'Rate Class Energy Model'!H15</f>
        <v>301310523</v>
      </c>
      <c r="K13" s="125">
        <f>'Rate Class Energy Model'!H16</f>
        <v>292180864.93883711</v>
      </c>
      <c r="L13" s="125">
        <f>'Rate Class Energy Model'!H17</f>
        <v>315774546.06238711</v>
      </c>
      <c r="M13" s="131">
        <f>'Rate Class Energy Model'!$H$84</f>
        <v>395695313.99711823</v>
      </c>
      <c r="N13" s="132">
        <f>'Rate Class Energy Model'!$H$85</f>
        <v>419723348.40087187</v>
      </c>
      <c r="P13" s="102"/>
    </row>
    <row r="14" spans="1:17" ht="13" x14ac:dyDescent="0.3">
      <c r="D14" s="93"/>
      <c r="M14" s="131"/>
      <c r="N14" s="134"/>
    </row>
    <row r="15" spans="1:17" ht="13" x14ac:dyDescent="0.3">
      <c r="A15" s="95" t="str">
        <f>'Rate Class Energy Model'!I2</f>
        <v>GS&lt;50</v>
      </c>
      <c r="M15" s="131"/>
      <c r="N15" s="132"/>
    </row>
    <row r="16" spans="1:17" x14ac:dyDescent="0.25">
      <c r="A16" s="63" t="s">
        <v>45</v>
      </c>
      <c r="B16" s="46">
        <f>'Rate Class Customer Model'!$C$7</f>
        <v>2687.5</v>
      </c>
      <c r="C16" s="46">
        <f>'Rate Class Customer Model'!$C$8</f>
        <v>2709</v>
      </c>
      <c r="D16" s="46">
        <f>'Rate Class Customer Model'!$C$9</f>
        <v>2728</v>
      </c>
      <c r="E16" s="46">
        <f>'Rate Class Customer Model'!$C$10</f>
        <v>2748.5</v>
      </c>
      <c r="F16" s="46">
        <f>'Rate Class Customer Model'!$C$11</f>
        <v>2771.5</v>
      </c>
      <c r="G16" s="46">
        <f>'Rate Class Customer Model'!$C$12</f>
        <v>2784</v>
      </c>
      <c r="H16" s="46">
        <f>'Rate Class Customer Model'!C13</f>
        <v>2792.25</v>
      </c>
      <c r="I16" s="46">
        <f>'Rate Class Customer Model'!C14</f>
        <v>2797.75</v>
      </c>
      <c r="J16" s="46">
        <f>'Rate Class Customer Model'!C15</f>
        <v>2804</v>
      </c>
      <c r="K16" s="46">
        <f>'Rate Class Customer Model'!C16</f>
        <v>2834</v>
      </c>
      <c r="L16" s="46">
        <f>'Rate Class Customer Model'!C17</f>
        <v>2930.25</v>
      </c>
      <c r="M16" s="131">
        <f>'Rate Class Customer Model'!$C$18</f>
        <v>2955.6996133950884</v>
      </c>
      <c r="N16" s="132">
        <f>'Rate Class Customer Model'!$C$19</f>
        <v>2981.3702600883457</v>
      </c>
    </row>
    <row r="17" spans="1:17" x14ac:dyDescent="0.25">
      <c r="A17" s="63" t="s">
        <v>46</v>
      </c>
      <c r="B17" s="46">
        <f>'Rate Class Energy Model'!$I$7</f>
        <v>98691975</v>
      </c>
      <c r="C17" s="46">
        <f>'Rate Class Energy Model'!$I$8</f>
        <v>99001655</v>
      </c>
      <c r="D17" s="46">
        <f>'Rate Class Energy Model'!$I$9</f>
        <v>100340238</v>
      </c>
      <c r="E17" s="46">
        <f>'Rate Class Energy Model'!$I$10</f>
        <v>99838335</v>
      </c>
      <c r="F17" s="46">
        <f>'Rate Class Energy Model'!$I$11</f>
        <v>99356580</v>
      </c>
      <c r="G17" s="125">
        <f>'Rate Class Energy Model'!$I$12</f>
        <v>100078635</v>
      </c>
      <c r="H17" s="125">
        <f>'Rate Class Energy Model'!I13</f>
        <v>99573959</v>
      </c>
      <c r="I17" s="125">
        <f>'Rate Class Energy Model'!I14</f>
        <v>96495542</v>
      </c>
      <c r="J17" s="125">
        <f>'Rate Class Energy Model'!I15</f>
        <v>94728588</v>
      </c>
      <c r="K17" s="125">
        <f>'Rate Class Energy Model'!I16</f>
        <v>93124427.492277056</v>
      </c>
      <c r="L17" s="125">
        <f>'Rate Class Energy Model'!I17</f>
        <v>87228067.152691096</v>
      </c>
      <c r="M17" s="131">
        <f>'Rate Class Energy Model'!$I$84</f>
        <v>106772111.21142548</v>
      </c>
      <c r="N17" s="132">
        <f>'Rate Class Energy Model'!$I$85</f>
        <v>110631256.51702179</v>
      </c>
    </row>
    <row r="18" spans="1:17" ht="13" x14ac:dyDescent="0.3">
      <c r="D18" s="93"/>
      <c r="M18" s="131"/>
      <c r="N18" s="134"/>
    </row>
    <row r="19" spans="1:17" ht="13" x14ac:dyDescent="0.3">
      <c r="A19" s="95" t="str">
        <f>'Rate Class Energy Model'!J2</f>
        <v>GS&gt;50 (excl. WMP)</v>
      </c>
      <c r="M19" s="131"/>
      <c r="N19" s="132"/>
    </row>
    <row r="20" spans="1:17" x14ac:dyDescent="0.25">
      <c r="A20" s="63" t="s">
        <v>45</v>
      </c>
      <c r="B20" s="46">
        <f>'Rate Class Customer Model'!$D$7</f>
        <v>417</v>
      </c>
      <c r="C20" s="46">
        <f>'Rate Class Customer Model'!$D$8</f>
        <v>421</v>
      </c>
      <c r="D20" s="46">
        <f>'Rate Class Customer Model'!$D$9</f>
        <v>419</v>
      </c>
      <c r="E20" s="46">
        <f>'Rate Class Customer Model'!$D$10</f>
        <v>423.5</v>
      </c>
      <c r="F20" s="46">
        <f>'Rate Class Customer Model'!$D$11</f>
        <v>432</v>
      </c>
      <c r="G20" s="46">
        <f>'Rate Class Customer Model'!$D$12</f>
        <v>437.5</v>
      </c>
      <c r="H20" s="46">
        <f>'Rate Class Customer Model'!D13</f>
        <v>452</v>
      </c>
      <c r="I20" s="46">
        <f>'Rate Class Customer Model'!D14</f>
        <v>456.75</v>
      </c>
      <c r="J20" s="46">
        <f>'Rate Class Customer Model'!D15</f>
        <v>483.25</v>
      </c>
      <c r="K20" s="46">
        <f>'Rate Class Customer Model'!D16</f>
        <v>488.75</v>
      </c>
      <c r="L20" s="46">
        <f>'Rate Class Customer Model'!D17</f>
        <v>490.66666666666669</v>
      </c>
      <c r="M20" s="131">
        <f>'Rate Class Customer Model'!$D$18</f>
        <v>498.71405204334792</v>
      </c>
      <c r="N20" s="132">
        <f>'Rate Class Customer Model'!$D$19</f>
        <v>506.89342195413406</v>
      </c>
    </row>
    <row r="21" spans="1:17" x14ac:dyDescent="0.25">
      <c r="A21" s="63" t="s">
        <v>46</v>
      </c>
      <c r="B21" s="46">
        <f>'Rate Class Energy Model'!$J$7</f>
        <v>521725747</v>
      </c>
      <c r="C21" s="46">
        <f>'Rate Class Energy Model'!$J$8</f>
        <v>519515098</v>
      </c>
      <c r="D21" s="46">
        <f>'Rate Class Energy Model'!$J$9</f>
        <v>539521215</v>
      </c>
      <c r="E21" s="46">
        <f>'Rate Class Energy Model'!$J$10</f>
        <v>534621114</v>
      </c>
      <c r="F21" s="46">
        <f>'Rate Class Energy Model'!$J$11</f>
        <v>497985709</v>
      </c>
      <c r="G21" s="125">
        <f>'Rate Class Energy Model'!$J$12</f>
        <v>507886846</v>
      </c>
      <c r="H21" s="125">
        <f>'Rate Class Energy Model'!J13</f>
        <v>508774431</v>
      </c>
      <c r="I21" s="125">
        <f>'Rate Class Energy Model'!J14</f>
        <v>513281236</v>
      </c>
      <c r="J21" s="125">
        <f>'Rate Class Energy Model'!J15</f>
        <v>529592600</v>
      </c>
      <c r="K21" s="125">
        <f>'Rate Class Energy Model'!J16</f>
        <v>538150482.33084905</v>
      </c>
      <c r="L21" s="125">
        <f>'Rate Class Energy Model'!J17</f>
        <v>521485545.00903696</v>
      </c>
      <c r="M21" s="131">
        <f>'Rate Class Energy Model'!$J$84</f>
        <v>585201755.3398248</v>
      </c>
      <c r="N21" s="132">
        <f>'Rate Class Energy Model'!$J$85</f>
        <v>601723553.9252423</v>
      </c>
    </row>
    <row r="22" spans="1:17" x14ac:dyDescent="0.25">
      <c r="A22" s="63" t="s">
        <v>47</v>
      </c>
      <c r="B22" s="156">
        <f>'Rate Class Load Model'!$B$6</f>
        <v>1323482.2400000002</v>
      </c>
      <c r="C22" s="156">
        <f>'Rate Class Load Model'!$B$7</f>
        <v>1344251</v>
      </c>
      <c r="D22" s="156">
        <f>'Rate Class Load Model'!$B$8</f>
        <v>1398783.62</v>
      </c>
      <c r="E22" s="156">
        <f>'Rate Class Load Model'!$B$9</f>
        <v>1395148.24</v>
      </c>
      <c r="F22" s="156">
        <f>'Rate Class Load Model'!$B$10</f>
        <v>1368652.3</v>
      </c>
      <c r="G22" s="156">
        <f>'Rate Class Load Model'!$B$11</f>
        <v>1388241.3</v>
      </c>
      <c r="H22" s="156">
        <f>'Rate Class Load Model'!$B$12</f>
        <v>1378958.28</v>
      </c>
      <c r="I22" s="156">
        <f>'Rate Class Load Model'!$B$13</f>
        <v>1400391</v>
      </c>
      <c r="J22" s="156">
        <f>'Rate Class Load Model'!$B$14</f>
        <v>1435245</v>
      </c>
      <c r="K22" s="156">
        <f>'Rate Class Load Model'!$B$15</f>
        <v>1450909.33</v>
      </c>
      <c r="L22" s="156">
        <f>'Rate Class Load Model'!$B$16</f>
        <v>1428136.72</v>
      </c>
      <c r="M22" s="137">
        <f>'Rate Class Load Model'!$B$17</f>
        <v>1571556.3222927533</v>
      </c>
      <c r="N22" s="138">
        <f>'Rate Class Load Model'!$B$18</f>
        <v>1615925.5279310422</v>
      </c>
    </row>
    <row r="23" spans="1:17" ht="13" x14ac:dyDescent="0.3">
      <c r="D23" s="93"/>
      <c r="M23" s="131"/>
      <c r="N23" s="134"/>
      <c r="Q23" s="102"/>
    </row>
    <row r="24" spans="1:17" ht="13" x14ac:dyDescent="0.3">
      <c r="A24" s="95" t="s">
        <v>124</v>
      </c>
      <c r="M24" s="131"/>
      <c r="N24" s="132"/>
    </row>
    <row r="25" spans="1:17" x14ac:dyDescent="0.25">
      <c r="A25" s="63" t="s">
        <v>45</v>
      </c>
      <c r="B25" s="157">
        <v>3</v>
      </c>
      <c r="C25" s="157">
        <v>3</v>
      </c>
      <c r="D25" s="157">
        <v>3</v>
      </c>
      <c r="E25" s="157">
        <v>3</v>
      </c>
      <c r="F25" s="157">
        <v>3</v>
      </c>
      <c r="G25" s="157">
        <v>3</v>
      </c>
      <c r="H25" s="157">
        <v>2</v>
      </c>
      <c r="I25" s="157">
        <v>2</v>
      </c>
      <c r="J25" s="157">
        <v>2</v>
      </c>
      <c r="K25" s="157">
        <v>2</v>
      </c>
      <c r="L25" s="157">
        <v>2</v>
      </c>
      <c r="M25" s="137">
        <f>'Embedded Distributor Forecast'!C19</f>
        <v>2</v>
      </c>
      <c r="N25" s="138">
        <f>'Embedded Distributor Forecast'!C20</f>
        <v>2</v>
      </c>
      <c r="P25" s="102"/>
    </row>
    <row r="26" spans="1:17" x14ac:dyDescent="0.25">
      <c r="A26" s="63" t="s">
        <v>46</v>
      </c>
      <c r="B26" s="46">
        <f>'Embedded Distributor Forecast'!E13</f>
        <v>0</v>
      </c>
      <c r="C26" s="46">
        <f>'Embedded Distributor Forecast'!E14</f>
        <v>0</v>
      </c>
      <c r="D26" s="46">
        <f>'Embedded Distributor Forecast'!E15</f>
        <v>0</v>
      </c>
      <c r="E26" s="46">
        <f>'Embedded Distributor Forecast'!E16</f>
        <v>0</v>
      </c>
      <c r="F26" s="46">
        <f>'Embedded Distributor Forecast'!E17</f>
        <v>0</v>
      </c>
      <c r="G26" s="46">
        <f>'Embedded Distributor Forecast'!E18</f>
        <v>0</v>
      </c>
      <c r="H26" s="46">
        <f>'Embedded Distributor Forecast'!E19</f>
        <v>65359955</v>
      </c>
      <c r="I26" s="46">
        <f>'Embedded Distributor Forecast'!E20</f>
        <v>43309246</v>
      </c>
      <c r="J26" s="46">
        <f>'Embedded Distributor Forecast'!E21</f>
        <v>41227723</v>
      </c>
      <c r="K26" s="46">
        <f>'Embedded Distributor Forecast'!E22</f>
        <v>41261684.090000004</v>
      </c>
      <c r="L26" s="46">
        <f>'Embedded Distributor Forecast'!E23</f>
        <v>43029561.790000007</v>
      </c>
      <c r="M26" s="131">
        <f>'Embedded Distributor Forecast'!E24</f>
        <v>43459857.407900006</v>
      </c>
      <c r="N26" s="132">
        <f>'Embedded Distributor Forecast'!E25</f>
        <v>43894455.981979005</v>
      </c>
      <c r="P26" s="102"/>
    </row>
    <row r="27" spans="1:17" x14ac:dyDescent="0.25">
      <c r="A27" s="63" t="s">
        <v>47</v>
      </c>
      <c r="B27" s="46">
        <f>'Embedded Distributor Forecast'!B13</f>
        <v>158115.16</v>
      </c>
      <c r="C27" s="46">
        <f>'Embedded Distributor Forecast'!B14</f>
        <v>156839.26</v>
      </c>
      <c r="D27" s="46">
        <f>'Embedded Distributor Forecast'!B15</f>
        <v>153310.46</v>
      </c>
      <c r="E27" s="46">
        <f>'Embedded Distributor Forecast'!B16</f>
        <v>159285.71000000002</v>
      </c>
      <c r="F27" s="46">
        <f>'Embedded Distributor Forecast'!B17</f>
        <v>164324.43999999997</v>
      </c>
      <c r="G27" s="46">
        <f>'Embedded Distributor Forecast'!$B$18</f>
        <v>142203.42000000001</v>
      </c>
      <c r="H27" s="46">
        <f>'Embedded Distributor Forecast'!$B$19</f>
        <v>136187.20000000001</v>
      </c>
      <c r="I27" s="46">
        <f>'Embedded Distributor Forecast'!$B$20</f>
        <v>107291</v>
      </c>
      <c r="J27" s="46">
        <f>'Embedded Distributor Forecast'!$B$21</f>
        <v>95218.6</v>
      </c>
      <c r="K27" s="46">
        <f>'Embedded Distributor Forecast'!$B$22</f>
        <v>97683.05</v>
      </c>
      <c r="L27" s="46">
        <f>'Embedded Distributor Forecast'!$B$23</f>
        <v>100586.92000000001</v>
      </c>
      <c r="M27" s="131">
        <f>'Embedded Distributor Forecast'!B24</f>
        <v>101592.78920000001</v>
      </c>
      <c r="N27" s="132">
        <f>'Embedded Distributor Forecast'!B25</f>
        <v>102608.71709200002</v>
      </c>
      <c r="P27" s="102"/>
    </row>
    <row r="28" spans="1:17" ht="13" x14ac:dyDescent="0.3">
      <c r="D28" s="93"/>
      <c r="M28" s="131"/>
      <c r="N28" s="134"/>
    </row>
    <row r="29" spans="1:17" ht="13" x14ac:dyDescent="0.3">
      <c r="A29" s="95" t="str">
        <f>'Rate Class Energy Model'!K2</f>
        <v>Sentinels</v>
      </c>
      <c r="M29" s="131"/>
      <c r="N29" s="132"/>
    </row>
    <row r="30" spans="1:17" x14ac:dyDescent="0.25">
      <c r="A30" s="63" t="s">
        <v>60</v>
      </c>
      <c r="B30" s="46">
        <f>'Rate Class Customer Model'!$E$7</f>
        <v>602.5</v>
      </c>
      <c r="C30" s="46">
        <f>'Rate Class Customer Model'!$E$8</f>
        <v>620.5</v>
      </c>
      <c r="D30" s="46">
        <f>'Rate Class Customer Model'!$E$9</f>
        <v>625</v>
      </c>
      <c r="E30" s="46">
        <f>'Rate Class Customer Model'!$E$10</f>
        <v>624.5</v>
      </c>
      <c r="F30" s="46">
        <f>'Rate Class Customer Model'!$E$11</f>
        <v>621.5</v>
      </c>
      <c r="G30" s="46">
        <f>'Rate Class Customer Model'!$E$12</f>
        <v>618.5</v>
      </c>
      <c r="H30" s="46">
        <f>'Rate Class Customer Model'!E13</f>
        <v>551.25</v>
      </c>
      <c r="I30" s="46">
        <f>'Rate Class Customer Model'!E14</f>
        <v>511.5</v>
      </c>
      <c r="J30" s="46">
        <f>'Rate Class Customer Model'!E15</f>
        <v>506.5</v>
      </c>
      <c r="K30" s="46">
        <f>'Rate Class Customer Model'!E16</f>
        <v>501.25</v>
      </c>
      <c r="L30" s="46">
        <f>'Rate Class Customer Model'!E17</f>
        <v>494.83333333333331</v>
      </c>
      <c r="M30" s="131">
        <f>'Rate Class Customer Model'!$E$18</f>
        <v>485.18697861143431</v>
      </c>
      <c r="N30" s="132">
        <f>'Rate Class Customer Model'!$E$19</f>
        <v>475.72867136562968</v>
      </c>
    </row>
    <row r="31" spans="1:17" x14ac:dyDescent="0.25">
      <c r="A31" s="63" t="s">
        <v>46</v>
      </c>
      <c r="B31" s="46">
        <f>'Rate Class Energy Model'!$K$7</f>
        <v>480615</v>
      </c>
      <c r="C31" s="46">
        <f>'Rate Class Energy Model'!$K$8</f>
        <v>475427</v>
      </c>
      <c r="D31" s="46">
        <f>'Rate Class Energy Model'!$K$9</f>
        <v>459394</v>
      </c>
      <c r="E31" s="46">
        <f>'Rate Class Energy Model'!$K$10</f>
        <v>448778</v>
      </c>
      <c r="F31" s="46">
        <f>'Rate Class Energy Model'!$K$11</f>
        <v>445147</v>
      </c>
      <c r="G31" s="125">
        <f>'Rate Class Energy Model'!$K$12</f>
        <v>446247</v>
      </c>
      <c r="H31" s="125">
        <f>'Rate Class Energy Model'!K13</f>
        <v>314139</v>
      </c>
      <c r="I31" s="125">
        <f>'Rate Class Energy Model'!K14</f>
        <v>186504</v>
      </c>
      <c r="J31" s="125">
        <f>'Rate Class Energy Model'!K15</f>
        <v>190023</v>
      </c>
      <c r="K31" s="125">
        <f>'Rate Class Energy Model'!K16</f>
        <v>194957.89217390213</v>
      </c>
      <c r="L31" s="125">
        <f>'Rate Class Energy Model'!K17</f>
        <v>187738.7264654169</v>
      </c>
      <c r="M31" s="131">
        <f>'Rate Class Energy Model'!$K$84</f>
        <v>170250.23052332981</v>
      </c>
      <c r="N31" s="132">
        <f>'Rate Class Energy Model'!$K$85</f>
        <v>154390.84699760258</v>
      </c>
    </row>
    <row r="32" spans="1:17" x14ac:dyDescent="0.25">
      <c r="A32" s="63" t="s">
        <v>47</v>
      </c>
      <c r="B32" s="156">
        <f>'Rate Class Load Model'!$C$6</f>
        <v>1534.31</v>
      </c>
      <c r="C32" s="156">
        <f>'Rate Class Load Model'!$C$7</f>
        <v>1487.24</v>
      </c>
      <c r="D32" s="156">
        <f>'Rate Class Load Model'!$C$8</f>
        <v>1392.0700000000002</v>
      </c>
      <c r="E32" s="156">
        <f>'Rate Class Load Model'!$C$9</f>
        <v>1384.9899999999998</v>
      </c>
      <c r="F32" s="156">
        <f>'Rate Class Load Model'!$C$10</f>
        <v>1361</v>
      </c>
      <c r="G32" s="156">
        <f>'Rate Class Load Model'!$C$11</f>
        <v>1363.29</v>
      </c>
      <c r="H32" s="156">
        <f>'Rate Class Load Model'!$C$12</f>
        <v>923</v>
      </c>
      <c r="I32" s="156">
        <f>'Rate Class Load Model'!$C$13</f>
        <v>570</v>
      </c>
      <c r="J32" s="156">
        <f>'Rate Class Load Model'!$C$14</f>
        <v>520</v>
      </c>
      <c r="K32" s="156">
        <f>'Rate Class Load Model'!$C$15</f>
        <v>568</v>
      </c>
      <c r="L32" s="156">
        <f>'Rate Class Load Model'!$C$16</f>
        <v>554.28999999999974</v>
      </c>
      <c r="M32" s="137">
        <f>'Rate Class Load Model'!$C$17</f>
        <v>509.96507329783549</v>
      </c>
      <c r="N32" s="138">
        <f>'Rate Class Load Model'!$C$18</f>
        <v>462.46010571397261</v>
      </c>
      <c r="P32" s="142"/>
    </row>
    <row r="33" spans="1:16" x14ac:dyDescent="0.25">
      <c r="B33" s="46"/>
      <c r="C33" s="46"/>
      <c r="D33" s="46"/>
      <c r="E33" s="46"/>
      <c r="F33" s="46"/>
      <c r="G33" s="46"/>
      <c r="H33" s="46"/>
      <c r="I33" s="46"/>
      <c r="J33" s="46"/>
      <c r="K33" s="46"/>
      <c r="L33" s="46"/>
      <c r="M33" s="131"/>
      <c r="N33" s="132"/>
    </row>
    <row r="34" spans="1:16" ht="13" x14ac:dyDescent="0.3">
      <c r="A34" s="95" t="str">
        <f>'Rate Class Energy Model'!L2</f>
        <v>Streetlights</v>
      </c>
      <c r="M34" s="131"/>
      <c r="N34" s="132"/>
    </row>
    <row r="35" spans="1:16" x14ac:dyDescent="0.25">
      <c r="A35" s="63" t="s">
        <v>60</v>
      </c>
      <c r="B35" s="46">
        <f>'Rate Class Customer Model'!$F$7</f>
        <v>9953</v>
      </c>
      <c r="C35" s="46">
        <f>'Rate Class Customer Model'!$F$8</f>
        <v>9988</v>
      </c>
      <c r="D35" s="46">
        <f>'Rate Class Customer Model'!$F$9</f>
        <v>10134</v>
      </c>
      <c r="E35" s="46">
        <f>'Rate Class Customer Model'!$F$10</f>
        <v>10231.5</v>
      </c>
      <c r="F35" s="46">
        <f>'Rate Class Customer Model'!$F$11</f>
        <v>10392</v>
      </c>
      <c r="G35" s="46">
        <f>'Rate Class Customer Model'!$F$12</f>
        <v>10631.5</v>
      </c>
      <c r="H35" s="46">
        <f>'Rate Class Customer Model'!F13</f>
        <v>10228.5</v>
      </c>
      <c r="I35" s="46">
        <f>'Rate Class Customer Model'!F14</f>
        <v>5769</v>
      </c>
      <c r="J35" s="46">
        <f>'Rate Class Customer Model'!F15</f>
        <v>5771</v>
      </c>
      <c r="K35" s="46">
        <f>'Rate Class Customer Model'!F16</f>
        <v>5771</v>
      </c>
      <c r="L35" s="46">
        <f>'Rate Class Customer Model'!F17</f>
        <v>5771</v>
      </c>
      <c r="M35" s="131">
        <v>5771</v>
      </c>
      <c r="N35" s="167">
        <v>5771</v>
      </c>
      <c r="P35" s="158"/>
    </row>
    <row r="36" spans="1:16" x14ac:dyDescent="0.25">
      <c r="A36" s="63" t="s">
        <v>46</v>
      </c>
      <c r="B36" s="46">
        <f>'Rate Class Energy Model'!$L$7</f>
        <v>7354351</v>
      </c>
      <c r="C36" s="46">
        <f>'Rate Class Energy Model'!$L$8</f>
        <v>7330830</v>
      </c>
      <c r="D36" s="46">
        <f>'Rate Class Energy Model'!$L$9</f>
        <v>7395374</v>
      </c>
      <c r="E36" s="46">
        <f>'Rate Class Energy Model'!$L$10</f>
        <v>7386717</v>
      </c>
      <c r="F36" s="46">
        <f>'Rate Class Energy Model'!$L$11</f>
        <v>7378259</v>
      </c>
      <c r="G36" s="125">
        <f>'Rate Class Energy Model'!$L$12</f>
        <v>7369714</v>
      </c>
      <c r="H36" s="125">
        <f>'Rate Class Energy Model'!L13</f>
        <v>7368093</v>
      </c>
      <c r="I36" s="125">
        <f>'Rate Class Energy Model'!L14</f>
        <v>7324649</v>
      </c>
      <c r="J36" s="125">
        <f>'Rate Class Energy Model'!L15</f>
        <v>7191580</v>
      </c>
      <c r="K36" s="125">
        <f>'Rate Class Energy Model'!L16</f>
        <v>7147042.3329913896</v>
      </c>
      <c r="L36" s="125">
        <f>'Rate Class Energy Model'!L17</f>
        <v>6962317.0293546142</v>
      </c>
      <c r="M36" s="131">
        <f>'Rate Class Energy Model'!$L$84</f>
        <v>7357574.9638242451</v>
      </c>
      <c r="N36" s="132">
        <f>'Rate Class Energy Model'!$L$85</f>
        <v>7775272.0997985639</v>
      </c>
    </row>
    <row r="37" spans="1:16" x14ac:dyDescent="0.25">
      <c r="A37" s="63" t="s">
        <v>47</v>
      </c>
      <c r="B37" s="156">
        <f>'Rate Class Load Model'!$D$6</f>
        <v>22480</v>
      </c>
      <c r="C37" s="156">
        <f>'Rate Class Load Model'!$D$7</f>
        <v>22428</v>
      </c>
      <c r="D37" s="156">
        <f>'Rate Class Load Model'!$D$8</f>
        <v>22533</v>
      </c>
      <c r="E37" s="156">
        <f>'Rate Class Load Model'!$D$9</f>
        <v>22581</v>
      </c>
      <c r="F37" s="156">
        <f>'Rate Class Load Model'!$D$10</f>
        <v>22553</v>
      </c>
      <c r="G37" s="156">
        <f>'Rate Class Load Model'!$D$11</f>
        <v>22527</v>
      </c>
      <c r="H37" s="156">
        <f>'Rate Class Load Model'!$D$12</f>
        <v>22444</v>
      </c>
      <c r="I37" s="156">
        <f>'Rate Class Load Model'!$D$13</f>
        <v>22338</v>
      </c>
      <c r="J37" s="156">
        <f>'Rate Class Load Model'!$D$14</f>
        <v>22227</v>
      </c>
      <c r="K37" s="156">
        <f>'Rate Class Load Model'!$D$15</f>
        <v>21978.7</v>
      </c>
      <c r="L37" s="156">
        <f>'Rate Class Load Model'!$D$16</f>
        <v>21543.26</v>
      </c>
      <c r="M37" s="137">
        <f>'Rate Class Load Model'!$D$17</f>
        <v>22103.207939749733</v>
      </c>
      <c r="N37" s="138">
        <f>'Rate Class Load Model'!$D$18</f>
        <v>22947.72530147756</v>
      </c>
    </row>
    <row r="38" spans="1:16" x14ac:dyDescent="0.25">
      <c r="M38" s="131"/>
      <c r="N38" s="132"/>
    </row>
    <row r="39" spans="1:16" ht="13" x14ac:dyDescent="0.3">
      <c r="A39" s="95" t="str">
        <f>'Rate Class Energy Model'!M2</f>
        <v>USL</v>
      </c>
      <c r="M39" s="131"/>
      <c r="N39" s="132"/>
    </row>
    <row r="40" spans="1:16" x14ac:dyDescent="0.25">
      <c r="A40" s="63" t="s">
        <v>60</v>
      </c>
      <c r="B40" s="46">
        <f>'Rate Class Customer Model'!$G$7</f>
        <v>445.5</v>
      </c>
      <c r="C40" s="46">
        <f>'Rate Class Customer Model'!$G$8</f>
        <v>445.5</v>
      </c>
      <c r="D40" s="46">
        <f>'Rate Class Customer Model'!$G$9</f>
        <v>442.5</v>
      </c>
      <c r="E40" s="46">
        <f>'Rate Class Customer Model'!$G$10</f>
        <v>437.5</v>
      </c>
      <c r="F40" s="46">
        <f>'Rate Class Customer Model'!$G$11</f>
        <v>434</v>
      </c>
      <c r="G40" s="46">
        <f>'Rate Class Customer Model'!$G$12</f>
        <v>430.5</v>
      </c>
      <c r="H40" s="46">
        <f>'Rate Class Customer Model'!G13</f>
        <v>426.75</v>
      </c>
      <c r="I40" s="46">
        <f>'Rate Class Customer Model'!G14</f>
        <v>424.75</v>
      </c>
      <c r="J40" s="46">
        <f>'Rate Class Customer Model'!G15</f>
        <v>420.25</v>
      </c>
      <c r="K40" s="46">
        <f>'Rate Class Customer Model'!G16</f>
        <v>408</v>
      </c>
      <c r="L40" s="46">
        <f>'Rate Class Customer Model'!G17</f>
        <v>408.91666666666669</v>
      </c>
      <c r="M40" s="131">
        <f>'Rate Class Customer Model'!$G$18</f>
        <v>405.42779769982849</v>
      </c>
      <c r="N40" s="132">
        <f>'Rate Class Customer Model'!$G$19</f>
        <v>401.96869569447659</v>
      </c>
    </row>
    <row r="41" spans="1:16" x14ac:dyDescent="0.25">
      <c r="A41" s="63" t="s">
        <v>46</v>
      </c>
      <c r="B41" s="46">
        <f>'Rate Class Energy Model'!$M$7</f>
        <v>1559632</v>
      </c>
      <c r="C41" s="46">
        <f>'Rate Class Energy Model'!$M$8</f>
        <v>1556530</v>
      </c>
      <c r="D41" s="46">
        <f>'Rate Class Energy Model'!$M$9</f>
        <v>1544939</v>
      </c>
      <c r="E41" s="46">
        <f>'Rate Class Energy Model'!$M$10</f>
        <v>1552345</v>
      </c>
      <c r="F41" s="46">
        <f>'Rate Class Energy Model'!$M$11</f>
        <v>1528194</v>
      </c>
      <c r="G41" s="125">
        <f>'Rate Class Energy Model'!$M$12</f>
        <v>1516114</v>
      </c>
      <c r="H41" s="125">
        <f>'Rate Class Energy Model'!M13</f>
        <v>1512978</v>
      </c>
      <c r="I41" s="125">
        <f>'Rate Class Energy Model'!M14</f>
        <v>1524181</v>
      </c>
      <c r="J41" s="125">
        <f>'Rate Class Energy Model'!M15</f>
        <v>1497429</v>
      </c>
      <c r="K41" s="125">
        <f>'Rate Class Energy Model'!M16</f>
        <v>1559095.2728715499</v>
      </c>
      <c r="L41" s="125">
        <f>'Rate Class Energy Model'!M17</f>
        <v>1510015.9200649587</v>
      </c>
      <c r="M41" s="131">
        <f>'Rate Class Energy Model'!$M$84</f>
        <v>1506367.7390644536</v>
      </c>
      <c r="N41" s="132">
        <f>'Rate Class Energy Model'!$M$85</f>
        <v>1502728.3720270565</v>
      </c>
    </row>
    <row r="42" spans="1:16" s="94" customFormat="1" x14ac:dyDescent="0.25">
      <c r="B42" s="46"/>
      <c r="C42" s="46"/>
      <c r="D42" s="46"/>
      <c r="E42" s="46"/>
      <c r="F42" s="46"/>
      <c r="G42" s="125"/>
      <c r="H42" s="125"/>
      <c r="I42" s="125"/>
      <c r="J42" s="125"/>
      <c r="K42" s="125"/>
      <c r="L42" s="125"/>
      <c r="M42" s="131"/>
      <c r="N42" s="132"/>
      <c r="O42" s="145"/>
    </row>
    <row r="43" spans="1:16" s="94" customFormat="1" ht="13" x14ac:dyDescent="0.3">
      <c r="A43" s="95" t="s">
        <v>129</v>
      </c>
      <c r="B43" s="46"/>
      <c r="C43" s="46">
        <f>'WMP Forecast'!B3</f>
        <v>0</v>
      </c>
      <c r="M43" s="137"/>
      <c r="N43" s="138"/>
      <c r="O43" s="145"/>
    </row>
    <row r="44" spans="1:16" s="94" customFormat="1" x14ac:dyDescent="0.25">
      <c r="A44" s="63" t="s">
        <v>60</v>
      </c>
      <c r="B44" s="46"/>
      <c r="C44" s="46"/>
      <c r="D44" s="46">
        <v>2</v>
      </c>
      <c r="E44" s="46">
        <v>2</v>
      </c>
      <c r="F44" s="46">
        <v>2</v>
      </c>
      <c r="G44" s="125">
        <v>2</v>
      </c>
      <c r="H44" s="125">
        <v>2</v>
      </c>
      <c r="I44" s="125">
        <v>2</v>
      </c>
      <c r="J44" s="125">
        <v>2</v>
      </c>
      <c r="K44" s="125">
        <v>2</v>
      </c>
      <c r="L44" s="125">
        <v>2</v>
      </c>
      <c r="M44" s="131">
        <v>2</v>
      </c>
      <c r="N44" s="132">
        <v>2</v>
      </c>
      <c r="O44" s="145"/>
    </row>
    <row r="45" spans="1:16" x14ac:dyDescent="0.25">
      <c r="A45" s="63" t="s">
        <v>46</v>
      </c>
      <c r="D45" s="46">
        <f>'WMP Forecast'!D4</f>
        <v>0</v>
      </c>
      <c r="E45" s="46">
        <f>'WMP Forecast'!D5</f>
        <v>0</v>
      </c>
      <c r="F45" s="46">
        <f>'WMP Forecast'!D6</f>
        <v>0</v>
      </c>
      <c r="G45" s="125">
        <f>'WMP Forecast'!D7</f>
        <v>6792377.5999999996</v>
      </c>
      <c r="H45" s="125">
        <f>'WMP Forecast'!D8</f>
        <v>6607289</v>
      </c>
      <c r="I45" s="125">
        <f>'WMP Forecast'!D9</f>
        <v>6489035</v>
      </c>
      <c r="J45" s="125">
        <f>'WMP Forecast'!D10</f>
        <v>6330357</v>
      </c>
      <c r="K45" s="125">
        <f>'WMP Forecast'!D11</f>
        <v>6085994.9199999999</v>
      </c>
      <c r="L45" s="125">
        <f>'WMP Forecast'!D12</f>
        <v>6029967.5800000001</v>
      </c>
      <c r="M45" s="131">
        <f>'WMP Forecast'!D13</f>
        <v>6029967.5800000001</v>
      </c>
      <c r="N45" s="132">
        <f>'WMP Forecast'!D14</f>
        <v>6029967.5800000001</v>
      </c>
      <c r="P45" s="96"/>
    </row>
    <row r="46" spans="1:16" x14ac:dyDescent="0.25">
      <c r="A46" s="63" t="s">
        <v>47</v>
      </c>
      <c r="D46" s="172">
        <f>'WMP Forecast'!B4</f>
        <v>3486.38</v>
      </c>
      <c r="E46" s="172">
        <f>'WMP Forecast'!B5</f>
        <v>13589.76</v>
      </c>
      <c r="F46" s="172">
        <f>'WMP Forecast'!B6</f>
        <v>12736.7</v>
      </c>
      <c r="G46" s="172">
        <f>'WMP Forecast'!B7</f>
        <v>12397.7</v>
      </c>
      <c r="H46" s="172">
        <f>'WMP Forecast'!B8</f>
        <v>12437.3</v>
      </c>
      <c r="I46" s="172">
        <f>'WMP Forecast'!B9</f>
        <v>12330</v>
      </c>
      <c r="J46" s="172">
        <f>'WMP Forecast'!B10</f>
        <v>12258</v>
      </c>
      <c r="K46" s="172">
        <f>'WMP Forecast'!B11</f>
        <v>10962.46</v>
      </c>
      <c r="L46" s="172">
        <f>'WMP Forecast'!B12</f>
        <v>11674.01</v>
      </c>
      <c r="M46" s="131">
        <f>'WMP Forecast'!B13</f>
        <v>11674.01</v>
      </c>
      <c r="N46" s="138">
        <f>'WMP Forecast'!B14</f>
        <v>11674.01</v>
      </c>
    </row>
    <row r="47" spans="1:16" x14ac:dyDescent="0.25">
      <c r="M47" s="131"/>
      <c r="N47" s="132"/>
    </row>
    <row r="48" spans="1:16" ht="13" x14ac:dyDescent="0.3">
      <c r="A48" s="95" t="s">
        <v>61</v>
      </c>
      <c r="B48" s="46"/>
      <c r="D48" s="46"/>
      <c r="E48" s="46"/>
      <c r="F48" s="46"/>
      <c r="G48" s="46"/>
      <c r="H48" s="46"/>
      <c r="I48" s="46"/>
      <c r="J48" s="46"/>
      <c r="K48" s="46"/>
      <c r="L48" s="46"/>
      <c r="M48" s="131"/>
      <c r="N48" s="132"/>
    </row>
    <row r="49" spans="1:17" x14ac:dyDescent="0.25">
      <c r="A49" s="63" t="s">
        <v>49</v>
      </c>
      <c r="B49" s="158">
        <f>B12+B16+B20+B25+B30+B35+B40+B44</f>
        <v>48364.5</v>
      </c>
      <c r="C49" s="158">
        <f>C12+C16+C20+C25+C30+C35+C40+C44</f>
        <v>48830</v>
      </c>
      <c r="D49" s="158">
        <f>D12+D16+D20+D25+D30+D35+D40+D44</f>
        <v>49291.5</v>
      </c>
      <c r="E49" s="158">
        <f>E12+E16+E20+E25+E30+E35+E40+E44</f>
        <v>49696</v>
      </c>
      <c r="F49" s="158">
        <f>F12+F16+F20+F25+F30+F35+F40+F44</f>
        <v>50135</v>
      </c>
      <c r="G49" s="158">
        <f t="shared" ref="G49:L49" si="1">G12+G16+G20+G25+G30+G35+G40+G44</f>
        <v>50650.5</v>
      </c>
      <c r="H49" s="158">
        <f t="shared" si="1"/>
        <v>50497.5</v>
      </c>
      <c r="I49" s="158">
        <f t="shared" si="1"/>
        <v>46204.5</v>
      </c>
      <c r="J49" s="158">
        <f t="shared" si="1"/>
        <v>46509.5</v>
      </c>
      <c r="K49" s="158">
        <f t="shared" si="1"/>
        <v>46739.5</v>
      </c>
      <c r="L49" s="158">
        <f t="shared" si="1"/>
        <v>47176.166666666664</v>
      </c>
      <c r="M49" s="130">
        <f>M12+M16+M20+M25+M30+M35+M40+M44</f>
        <v>47491.047297379875</v>
      </c>
      <c r="N49" s="128">
        <f>N12+N16+N20+N25+N30+N35+N40+N44</f>
        <v>47808.838284220968</v>
      </c>
    </row>
    <row r="50" spans="1:17" x14ac:dyDescent="0.25">
      <c r="A50" s="63" t="s">
        <v>46</v>
      </c>
      <c r="B50" s="158">
        <f t="shared" ref="B50:G50" si="2">B41+B36+B31+B21+B17+B13+B45+B26</f>
        <v>917169662</v>
      </c>
      <c r="C50" s="158">
        <f t="shared" si="2"/>
        <v>919260512</v>
      </c>
      <c r="D50" s="158">
        <f t="shared" si="2"/>
        <v>936319334</v>
      </c>
      <c r="E50" s="158">
        <f t="shared" si="2"/>
        <v>926349236</v>
      </c>
      <c r="F50" s="158">
        <f t="shared" si="2"/>
        <v>889619639</v>
      </c>
      <c r="G50" s="158">
        <f t="shared" si="2"/>
        <v>911684269.60000002</v>
      </c>
      <c r="H50" s="158">
        <f t="shared" ref="H50:N50" si="3">H41+H36+H31+H21+H17+H13+H45+H26</f>
        <v>981298705</v>
      </c>
      <c r="I50" s="158">
        <f t="shared" si="3"/>
        <v>942059034</v>
      </c>
      <c r="J50" s="158">
        <f t="shared" si="3"/>
        <v>982068823</v>
      </c>
      <c r="K50" s="158">
        <f t="shared" si="3"/>
        <v>979704549.26999998</v>
      </c>
      <c r="L50" s="158">
        <f t="shared" si="3"/>
        <v>982207759.2700001</v>
      </c>
      <c r="M50" s="130">
        <f t="shared" si="3"/>
        <v>1146193198.4696805</v>
      </c>
      <c r="N50" s="128">
        <f t="shared" si="3"/>
        <v>1191434973.723938</v>
      </c>
    </row>
    <row r="51" spans="1:17" x14ac:dyDescent="0.25">
      <c r="A51" s="63" t="s">
        <v>48</v>
      </c>
      <c r="B51" s="158">
        <f t="shared" ref="B51:G51" si="4">B37+B32+B22+B46+B27</f>
        <v>1505611.7100000002</v>
      </c>
      <c r="C51" s="158">
        <f t="shared" si="4"/>
        <v>1525005.5</v>
      </c>
      <c r="D51" s="158">
        <f t="shared" si="4"/>
        <v>1579505.53</v>
      </c>
      <c r="E51" s="158">
        <f t="shared" si="4"/>
        <v>1591989.7</v>
      </c>
      <c r="F51" s="158">
        <f t="shared" si="4"/>
        <v>1569627.44</v>
      </c>
      <c r="G51" s="158">
        <f t="shared" si="4"/>
        <v>1566732.71</v>
      </c>
      <c r="H51" s="158">
        <f t="shared" ref="H51:N51" si="5">H37+H32+H22+H46+H27</f>
        <v>1550949.78</v>
      </c>
      <c r="I51" s="158">
        <f t="shared" si="5"/>
        <v>1542920</v>
      </c>
      <c r="J51" s="158">
        <f t="shared" si="5"/>
        <v>1565468.6</v>
      </c>
      <c r="K51" s="158">
        <f t="shared" si="5"/>
        <v>1582101.54</v>
      </c>
      <c r="L51" s="158">
        <f t="shared" si="5"/>
        <v>1562495.2</v>
      </c>
      <c r="M51" s="130">
        <f t="shared" si="5"/>
        <v>1707436.2945058008</v>
      </c>
      <c r="N51" s="128">
        <f t="shared" si="5"/>
        <v>1753618.4404302337</v>
      </c>
    </row>
    <row r="52" spans="1:17" x14ac:dyDescent="0.25">
      <c r="M52" s="131"/>
      <c r="N52" s="132"/>
    </row>
    <row r="53" spans="1:17" ht="13" x14ac:dyDescent="0.3">
      <c r="A53" s="95" t="s">
        <v>130</v>
      </c>
      <c r="M53" s="131"/>
      <c r="N53" s="132"/>
    </row>
    <row r="54" spans="1:17" x14ac:dyDescent="0.25">
      <c r="A54" s="63" t="s">
        <v>49</v>
      </c>
      <c r="B54" s="156">
        <f>'Rate Class Customer Model'!$H$7</f>
        <v>48361.5</v>
      </c>
      <c r="C54" s="156">
        <f>'Rate Class Customer Model'!$H$8</f>
        <v>48827</v>
      </c>
      <c r="D54" s="156">
        <f>'Rate Class Customer Model'!$H$9</f>
        <v>49286.5</v>
      </c>
      <c r="E54" s="156">
        <f>'Rate Class Customer Model'!$H$10</f>
        <v>49691</v>
      </c>
      <c r="F54" s="156">
        <f>'Rate Class Customer Model'!$H$11</f>
        <v>50130</v>
      </c>
      <c r="G54" s="156">
        <f>'Rate Class Customer Model'!$H$12</f>
        <v>50645.5</v>
      </c>
      <c r="H54" s="156">
        <f>'Rate Class Customer Model'!$H$13</f>
        <v>50493.5</v>
      </c>
      <c r="I54" s="156">
        <f>'Rate Class Customer Model'!$H$14</f>
        <v>46200.5</v>
      </c>
      <c r="J54" s="156">
        <f>'Rate Class Customer Model'!$H$15</f>
        <v>46505.5</v>
      </c>
      <c r="K54" s="156">
        <f>'Rate Class Customer Model'!$H$16</f>
        <v>46735.5</v>
      </c>
      <c r="L54" s="156">
        <f>'Rate Class Customer Model'!$H$17</f>
        <v>47172.166666666664</v>
      </c>
      <c r="M54" s="137">
        <f>'Rate Class Customer Model'!$H$18</f>
        <v>47487.047297379875</v>
      </c>
      <c r="N54" s="138">
        <f>'Rate Class Customer Model'!$H$19</f>
        <v>47804.838284220968</v>
      </c>
    </row>
    <row r="55" spans="1:17" x14ac:dyDescent="0.25">
      <c r="A55" s="63" t="s">
        <v>46</v>
      </c>
      <c r="B55" s="156">
        <f>'Rate Class Energy Model'!$G$7</f>
        <v>917169662</v>
      </c>
      <c r="C55" s="156">
        <f>'Rate Class Energy Model'!$G$8</f>
        <v>919260512</v>
      </c>
      <c r="D55" s="156">
        <f>'Rate Class Energy Model'!$G$9</f>
        <v>936319334</v>
      </c>
      <c r="E55" s="156">
        <f>'Rate Class Energy Model'!$G$10</f>
        <v>926349236</v>
      </c>
      <c r="F55" s="156">
        <f>'Rate Class Energy Model'!$G$11</f>
        <v>889619639</v>
      </c>
      <c r="G55" s="156">
        <f>'Rate Class Energy Model'!$G$12</f>
        <v>904891892</v>
      </c>
      <c r="H55" s="156">
        <f>'Rate Class Energy Model'!G13</f>
        <v>909331461</v>
      </c>
      <c r="I55" s="156">
        <f>'Rate Class Energy Model'!G14</f>
        <v>892260753</v>
      </c>
      <c r="J55" s="156">
        <f>'Rate Class Energy Model'!G15</f>
        <v>934510743</v>
      </c>
      <c r="K55" s="156">
        <f>'Rate Class Energy Model'!G16</f>
        <v>932356870.25999999</v>
      </c>
      <c r="L55" s="156">
        <f>'Rate Class Energy Model'!G17</f>
        <v>933148229.9000001</v>
      </c>
      <c r="M55" s="137">
        <f>'Rate Class Energy Model'!G84</f>
        <v>1096703373.4817805</v>
      </c>
      <c r="N55" s="138">
        <f>'Rate Class Energy Model'!G85</f>
        <v>1141510550.1619592</v>
      </c>
    </row>
    <row r="56" spans="1:17" x14ac:dyDescent="0.25">
      <c r="A56" s="63" t="s">
        <v>48</v>
      </c>
      <c r="B56" s="156">
        <f>'Rate Class Load Model'!$E$6</f>
        <v>1347496.5500000003</v>
      </c>
      <c r="C56" s="156">
        <f>'Rate Class Load Model'!$E$7</f>
        <v>1368166.24</v>
      </c>
      <c r="D56" s="156">
        <f>'Rate Class Load Model'!$E$8</f>
        <v>1422708.6900000002</v>
      </c>
      <c r="E56" s="156">
        <f>'Rate Class Load Model'!$E$9</f>
        <v>1419114.23</v>
      </c>
      <c r="F56" s="156">
        <f>'Rate Class Load Model'!$E$10</f>
        <v>1392566.3</v>
      </c>
      <c r="G56" s="156">
        <f>'Rate Class Load Model'!$E$11</f>
        <v>1412131.59</v>
      </c>
      <c r="H56" s="156">
        <f>'Rate Class Load Model'!$E$12</f>
        <v>1402325.28</v>
      </c>
      <c r="I56" s="156">
        <f>'Rate Class Load Model'!$E$13</f>
        <v>1423299</v>
      </c>
      <c r="J56" s="156">
        <f>'Rate Class Load Model'!$E$14</f>
        <v>1457992</v>
      </c>
      <c r="K56" s="156">
        <f>'Rate Class Load Model'!$E$15</f>
        <v>1473456.03</v>
      </c>
      <c r="L56" s="156">
        <f>'Rate Class Load Model'!$E$16</f>
        <v>1450234.27</v>
      </c>
      <c r="M56" s="137">
        <f>'Rate Class Load Model'!$E$17</f>
        <v>1594169.4953058008</v>
      </c>
      <c r="N56" s="138">
        <f>'Rate Class Load Model'!$E$18</f>
        <v>1639335.7133382338</v>
      </c>
      <c r="P56" s="96"/>
      <c r="Q56" s="96"/>
    </row>
    <row r="57" spans="1:17" x14ac:dyDescent="0.25">
      <c r="M57" s="131"/>
      <c r="N57" s="132"/>
    </row>
    <row r="58" spans="1:17" ht="13" x14ac:dyDescent="0.3">
      <c r="A58" s="95" t="s">
        <v>131</v>
      </c>
      <c r="M58" s="131"/>
      <c r="N58" s="132"/>
    </row>
    <row r="59" spans="1:17" x14ac:dyDescent="0.25">
      <c r="A59" s="63" t="s">
        <v>49</v>
      </c>
      <c r="B59" s="159">
        <f t="shared" ref="B59:N61" si="6">B44+B25</f>
        <v>3</v>
      </c>
      <c r="C59" s="159">
        <f t="shared" si="6"/>
        <v>3</v>
      </c>
      <c r="D59" s="159">
        <f t="shared" si="6"/>
        <v>5</v>
      </c>
      <c r="E59" s="159">
        <f t="shared" si="6"/>
        <v>5</v>
      </c>
      <c r="F59" s="159">
        <f t="shared" si="6"/>
        <v>5</v>
      </c>
      <c r="G59" s="159">
        <f t="shared" si="6"/>
        <v>5</v>
      </c>
      <c r="H59" s="159">
        <f t="shared" ref="H59:L61" si="7">H44+H25</f>
        <v>4</v>
      </c>
      <c r="I59" s="159">
        <f t="shared" si="7"/>
        <v>4</v>
      </c>
      <c r="J59" s="159">
        <f t="shared" si="7"/>
        <v>4</v>
      </c>
      <c r="K59" s="159">
        <f t="shared" si="7"/>
        <v>4</v>
      </c>
      <c r="L59" s="159">
        <f t="shared" si="7"/>
        <v>4</v>
      </c>
      <c r="M59" s="131">
        <f>M44+M25</f>
        <v>4</v>
      </c>
      <c r="N59" s="132">
        <f>N44+N25</f>
        <v>4</v>
      </c>
    </row>
    <row r="60" spans="1:17" x14ac:dyDescent="0.25">
      <c r="A60" s="63" t="s">
        <v>46</v>
      </c>
      <c r="B60" s="159">
        <f t="shared" si="6"/>
        <v>0</v>
      </c>
      <c r="C60" s="159">
        <f t="shared" si="6"/>
        <v>0</v>
      </c>
      <c r="D60" s="159">
        <f t="shared" si="6"/>
        <v>0</v>
      </c>
      <c r="E60" s="159">
        <f t="shared" si="6"/>
        <v>0</v>
      </c>
      <c r="F60" s="159">
        <f t="shared" si="6"/>
        <v>0</v>
      </c>
      <c r="G60" s="159">
        <f t="shared" si="6"/>
        <v>6792377.5999999996</v>
      </c>
      <c r="H60" s="159">
        <f t="shared" si="7"/>
        <v>71967244</v>
      </c>
      <c r="I60" s="159">
        <f t="shared" si="7"/>
        <v>49798281</v>
      </c>
      <c r="J60" s="159">
        <f t="shared" si="7"/>
        <v>47558080</v>
      </c>
      <c r="K60" s="159">
        <f t="shared" si="7"/>
        <v>47347679.010000005</v>
      </c>
      <c r="L60" s="159">
        <f t="shared" si="7"/>
        <v>49059529.370000005</v>
      </c>
      <c r="M60" s="131">
        <f>M45+M26</f>
        <v>49489824.987900004</v>
      </c>
      <c r="N60" s="132">
        <f t="shared" si="6"/>
        <v>49924423.561979003</v>
      </c>
    </row>
    <row r="61" spans="1:17" x14ac:dyDescent="0.25">
      <c r="A61" s="63" t="s">
        <v>48</v>
      </c>
      <c r="B61" s="159">
        <f t="shared" si="6"/>
        <v>158115.16</v>
      </c>
      <c r="C61" s="159">
        <f t="shared" si="6"/>
        <v>156839.26</v>
      </c>
      <c r="D61" s="159">
        <f t="shared" si="6"/>
        <v>156796.84</v>
      </c>
      <c r="E61" s="159">
        <f t="shared" si="6"/>
        <v>172875.47000000003</v>
      </c>
      <c r="F61" s="159">
        <f t="shared" si="6"/>
        <v>177061.13999999998</v>
      </c>
      <c r="G61" s="159">
        <f t="shared" si="6"/>
        <v>154601.12000000002</v>
      </c>
      <c r="H61" s="159">
        <f t="shared" si="7"/>
        <v>148624.5</v>
      </c>
      <c r="I61" s="159">
        <f t="shared" si="7"/>
        <v>119621</v>
      </c>
      <c r="J61" s="159">
        <f t="shared" si="7"/>
        <v>107476.6</v>
      </c>
      <c r="K61" s="159">
        <f t="shared" si="7"/>
        <v>108645.51000000001</v>
      </c>
      <c r="L61" s="159">
        <f t="shared" si="7"/>
        <v>112260.93000000001</v>
      </c>
      <c r="M61" s="131">
        <f>M46+M27</f>
        <v>113266.79920000001</v>
      </c>
      <c r="N61" s="132">
        <f>N46+N27</f>
        <v>114282.72709200002</v>
      </c>
    </row>
    <row r="62" spans="1:17" x14ac:dyDescent="0.25">
      <c r="M62" s="131"/>
      <c r="N62" s="132"/>
    </row>
    <row r="63" spans="1:17" ht="13" x14ac:dyDescent="0.3">
      <c r="A63" s="95" t="s">
        <v>62</v>
      </c>
      <c r="B63" s="46"/>
      <c r="C63" s="46"/>
      <c r="D63" s="46"/>
      <c r="E63" s="46"/>
      <c r="F63" s="46"/>
      <c r="G63" s="46"/>
      <c r="H63" s="46"/>
      <c r="I63" s="46"/>
      <c r="J63" s="46"/>
      <c r="K63" s="46"/>
      <c r="L63" s="46"/>
      <c r="M63" s="131"/>
      <c r="N63" s="132"/>
    </row>
    <row r="64" spans="1:17" x14ac:dyDescent="0.25">
      <c r="A64" s="63" t="s">
        <v>49</v>
      </c>
      <c r="B64" s="46">
        <f>B49-B54-B59</f>
        <v>0</v>
      </c>
      <c r="C64" s="46">
        <f>C49-C54-C59</f>
        <v>0</v>
      </c>
      <c r="D64" s="46">
        <f>D49-D54-D59</f>
        <v>0</v>
      </c>
      <c r="E64" s="46">
        <f>E49-E54-E59</f>
        <v>0</v>
      </c>
      <c r="F64" s="46">
        <f>F49-F54-F59</f>
        <v>0</v>
      </c>
      <c r="G64" s="46">
        <f t="shared" ref="G64:L64" si="8">G49-G54-G59</f>
        <v>0</v>
      </c>
      <c r="H64" s="46">
        <f>H49-H54-H59</f>
        <v>0</v>
      </c>
      <c r="I64" s="46">
        <f t="shared" si="8"/>
        <v>0</v>
      </c>
      <c r="J64" s="46">
        <f t="shared" si="8"/>
        <v>0</v>
      </c>
      <c r="K64" s="46">
        <f t="shared" si="8"/>
        <v>0</v>
      </c>
      <c r="L64" s="46">
        <f t="shared" si="8"/>
        <v>0</v>
      </c>
      <c r="M64" s="131">
        <f>M49-M54-M59</f>
        <v>0</v>
      </c>
      <c r="N64" s="132">
        <f>N49-N54-N59</f>
        <v>0</v>
      </c>
      <c r="O64" s="160"/>
    </row>
    <row r="65" spans="1:15" x14ac:dyDescent="0.25">
      <c r="A65" s="63" t="s">
        <v>46</v>
      </c>
      <c r="B65" s="46">
        <f t="shared" ref="B65:G66" si="9">B50-B55-B60</f>
        <v>0</v>
      </c>
      <c r="C65" s="46">
        <f t="shared" si="9"/>
        <v>0</v>
      </c>
      <c r="D65" s="46">
        <f t="shared" si="9"/>
        <v>0</v>
      </c>
      <c r="E65" s="46">
        <f t="shared" si="9"/>
        <v>0</v>
      </c>
      <c r="F65" s="46">
        <f t="shared" si="9"/>
        <v>0</v>
      </c>
      <c r="G65" s="46">
        <f t="shared" si="9"/>
        <v>2.4214386940002441E-8</v>
      </c>
      <c r="H65" s="46">
        <f t="shared" ref="H65:N65" si="10">H50-H55-H60</f>
        <v>0</v>
      </c>
      <c r="I65" s="46">
        <f t="shared" si="10"/>
        <v>0</v>
      </c>
      <c r="J65" s="46">
        <f t="shared" si="10"/>
        <v>0</v>
      </c>
      <c r="K65" s="46">
        <f t="shared" si="10"/>
        <v>0</v>
      </c>
      <c r="L65" s="46">
        <f t="shared" si="10"/>
        <v>0</v>
      </c>
      <c r="M65" s="131">
        <f>M50-M55-M60</f>
        <v>0</v>
      </c>
      <c r="N65" s="132">
        <f t="shared" si="10"/>
        <v>-1.862645149230957E-7</v>
      </c>
      <c r="O65" s="160"/>
    </row>
    <row r="66" spans="1:15" x14ac:dyDescent="0.25">
      <c r="A66" s="63" t="s">
        <v>48</v>
      </c>
      <c r="B66" s="46">
        <f t="shared" si="9"/>
        <v>0</v>
      </c>
      <c r="C66" s="46">
        <f t="shared" si="9"/>
        <v>0</v>
      </c>
      <c r="D66" s="46">
        <f t="shared" si="9"/>
        <v>0</v>
      </c>
      <c r="E66" s="46">
        <f t="shared" si="9"/>
        <v>0</v>
      </c>
      <c r="F66" s="46">
        <f t="shared" si="9"/>
        <v>0</v>
      </c>
      <c r="G66" s="46">
        <f t="shared" si="9"/>
        <v>0</v>
      </c>
      <c r="H66" s="46">
        <f>H51-H56-H61</f>
        <v>0</v>
      </c>
      <c r="I66" s="46">
        <f>I51-I56-I61</f>
        <v>0</v>
      </c>
      <c r="J66" s="46">
        <f>J51-J56-J61</f>
        <v>0</v>
      </c>
      <c r="K66" s="46">
        <f>K51-K56-K61</f>
        <v>0</v>
      </c>
      <c r="L66" s="46">
        <f>L51-L56-L61</f>
        <v>0</v>
      </c>
      <c r="M66" s="131">
        <f>M51-M56-M61</f>
        <v>0</v>
      </c>
      <c r="N66" s="132">
        <f>N51-N56-N61</f>
        <v>0</v>
      </c>
    </row>
    <row r="69" spans="1:15" ht="13" x14ac:dyDescent="0.3">
      <c r="A69" s="92" t="s">
        <v>189</v>
      </c>
    </row>
    <row r="70" spans="1:15" x14ac:dyDescent="0.25">
      <c r="A70" s="63" t="s">
        <v>60</v>
      </c>
      <c r="B70" s="46">
        <f t="shared" ref="B70:N70" si="11">+B20+B44</f>
        <v>417</v>
      </c>
      <c r="C70" s="46">
        <f t="shared" si="11"/>
        <v>421</v>
      </c>
      <c r="D70" s="46">
        <f t="shared" si="11"/>
        <v>421</v>
      </c>
      <c r="E70" s="46">
        <f t="shared" si="11"/>
        <v>425.5</v>
      </c>
      <c r="F70" s="46">
        <f t="shared" si="11"/>
        <v>434</v>
      </c>
      <c r="G70" s="46">
        <f t="shared" si="11"/>
        <v>439.5</v>
      </c>
      <c r="H70" s="46">
        <f t="shared" si="11"/>
        <v>454</v>
      </c>
      <c r="I70" s="46">
        <f t="shared" si="11"/>
        <v>458.75</v>
      </c>
      <c r="J70" s="46">
        <f t="shared" si="11"/>
        <v>485.25</v>
      </c>
      <c r="K70" s="46">
        <f t="shared" si="11"/>
        <v>490.75</v>
      </c>
      <c r="L70" s="46">
        <f t="shared" si="11"/>
        <v>492.66666666666669</v>
      </c>
      <c r="M70" s="46">
        <f t="shared" si="11"/>
        <v>500.71405204334792</v>
      </c>
      <c r="N70" s="46">
        <f t="shared" si="11"/>
        <v>508.89342195413406</v>
      </c>
    </row>
    <row r="71" spans="1:15" x14ac:dyDescent="0.25">
      <c r="A71" s="63" t="s">
        <v>46</v>
      </c>
      <c r="B71" s="46">
        <f t="shared" ref="B71:C71" si="12">+B21+B45</f>
        <v>521725747</v>
      </c>
      <c r="C71" s="46">
        <f t="shared" si="12"/>
        <v>519515098</v>
      </c>
      <c r="D71" s="46">
        <f t="shared" ref="D71:N71" si="13">+D21+D45</f>
        <v>539521215</v>
      </c>
      <c r="E71" s="46">
        <f t="shared" si="13"/>
        <v>534621114</v>
      </c>
      <c r="F71" s="46">
        <f t="shared" si="13"/>
        <v>497985709</v>
      </c>
      <c r="G71" s="46">
        <f t="shared" si="13"/>
        <v>514679223.60000002</v>
      </c>
      <c r="H71" s="46">
        <f t="shared" si="13"/>
        <v>515381720</v>
      </c>
      <c r="I71" s="46">
        <f t="shared" si="13"/>
        <v>519770271</v>
      </c>
      <c r="J71" s="46">
        <f t="shared" si="13"/>
        <v>535922957</v>
      </c>
      <c r="K71" s="46">
        <f t="shared" si="13"/>
        <v>544236477.25084901</v>
      </c>
      <c r="L71" s="46">
        <f t="shared" si="13"/>
        <v>527515512.58903694</v>
      </c>
      <c r="M71" s="46">
        <f t="shared" si="13"/>
        <v>591231722.91982484</v>
      </c>
      <c r="N71" s="46">
        <f t="shared" si="13"/>
        <v>607753521.50524235</v>
      </c>
    </row>
    <row r="72" spans="1:15" x14ac:dyDescent="0.25">
      <c r="A72" s="63" t="s">
        <v>47</v>
      </c>
      <c r="B72" s="46">
        <f t="shared" ref="B72:N72" si="14">+B22+B46</f>
        <v>1323482.2400000002</v>
      </c>
      <c r="C72" s="46">
        <f t="shared" si="14"/>
        <v>1344251</v>
      </c>
      <c r="D72" s="46">
        <f t="shared" si="14"/>
        <v>1402270</v>
      </c>
      <c r="E72" s="46">
        <f t="shared" si="14"/>
        <v>1408738</v>
      </c>
      <c r="F72" s="46">
        <f t="shared" si="14"/>
        <v>1381389</v>
      </c>
      <c r="G72" s="46">
        <f t="shared" si="14"/>
        <v>1400639</v>
      </c>
      <c r="H72" s="46">
        <f t="shared" si="14"/>
        <v>1391395.58</v>
      </c>
      <c r="I72" s="46">
        <f t="shared" si="14"/>
        <v>1412721</v>
      </c>
      <c r="J72" s="46">
        <f t="shared" si="14"/>
        <v>1447503</v>
      </c>
      <c r="K72" s="46">
        <f t="shared" si="14"/>
        <v>1461871.79</v>
      </c>
      <c r="L72" s="46">
        <f t="shared" si="14"/>
        <v>1439810.73</v>
      </c>
      <c r="M72" s="46">
        <f t="shared" si="14"/>
        <v>1583230.3322927533</v>
      </c>
      <c r="N72" s="46">
        <f t="shared" si="14"/>
        <v>1627599.5379310423</v>
      </c>
    </row>
  </sheetData>
  <phoneticPr fontId="0" type="noConversion"/>
  <pageMargins left="0.38" right="0.75" top="0.73" bottom="0.74" header="0.5" footer="0.5"/>
  <pageSetup scale="42" orientation="landscape"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sheetPr>
  <dimension ref="A4:E29"/>
  <sheetViews>
    <sheetView topLeftCell="A7" workbookViewId="0">
      <selection activeCell="I16" sqref="I16"/>
    </sheetView>
  </sheetViews>
  <sheetFormatPr defaultRowHeight="12.5" x14ac:dyDescent="0.25"/>
  <cols>
    <col min="1" max="1" width="14.1796875" customWidth="1"/>
    <col min="2" max="2" width="13.453125" customWidth="1"/>
    <col min="3" max="3" width="12" customWidth="1"/>
    <col min="4" max="4" width="11.54296875" customWidth="1"/>
    <col min="5" max="5" width="15" bestFit="1" customWidth="1"/>
  </cols>
  <sheetData>
    <row r="4" spans="1:5" x14ac:dyDescent="0.25">
      <c r="A4" t="s">
        <v>119</v>
      </c>
      <c r="B4" t="s">
        <v>120</v>
      </c>
    </row>
    <row r="5" spans="1:5" x14ac:dyDescent="0.25">
      <c r="B5" t="s">
        <v>121</v>
      </c>
    </row>
    <row r="6" spans="1:5" x14ac:dyDescent="0.25">
      <c r="B6" t="s">
        <v>151</v>
      </c>
    </row>
    <row r="8" spans="1:5" ht="25" x14ac:dyDescent="0.25">
      <c r="A8" t="s">
        <v>118</v>
      </c>
      <c r="B8" t="s">
        <v>122</v>
      </c>
      <c r="C8" s="63" t="s">
        <v>123</v>
      </c>
      <c r="D8" s="112" t="s">
        <v>128</v>
      </c>
      <c r="E8" s="101" t="s">
        <v>126</v>
      </c>
    </row>
    <row r="9" spans="1:5" x14ac:dyDescent="0.25">
      <c r="A9">
        <v>2006</v>
      </c>
      <c r="B9" s="99">
        <v>24679.71</v>
      </c>
      <c r="E9" s="99"/>
    </row>
    <row r="10" spans="1:5" x14ac:dyDescent="0.25">
      <c r="A10">
        <v>2007</v>
      </c>
      <c r="B10" s="99">
        <v>23111.48</v>
      </c>
      <c r="E10" s="99"/>
    </row>
    <row r="11" spans="1:5" x14ac:dyDescent="0.25">
      <c r="A11">
        <v>2008</v>
      </c>
      <c r="B11" s="99">
        <v>136273.84999999998</v>
      </c>
      <c r="E11" s="99"/>
    </row>
    <row r="12" spans="1:5" x14ac:dyDescent="0.25">
      <c r="A12">
        <v>2009</v>
      </c>
      <c r="B12" s="99">
        <v>215796.66</v>
      </c>
      <c r="E12" s="99"/>
    </row>
    <row r="13" spans="1:5" x14ac:dyDescent="0.25">
      <c r="A13" s="27">
        <v>2010</v>
      </c>
      <c r="B13" s="146">
        <v>158115.16</v>
      </c>
      <c r="C13" s="27">
        <v>3</v>
      </c>
      <c r="D13" s="27"/>
      <c r="E13" s="146"/>
    </row>
    <row r="14" spans="1:5" x14ac:dyDescent="0.25">
      <c r="A14" s="117">
        <v>2011</v>
      </c>
      <c r="B14" s="118">
        <v>156839.26</v>
      </c>
      <c r="C14" s="117">
        <v>3</v>
      </c>
      <c r="E14" s="118"/>
    </row>
    <row r="15" spans="1:5" x14ac:dyDescent="0.25">
      <c r="A15" s="117">
        <v>2012</v>
      </c>
      <c r="B15" s="118">
        <v>153310.46</v>
      </c>
      <c r="C15" s="117">
        <v>3</v>
      </c>
      <c r="E15" s="118"/>
    </row>
    <row r="16" spans="1:5" x14ac:dyDescent="0.25">
      <c r="A16" s="117">
        <v>2013</v>
      </c>
      <c r="B16" s="118">
        <v>159285.71000000002</v>
      </c>
      <c r="C16" s="117">
        <v>3</v>
      </c>
      <c r="E16" s="118"/>
    </row>
    <row r="17" spans="1:5" x14ac:dyDescent="0.25">
      <c r="A17" s="117">
        <v>2014</v>
      </c>
      <c r="B17" s="118">
        <v>164324.43999999997</v>
      </c>
      <c r="C17" s="117">
        <v>3</v>
      </c>
      <c r="E17" s="118"/>
    </row>
    <row r="18" spans="1:5" x14ac:dyDescent="0.25">
      <c r="A18" s="117">
        <v>2015</v>
      </c>
      <c r="B18" s="118">
        <v>142203.42000000001</v>
      </c>
      <c r="C18" s="117">
        <v>3</v>
      </c>
      <c r="E18" s="118"/>
    </row>
    <row r="19" spans="1:5" x14ac:dyDescent="0.25">
      <c r="A19" s="117">
        <v>2016</v>
      </c>
      <c r="B19" s="118">
        <f>'[4]Annual Filings'!$M$135</f>
        <v>136187.20000000001</v>
      </c>
      <c r="C19" s="117">
        <v>2</v>
      </c>
      <c r="E19" s="118">
        <f>'[4]Annual Filings'!$M$134</f>
        <v>65359955</v>
      </c>
    </row>
    <row r="20" spans="1:5" x14ac:dyDescent="0.25">
      <c r="A20" s="117">
        <v>2017</v>
      </c>
      <c r="B20" s="118">
        <f>'[4]Annual Filings'!$N$135</f>
        <v>107291</v>
      </c>
      <c r="C20" s="117">
        <v>2</v>
      </c>
      <c r="E20" s="118">
        <f>'[4]Annual Filings'!$N$134</f>
        <v>43309246</v>
      </c>
    </row>
    <row r="21" spans="1:5" x14ac:dyDescent="0.25">
      <c r="A21" s="117">
        <v>2018</v>
      </c>
      <c r="B21" s="118">
        <f>'[4]Annual Filings'!$O$135</f>
        <v>95218.6</v>
      </c>
      <c r="C21" s="117">
        <v>2</v>
      </c>
      <c r="E21" s="118">
        <f>'[4]Annual Filings'!$O$134</f>
        <v>41227723</v>
      </c>
    </row>
    <row r="22" spans="1:5" x14ac:dyDescent="0.25">
      <c r="A22" s="117">
        <v>2019</v>
      </c>
      <c r="B22" s="118">
        <f>'[4]Annual Filings'!$P$135</f>
        <v>97683.05</v>
      </c>
      <c r="C22" s="117">
        <v>2</v>
      </c>
      <c r="E22" s="118">
        <f>'[4]Annual Filings'!$P$134</f>
        <v>41261684.090000004</v>
      </c>
    </row>
    <row r="23" spans="1:5" x14ac:dyDescent="0.25">
      <c r="A23" s="117">
        <v>2020</v>
      </c>
      <c r="B23" s="118">
        <f>'[5]Summary for 2.1.5.3 Demand&amp;Rev'!$K$12</f>
        <v>100586.92000000001</v>
      </c>
      <c r="C23" s="117">
        <v>2</v>
      </c>
      <c r="E23" s="118">
        <f>'[5]Summary for 2.1.5.3 Demand&amp;Rev'!$J$12</f>
        <v>43029561.790000007</v>
      </c>
    </row>
    <row r="24" spans="1:5" x14ac:dyDescent="0.25">
      <c r="A24" s="101" t="s">
        <v>137</v>
      </c>
      <c r="B24" s="100">
        <f>B23*1.01</f>
        <v>101592.78920000001</v>
      </c>
      <c r="C24" s="119">
        <v>2</v>
      </c>
      <c r="E24" s="198">
        <f>E23*1.01</f>
        <v>43459857.407900006</v>
      </c>
    </row>
    <row r="25" spans="1:5" x14ac:dyDescent="0.25">
      <c r="A25" s="112" t="s">
        <v>149</v>
      </c>
      <c r="B25" s="100">
        <f>B24*1.01</f>
        <v>102608.71709200002</v>
      </c>
      <c r="C25" s="119">
        <v>2</v>
      </c>
      <c r="E25" s="198">
        <f>E24*1.01</f>
        <v>43894455.981979005</v>
      </c>
    </row>
    <row r="27" spans="1:5" x14ac:dyDescent="0.25">
      <c r="A27" s="147" t="s">
        <v>134</v>
      </c>
      <c r="B27" s="99"/>
      <c r="C27" s="99"/>
      <c r="E27" s="99"/>
    </row>
    <row r="28" spans="1:5" x14ac:dyDescent="0.25">
      <c r="A28" s="101"/>
    </row>
    <row r="29" spans="1:5" x14ac:dyDescent="0.25">
      <c r="A29" s="101" t="s">
        <v>188</v>
      </c>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enableFormatConditionsCalculation="0">
    <tabColor rgb="FF00B050"/>
    <pageSetUpPr fitToPage="1"/>
  </sheetPr>
  <dimension ref="A1:S88"/>
  <sheetViews>
    <sheetView topLeftCell="A73" zoomScaleNormal="100" workbookViewId="0">
      <selection activeCell="E83" sqref="E83"/>
    </sheetView>
  </sheetViews>
  <sheetFormatPr defaultRowHeight="12.5" x14ac:dyDescent="0.25"/>
  <cols>
    <col min="1" max="1" width="11" customWidth="1"/>
    <col min="2" max="3" width="18" style="1" customWidth="1"/>
    <col min="4" max="4" width="11.1796875" style="1" bestFit="1" customWidth="1"/>
    <col min="5" max="5" width="13.1796875" style="1" customWidth="1"/>
    <col min="6" max="6" width="10.81640625" style="1" customWidth="1"/>
    <col min="7" max="7" width="18.81640625" style="6" customWidth="1"/>
    <col min="8" max="8" width="15" style="6" customWidth="1"/>
    <col min="9" max="10" width="14.1796875" style="6" bestFit="1" customWidth="1"/>
    <col min="11" max="11" width="14.1796875" style="6" customWidth="1"/>
    <col min="12" max="12" width="14.54296875" style="6" customWidth="1"/>
    <col min="13" max="13" width="12.54296875" style="6" customWidth="1"/>
    <col min="14" max="14" width="12.54296875" style="6" bestFit="1" customWidth="1"/>
    <col min="15" max="15" width="11.1796875" style="6" bestFit="1" customWidth="1"/>
    <col min="16" max="16" width="11.54296875" style="6" bestFit="1" customWidth="1"/>
    <col min="17" max="17" width="10.54296875" style="6" bestFit="1" customWidth="1"/>
    <col min="18" max="18" width="9.1796875" style="6" customWidth="1"/>
    <col min="19" max="19" width="11.1796875" style="6" bestFit="1" customWidth="1"/>
  </cols>
  <sheetData>
    <row r="1" spans="1:19" x14ac:dyDescent="0.25">
      <c r="H1" s="6" t="s">
        <v>145</v>
      </c>
    </row>
    <row r="2" spans="1:19" ht="42" customHeight="1" x14ac:dyDescent="0.25">
      <c r="B2" s="2" t="s">
        <v>6</v>
      </c>
      <c r="C2" s="2" t="s">
        <v>7</v>
      </c>
      <c r="D2" s="2" t="s">
        <v>38</v>
      </c>
      <c r="E2" s="2" t="s">
        <v>8</v>
      </c>
      <c r="F2" s="2" t="s">
        <v>1</v>
      </c>
      <c r="G2" s="7" t="s">
        <v>2</v>
      </c>
      <c r="H2" s="36" t="s">
        <v>56</v>
      </c>
      <c r="I2" s="37" t="s">
        <v>57</v>
      </c>
      <c r="J2" s="97" t="s">
        <v>132</v>
      </c>
      <c r="K2" s="37" t="s">
        <v>63</v>
      </c>
      <c r="L2" s="37" t="s">
        <v>59</v>
      </c>
      <c r="M2" s="38" t="s">
        <v>58</v>
      </c>
    </row>
    <row r="4" spans="1:19" x14ac:dyDescent="0.25">
      <c r="A4" s="14"/>
      <c r="B4" s="32" t="s">
        <v>40</v>
      </c>
      <c r="G4" s="209"/>
    </row>
    <row r="5" spans="1:19" x14ac:dyDescent="0.25">
      <c r="B5"/>
      <c r="C5"/>
      <c r="D5"/>
      <c r="E5"/>
      <c r="F5"/>
      <c r="G5"/>
      <c r="H5"/>
      <c r="I5"/>
      <c r="J5"/>
      <c r="K5"/>
      <c r="L5"/>
      <c r="M5"/>
      <c r="N5"/>
      <c r="O5"/>
      <c r="P5"/>
      <c r="Q5"/>
      <c r="R5"/>
      <c r="S5"/>
    </row>
    <row r="7" spans="1:19" s="27" customFormat="1" x14ac:dyDescent="0.25">
      <c r="A7" s="27">
        <v>2010</v>
      </c>
      <c r="B7" s="23">
        <f>GETPIVOTDATA("Sum of Purchased2",'Purch. Power Model '!$D$5,"Year",A7)</f>
        <v>950759112.65007687</v>
      </c>
      <c r="C7" s="23">
        <f>GETPIVOTDATA("Sum of Predicted Purchases ",'Purch. Power Model '!$D$5,"Year",A7)</f>
        <v>968048822.27663279</v>
      </c>
      <c r="D7" s="54">
        <f>C7-B7</f>
        <v>17289709.62655592</v>
      </c>
      <c r="E7" s="161">
        <f t="shared" ref="E7:E17" si="0">D7/B7</f>
        <v>1.8185163199081877E-2</v>
      </c>
      <c r="F7" s="41">
        <f>1 +(B7-G7)/G7</f>
        <v>1.0366229412525825</v>
      </c>
      <c r="G7" s="162">
        <f t="shared" ref="G7:G17" si="1">SUM(H7:M7)</f>
        <v>917169662</v>
      </c>
      <c r="H7" s="23">
        <v>287357342</v>
      </c>
      <c r="I7" s="23">
        <v>98691975</v>
      </c>
      <c r="J7" s="23">
        <v>521725747</v>
      </c>
      <c r="K7" s="23">
        <v>480615</v>
      </c>
      <c r="L7" s="23">
        <v>7354351</v>
      </c>
      <c r="M7" s="23">
        <v>1559632</v>
      </c>
      <c r="N7" s="196">
        <f t="shared" ref="N7:N16" si="2">H7/SUM($H7:$J7)</f>
        <v>0.31655126186634269</v>
      </c>
      <c r="O7" s="196">
        <f t="shared" ref="O7:O16" si="3">I7/SUM($H7:$J7)</f>
        <v>0.10871853492551983</v>
      </c>
      <c r="P7" s="196">
        <f t="shared" ref="P7:P16" si="4">J7/SUM($H7:$J7)</f>
        <v>0.5747302032081375</v>
      </c>
      <c r="Q7" s="23"/>
      <c r="R7" s="23"/>
      <c r="S7" s="23"/>
    </row>
    <row r="8" spans="1:19" s="27" customFormat="1" x14ac:dyDescent="0.25">
      <c r="A8" s="27">
        <v>2011</v>
      </c>
      <c r="B8" s="23">
        <f>GETPIVOTDATA("Sum of Purchased2",'Purch. Power Model '!$D$5,"Year",A8)</f>
        <v>944902732.12384617</v>
      </c>
      <c r="C8" s="23">
        <f>GETPIVOTDATA("Sum of Predicted Purchases ",'Purch. Power Model '!$D$5,"Year",A8)</f>
        <v>990395154.85368085</v>
      </c>
      <c r="D8" s="54">
        <f>C8-B8</f>
        <v>45492422.729834676</v>
      </c>
      <c r="E8" s="161">
        <f t="shared" si="0"/>
        <v>4.8145085396866107E-2</v>
      </c>
      <c r="F8" s="41">
        <f>1 +(B8-G8)/G8</f>
        <v>1.0278943996713807</v>
      </c>
      <c r="G8" s="162">
        <f t="shared" si="1"/>
        <v>919260512</v>
      </c>
      <c r="H8" s="23">
        <v>291380972</v>
      </c>
      <c r="I8" s="23">
        <v>99001655</v>
      </c>
      <c r="J8" s="23">
        <v>519515098</v>
      </c>
      <c r="K8" s="23">
        <v>475427</v>
      </c>
      <c r="L8" s="23">
        <v>7330830</v>
      </c>
      <c r="M8" s="23">
        <v>1556530</v>
      </c>
      <c r="N8" s="196">
        <f t="shared" si="2"/>
        <v>0.32023486156095182</v>
      </c>
      <c r="O8" s="196">
        <f t="shared" si="3"/>
        <v>0.10880525610721799</v>
      </c>
      <c r="P8" s="196">
        <f t="shared" si="4"/>
        <v>0.57095988233183026</v>
      </c>
      <c r="Q8" s="23">
        <f>H8-H7</f>
        <v>4023630</v>
      </c>
      <c r="R8" s="23"/>
      <c r="S8" s="23"/>
    </row>
    <row r="9" spans="1:19" s="27" customFormat="1" x14ac:dyDescent="0.25">
      <c r="A9" s="27">
        <v>2012</v>
      </c>
      <c r="B9" s="23">
        <f>GETPIVOTDATA("Sum of Purchased2",'Purch. Power Model '!$D$5,"Year",A9)</f>
        <v>964379230.70517492</v>
      </c>
      <c r="C9" s="23">
        <f>GETPIVOTDATA("Sum of Predicted Purchases ",'Purch. Power Model '!$D$5,"Year",A9)</f>
        <v>1003267833.2412736</v>
      </c>
      <c r="D9" s="54">
        <f>C9-B9</f>
        <v>38888602.536098719</v>
      </c>
      <c r="E9" s="161">
        <f t="shared" si="0"/>
        <v>4.0325010429416372E-2</v>
      </c>
      <c r="F9" s="41">
        <f>1 +(B9-G9)/G9</f>
        <v>1.0299682978725877</v>
      </c>
      <c r="G9" s="162">
        <f t="shared" si="1"/>
        <v>936319334</v>
      </c>
      <c r="H9" s="23">
        <v>287058174</v>
      </c>
      <c r="I9" s="23">
        <v>100340238</v>
      </c>
      <c r="J9" s="23">
        <v>539521215</v>
      </c>
      <c r="K9" s="23">
        <v>459394</v>
      </c>
      <c r="L9" s="23">
        <v>7395374</v>
      </c>
      <c r="M9" s="23">
        <v>1544939</v>
      </c>
      <c r="N9" s="196">
        <f t="shared" si="2"/>
        <v>0.30969046898820279</v>
      </c>
      <c r="O9" s="196">
        <f t="shared" si="3"/>
        <v>0.10825128207151449</v>
      </c>
      <c r="P9" s="196">
        <f t="shared" si="4"/>
        <v>0.58205824894028269</v>
      </c>
      <c r="Q9" s="23">
        <f t="shared" ref="Q9:Q17" si="5">H9-H8</f>
        <v>-4322798</v>
      </c>
      <c r="R9" s="23"/>
      <c r="S9" s="23"/>
    </row>
    <row r="10" spans="1:19" s="27" customFormat="1" x14ac:dyDescent="0.25">
      <c r="A10" s="27">
        <v>2013</v>
      </c>
      <c r="B10" s="23">
        <f>GETPIVOTDATA("Sum of Purchased2",'Purch. Power Model '!$D$5,"Year",A10)</f>
        <v>961335479.00000012</v>
      </c>
      <c r="C10" s="23">
        <f>GETPIVOTDATA("Sum of Predicted Purchases ",'Purch. Power Model '!$D$5,"Year",A10)</f>
        <v>1000566661.5107036</v>
      </c>
      <c r="D10" s="54">
        <f>C10-B10</f>
        <v>39231182.510703444</v>
      </c>
      <c r="E10" s="161">
        <f t="shared" si="0"/>
        <v>4.0809044675551229E-2</v>
      </c>
      <c r="F10" s="41">
        <f>1 +(B10-G10)/G10</f>
        <v>1.0377678759158604</v>
      </c>
      <c r="G10" s="162">
        <f t="shared" si="1"/>
        <v>926349236</v>
      </c>
      <c r="H10" s="23">
        <v>282501947</v>
      </c>
      <c r="I10" s="23">
        <v>99838335</v>
      </c>
      <c r="J10" s="23">
        <v>534621114</v>
      </c>
      <c r="K10" s="23">
        <v>448778</v>
      </c>
      <c r="L10" s="23">
        <v>7386717</v>
      </c>
      <c r="M10" s="23">
        <v>1552345</v>
      </c>
      <c r="N10" s="196">
        <f t="shared" si="2"/>
        <v>0.30808488583307819</v>
      </c>
      <c r="O10" s="196">
        <f t="shared" si="3"/>
        <v>0.10887954000628397</v>
      </c>
      <c r="P10" s="196">
        <f t="shared" si="4"/>
        <v>0.58303557416063789</v>
      </c>
      <c r="Q10" s="23">
        <f t="shared" si="5"/>
        <v>-4556227</v>
      </c>
      <c r="R10" s="23"/>
      <c r="S10" s="23"/>
    </row>
    <row r="11" spans="1:19" s="27" customFormat="1" x14ac:dyDescent="0.25">
      <c r="A11" s="27">
        <v>2014</v>
      </c>
      <c r="B11" s="23">
        <f>GETPIVOTDATA("Sum of Purchased2",'Purch. Power Model '!$D$5,"Year",A11)</f>
        <v>913546785.3566668</v>
      </c>
      <c r="C11" s="23">
        <f>GETPIVOTDATA("Sum of Predicted Purchases ",'Purch. Power Model '!$D$5,"Year",A11)</f>
        <v>1013105863.0459676</v>
      </c>
      <c r="D11" s="54">
        <f>C11-B11</f>
        <v>99559077.689300776</v>
      </c>
      <c r="E11" s="161">
        <f t="shared" si="0"/>
        <v>0.10898081990451199</v>
      </c>
      <c r="F11" s="41">
        <f>1 +(B11-G11)/G11</f>
        <v>1.0268959286730257</v>
      </c>
      <c r="G11" s="162">
        <f t="shared" si="1"/>
        <v>889619639</v>
      </c>
      <c r="H11" s="23">
        <v>282925750</v>
      </c>
      <c r="I11" s="23">
        <v>99356580</v>
      </c>
      <c r="J11" s="23">
        <v>497985709</v>
      </c>
      <c r="K11" s="23">
        <v>445147</v>
      </c>
      <c r="L11" s="23">
        <v>7378259</v>
      </c>
      <c r="M11" s="23">
        <v>1528194</v>
      </c>
      <c r="N11" s="196">
        <f t="shared" si="2"/>
        <v>0.32140863630742361</v>
      </c>
      <c r="O11" s="196">
        <f t="shared" si="3"/>
        <v>0.11287082524644519</v>
      </c>
      <c r="P11" s="196">
        <f t="shared" si="4"/>
        <v>0.56572053844613113</v>
      </c>
      <c r="Q11" s="23">
        <f t="shared" si="5"/>
        <v>423803</v>
      </c>
      <c r="R11" s="23"/>
      <c r="S11" s="23"/>
    </row>
    <row r="12" spans="1:19" s="27" customFormat="1" x14ac:dyDescent="0.25">
      <c r="A12" s="27">
        <v>2015</v>
      </c>
      <c r="B12" s="23">
        <f>GETPIVOTDATA("Sum of Purchased2",'Purch. Power Model '!$D$5,"Year",A12)</f>
        <v>920489866.98307681</v>
      </c>
      <c r="C12" s="23">
        <f>GETPIVOTDATA("Sum of Predicted Purchases ",'Purch. Power Model '!$D$5,"Year",A12)</f>
        <v>1042029395.4364306</v>
      </c>
      <c r="D12" s="54">
        <f t="shared" ref="D12:D17" si="6">C12-B12</f>
        <v>121539528.45335376</v>
      </c>
      <c r="E12" s="161">
        <f t="shared" si="0"/>
        <v>0.13203787767018219</v>
      </c>
      <c r="F12" s="41">
        <f t="shared" ref="F12:F17" si="7">1 +(B12-G12)/G12</f>
        <v>1.0172373905888383</v>
      </c>
      <c r="G12" s="162">
        <f t="shared" si="1"/>
        <v>904891892</v>
      </c>
      <c r="H12" s="23">
        <v>287594336</v>
      </c>
      <c r="I12" s="23">
        <v>100078635</v>
      </c>
      <c r="J12" s="23">
        <v>507886846</v>
      </c>
      <c r="K12" s="23">
        <v>446247</v>
      </c>
      <c r="L12" s="23">
        <v>7369714</v>
      </c>
      <c r="M12" s="23">
        <v>1516114</v>
      </c>
      <c r="N12" s="196">
        <f t="shared" si="2"/>
        <v>0.32113358654634677</v>
      </c>
      <c r="O12" s="196">
        <f t="shared" si="3"/>
        <v>0.11174980509425871</v>
      </c>
      <c r="P12" s="196">
        <f t="shared" si="4"/>
        <v>0.56711660835939448</v>
      </c>
      <c r="Q12" s="23">
        <f t="shared" si="5"/>
        <v>4668586</v>
      </c>
      <c r="R12" s="23"/>
      <c r="S12" s="23"/>
    </row>
    <row r="13" spans="1:19" x14ac:dyDescent="0.25">
      <c r="A13" s="27">
        <v>2016</v>
      </c>
      <c r="B13" s="23">
        <f>GETPIVOTDATA("Sum of Purchased2",'Purch. Power Model '!$D$5,"Year",A13)</f>
        <v>928717584.78461564</v>
      </c>
      <c r="C13" s="23">
        <f>GETPIVOTDATA("Sum of Predicted Purchases ",'Purch. Power Model '!$D$5,"Year",A13)</f>
        <v>1090508302.0251603</v>
      </c>
      <c r="D13" s="54">
        <f t="shared" si="6"/>
        <v>161790717.24054468</v>
      </c>
      <c r="E13" s="161">
        <f t="shared" si="0"/>
        <v>0.17420873674752968</v>
      </c>
      <c r="F13" s="41">
        <f t="shared" si="7"/>
        <v>1.0213190949791802</v>
      </c>
      <c r="G13" s="162">
        <f t="shared" si="1"/>
        <v>909331461</v>
      </c>
      <c r="H13" s="6">
        <v>291787861</v>
      </c>
      <c r="I13" s="6">
        <v>99573959</v>
      </c>
      <c r="J13" s="6">
        <v>508774431</v>
      </c>
      <c r="K13" s="6">
        <v>314139</v>
      </c>
      <c r="L13" s="6">
        <v>7368093</v>
      </c>
      <c r="M13" s="6">
        <v>1512978</v>
      </c>
      <c r="N13" s="196">
        <f t="shared" si="2"/>
        <v>0.32415965991353013</v>
      </c>
      <c r="O13" s="196">
        <f t="shared" si="3"/>
        <v>0.11062098531125596</v>
      </c>
      <c r="P13" s="196">
        <f t="shared" si="4"/>
        <v>0.5652193547752139</v>
      </c>
      <c r="Q13" s="23">
        <f t="shared" si="5"/>
        <v>4193525</v>
      </c>
    </row>
    <row r="14" spans="1:19" x14ac:dyDescent="0.25">
      <c r="A14" s="27">
        <v>2017</v>
      </c>
      <c r="B14" s="23">
        <f>GETPIVOTDATA("Sum of Purchased2",'Purch. Power Model '!$D$5,"Year",A14)</f>
        <v>914942349.02142859</v>
      </c>
      <c r="C14" s="23">
        <f>GETPIVOTDATA("Sum of Predicted Purchases ",'Purch. Power Model '!$D$5,"Year",A14)</f>
        <v>1090489530.085856</v>
      </c>
      <c r="D14" s="54">
        <f t="shared" si="6"/>
        <v>175547181.06442738</v>
      </c>
      <c r="E14" s="161">
        <f t="shared" si="0"/>
        <v>0.19186693156370221</v>
      </c>
      <c r="F14" s="41">
        <f t="shared" si="7"/>
        <v>1.0254203672470938</v>
      </c>
      <c r="G14" s="162">
        <f t="shared" si="1"/>
        <v>892260753</v>
      </c>
      <c r="H14" s="6">
        <v>273448641</v>
      </c>
      <c r="I14" s="6">
        <v>96495542</v>
      </c>
      <c r="J14" s="6">
        <v>513281236</v>
      </c>
      <c r="K14" s="6">
        <v>186504</v>
      </c>
      <c r="L14" s="6">
        <v>7324649</v>
      </c>
      <c r="M14" s="6">
        <v>1524181</v>
      </c>
      <c r="N14" s="196">
        <f t="shared" si="2"/>
        <v>0.30960232248478797</v>
      </c>
      <c r="O14" s="196">
        <f t="shared" si="3"/>
        <v>0.10925358342749418</v>
      </c>
      <c r="P14" s="196">
        <f t="shared" si="4"/>
        <v>0.58114409408771783</v>
      </c>
      <c r="Q14" s="23">
        <f t="shared" si="5"/>
        <v>-18339220</v>
      </c>
    </row>
    <row r="15" spans="1:19" x14ac:dyDescent="0.25">
      <c r="A15" s="27">
        <v>2018</v>
      </c>
      <c r="B15" s="23">
        <f>GETPIVOTDATA("Sum of Purchased2",'Purch. Power Model '!$D$5,"Year",A15)</f>
        <v>965883912.18000007</v>
      </c>
      <c r="C15" s="23">
        <f>GETPIVOTDATA("Sum of Predicted Purchases ",'Purch. Power Model '!$D$5,"Year",A15)</f>
        <v>1149307508.3487101</v>
      </c>
      <c r="D15" s="54">
        <f t="shared" si="6"/>
        <v>183423596.16870999</v>
      </c>
      <c r="E15" s="161">
        <f t="shared" si="0"/>
        <v>0.1899023204090054</v>
      </c>
      <c r="F15" s="41">
        <f t="shared" si="7"/>
        <v>1.0335717587143887</v>
      </c>
      <c r="G15" s="162">
        <f t="shared" si="1"/>
        <v>934510743</v>
      </c>
      <c r="H15" s="6">
        <v>301310523</v>
      </c>
      <c r="I15" s="6">
        <v>94728588</v>
      </c>
      <c r="J15" s="6">
        <f>535922957-6330357</f>
        <v>529592600</v>
      </c>
      <c r="K15" s="6">
        <v>190023</v>
      </c>
      <c r="L15" s="6">
        <v>7191580</v>
      </c>
      <c r="M15" s="6">
        <v>1497429</v>
      </c>
      <c r="N15" s="196">
        <f t="shared" si="2"/>
        <v>0.32551879912852294</v>
      </c>
      <c r="O15" s="196">
        <f t="shared" si="3"/>
        <v>0.10233939359927569</v>
      </c>
      <c r="P15" s="196">
        <f t="shared" si="4"/>
        <v>0.57214180727220132</v>
      </c>
      <c r="Q15" s="23">
        <f t="shared" si="5"/>
        <v>27861882</v>
      </c>
    </row>
    <row r="16" spans="1:19" x14ac:dyDescent="0.25">
      <c r="A16" s="27">
        <v>2019</v>
      </c>
      <c r="B16" s="23">
        <f>GETPIVOTDATA("Sum of Purchased2",'Purch. Power Model '!$D$5,"Year",A16)</f>
        <v>959330220.76954007</v>
      </c>
      <c r="C16" s="23">
        <f>GETPIVOTDATA("Sum of Predicted Purchases ",'Purch. Power Model '!$D$5,"Year",A16)</f>
        <v>1154083080.0283906</v>
      </c>
      <c r="D16" s="54">
        <f t="shared" si="6"/>
        <v>194752859.25885057</v>
      </c>
      <c r="E16" s="161">
        <f t="shared" si="0"/>
        <v>0.2030091985454465</v>
      </c>
      <c r="F16" s="41">
        <f t="shared" si="7"/>
        <v>1.02893028556975</v>
      </c>
      <c r="G16" s="162">
        <f t="shared" si="1"/>
        <v>932356870.25999999</v>
      </c>
      <c r="H16" s="6">
        <f>'[6]Summary for 2.1.5.3 Demand&amp;Rev'!$K$28</f>
        <v>292180864.93883711</v>
      </c>
      <c r="I16" s="6">
        <f>'[6]Summary for 2.1.5.3 Demand&amp;Rev'!$K$29</f>
        <v>93124427.492277056</v>
      </c>
      <c r="J16" s="6">
        <f>'[6]Summary for 2.1.5.3 Demand&amp;Rev'!$K$30-'[6]Summary for 2.1.5.3 Demand&amp;Rev'!$H$8</f>
        <v>538150482.33084905</v>
      </c>
      <c r="K16" s="6">
        <f>'[6]Summary for 2.1.5.3 Demand&amp;Rev'!$K$31</f>
        <v>194957.89217390213</v>
      </c>
      <c r="L16" s="6">
        <f>'[6]Summary for 2.1.5.3 Demand&amp;Rev'!$K$32</f>
        <v>7147042.3329913896</v>
      </c>
      <c r="M16" s="6">
        <f>'[6]Summary for 2.1.5.3 Demand&amp;Rev'!$K$33</f>
        <v>1559095.2728715499</v>
      </c>
      <c r="N16" s="196">
        <f t="shared" si="2"/>
        <v>0.3163994128621393</v>
      </c>
      <c r="O16" s="196">
        <f t="shared" si="3"/>
        <v>0.10084340803032121</v>
      </c>
      <c r="P16" s="196">
        <f t="shared" si="4"/>
        <v>0.58275717910753944</v>
      </c>
      <c r="Q16" s="23">
        <f t="shared" si="5"/>
        <v>-9129658.061162889</v>
      </c>
    </row>
    <row r="17" spans="1:19" x14ac:dyDescent="0.25">
      <c r="A17" s="27">
        <v>2020</v>
      </c>
      <c r="B17" s="23">
        <f>GETPIVOTDATA("Sum of Purchased2",'Purch. Power Model '!$D$5,"Year",A17)</f>
        <v>961031702.85464001</v>
      </c>
      <c r="C17" s="23">
        <f>GETPIVOTDATA("Sum of Predicted Purchases ",'Purch. Power Model '!$D$5,"Year",A17)</f>
        <v>1143729833.7007113</v>
      </c>
      <c r="D17" s="54">
        <f t="shared" si="6"/>
        <v>182698130.84607124</v>
      </c>
      <c r="E17" s="161">
        <f t="shared" si="0"/>
        <v>0.19010624759140238</v>
      </c>
      <c r="F17" s="41">
        <f t="shared" si="7"/>
        <v>1.0298810757618091</v>
      </c>
      <c r="G17" s="162">
        <f t="shared" si="1"/>
        <v>933148229.9000001</v>
      </c>
      <c r="H17" s="23">
        <f>'[5]Summary for 2.1.5.3 Demand&amp;Rev'!$K$28</f>
        <v>315774546.06238711</v>
      </c>
      <c r="I17" s="23">
        <f>'[5]Summary for 2.1.5.3 Demand&amp;Rev'!$K$29</f>
        <v>87228067.152691096</v>
      </c>
      <c r="J17" s="23">
        <f>'[5]Summary for 2.1.5.3 Demand&amp;Rev'!$K$30-'[5]Summary for 2.1.5.3 Demand&amp;Rev'!$H$8</f>
        <v>521485545.00903696</v>
      </c>
      <c r="K17" s="23">
        <f>'[5]Summary for 2.1.5.3 Demand&amp;Rev'!$K$31</f>
        <v>187738.7264654169</v>
      </c>
      <c r="L17" s="23">
        <f>'[5]Summary for 2.1.5.3 Demand&amp;Rev'!$K$32</f>
        <v>6962317.0293546142</v>
      </c>
      <c r="M17" s="23">
        <f>'[5]Summary for 2.1.5.3 Demand&amp;Rev'!$K$33</f>
        <v>1510015.9200649587</v>
      </c>
      <c r="N17" s="196">
        <f>H17/SUM($H17:$J17)</f>
        <v>0.34156689109893046</v>
      </c>
      <c r="O17" s="196">
        <f>I17/SUM($H17:$J17)</f>
        <v>9.4352822561027547E-2</v>
      </c>
      <c r="P17" s="196">
        <f>J17/SUM($H17:$J17)</f>
        <v>0.56408028634004204</v>
      </c>
      <c r="Q17" s="23">
        <f t="shared" si="5"/>
        <v>23593681.123549998</v>
      </c>
    </row>
    <row r="18" spans="1:19" x14ac:dyDescent="0.25">
      <c r="A18" s="27">
        <v>2021</v>
      </c>
      <c r="B18" s="23"/>
      <c r="C18" s="23">
        <f>GETPIVOTDATA("Sum of Predicted Purchases ",'Purch. Power Model '!$D$5,"Year",A18)</f>
        <v>1127288947.2762072</v>
      </c>
      <c r="G18" s="17">
        <f>C18/$F$23</f>
        <v>1096703373.4817805</v>
      </c>
      <c r="N18" s="196"/>
      <c r="O18" s="196"/>
      <c r="P18" s="196"/>
      <c r="Q18" s="23"/>
    </row>
    <row r="19" spans="1:19" x14ac:dyDescent="0.25">
      <c r="A19" s="27">
        <v>2022</v>
      </c>
      <c r="B19" s="23"/>
      <c r="C19" s="23">
        <f>GETPIVOTDATA("Sum of Predicted Purchases ",'Purch. Power Model '!$D$5,"Year",A19)</f>
        <v>1173345735.5122623</v>
      </c>
      <c r="G19" s="17">
        <f>C19/$F$23</f>
        <v>1141510550.1619592</v>
      </c>
      <c r="N19" s="196"/>
      <c r="O19" s="196"/>
      <c r="P19" s="196"/>
      <c r="Q19" s="23"/>
    </row>
    <row r="20" spans="1:19" x14ac:dyDescent="0.25">
      <c r="B20" s="6"/>
      <c r="C20" s="6"/>
      <c r="G20" s="23"/>
    </row>
    <row r="21" spans="1:19" x14ac:dyDescent="0.25">
      <c r="B21" s="6"/>
      <c r="C21" s="6"/>
      <c r="G21" s="23"/>
    </row>
    <row r="22" spans="1:19" x14ac:dyDescent="0.25">
      <c r="I22" s="21"/>
    </row>
    <row r="23" spans="1:19" ht="13" x14ac:dyDescent="0.3">
      <c r="A23" s="15" t="s">
        <v>10</v>
      </c>
      <c r="F23" s="40">
        <f>AVERAGE(F8:F17)</f>
        <v>1.0278886474993914</v>
      </c>
    </row>
    <row r="24" spans="1:19" x14ac:dyDescent="0.25">
      <c r="E24" s="14"/>
      <c r="F24" s="14" t="s">
        <v>65</v>
      </c>
      <c r="G24" s="17"/>
    </row>
    <row r="26" spans="1:19" ht="13" x14ac:dyDescent="0.3">
      <c r="A26" s="18" t="s">
        <v>12</v>
      </c>
      <c r="B26" s="11"/>
    </row>
    <row r="27" spans="1:19" x14ac:dyDescent="0.25">
      <c r="C27" s="120"/>
      <c r="D27" s="120"/>
      <c r="E27" s="120"/>
    </row>
    <row r="28" spans="1:19" x14ac:dyDescent="0.25">
      <c r="A28">
        <f>A7</f>
        <v>2010</v>
      </c>
      <c r="H28" s="23">
        <f>H7/'Rate Class Customer Model'!B7</f>
        <v>8388.5258640822049</v>
      </c>
      <c r="I28" s="23">
        <f>I7/'Rate Class Customer Model'!C7</f>
        <v>36722.595348837211</v>
      </c>
      <c r="J28" s="23">
        <f>J7/'Rate Class Customer Model'!D7</f>
        <v>1251140.8800959233</v>
      </c>
      <c r="K28" s="23">
        <f>K7/'Rate Class Customer Model'!E7</f>
        <v>797.70124481327798</v>
      </c>
      <c r="L28" s="23">
        <f>L7/'Rate Class Customer Model'!F7</f>
        <v>738.90796744700094</v>
      </c>
      <c r="M28" s="23">
        <f>M7/'Rate Class Customer Model'!G7</f>
        <v>3500.8574635241303</v>
      </c>
    </row>
    <row r="29" spans="1:19" x14ac:dyDescent="0.25">
      <c r="A29">
        <f>A8</f>
        <v>2011</v>
      </c>
      <c r="H29" s="23">
        <f>H8/'Rate Class Customer Model'!B8</f>
        <v>8410.9624455156882</v>
      </c>
      <c r="I29" s="23">
        <f>I8/'Rate Class Customer Model'!C8</f>
        <v>36545.461424880028</v>
      </c>
      <c r="J29" s="23">
        <f>J8/'Rate Class Customer Model'!D8</f>
        <v>1234002.6080760094</v>
      </c>
      <c r="K29" s="23">
        <f>K8/'Rate Class Customer Model'!E8</f>
        <v>766.19983883964539</v>
      </c>
      <c r="L29" s="23">
        <f>L8/'Rate Class Customer Model'!F8</f>
        <v>733.96375650780942</v>
      </c>
      <c r="M29" s="23">
        <f>M8/'Rate Class Customer Model'!G8</f>
        <v>3493.8945005611672</v>
      </c>
    </row>
    <row r="30" spans="1:19" s="27" customFormat="1" x14ac:dyDescent="0.25">
      <c r="A30" s="27">
        <f>A9</f>
        <v>2012</v>
      </c>
      <c r="B30" s="19"/>
      <c r="C30" s="19"/>
      <c r="D30" s="19"/>
      <c r="E30" s="19"/>
      <c r="F30" s="19"/>
      <c r="G30" s="23"/>
      <c r="H30" s="23">
        <f>H9/'Rate Class Customer Model'!B9</f>
        <v>8216.216555040357</v>
      </c>
      <c r="I30" s="23">
        <f>I9/'Rate Class Customer Model'!C9</f>
        <v>36781.612170087974</v>
      </c>
      <c r="J30" s="23">
        <f>J9/'Rate Class Customer Model'!D9</f>
        <v>1287640.1312649164</v>
      </c>
      <c r="K30" s="23">
        <f>K9/'Rate Class Customer Model'!E9</f>
        <v>735.03039999999999</v>
      </c>
      <c r="L30" s="23">
        <f>L9/'Rate Class Customer Model'!F9</f>
        <v>729.75863430037498</v>
      </c>
      <c r="M30" s="23">
        <f>M9/'Rate Class Customer Model'!G9</f>
        <v>3491.387570621469</v>
      </c>
      <c r="N30" s="23"/>
      <c r="O30" s="23"/>
      <c r="P30" s="23"/>
      <c r="Q30" s="23"/>
      <c r="R30" s="23"/>
      <c r="S30" s="23"/>
    </row>
    <row r="31" spans="1:19" s="27" customFormat="1" x14ac:dyDescent="0.25">
      <c r="A31" s="27">
        <f>A10</f>
        <v>2013</v>
      </c>
      <c r="B31" s="19"/>
      <c r="C31" s="19"/>
      <c r="D31" s="19"/>
      <c r="E31" s="19"/>
      <c r="F31" s="19"/>
      <c r="G31" s="23"/>
      <c r="H31" s="23">
        <f>H10/'Rate Class Customer Model'!B10</f>
        <v>8019.8136861080748</v>
      </c>
      <c r="I31" s="23">
        <f>I10/'Rate Class Customer Model'!C10</f>
        <v>36324.662543205384</v>
      </c>
      <c r="J31" s="23">
        <f>J10/'Rate Class Customer Model'!D10</f>
        <v>1262387.5182998818</v>
      </c>
      <c r="K31" s="23">
        <f>K10/'Rate Class Customer Model'!E10</f>
        <v>718.61969575660532</v>
      </c>
      <c r="L31" s="23">
        <f>L10/'Rate Class Customer Model'!F10</f>
        <v>721.95836387626446</v>
      </c>
      <c r="M31" s="23">
        <f>M10/'Rate Class Customer Model'!G10</f>
        <v>3548.2171428571428</v>
      </c>
      <c r="N31" s="23"/>
      <c r="O31" s="23"/>
      <c r="P31" s="23"/>
      <c r="Q31" s="23"/>
      <c r="R31" s="23"/>
      <c r="S31" s="23"/>
    </row>
    <row r="32" spans="1:19" s="27" customFormat="1" x14ac:dyDescent="0.25">
      <c r="A32" s="27">
        <v>2014</v>
      </c>
      <c r="B32" s="19"/>
      <c r="C32" s="19"/>
      <c r="D32" s="19"/>
      <c r="E32" s="19"/>
      <c r="F32" s="19"/>
      <c r="G32" s="23"/>
      <c r="H32" s="23">
        <f>H11/'Rate Class Customer Model'!B11</f>
        <v>7974.4567208771387</v>
      </c>
      <c r="I32" s="23">
        <f>I11/'Rate Class Customer Model'!C11</f>
        <v>35849.388417824281</v>
      </c>
      <c r="J32" s="23">
        <f>J11/'Rate Class Customer Model'!D11</f>
        <v>1152744.6967592593</v>
      </c>
      <c r="K32" s="23">
        <f>K11/'Rate Class Customer Model'!E11</f>
        <v>716.24617860016087</v>
      </c>
      <c r="L32" s="23">
        <f>L11/'Rate Class Customer Model'!F11</f>
        <v>709.99413010007697</v>
      </c>
      <c r="M32" s="23">
        <f>M11/'Rate Class Customer Model'!G11</f>
        <v>3521.1843317972352</v>
      </c>
      <c r="N32" s="23"/>
      <c r="O32" s="23"/>
      <c r="P32" s="23"/>
      <c r="Q32" s="23"/>
      <c r="R32" s="23"/>
      <c r="S32" s="23"/>
    </row>
    <row r="33" spans="1:13" x14ac:dyDescent="0.25">
      <c r="A33">
        <v>2015</v>
      </c>
      <c r="H33" s="23">
        <f>H12/'Rate Class Customer Model'!B12</f>
        <v>8046.0597311399279</v>
      </c>
      <c r="I33" s="23">
        <f>I12/'Rate Class Customer Model'!C12</f>
        <v>35947.785560344826</v>
      </c>
      <c r="J33" s="23">
        <f>J12/'Rate Class Customer Model'!D12</f>
        <v>1160884.2194285714</v>
      </c>
      <c r="K33" s="23">
        <f>K12/'Rate Class Customer Model'!E12</f>
        <v>721.49878738884399</v>
      </c>
      <c r="L33" s="23">
        <f>L12/'Rate Class Customer Model'!F12</f>
        <v>693.19606828763585</v>
      </c>
      <c r="M33" s="23">
        <f>M12/'Rate Class Customer Model'!G12</f>
        <v>3521.7514518002322</v>
      </c>
    </row>
    <row r="34" spans="1:13" x14ac:dyDescent="0.25">
      <c r="A34">
        <v>2016</v>
      </c>
      <c r="H34" s="23">
        <f>H13/'Rate Class Customer Model'!B13</f>
        <v>8095.6048303750404</v>
      </c>
      <c r="I34" s="23">
        <f>I13/'Rate Class Customer Model'!C13</f>
        <v>35660.832303697738</v>
      </c>
      <c r="J34" s="23">
        <f>J13/'Rate Class Customer Model'!D13</f>
        <v>1125607.1482300884</v>
      </c>
      <c r="K34" s="23">
        <f>K13/'Rate Class Customer Model'!E13</f>
        <v>569.86666666666667</v>
      </c>
      <c r="L34" s="23">
        <f>L13/'Rate Class Customer Model'!F13</f>
        <v>720.34931808183023</v>
      </c>
      <c r="M34" s="23">
        <f>M13/'Rate Class Customer Model'!G13</f>
        <v>3545.3497363796132</v>
      </c>
    </row>
    <row r="35" spans="1:13" x14ac:dyDescent="0.25">
      <c r="A35">
        <v>2017</v>
      </c>
      <c r="H35" s="23">
        <f>H14/'Rate Class Customer Model'!B14</f>
        <v>7545.3361478446222</v>
      </c>
      <c r="I35" s="23">
        <f>I14/'Rate Class Customer Model'!C14</f>
        <v>34490.409078723977</v>
      </c>
      <c r="J35" s="23">
        <f>J14/'Rate Class Customer Model'!D14</f>
        <v>1123768.442255063</v>
      </c>
      <c r="K35" s="23">
        <f>K14/'Rate Class Customer Model'!E14</f>
        <v>364.6217008797654</v>
      </c>
      <c r="L35" s="23">
        <f>L14/'Rate Class Customer Model'!F14</f>
        <v>1269.6566129311839</v>
      </c>
      <c r="M35" s="23">
        <f>M14/'Rate Class Customer Model'!G14</f>
        <v>3588.4190700412005</v>
      </c>
    </row>
    <row r="36" spans="1:13" x14ac:dyDescent="0.25">
      <c r="A36">
        <v>2018</v>
      </c>
      <c r="H36" s="23">
        <f>H15/'Rate Class Customer Model'!B15</f>
        <v>8250.4490080913456</v>
      </c>
      <c r="I36" s="23">
        <f>I15/'Rate Class Customer Model'!C15</f>
        <v>33783.376604850215</v>
      </c>
      <c r="J36" s="23">
        <f>J15/'Rate Class Customer Model'!D15</f>
        <v>1095897.7754785307</v>
      </c>
      <c r="K36" s="23">
        <f>K15/'Rate Class Customer Model'!E15</f>
        <v>375.16880552813427</v>
      </c>
      <c r="L36" s="23">
        <f>L15/'Rate Class Customer Model'!F15</f>
        <v>1246.1583780973835</v>
      </c>
      <c r="M36" s="23">
        <f>M15/'Rate Class Customer Model'!G15</f>
        <v>3563.1861986912554</v>
      </c>
    </row>
    <row r="37" spans="1:13" x14ac:dyDescent="0.25">
      <c r="A37">
        <v>2019</v>
      </c>
      <c r="H37" s="23">
        <f>H16/'Rate Class Customer Model'!B16</f>
        <v>7954.287482170751</v>
      </c>
      <c r="I37" s="23">
        <f>I16/'Rate Class Customer Model'!C16</f>
        <v>32859.713300027193</v>
      </c>
      <c r="J37" s="23">
        <f>J16/'Rate Class Customer Model'!D16</f>
        <v>1101075.1556641413</v>
      </c>
      <c r="K37" s="23">
        <f>K16/'Rate Class Customer Model'!E16</f>
        <v>388.9434257833459</v>
      </c>
      <c r="L37" s="23">
        <f>L16/'Rate Class Customer Model'!F16</f>
        <v>1238.4408825145365</v>
      </c>
      <c r="M37" s="23">
        <f>M16/'Rate Class Customer Model'!G16</f>
        <v>3821.3119433126226</v>
      </c>
    </row>
    <row r="38" spans="1:13" x14ac:dyDescent="0.25">
      <c r="A38">
        <v>2020</v>
      </c>
      <c r="H38" s="23">
        <f>H17/'Rate Class Customer Model'!B17</f>
        <v>8516.8380527392583</v>
      </c>
      <c r="I38" s="23">
        <f>I17/'Rate Class Customer Model'!C17</f>
        <v>29768.131440215373</v>
      </c>
      <c r="J38" s="23">
        <f>J17/'Rate Class Customer Model'!D17</f>
        <v>1062810.2140129828</v>
      </c>
      <c r="K38" s="23">
        <f>K17/'Rate Class Customer Model'!E17</f>
        <v>379.39789787554781</v>
      </c>
      <c r="L38" s="23">
        <f>L17/'Rate Class Customer Model'!F17</f>
        <v>1206.4316460500111</v>
      </c>
      <c r="M38" s="23">
        <f>M17/'Rate Class Customer Model'!G17</f>
        <v>3692.7228532259028</v>
      </c>
    </row>
    <row r="39" spans="1:13" x14ac:dyDescent="0.25">
      <c r="A39">
        <v>2021</v>
      </c>
      <c r="H39" s="17">
        <f t="shared" ref="H39:M39" si="8">H38*H54</f>
        <v>8528.6839721054894</v>
      </c>
      <c r="I39" s="17">
        <f t="shared" si="8"/>
        <v>29097.36008224537</v>
      </c>
      <c r="J39" s="17">
        <f t="shared" si="8"/>
        <v>1045319.406095818</v>
      </c>
      <c r="K39" s="17">
        <f t="shared" si="8"/>
        <v>350.89612464574407</v>
      </c>
      <c r="L39" s="17">
        <f t="shared" si="8"/>
        <v>1274.9220176441249</v>
      </c>
      <c r="M39" s="17">
        <f t="shared" si="8"/>
        <v>3715.5018664500685</v>
      </c>
    </row>
    <row r="40" spans="1:13" x14ac:dyDescent="0.25">
      <c r="A40">
        <v>2022</v>
      </c>
      <c r="H40" s="17">
        <f t="shared" ref="H40:M40" si="9">H39*H54</f>
        <v>8540.5463677513853</v>
      </c>
      <c r="I40" s="17">
        <f t="shared" si="9"/>
        <v>28441.703351660581</v>
      </c>
      <c r="J40" s="17">
        <f t="shared" si="9"/>
        <v>1028116.44671225</v>
      </c>
      <c r="K40" s="17">
        <f t="shared" si="9"/>
        <v>324.53551003013388</v>
      </c>
      <c r="L40" s="17">
        <f t="shared" si="9"/>
        <v>1347.3006584298325</v>
      </c>
      <c r="M40" s="17">
        <f t="shared" si="9"/>
        <v>3738.4213948074002</v>
      </c>
    </row>
    <row r="42" spans="1:13" x14ac:dyDescent="0.25">
      <c r="A42" s="29">
        <v>2011</v>
      </c>
      <c r="D42" s="6"/>
      <c r="H42" s="21">
        <f t="shared" ref="H42:M51" si="10">H29/H28</f>
        <v>1.0026746751213527</v>
      </c>
      <c r="I42" s="21">
        <f t="shared" si="10"/>
        <v>0.99517643232253761</v>
      </c>
      <c r="J42" s="21">
        <f t="shared" si="10"/>
        <v>0.9863018847097379</v>
      </c>
      <c r="K42" s="21">
        <f t="shared" si="10"/>
        <v>0.960509769567921</v>
      </c>
      <c r="L42" s="21">
        <f t="shared" si="10"/>
        <v>0.99330875947071695</v>
      </c>
      <c r="M42" s="21">
        <f t="shared" si="10"/>
        <v>0.99801106927788086</v>
      </c>
    </row>
    <row r="43" spans="1:13" x14ac:dyDescent="0.25">
      <c r="A43" s="55">
        <v>2012</v>
      </c>
      <c r="D43" s="6"/>
      <c r="H43" s="21">
        <f t="shared" si="10"/>
        <v>0.97684618237962051</v>
      </c>
      <c r="I43" s="21">
        <f t="shared" si="10"/>
        <v>1.006461835095265</v>
      </c>
      <c r="J43" s="21">
        <f t="shared" si="10"/>
        <v>1.0434662964550259</v>
      </c>
      <c r="K43" s="21">
        <f t="shared" si="10"/>
        <v>0.95931943957747456</v>
      </c>
      <c r="L43" s="21">
        <f t="shared" si="10"/>
        <v>0.99427066776778961</v>
      </c>
      <c r="M43" s="21">
        <f t="shared" si="10"/>
        <v>0.9992824826452843</v>
      </c>
    </row>
    <row r="44" spans="1:13" x14ac:dyDescent="0.25">
      <c r="A44" s="55">
        <v>2013</v>
      </c>
      <c r="D44" s="6"/>
      <c r="H44" s="21">
        <f t="shared" si="10"/>
        <v>0.97609570443809734</v>
      </c>
      <c r="I44" s="21">
        <f t="shared" si="10"/>
        <v>0.98757668302385626</v>
      </c>
      <c r="J44" s="21">
        <f t="shared" si="10"/>
        <v>0.98038845454418422</v>
      </c>
      <c r="K44" s="21">
        <f t="shared" si="10"/>
        <v>0.97767343467236911</v>
      </c>
      <c r="L44" s="21">
        <f t="shared" si="10"/>
        <v>0.98931116391436913</v>
      </c>
      <c r="M44" s="21">
        <f t="shared" si="10"/>
        <v>1.0162770735377162</v>
      </c>
    </row>
    <row r="45" spans="1:13" x14ac:dyDescent="0.25">
      <c r="A45" s="55">
        <v>2014</v>
      </c>
      <c r="D45" s="6"/>
      <c r="H45" s="21">
        <f t="shared" si="10"/>
        <v>0.99434438666455516</v>
      </c>
      <c r="I45" s="21">
        <f t="shared" si="10"/>
        <v>0.98691593831557822</v>
      </c>
      <c r="J45" s="21">
        <f t="shared" si="10"/>
        <v>0.91314646259471599</v>
      </c>
      <c r="K45" s="21">
        <f t="shared" si="10"/>
        <v>0.99669711647139669</v>
      </c>
      <c r="L45" s="21">
        <f t="shared" si="10"/>
        <v>0.983428083425822</v>
      </c>
      <c r="M45" s="21">
        <f t="shared" si="10"/>
        <v>0.99238129743149261</v>
      </c>
    </row>
    <row r="46" spans="1:13" x14ac:dyDescent="0.25">
      <c r="A46" s="55">
        <v>2015</v>
      </c>
      <c r="D46" s="6"/>
      <c r="H46" s="21">
        <f t="shared" si="10"/>
        <v>1.0089790455662431</v>
      </c>
      <c r="I46" s="21">
        <f t="shared" si="10"/>
        <v>1.0027447369917091</v>
      </c>
      <c r="J46" s="21">
        <f t="shared" si="10"/>
        <v>1.0070609933771069</v>
      </c>
      <c r="K46" s="21">
        <f t="shared" si="10"/>
        <v>1.0073335243462644</v>
      </c>
      <c r="L46" s="21">
        <f t="shared" si="10"/>
        <v>0.97634056240708167</v>
      </c>
      <c r="M46" s="21">
        <f t="shared" si="10"/>
        <v>1.0001610594474921</v>
      </c>
    </row>
    <row r="47" spans="1:13" x14ac:dyDescent="0.25">
      <c r="A47" s="55">
        <v>2016</v>
      </c>
      <c r="D47" s="6"/>
      <c r="H47" s="21">
        <f t="shared" si="10"/>
        <v>1.0061576847414346</v>
      </c>
      <c r="I47" s="21">
        <f t="shared" si="10"/>
        <v>0.99201749837509778</v>
      </c>
      <c r="J47" s="21">
        <f t="shared" si="10"/>
        <v>0.96961189530524616</v>
      </c>
      <c r="K47" s="21">
        <f t="shared" si="10"/>
        <v>0.78983731730035911</v>
      </c>
      <c r="L47" s="21">
        <f t="shared" si="10"/>
        <v>1.0391710960814731</v>
      </c>
      <c r="M47" s="21">
        <f t="shared" si="10"/>
        <v>1.0067007240296069</v>
      </c>
    </row>
    <row r="48" spans="1:13" x14ac:dyDescent="0.25">
      <c r="A48" s="55">
        <v>2017</v>
      </c>
      <c r="D48" s="6"/>
      <c r="H48" s="21">
        <f t="shared" si="10"/>
        <v>0.93202871260887299</v>
      </c>
      <c r="I48" s="21">
        <f t="shared" si="10"/>
        <v>0.96717902669780376</v>
      </c>
      <c r="J48" s="21">
        <f t="shared" si="10"/>
        <v>0.99836647628089725</v>
      </c>
      <c r="K48" s="21">
        <f t="shared" si="10"/>
        <v>0.63983686396776795</v>
      </c>
      <c r="L48" s="21">
        <f t="shared" si="10"/>
        <v>1.7625568332764818</v>
      </c>
      <c r="M48" s="21">
        <f t="shared" si="10"/>
        <v>1.0121481198934039</v>
      </c>
    </row>
    <row r="49" spans="1:14" x14ac:dyDescent="0.25">
      <c r="A49" s="55">
        <v>2018</v>
      </c>
      <c r="D49" s="6"/>
      <c r="H49" s="21">
        <f t="shared" si="10"/>
        <v>1.0934501586716112</v>
      </c>
      <c r="I49" s="21">
        <f t="shared" si="10"/>
        <v>0.97950060632044211</v>
      </c>
      <c r="J49" s="21">
        <f t="shared" si="10"/>
        <v>0.97519892379198303</v>
      </c>
      <c r="K49" s="21">
        <f t="shared" si="10"/>
        <v>1.0289261572279451</v>
      </c>
      <c r="L49" s="21">
        <f t="shared" si="10"/>
        <v>0.9814924487499409</v>
      </c>
      <c r="M49" s="21">
        <f t="shared" si="10"/>
        <v>0.99296824845219223</v>
      </c>
    </row>
    <row r="50" spans="1:14" x14ac:dyDescent="0.25">
      <c r="A50" s="55">
        <v>2019</v>
      </c>
      <c r="D50" s="6"/>
      <c r="H50" s="21">
        <f t="shared" si="10"/>
        <v>0.96410358689204134</v>
      </c>
      <c r="I50" s="21">
        <f t="shared" si="10"/>
        <v>0.97265923665278586</v>
      </c>
      <c r="J50" s="21">
        <f t="shared" si="10"/>
        <v>1.0047243276713012</v>
      </c>
      <c r="K50" s="21">
        <f t="shared" si="10"/>
        <v>1.0367157931369608</v>
      </c>
      <c r="L50" s="21">
        <f t="shared" si="10"/>
        <v>0.99380697051154121</v>
      </c>
      <c r="M50" s="21">
        <f t="shared" si="10"/>
        <v>1.0724423957176799</v>
      </c>
    </row>
    <row r="51" spans="1:14" x14ac:dyDescent="0.25">
      <c r="A51" s="55">
        <v>2020</v>
      </c>
      <c r="D51" s="6"/>
      <c r="H51" s="21">
        <f t="shared" si="10"/>
        <v>1.0707229367595079</v>
      </c>
      <c r="I51" s="21">
        <f t="shared" si="10"/>
        <v>0.90591573847330975</v>
      </c>
      <c r="J51" s="21">
        <f t="shared" si="10"/>
        <v>0.96524765684311709</v>
      </c>
      <c r="K51" s="21">
        <f t="shared" si="10"/>
        <v>0.97545779855110537</v>
      </c>
      <c r="L51" s="21">
        <f t="shared" si="10"/>
        <v>0.97415360158368347</v>
      </c>
      <c r="M51" s="21">
        <f t="shared" si="10"/>
        <v>0.96634949148505045</v>
      </c>
    </row>
    <row r="52" spans="1:14" x14ac:dyDescent="0.25">
      <c r="A52" s="55"/>
      <c r="D52" s="6"/>
      <c r="H52" s="21"/>
      <c r="I52" s="21"/>
      <c r="J52" s="21"/>
      <c r="K52" s="21"/>
      <c r="L52" s="21"/>
      <c r="M52" s="21"/>
    </row>
    <row r="53" spans="1:14" x14ac:dyDescent="0.25">
      <c r="A53" s="3"/>
      <c r="D53" s="6"/>
      <c r="E53" s="6"/>
      <c r="F53" s="6"/>
    </row>
    <row r="54" spans="1:14" x14ac:dyDescent="0.25">
      <c r="A54" t="s">
        <v>14</v>
      </c>
      <c r="D54" s="6"/>
      <c r="H54" s="21">
        <f t="shared" ref="H54:M54" si="11">H56</f>
        <v>1.0013908823078326</v>
      </c>
      <c r="I54" s="21">
        <f t="shared" si="11"/>
        <v>0.97746679668768788</v>
      </c>
      <c r="J54" s="21">
        <f t="shared" si="11"/>
        <v>0.98354286806190683</v>
      </c>
      <c r="K54" s="21">
        <f t="shared" si="11"/>
        <v>0.92487630166271229</v>
      </c>
      <c r="L54" s="21">
        <f t="shared" si="11"/>
        <v>1.0567710336663987</v>
      </c>
      <c r="M54" s="21">
        <f t="shared" si="11"/>
        <v>1.0061686224852391</v>
      </c>
    </row>
    <row r="55" spans="1:14" x14ac:dyDescent="0.25">
      <c r="A55" s="3"/>
      <c r="D55" s="6"/>
      <c r="H55" s="11"/>
      <c r="I55" s="11"/>
      <c r="L55" s="10"/>
      <c r="M55" s="10"/>
    </row>
    <row r="56" spans="1:14" x14ac:dyDescent="0.25">
      <c r="A56" t="s">
        <v>11</v>
      </c>
      <c r="D56" s="6"/>
      <c r="H56" s="21">
        <f t="shared" ref="H56:M56" si="12">GEOMEAN(H43:H51)</f>
        <v>1.0013908823078326</v>
      </c>
      <c r="I56" s="21">
        <f t="shared" si="12"/>
        <v>0.97746679668768788</v>
      </c>
      <c r="J56" s="21">
        <f t="shared" si="12"/>
        <v>0.98354286806190683</v>
      </c>
      <c r="K56" s="21">
        <f t="shared" si="12"/>
        <v>0.92487630166271229</v>
      </c>
      <c r="L56" s="21">
        <f t="shared" si="12"/>
        <v>1.0567710336663987</v>
      </c>
      <c r="M56" s="21">
        <f t="shared" si="12"/>
        <v>1.0061686224852391</v>
      </c>
    </row>
    <row r="57" spans="1:14" x14ac:dyDescent="0.25">
      <c r="D57" s="6"/>
      <c r="H57" s="21"/>
      <c r="I57" s="21"/>
      <c r="J57" s="21"/>
      <c r="K57" s="21"/>
      <c r="L57" s="21"/>
      <c r="M57" s="21"/>
    </row>
    <row r="58" spans="1:14" ht="13" x14ac:dyDescent="0.3">
      <c r="A58" s="15" t="s">
        <v>42</v>
      </c>
    </row>
    <row r="59" spans="1:14" x14ac:dyDescent="0.25">
      <c r="A59">
        <v>2021</v>
      </c>
      <c r="B59"/>
      <c r="C59"/>
      <c r="G59" s="28">
        <f>SUM(H59:M59)</f>
        <v>935078335.10817885</v>
      </c>
      <c r="H59" s="28">
        <f>H39*'Rate Class Customer Model'!B18</f>
        <v>318725609.53526515</v>
      </c>
      <c r="I59" s="28">
        <f>'Rate Class Customer Model'!C18*I39</f>
        <v>86003055.94591032</v>
      </c>
      <c r="J59" s="28">
        <f>'Rate Class Customer Model'!D18*J39</f>
        <v>521315476.69359136</v>
      </c>
      <c r="K59" s="28">
        <f>'Rate Class Customer Model'!E18*K39</f>
        <v>170250.23052332981</v>
      </c>
      <c r="L59" s="28">
        <f>'Rate Class Customer Model'!F18*L39</f>
        <v>7357574.9638242451</v>
      </c>
      <c r="M59" s="28">
        <f>'Rate Class Customer Model'!G18*M39</f>
        <v>1506367.7390644536</v>
      </c>
      <c r="N59" s="28"/>
    </row>
    <row r="60" spans="1:14" x14ac:dyDescent="0.25">
      <c r="A60">
        <v>2022</v>
      </c>
      <c r="G60" s="28">
        <f>SUM(H60:M60)</f>
        <v>937077355.78031194</v>
      </c>
      <c r="H60" s="28">
        <f>H40*'Rate Class Customer Model'!B19</f>
        <v>321704252.10129535</v>
      </c>
      <c r="I60" s="28">
        <f>I40*'Rate Class Customer Model'!C19</f>
        <v>84795248.518895879</v>
      </c>
      <c r="J60" s="28">
        <f>J40*'Rate Class Customer Model'!D19</f>
        <v>521145463.84129751</v>
      </c>
      <c r="K60" s="28">
        <f>K40*'Rate Class Customer Model'!E19</f>
        <v>154390.84699760258</v>
      </c>
      <c r="L60" s="28">
        <f>L40*'Rate Class Customer Model'!F19</f>
        <v>7775272.0997985639</v>
      </c>
      <c r="M60" s="28">
        <f>M40*'Rate Class Customer Model'!G19</f>
        <v>1502728.3720270565</v>
      </c>
      <c r="N60" s="28"/>
    </row>
    <row r="61" spans="1:14" x14ac:dyDescent="0.25">
      <c r="G61" s="28"/>
      <c r="H61" s="28"/>
      <c r="I61" s="28"/>
      <c r="J61" s="28"/>
      <c r="K61" s="28"/>
      <c r="L61" s="28"/>
      <c r="M61" s="28"/>
      <c r="N61" s="28"/>
    </row>
    <row r="62" spans="1:14" ht="13" x14ac:dyDescent="0.3">
      <c r="A62" s="15" t="s">
        <v>41</v>
      </c>
      <c r="G62" s="28"/>
      <c r="H62" s="28"/>
      <c r="I62" s="28"/>
      <c r="J62" s="28"/>
      <c r="K62" s="28"/>
      <c r="L62" s="28"/>
      <c r="M62" s="28"/>
      <c r="N62" s="28" t="s">
        <v>13</v>
      </c>
    </row>
    <row r="63" spans="1:14" x14ac:dyDescent="0.25">
      <c r="A63">
        <v>2021</v>
      </c>
      <c r="G63" s="43">
        <f>G18</f>
        <v>1096703373.4817805</v>
      </c>
      <c r="H63" s="28">
        <f t="shared" ref="H63:M64" si="13">H59+H71</f>
        <v>395695313.99711823</v>
      </c>
      <c r="I63" s="28">
        <f t="shared" si="13"/>
        <v>106772111.21142548</v>
      </c>
      <c r="J63" s="28">
        <f t="shared" si="13"/>
        <v>585201755.3398248</v>
      </c>
      <c r="K63" s="28">
        <f t="shared" si="13"/>
        <v>170250.23052332981</v>
      </c>
      <c r="L63" s="28">
        <f t="shared" si="13"/>
        <v>7357574.9638242451</v>
      </c>
      <c r="M63" s="28">
        <f t="shared" si="13"/>
        <v>1506367.7390644536</v>
      </c>
      <c r="N63" s="28">
        <f>SUM(H63:M63)</f>
        <v>1096703373.4817805</v>
      </c>
    </row>
    <row r="64" spans="1:14" x14ac:dyDescent="0.25">
      <c r="A64">
        <v>2022</v>
      </c>
      <c r="G64" s="43">
        <f>G19</f>
        <v>1141510550.1619592</v>
      </c>
      <c r="H64" s="28">
        <f t="shared" si="13"/>
        <v>419723348.40087187</v>
      </c>
      <c r="I64" s="28">
        <f t="shared" si="13"/>
        <v>110631256.51702179</v>
      </c>
      <c r="J64" s="28">
        <f t="shared" si="13"/>
        <v>601723553.9252423</v>
      </c>
      <c r="K64" s="28">
        <f t="shared" si="13"/>
        <v>154390.84699760258</v>
      </c>
      <c r="L64" s="28">
        <f t="shared" si="13"/>
        <v>7775272.0997985639</v>
      </c>
      <c r="M64" s="28">
        <f t="shared" si="13"/>
        <v>1502728.3720270565</v>
      </c>
      <c r="N64" s="28">
        <f>SUM(H64:M64)</f>
        <v>1141510550.1619592</v>
      </c>
    </row>
    <row r="65" spans="1:14" x14ac:dyDescent="0.25">
      <c r="G65" s="28"/>
      <c r="H65" s="28"/>
      <c r="I65" s="28"/>
      <c r="J65" s="28"/>
      <c r="K65" s="28"/>
      <c r="L65" s="28"/>
      <c r="M65" s="28"/>
      <c r="N65" s="28"/>
    </row>
    <row r="66" spans="1:14" x14ac:dyDescent="0.25">
      <c r="A66" s="39" t="s">
        <v>43</v>
      </c>
      <c r="G66" s="28"/>
      <c r="H66" s="44">
        <v>0.67</v>
      </c>
      <c r="I66" s="44">
        <v>0.67</v>
      </c>
      <c r="J66" s="44">
        <v>0.34</v>
      </c>
      <c r="K66" s="90">
        <v>0</v>
      </c>
      <c r="L66" s="44">
        <v>0</v>
      </c>
      <c r="M66" s="44">
        <v>0</v>
      </c>
      <c r="N66" s="28" t="s">
        <v>13</v>
      </c>
    </row>
    <row r="67" spans="1:14" x14ac:dyDescent="0.25">
      <c r="A67">
        <v>2021</v>
      </c>
      <c r="G67" s="28">
        <f>G63-G59</f>
        <v>161625038.37360168</v>
      </c>
      <c r="H67" s="28">
        <f t="shared" ref="H67:M67" si="14">H59*H66</f>
        <v>213546158.38862765</v>
      </c>
      <c r="I67" s="28">
        <f t="shared" si="14"/>
        <v>57622047.483759917</v>
      </c>
      <c r="J67" s="28">
        <f t="shared" si="14"/>
        <v>177247262.07582107</v>
      </c>
      <c r="K67" s="28">
        <f t="shared" si="14"/>
        <v>0</v>
      </c>
      <c r="L67" s="28">
        <f t="shared" si="14"/>
        <v>0</v>
      </c>
      <c r="M67" s="28">
        <f t="shared" si="14"/>
        <v>0</v>
      </c>
      <c r="N67" s="28">
        <f>SUM(H67:M67)</f>
        <v>448415467.94820869</v>
      </c>
    </row>
    <row r="68" spans="1:14" x14ac:dyDescent="0.25">
      <c r="A68">
        <v>2022</v>
      </c>
      <c r="G68" s="28">
        <f>G64-G60</f>
        <v>204433194.38164723</v>
      </c>
      <c r="H68" s="28">
        <f t="shared" ref="H68:M68" si="15">H60*H66</f>
        <v>215541848.90786791</v>
      </c>
      <c r="I68" s="28">
        <f t="shared" si="15"/>
        <v>56812816.50766024</v>
      </c>
      <c r="J68" s="28">
        <f t="shared" si="15"/>
        <v>177189457.70604116</v>
      </c>
      <c r="K68" s="28">
        <f t="shared" si="15"/>
        <v>0</v>
      </c>
      <c r="L68" s="28">
        <f t="shared" si="15"/>
        <v>0</v>
      </c>
      <c r="M68" s="28">
        <f t="shared" si="15"/>
        <v>0</v>
      </c>
      <c r="N68" s="28">
        <f>SUM(H68:M68)</f>
        <v>449544123.12156934</v>
      </c>
    </row>
    <row r="69" spans="1:14" ht="12" customHeight="1" x14ac:dyDescent="0.25">
      <c r="G69" s="28"/>
      <c r="H69" s="28"/>
      <c r="I69" s="28"/>
      <c r="J69" s="28"/>
      <c r="K69" s="28"/>
      <c r="L69" s="28"/>
      <c r="M69" s="28"/>
      <c r="N69" s="28"/>
    </row>
    <row r="70" spans="1:14" x14ac:dyDescent="0.25">
      <c r="A70" t="s">
        <v>44</v>
      </c>
      <c r="G70" s="28"/>
      <c r="H70" s="28"/>
      <c r="I70" s="28"/>
      <c r="J70" s="28"/>
      <c r="K70" s="28"/>
      <c r="L70" s="28"/>
      <c r="M70" s="28"/>
      <c r="N70" s="28"/>
    </row>
    <row r="71" spans="1:14" x14ac:dyDescent="0.25">
      <c r="A71">
        <v>2021</v>
      </c>
      <c r="G71" s="28"/>
      <c r="H71" s="28">
        <f t="shared" ref="H71:M71" si="16">H67/$N$67*$G$67</f>
        <v>76969704.461853057</v>
      </c>
      <c r="I71" s="28">
        <f t="shared" si="16"/>
        <v>20769055.265515171</v>
      </c>
      <c r="J71" s="28">
        <f t="shared" si="16"/>
        <v>63886278.646233425</v>
      </c>
      <c r="K71" s="28">
        <f t="shared" si="16"/>
        <v>0</v>
      </c>
      <c r="L71" s="28">
        <f t="shared" si="16"/>
        <v>0</v>
      </c>
      <c r="M71" s="28">
        <f t="shared" si="16"/>
        <v>0</v>
      </c>
      <c r="N71" s="28">
        <f>SUM(H71:M71)</f>
        <v>161625038.37360168</v>
      </c>
    </row>
    <row r="72" spans="1:14" x14ac:dyDescent="0.25">
      <c r="A72">
        <v>2022</v>
      </c>
      <c r="H72" s="28">
        <f t="shared" ref="H72:M72" si="17">H68/$N$68*$G$68</f>
        <v>98019096.299576536</v>
      </c>
      <c r="I72" s="28">
        <f t="shared" si="17"/>
        <v>25836007.998125907</v>
      </c>
      <c r="J72" s="28">
        <f t="shared" si="17"/>
        <v>80578090.083944768</v>
      </c>
      <c r="K72" s="28">
        <f t="shared" si="17"/>
        <v>0</v>
      </c>
      <c r="L72" s="28">
        <f t="shared" si="17"/>
        <v>0</v>
      </c>
      <c r="M72" s="28">
        <f t="shared" si="17"/>
        <v>0</v>
      </c>
      <c r="N72" s="28">
        <f>SUM(H72:M72)</f>
        <v>204433194.38164723</v>
      </c>
    </row>
    <row r="74" spans="1:14" x14ac:dyDescent="0.25">
      <c r="A74" s="12" t="s">
        <v>71</v>
      </c>
    </row>
    <row r="75" spans="1:14" x14ac:dyDescent="0.25">
      <c r="G75" s="284" t="s">
        <v>73</v>
      </c>
      <c r="H75" s="285">
        <v>5.410560600989428E-2</v>
      </c>
      <c r="I75" s="285">
        <v>5.1847756283270201E-2</v>
      </c>
      <c r="J75" s="285">
        <v>0.89404663770683557</v>
      </c>
      <c r="K75" s="283">
        <v>0</v>
      </c>
      <c r="L75" s="283">
        <v>0</v>
      </c>
      <c r="M75" s="283">
        <v>0</v>
      </c>
      <c r="N75" s="281">
        <v>1</v>
      </c>
    </row>
    <row r="76" spans="1:14" x14ac:dyDescent="0.25">
      <c r="A76">
        <v>2021</v>
      </c>
      <c r="G76" s="282">
        <v>0</v>
      </c>
      <c r="H76" s="280">
        <v>0</v>
      </c>
      <c r="I76" s="280">
        <v>0</v>
      </c>
      <c r="J76" s="280">
        <v>0</v>
      </c>
      <c r="K76" s="280">
        <v>0</v>
      </c>
      <c r="L76" s="280">
        <v>0</v>
      </c>
      <c r="M76" s="280">
        <v>0</v>
      </c>
      <c r="N76" s="281">
        <v>0</v>
      </c>
    </row>
    <row r="77" spans="1:14" x14ac:dyDescent="0.25">
      <c r="A77">
        <v>2022</v>
      </c>
      <c r="G77" s="286">
        <v>0</v>
      </c>
      <c r="H77" s="280">
        <v>0</v>
      </c>
      <c r="I77" s="280">
        <v>0</v>
      </c>
      <c r="J77" s="280">
        <v>0</v>
      </c>
      <c r="K77" s="280">
        <v>0</v>
      </c>
      <c r="L77" s="280">
        <v>0</v>
      </c>
      <c r="M77" s="280">
        <v>0</v>
      </c>
      <c r="N77" s="280">
        <v>0</v>
      </c>
    </row>
    <row r="79" spans="1:14" x14ac:dyDescent="0.25">
      <c r="A79" s="39" t="s">
        <v>133</v>
      </c>
      <c r="B79" s="19"/>
      <c r="C79" s="19"/>
      <c r="D79" s="19"/>
      <c r="E79" s="19"/>
      <c r="F79" s="19"/>
      <c r="G79" s="23"/>
      <c r="H79" s="23"/>
      <c r="I79" s="23"/>
      <c r="J79" s="23"/>
      <c r="K79" s="23"/>
      <c r="L79" s="23"/>
      <c r="M79" s="23"/>
    </row>
    <row r="80" spans="1:14" x14ac:dyDescent="0.25">
      <c r="A80" s="27">
        <v>2021</v>
      </c>
      <c r="B80" s="19"/>
      <c r="C80" s="19"/>
      <c r="D80" s="19"/>
      <c r="E80" s="19"/>
      <c r="F80" s="19"/>
      <c r="G80" s="23"/>
      <c r="H80" s="23"/>
      <c r="I80" s="23"/>
      <c r="J80" s="23"/>
      <c r="K80" s="23">
        <v>0</v>
      </c>
      <c r="L80" s="203"/>
      <c r="M80" s="23"/>
    </row>
    <row r="81" spans="1:14" x14ac:dyDescent="0.25">
      <c r="A81" s="27">
        <v>2022</v>
      </c>
      <c r="B81" s="19"/>
      <c r="C81" s="19"/>
      <c r="D81" s="19"/>
      <c r="E81" s="19"/>
      <c r="F81" s="19"/>
      <c r="G81" s="23"/>
      <c r="H81" s="23"/>
      <c r="I81" s="23"/>
      <c r="J81" s="23"/>
      <c r="K81" s="23">
        <v>0</v>
      </c>
      <c r="L81" s="23"/>
      <c r="M81" s="23"/>
    </row>
    <row r="82" spans="1:14" ht="13" x14ac:dyDescent="0.3">
      <c r="A82" s="279" t="s">
        <v>72</v>
      </c>
      <c r="B82" s="19"/>
      <c r="C82" s="19"/>
    </row>
    <row r="83" spans="1:14" x14ac:dyDescent="0.25">
      <c r="A83" s="27"/>
      <c r="B83" s="19"/>
      <c r="C83" s="19"/>
      <c r="G83" s="54"/>
    </row>
    <row r="84" spans="1:14" x14ac:dyDescent="0.25">
      <c r="A84" s="27">
        <v>2021</v>
      </c>
      <c r="B84" s="19"/>
      <c r="C84" s="19"/>
      <c r="G84" s="54">
        <f>G63+G76-K80</f>
        <v>1096703373.4817805</v>
      </c>
      <c r="H84" s="6">
        <f t="shared" ref="H84:J85" si="18">H63+H76</f>
        <v>395695313.99711823</v>
      </c>
      <c r="I84" s="6">
        <f t="shared" si="18"/>
        <v>106772111.21142548</v>
      </c>
      <c r="J84" s="6">
        <f t="shared" si="18"/>
        <v>585201755.3398248</v>
      </c>
      <c r="K84" s="6">
        <f>K63+K76-K80</f>
        <v>170250.23052332981</v>
      </c>
      <c r="L84" s="6">
        <f>L63+L76</f>
        <v>7357574.9638242451</v>
      </c>
      <c r="M84" s="6">
        <f>M63+M76</f>
        <v>1506367.7390644536</v>
      </c>
      <c r="N84" s="28">
        <f>SUM(H84:M84)</f>
        <v>1096703373.4817805</v>
      </c>
    </row>
    <row r="85" spans="1:14" x14ac:dyDescent="0.25">
      <c r="A85" s="27">
        <v>2022</v>
      </c>
      <c r="B85" s="19"/>
      <c r="C85" s="19"/>
      <c r="G85" s="54">
        <f>G64+G77-K81</f>
        <v>1141510550.1619592</v>
      </c>
      <c r="H85" s="6">
        <f>H64+H77</f>
        <v>419723348.40087187</v>
      </c>
      <c r="I85" s="6">
        <f t="shared" si="18"/>
        <v>110631256.51702179</v>
      </c>
      <c r="J85" s="6">
        <f t="shared" si="18"/>
        <v>601723553.9252423</v>
      </c>
      <c r="K85" s="6">
        <f>K64+K77-K81</f>
        <v>154390.84699760258</v>
      </c>
      <c r="L85" s="6">
        <f>L64+L77</f>
        <v>7775272.0997985639</v>
      </c>
      <c r="M85" s="6">
        <f>M64+M77</f>
        <v>1502728.3720270565</v>
      </c>
      <c r="N85" s="28">
        <f>SUM(H85:M85)</f>
        <v>1141510550.1619592</v>
      </c>
    </row>
    <row r="86" spans="1:14" x14ac:dyDescent="0.25">
      <c r="A86" s="27"/>
      <c r="B86" s="19"/>
      <c r="C86" s="19"/>
      <c r="G86" s="23"/>
    </row>
    <row r="87" spans="1:14" ht="11" customHeight="1" x14ac:dyDescent="0.25">
      <c r="A87" s="39"/>
      <c r="B87" s="19"/>
      <c r="C87" s="19"/>
      <c r="G87" s="111"/>
    </row>
    <row r="88" spans="1:14" x14ac:dyDescent="0.25">
      <c r="A88" s="27"/>
      <c r="B88" s="19"/>
      <c r="C88" s="19"/>
    </row>
  </sheetData>
  <phoneticPr fontId="0" type="noConversion"/>
  <pageMargins left="0.38" right="0.75" top="0.73" bottom="0.74" header="0.5" footer="0.5"/>
  <pageSetup scale="45" orientation="portrait"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pageSetUpPr fitToPage="1"/>
  </sheetPr>
  <dimension ref="A1:M95"/>
  <sheetViews>
    <sheetView topLeftCell="A25" workbookViewId="0">
      <selection activeCell="H19" sqref="H19"/>
    </sheetView>
  </sheetViews>
  <sheetFormatPr defaultRowHeight="12.5" x14ac:dyDescent="0.25"/>
  <cols>
    <col min="1" max="1" width="11" customWidth="1"/>
    <col min="2" max="2" width="15" style="6" customWidth="1"/>
    <col min="3" max="4" width="14.1796875" style="6" bestFit="1" customWidth="1"/>
    <col min="5" max="5" width="14.1796875" style="6" customWidth="1"/>
    <col min="6" max="6" width="17.54296875" style="6" customWidth="1"/>
    <col min="7" max="7" width="12.54296875" style="6" customWidth="1"/>
    <col min="8" max="9" width="12.54296875" style="6" bestFit="1" customWidth="1"/>
    <col min="10" max="10" width="11.54296875" style="6" bestFit="1" customWidth="1"/>
    <col min="11" max="11" width="10.54296875" style="6" bestFit="1" customWidth="1"/>
    <col min="12" max="13" width="9.1796875" style="6" customWidth="1"/>
  </cols>
  <sheetData>
    <row r="1" spans="1:13" x14ac:dyDescent="0.25">
      <c r="A1" s="101" t="s">
        <v>164</v>
      </c>
    </row>
    <row r="2" spans="1:13" ht="42" customHeight="1" x14ac:dyDescent="0.25">
      <c r="B2" s="9" t="str">
        <f>'Rate Class Energy Model'!H2</f>
        <v>Residential</v>
      </c>
      <c r="C2" s="9" t="str">
        <f>'Rate Class Energy Model'!I2</f>
        <v>GS&lt;50</v>
      </c>
      <c r="D2" s="9" t="str">
        <f>'Rate Class Energy Model'!J2</f>
        <v>GS&gt;50 (excl. WMP)</v>
      </c>
      <c r="E2" s="9" t="str">
        <f>'Rate Class Energy Model'!K2</f>
        <v>Sentinels</v>
      </c>
      <c r="F2" s="9" t="str">
        <f>'Rate Class Energy Model'!L2</f>
        <v>Streetlights</v>
      </c>
      <c r="G2" s="9" t="str">
        <f>'Rate Class Energy Model'!M2</f>
        <v>USL</v>
      </c>
      <c r="H2" s="6" t="s">
        <v>9</v>
      </c>
    </row>
    <row r="3" spans="1:13" x14ac:dyDescent="0.25">
      <c r="A3" s="4">
        <v>2006</v>
      </c>
      <c r="B3" s="31">
        <v>32800</v>
      </c>
      <c r="C3" s="31">
        <v>2546</v>
      </c>
      <c r="D3" s="31">
        <v>398.5</v>
      </c>
      <c r="E3" s="42">
        <v>276.5</v>
      </c>
      <c r="F3" s="31">
        <v>9366</v>
      </c>
      <c r="G3" s="31">
        <v>455.5</v>
      </c>
      <c r="H3" s="30">
        <f t="shared" ref="H3:H18" si="0">SUM(B3:G3)</f>
        <v>45842.5</v>
      </c>
      <c r="K3"/>
    </row>
    <row r="4" spans="1:13" x14ac:dyDescent="0.25">
      <c r="A4" s="4">
        <v>2007</v>
      </c>
      <c r="B4" s="31">
        <v>33263.5</v>
      </c>
      <c r="C4" s="31">
        <v>2640</v>
      </c>
      <c r="D4" s="31">
        <v>409</v>
      </c>
      <c r="E4" s="42">
        <v>569</v>
      </c>
      <c r="F4" s="31">
        <v>9602</v>
      </c>
      <c r="G4" s="31">
        <v>439</v>
      </c>
      <c r="H4" s="30">
        <f t="shared" si="0"/>
        <v>46922.5</v>
      </c>
      <c r="K4"/>
    </row>
    <row r="5" spans="1:13" x14ac:dyDescent="0.25">
      <c r="A5" s="4">
        <v>2008</v>
      </c>
      <c r="B5" s="31">
        <v>33683.5</v>
      </c>
      <c r="C5" s="31">
        <v>2702</v>
      </c>
      <c r="D5" s="31">
        <v>407</v>
      </c>
      <c r="E5" s="42">
        <v>585</v>
      </c>
      <c r="F5" s="31">
        <v>9740</v>
      </c>
      <c r="G5" s="31">
        <v>442</v>
      </c>
      <c r="H5" s="30">
        <f t="shared" si="0"/>
        <v>47559.5</v>
      </c>
      <c r="K5"/>
    </row>
    <row r="6" spans="1:13" x14ac:dyDescent="0.25">
      <c r="A6" s="4">
        <v>2009</v>
      </c>
      <c r="B6" s="31">
        <v>33947</v>
      </c>
      <c r="C6" s="31">
        <v>2703.5</v>
      </c>
      <c r="D6" s="31">
        <v>408.5</v>
      </c>
      <c r="E6" s="42">
        <v>590</v>
      </c>
      <c r="F6" s="31">
        <v>9852</v>
      </c>
      <c r="G6" s="31">
        <v>444</v>
      </c>
      <c r="H6" s="30">
        <f t="shared" si="0"/>
        <v>47945</v>
      </c>
      <c r="K6"/>
    </row>
    <row r="7" spans="1:13" x14ac:dyDescent="0.25">
      <c r="A7" s="4">
        <v>2010</v>
      </c>
      <c r="B7" s="31">
        <v>34256</v>
      </c>
      <c r="C7" s="31">
        <v>2687.5</v>
      </c>
      <c r="D7" s="31">
        <v>417</v>
      </c>
      <c r="E7" s="42">
        <v>602.5</v>
      </c>
      <c r="F7" s="31">
        <v>9953</v>
      </c>
      <c r="G7" s="31">
        <v>445.5</v>
      </c>
      <c r="H7" s="30">
        <f t="shared" si="0"/>
        <v>48361.5</v>
      </c>
    </row>
    <row r="8" spans="1:13" x14ac:dyDescent="0.25">
      <c r="A8" s="4">
        <v>2011</v>
      </c>
      <c r="B8" s="31">
        <v>34643</v>
      </c>
      <c r="C8" s="31">
        <v>2709</v>
      </c>
      <c r="D8" s="31">
        <v>421</v>
      </c>
      <c r="E8" s="42">
        <v>620.5</v>
      </c>
      <c r="F8" s="31">
        <v>9988</v>
      </c>
      <c r="G8" s="31">
        <v>445.5</v>
      </c>
      <c r="H8" s="30">
        <f t="shared" si="0"/>
        <v>48827</v>
      </c>
      <c r="K8"/>
    </row>
    <row r="9" spans="1:13" s="27" customFormat="1" x14ac:dyDescent="0.25">
      <c r="A9" s="58">
        <v>2012</v>
      </c>
      <c r="B9" s="31">
        <v>34938</v>
      </c>
      <c r="C9" s="31">
        <v>2728</v>
      </c>
      <c r="D9" s="31">
        <v>419</v>
      </c>
      <c r="E9" s="42">
        <v>625</v>
      </c>
      <c r="F9" s="31">
        <v>10134</v>
      </c>
      <c r="G9" s="31">
        <v>442.5</v>
      </c>
      <c r="H9" s="30">
        <f t="shared" si="0"/>
        <v>49286.5</v>
      </c>
      <c r="I9" s="23"/>
      <c r="J9" s="23"/>
      <c r="K9" s="6"/>
      <c r="L9" s="23"/>
      <c r="M9" s="23"/>
    </row>
    <row r="10" spans="1:13" s="27" customFormat="1" x14ac:dyDescent="0.25">
      <c r="A10" s="58">
        <v>2013</v>
      </c>
      <c r="B10" s="31">
        <v>35225.5</v>
      </c>
      <c r="C10" s="31">
        <v>2748.5</v>
      </c>
      <c r="D10" s="31">
        <v>423.5</v>
      </c>
      <c r="E10" s="42">
        <v>624.5</v>
      </c>
      <c r="F10" s="31">
        <v>10231.5</v>
      </c>
      <c r="G10" s="31">
        <v>437.5</v>
      </c>
      <c r="H10" s="30">
        <f t="shared" si="0"/>
        <v>49691</v>
      </c>
      <c r="I10" s="23"/>
      <c r="J10" s="23"/>
      <c r="K10"/>
      <c r="L10" s="23"/>
      <c r="M10" s="23"/>
    </row>
    <row r="11" spans="1:13" s="27" customFormat="1" x14ac:dyDescent="0.25">
      <c r="A11" s="58">
        <v>2014</v>
      </c>
      <c r="B11" s="31">
        <v>35479</v>
      </c>
      <c r="C11" s="31">
        <v>2771.5</v>
      </c>
      <c r="D11" s="31">
        <v>432</v>
      </c>
      <c r="E11" s="42">
        <v>621.5</v>
      </c>
      <c r="F11" s="31">
        <v>10392</v>
      </c>
      <c r="G11" s="31">
        <v>434</v>
      </c>
      <c r="H11" s="30">
        <f t="shared" si="0"/>
        <v>50130</v>
      </c>
      <c r="I11" s="23"/>
      <c r="J11" s="23"/>
      <c r="K11" s="6"/>
      <c r="L11" s="6"/>
      <c r="M11" s="23"/>
    </row>
    <row r="12" spans="1:13" s="27" customFormat="1" x14ac:dyDescent="0.25">
      <c r="A12" s="58">
        <v>2015</v>
      </c>
      <c r="B12" s="31">
        <v>35743.5</v>
      </c>
      <c r="C12" s="31">
        <v>2784</v>
      </c>
      <c r="D12" s="31">
        <v>437.5</v>
      </c>
      <c r="E12" s="42">
        <v>618.5</v>
      </c>
      <c r="F12" s="31">
        <v>10631.5</v>
      </c>
      <c r="G12" s="31">
        <v>430.5</v>
      </c>
      <c r="H12" s="30">
        <f t="shared" si="0"/>
        <v>50645.5</v>
      </c>
      <c r="I12" s="23"/>
      <c r="J12" s="23"/>
      <c r="K12"/>
      <c r="L12" s="23"/>
      <c r="M12" s="23"/>
    </row>
    <row r="13" spans="1:13" s="27" customFormat="1" x14ac:dyDescent="0.25">
      <c r="A13" s="58">
        <v>2016</v>
      </c>
      <c r="B13" s="31">
        <f>AVERAGE('[4]Quarterly Filings '!$Q$79:$T$79)</f>
        <v>36042.75</v>
      </c>
      <c r="C13" s="31">
        <f>AVERAGE('[4]Quarterly Filings '!$Q$80:$T$80)</f>
        <v>2792.25</v>
      </c>
      <c r="D13" s="31">
        <f>AVERAGE('[4]Quarterly Filings '!$Q$81:$T$81)-2</f>
        <v>452</v>
      </c>
      <c r="E13" s="42">
        <f>AVERAGE('[4]Quarterly Filings '!$Q$86:$T$86)</f>
        <v>551.25</v>
      </c>
      <c r="F13" s="31">
        <f>AVERAGE('[4]Quarterly Filings '!$Q$85:$T$85)</f>
        <v>10228.5</v>
      </c>
      <c r="G13" s="31">
        <f>AVERAGE('[4]Quarterly Filings '!$Q$87:$T$87)</f>
        <v>426.75</v>
      </c>
      <c r="H13" s="30">
        <f t="shared" si="0"/>
        <v>50493.5</v>
      </c>
      <c r="I13" s="23"/>
      <c r="J13" s="23"/>
      <c r="K13" s="6"/>
      <c r="L13" s="23"/>
      <c r="M13" s="23"/>
    </row>
    <row r="14" spans="1:13" s="27" customFormat="1" x14ac:dyDescent="0.25">
      <c r="A14" s="58">
        <v>2017</v>
      </c>
      <c r="B14" s="31">
        <f>AVERAGE('[4]Quarterly Filings '!$U$79:$X$79)</f>
        <v>36240.75</v>
      </c>
      <c r="C14" s="31">
        <f>AVERAGE('[4]Quarterly Filings '!$U$80:$X$80)</f>
        <v>2797.75</v>
      </c>
      <c r="D14" s="31">
        <f>AVERAGE('[4]Quarterly Filings '!$U$81:$X$81)-2</f>
        <v>456.75</v>
      </c>
      <c r="E14" s="42">
        <f>AVERAGE('[4]Quarterly Filings '!$U$86:$X$86)</f>
        <v>511.5</v>
      </c>
      <c r="F14" s="31">
        <f>AVERAGE('[4]Quarterly Filings '!$U$85:$X$85)</f>
        <v>5769</v>
      </c>
      <c r="G14" s="31">
        <f>AVERAGE('[4]Quarterly Filings '!$U$87:$X$87)</f>
        <v>424.75</v>
      </c>
      <c r="H14" s="30">
        <f t="shared" si="0"/>
        <v>46200.5</v>
      </c>
      <c r="I14" s="23"/>
      <c r="J14" s="23"/>
      <c r="K14"/>
      <c r="L14" s="6"/>
      <c r="M14" s="23"/>
    </row>
    <row r="15" spans="1:13" s="27" customFormat="1" x14ac:dyDescent="0.25">
      <c r="A15" s="58">
        <v>2018</v>
      </c>
      <c r="B15" s="31">
        <f>AVERAGE('[4]Quarterly Filings '!$Y$79:$AB$79)</f>
        <v>36520.5</v>
      </c>
      <c r="C15" s="31">
        <f>AVERAGE('[4]Quarterly Filings '!$Y$80:$AB$80)</f>
        <v>2804</v>
      </c>
      <c r="D15" s="31">
        <f>AVERAGE('[4]Quarterly Filings '!$Y$81:$AB$81)-2</f>
        <v>483.25</v>
      </c>
      <c r="E15" s="42">
        <f>AVERAGE('[4]Quarterly Filings '!$Y$86:$AB$86)</f>
        <v>506.5</v>
      </c>
      <c r="F15" s="31">
        <f>AVERAGE('[4]Quarterly Filings '!$Y$85:$AB$85)</f>
        <v>5771</v>
      </c>
      <c r="G15" s="31">
        <f>AVERAGE('[4]Quarterly Filings '!$Y$87:$AB$87)</f>
        <v>420.25</v>
      </c>
      <c r="H15" s="30">
        <f t="shared" si="0"/>
        <v>46505.5</v>
      </c>
      <c r="I15" s="23"/>
      <c r="J15" s="23"/>
      <c r="K15" s="6"/>
      <c r="L15" s="23"/>
      <c r="M15" s="23"/>
    </row>
    <row r="16" spans="1:13" s="27" customFormat="1" x14ac:dyDescent="0.25">
      <c r="A16" s="58">
        <v>2019</v>
      </c>
      <c r="B16" s="31">
        <f>AVERAGE('[4]Quarterly Filings '!$AC$79:$AF$79)</f>
        <v>36732.5</v>
      </c>
      <c r="C16" s="31">
        <f>AVERAGE('[4]Quarterly Filings '!$AC$80:$AF$80)</f>
        <v>2834</v>
      </c>
      <c r="D16" s="31">
        <f>AVERAGE('[4]Quarterly Filings '!$AC$81:$AF$81)-2</f>
        <v>488.75</v>
      </c>
      <c r="E16" s="42">
        <f>AVERAGE('[4]Quarterly Filings '!$AC$86:$AF$86)</f>
        <v>501.25</v>
      </c>
      <c r="F16" s="31">
        <f>AVERAGE('[4]Quarterly Filings '!$AC$85:$AF$85)</f>
        <v>5771</v>
      </c>
      <c r="G16" s="31">
        <f>AVERAGE('[4]Quarterly Filings '!$AC$87:$AF$87)</f>
        <v>408</v>
      </c>
      <c r="H16" s="30">
        <f t="shared" si="0"/>
        <v>46735.5</v>
      </c>
      <c r="I16" s="23"/>
      <c r="J16" s="23"/>
      <c r="K16"/>
      <c r="L16" s="23"/>
      <c r="M16" s="23"/>
    </row>
    <row r="17" spans="1:13" s="27" customFormat="1" x14ac:dyDescent="0.25">
      <c r="A17" s="58">
        <v>2020</v>
      </c>
      <c r="B17" s="31">
        <f>AVERAGE([7]Summary!$P$4:$AA$4)</f>
        <v>37076.5</v>
      </c>
      <c r="C17" s="31">
        <f>AVERAGE([7]Summary!$P$5:$AA$5)</f>
        <v>2930.25</v>
      </c>
      <c r="D17" s="31">
        <f>AVERAGE([7]Summary!$P$6:$AA$6)</f>
        <v>490.66666666666669</v>
      </c>
      <c r="E17" s="42">
        <f>AVERAGE([7]Summary!$P$13:$AA$13)</f>
        <v>494.83333333333331</v>
      </c>
      <c r="F17" s="31">
        <f>AVERAGE([7]Summary!$P$12:$AA$12)</f>
        <v>5771</v>
      </c>
      <c r="G17" s="31">
        <f>AVERAGE([7]Summary!$P$8:$AA$8)</f>
        <v>408.91666666666669</v>
      </c>
      <c r="H17" s="30">
        <f t="shared" si="0"/>
        <v>47172.166666666664</v>
      </c>
      <c r="I17" s="23"/>
      <c r="J17" s="23"/>
      <c r="K17" s="6"/>
      <c r="L17" s="6"/>
      <c r="M17" s="23"/>
    </row>
    <row r="18" spans="1:13" x14ac:dyDescent="0.25">
      <c r="A18" s="4">
        <v>2021</v>
      </c>
      <c r="B18" s="56">
        <f>B17*B39</f>
        <v>37371.01885563018</v>
      </c>
      <c r="C18" s="56">
        <f>C17*C39</f>
        <v>2955.6996133950884</v>
      </c>
      <c r="D18" s="56">
        <f>D17*D39</f>
        <v>498.71405204334792</v>
      </c>
      <c r="E18" s="56">
        <f>E17*E39</f>
        <v>485.18697861143431</v>
      </c>
      <c r="F18" s="171">
        <f>F17</f>
        <v>5771</v>
      </c>
      <c r="G18" s="56">
        <f>G17*G39</f>
        <v>405.42779769982849</v>
      </c>
      <c r="H18" s="56">
        <f t="shared" si="0"/>
        <v>47487.047297379875</v>
      </c>
    </row>
    <row r="19" spans="1:13" x14ac:dyDescent="0.25">
      <c r="A19" s="4">
        <v>2022</v>
      </c>
      <c r="B19" s="56">
        <f>B18*B39</f>
        <v>37667.87723511838</v>
      </c>
      <c r="C19" s="56">
        <f>C18*C39</f>
        <v>2981.3702600883457</v>
      </c>
      <c r="D19" s="56">
        <f>D18*D39</f>
        <v>506.89342195413406</v>
      </c>
      <c r="E19" s="56">
        <f>E18*E39</f>
        <v>475.72867136562968</v>
      </c>
      <c r="F19" s="171">
        <f>F18</f>
        <v>5771</v>
      </c>
      <c r="G19" s="56">
        <f>G18*G39</f>
        <v>401.96869569447659</v>
      </c>
      <c r="H19" s="56">
        <f>SUM(B19:G19)</f>
        <v>47804.838284220968</v>
      </c>
    </row>
    <row r="20" spans="1:13" ht="13" x14ac:dyDescent="0.3">
      <c r="A20" s="16"/>
    </row>
    <row r="21" spans="1:13" ht="13" x14ac:dyDescent="0.3">
      <c r="A21" s="15" t="s">
        <v>39</v>
      </c>
      <c r="B21" s="5"/>
      <c r="C21" s="5"/>
      <c r="D21" s="5"/>
      <c r="E21" s="5"/>
      <c r="F21" s="5"/>
      <c r="G21" s="5"/>
    </row>
    <row r="22" spans="1:13" x14ac:dyDescent="0.25">
      <c r="A22" s="4">
        <v>2006</v>
      </c>
      <c r="B22" s="20"/>
      <c r="C22" s="20"/>
      <c r="D22" s="20"/>
      <c r="E22" s="20"/>
      <c r="F22" s="20"/>
      <c r="G22" s="20"/>
    </row>
    <row r="23" spans="1:13" x14ac:dyDescent="0.25">
      <c r="A23" s="4">
        <v>2007</v>
      </c>
      <c r="B23" s="20">
        <f t="shared" ref="B23:D31" si="1">B4/B3</f>
        <v>1.0141310975609756</v>
      </c>
      <c r="C23" s="20">
        <f t="shared" si="1"/>
        <v>1.0369206598586018</v>
      </c>
      <c r="D23" s="20">
        <f t="shared" si="1"/>
        <v>1.0263488080301129</v>
      </c>
      <c r="E23" s="20"/>
      <c r="F23" s="20">
        <f t="shared" ref="F23:G31" si="2">F4/F3</f>
        <v>1.0251975229553705</v>
      </c>
      <c r="G23" s="20">
        <f t="shared" si="2"/>
        <v>0.96377607025246981</v>
      </c>
    </row>
    <row r="24" spans="1:13" x14ac:dyDescent="0.25">
      <c r="A24" s="4">
        <v>2008</v>
      </c>
      <c r="B24" s="20">
        <f t="shared" si="1"/>
        <v>1.0126264524178152</v>
      </c>
      <c r="C24" s="20">
        <f t="shared" si="1"/>
        <v>1.0234848484848484</v>
      </c>
      <c r="D24" s="20">
        <f t="shared" si="1"/>
        <v>0.99511002444987773</v>
      </c>
      <c r="E24" s="20">
        <f t="shared" ref="E24:E31" si="3">E5/E4</f>
        <v>1.0281195079086116</v>
      </c>
      <c r="F24" s="20">
        <f t="shared" si="2"/>
        <v>1.0143720058321184</v>
      </c>
      <c r="G24" s="20">
        <f t="shared" si="2"/>
        <v>1.0068337129840548</v>
      </c>
    </row>
    <row r="25" spans="1:13" x14ac:dyDescent="0.25">
      <c r="A25" s="4">
        <v>2009</v>
      </c>
      <c r="B25" s="20">
        <f t="shared" si="1"/>
        <v>1.0078228212626361</v>
      </c>
      <c r="C25" s="20">
        <f t="shared" si="1"/>
        <v>1.0005551443375278</v>
      </c>
      <c r="D25" s="20">
        <f t="shared" si="1"/>
        <v>1.0036855036855037</v>
      </c>
      <c r="E25" s="20">
        <f t="shared" si="3"/>
        <v>1.0085470085470085</v>
      </c>
      <c r="F25" s="20">
        <f t="shared" si="2"/>
        <v>1.0114989733059547</v>
      </c>
      <c r="G25" s="20">
        <f t="shared" si="2"/>
        <v>1.004524886877828</v>
      </c>
    </row>
    <row r="26" spans="1:13" x14ac:dyDescent="0.25">
      <c r="A26" s="4">
        <v>2010</v>
      </c>
      <c r="B26" s="20">
        <f t="shared" si="1"/>
        <v>1.0091024243673963</v>
      </c>
      <c r="C26" s="20">
        <f t="shared" si="1"/>
        <v>0.9940817458849639</v>
      </c>
      <c r="D26" s="20">
        <f t="shared" si="1"/>
        <v>1.0208078335373316</v>
      </c>
      <c r="E26" s="20">
        <f t="shared" si="3"/>
        <v>1.021186440677966</v>
      </c>
      <c r="F26" s="20">
        <f t="shared" si="2"/>
        <v>1.0102517255379619</v>
      </c>
      <c r="G26" s="20">
        <f t="shared" si="2"/>
        <v>1.0033783783783783</v>
      </c>
    </row>
    <row r="27" spans="1:13" x14ac:dyDescent="0.25">
      <c r="A27" s="4">
        <v>2011</v>
      </c>
      <c r="B27" s="20">
        <f t="shared" si="1"/>
        <v>1.0112972909855207</v>
      </c>
      <c r="C27" s="20">
        <f t="shared" si="1"/>
        <v>1.008</v>
      </c>
      <c r="D27" s="20">
        <f t="shared" si="1"/>
        <v>1.0095923261390887</v>
      </c>
      <c r="E27" s="20">
        <f t="shared" si="3"/>
        <v>1.0298755186721991</v>
      </c>
      <c r="F27" s="20">
        <f t="shared" si="2"/>
        <v>1.0035165276800964</v>
      </c>
      <c r="G27" s="20">
        <f t="shared" si="2"/>
        <v>1</v>
      </c>
    </row>
    <row r="28" spans="1:13" x14ac:dyDescent="0.25">
      <c r="A28" s="4">
        <v>2012</v>
      </c>
      <c r="B28" s="20">
        <f t="shared" si="1"/>
        <v>1.0085154288023555</v>
      </c>
      <c r="C28" s="20">
        <f t="shared" si="1"/>
        <v>1.0070136581764488</v>
      </c>
      <c r="D28" s="20">
        <f t="shared" si="1"/>
        <v>0.99524940617577196</v>
      </c>
      <c r="E28" s="20">
        <f t="shared" si="3"/>
        <v>1.0072522159548751</v>
      </c>
      <c r="F28" s="20">
        <f t="shared" si="2"/>
        <v>1.0146175410492591</v>
      </c>
      <c r="G28" s="20">
        <f t="shared" si="2"/>
        <v>0.9932659932659933</v>
      </c>
    </row>
    <row r="29" spans="1:13" x14ac:dyDescent="0.25">
      <c r="A29" s="4">
        <v>2013</v>
      </c>
      <c r="B29" s="20">
        <f t="shared" si="1"/>
        <v>1.0082288625565288</v>
      </c>
      <c r="C29" s="20">
        <f t="shared" si="1"/>
        <v>1.0075146627565983</v>
      </c>
      <c r="D29" s="20">
        <f t="shared" si="1"/>
        <v>1.0107398568019093</v>
      </c>
      <c r="E29" s="20">
        <f t="shared" si="3"/>
        <v>0.99919999999999998</v>
      </c>
      <c r="F29" s="20">
        <f t="shared" si="2"/>
        <v>1.0096210775606869</v>
      </c>
      <c r="G29" s="20">
        <f t="shared" si="2"/>
        <v>0.98870056497175141</v>
      </c>
    </row>
    <row r="30" spans="1:13" x14ac:dyDescent="0.25">
      <c r="A30" s="4">
        <v>2014</v>
      </c>
      <c r="B30" s="20">
        <f t="shared" si="1"/>
        <v>1.0071964911782658</v>
      </c>
      <c r="C30" s="20">
        <f t="shared" si="1"/>
        <v>1.00836820083682</v>
      </c>
      <c r="D30" s="20">
        <f t="shared" si="1"/>
        <v>1.0200708382526564</v>
      </c>
      <c r="E30" s="20">
        <f t="shared" si="3"/>
        <v>0.99519615692554042</v>
      </c>
      <c r="F30" s="20">
        <f t="shared" si="2"/>
        <v>1.0156868494355666</v>
      </c>
      <c r="G30" s="20">
        <f t="shared" si="2"/>
        <v>0.99199999999999999</v>
      </c>
    </row>
    <row r="31" spans="1:13" x14ac:dyDescent="0.25">
      <c r="A31" s="4">
        <v>2015</v>
      </c>
      <c r="B31" s="20">
        <f t="shared" si="1"/>
        <v>1.007455114292962</v>
      </c>
      <c r="C31" s="20">
        <f t="shared" si="1"/>
        <v>1.0045101930362619</v>
      </c>
      <c r="D31" s="20">
        <f t="shared" si="1"/>
        <v>1.0127314814814814</v>
      </c>
      <c r="E31" s="20">
        <f t="shared" si="3"/>
        <v>0.99517296862429605</v>
      </c>
      <c r="F31" s="20">
        <f t="shared" si="2"/>
        <v>1.0230465742879138</v>
      </c>
      <c r="G31" s="20">
        <f t="shared" si="2"/>
        <v>0.99193548387096775</v>
      </c>
    </row>
    <row r="32" spans="1:13" x14ac:dyDescent="0.25">
      <c r="A32" s="4">
        <v>2016</v>
      </c>
      <c r="B32" s="20">
        <f t="shared" ref="B32:G32" si="4">B13/B12</f>
        <v>1.0083721515800075</v>
      </c>
      <c r="C32" s="20">
        <f t="shared" si="4"/>
        <v>1.0029633620689655</v>
      </c>
      <c r="D32" s="20">
        <f t="shared" si="4"/>
        <v>1.0331428571428571</v>
      </c>
      <c r="E32" s="20">
        <f t="shared" si="4"/>
        <v>0.89126919967663698</v>
      </c>
      <c r="F32" s="20">
        <f t="shared" si="4"/>
        <v>0.96209377792409345</v>
      </c>
      <c r="G32" s="20">
        <f t="shared" si="4"/>
        <v>0.99128919860627174</v>
      </c>
    </row>
    <row r="33" spans="1:7" x14ac:dyDescent="0.25">
      <c r="A33" s="4">
        <v>2017</v>
      </c>
      <c r="B33" s="20">
        <f t="shared" ref="B33:G33" si="5">B14/B13</f>
        <v>1.0054934764966603</v>
      </c>
      <c r="C33" s="20">
        <f t="shared" si="5"/>
        <v>1.0019697376667562</v>
      </c>
      <c r="D33" s="20">
        <f t="shared" si="5"/>
        <v>1.0105088495575221</v>
      </c>
      <c r="E33" s="20">
        <f t="shared" si="5"/>
        <v>0.92789115646258502</v>
      </c>
      <c r="F33" s="20">
        <f t="shared" si="5"/>
        <v>0.56401231852177736</v>
      </c>
      <c r="G33" s="20">
        <f t="shared" si="5"/>
        <v>0.99531341534856477</v>
      </c>
    </row>
    <row r="34" spans="1:7" x14ac:dyDescent="0.25">
      <c r="A34" s="4">
        <v>2018</v>
      </c>
      <c r="B34" s="20">
        <f t="shared" ref="B34:G34" si="6">B15/B14</f>
        <v>1.0077192111090416</v>
      </c>
      <c r="C34" s="20">
        <f t="shared" si="6"/>
        <v>1.0022339379858816</v>
      </c>
      <c r="D34" s="20">
        <f t="shared" si="6"/>
        <v>1.0580186097427478</v>
      </c>
      <c r="E34" s="20">
        <f t="shared" si="6"/>
        <v>0.99022482893450636</v>
      </c>
      <c r="F34" s="20">
        <f t="shared" si="6"/>
        <v>1.0003466805338881</v>
      </c>
      <c r="G34" s="20">
        <f t="shared" si="6"/>
        <v>0.98940553266627429</v>
      </c>
    </row>
    <row r="35" spans="1:7" x14ac:dyDescent="0.25">
      <c r="A35" s="4">
        <v>2019</v>
      </c>
      <c r="B35" s="20">
        <f t="shared" ref="B35:G36" si="7">B16/B15</f>
        <v>1.0058049588587232</v>
      </c>
      <c r="C35" s="20">
        <f t="shared" si="7"/>
        <v>1.0106990014265336</v>
      </c>
      <c r="D35" s="20">
        <f t="shared" si="7"/>
        <v>1.0113812726332125</v>
      </c>
      <c r="E35" s="20">
        <f t="shared" si="7"/>
        <v>0.98963474827245801</v>
      </c>
      <c r="F35" s="20">
        <f t="shared" si="7"/>
        <v>1</v>
      </c>
      <c r="G35" s="20">
        <f t="shared" si="7"/>
        <v>0.97085068411659725</v>
      </c>
    </row>
    <row r="36" spans="1:7" x14ac:dyDescent="0.25">
      <c r="A36" s="4">
        <v>2020</v>
      </c>
      <c r="B36" s="20">
        <f t="shared" si="7"/>
        <v>1.0093650037432791</v>
      </c>
      <c r="C36" s="20">
        <f t="shared" si="7"/>
        <v>1.0339625970359916</v>
      </c>
      <c r="D36" s="20">
        <f t="shared" si="7"/>
        <v>1.003921568627451</v>
      </c>
      <c r="E36" s="20">
        <f t="shared" si="7"/>
        <v>0.98719866999168737</v>
      </c>
      <c r="F36" s="20">
        <f t="shared" si="7"/>
        <v>1</v>
      </c>
      <c r="G36" s="20">
        <f t="shared" si="7"/>
        <v>1.0022467320261439</v>
      </c>
    </row>
    <row r="37" spans="1:7" x14ac:dyDescent="0.25">
      <c r="A37" s="4"/>
      <c r="B37" s="20"/>
      <c r="C37" s="20"/>
      <c r="D37" s="20"/>
      <c r="E37" s="20"/>
      <c r="F37" s="20"/>
      <c r="G37" s="20"/>
    </row>
    <row r="39" spans="1:7" x14ac:dyDescent="0.25">
      <c r="A39" t="s">
        <v>54</v>
      </c>
      <c r="B39" s="21">
        <f t="shared" ref="B39:G39" si="8">B41</f>
        <v>1.0079435452545462</v>
      </c>
      <c r="C39" s="21">
        <f t="shared" si="8"/>
        <v>1.0086851338264955</v>
      </c>
      <c r="D39" s="21">
        <f t="shared" si="8"/>
        <v>1.0164009212839971</v>
      </c>
      <c r="E39" s="21">
        <f t="shared" si="8"/>
        <v>0.98050585101670795</v>
      </c>
      <c r="F39" s="205">
        <v>1</v>
      </c>
      <c r="G39" s="21">
        <f t="shared" si="8"/>
        <v>0.9914680196449851</v>
      </c>
    </row>
    <row r="40" spans="1:7" x14ac:dyDescent="0.25">
      <c r="B40" s="21"/>
      <c r="C40" s="21"/>
      <c r="D40" s="21"/>
      <c r="E40" s="21"/>
      <c r="F40" s="21"/>
      <c r="G40" s="21"/>
    </row>
    <row r="41" spans="1:7" x14ac:dyDescent="0.25">
      <c r="A41" t="s">
        <v>11</v>
      </c>
      <c r="B41" s="21">
        <f t="shared" ref="B41:G41" si="9">GEOMEAN(B27:B36)</f>
        <v>1.0079435452545462</v>
      </c>
      <c r="C41" s="21">
        <f t="shared" si="9"/>
        <v>1.0086851338264955</v>
      </c>
      <c r="D41" s="21">
        <f t="shared" si="9"/>
        <v>1.0164009212839971</v>
      </c>
      <c r="E41" s="21">
        <f t="shared" si="9"/>
        <v>0.98050585101670795</v>
      </c>
      <c r="F41" s="21">
        <f t="shared" si="9"/>
        <v>0.94695579700595467</v>
      </c>
      <c r="G41" s="21">
        <f t="shared" si="9"/>
        <v>0.9914680196449851</v>
      </c>
    </row>
    <row r="42" spans="1:7" x14ac:dyDescent="0.25">
      <c r="A42" s="4"/>
      <c r="B42" s="21"/>
      <c r="C42" s="21"/>
      <c r="D42" s="21"/>
      <c r="E42" s="21"/>
      <c r="F42" s="21"/>
      <c r="G42" s="21"/>
    </row>
    <row r="43" spans="1:7" x14ac:dyDescent="0.25">
      <c r="A43" s="4"/>
      <c r="B43" s="21"/>
      <c r="C43" s="21"/>
      <c r="D43" s="21"/>
      <c r="E43" s="21"/>
      <c r="F43" s="21"/>
      <c r="G43" s="21"/>
    </row>
    <row r="44" spans="1:7" x14ac:dyDescent="0.25">
      <c r="A44" s="4"/>
      <c r="B44" s="21"/>
      <c r="C44" s="21"/>
      <c r="D44" s="21"/>
      <c r="E44" s="21"/>
      <c r="F44" s="21"/>
      <c r="G44" s="21"/>
    </row>
    <row r="45" spans="1:7" x14ac:dyDescent="0.25">
      <c r="A45" s="4"/>
      <c r="B45" s="21"/>
      <c r="C45" s="21"/>
      <c r="D45" s="21"/>
      <c r="E45" s="21"/>
      <c r="F45" s="21"/>
      <c r="G45" s="21"/>
    </row>
    <row r="46" spans="1:7" x14ac:dyDescent="0.25">
      <c r="A46" s="4"/>
      <c r="B46" s="21"/>
      <c r="C46" s="21"/>
      <c r="D46" s="21"/>
      <c r="E46" s="21"/>
      <c r="F46" s="21"/>
      <c r="G46" s="21"/>
    </row>
    <row r="47" spans="1:7" x14ac:dyDescent="0.25">
      <c r="A47" s="4"/>
      <c r="B47" s="21"/>
      <c r="C47" s="21"/>
      <c r="D47" s="21"/>
      <c r="E47" s="21"/>
      <c r="F47" s="21"/>
      <c r="G47" s="21"/>
    </row>
    <row r="48" spans="1:7" x14ac:dyDescent="0.25">
      <c r="A48" s="4"/>
      <c r="B48" s="21"/>
      <c r="C48" s="21"/>
      <c r="D48" s="21"/>
      <c r="E48" s="21"/>
      <c r="F48" s="21"/>
      <c r="G48" s="21"/>
    </row>
    <row r="49" spans="2:7" x14ac:dyDescent="0.25">
      <c r="B49" s="21"/>
      <c r="C49" s="21"/>
      <c r="D49" s="21"/>
      <c r="E49" s="21"/>
      <c r="F49" s="21"/>
      <c r="G49" s="21"/>
    </row>
    <row r="50" spans="2:7" x14ac:dyDescent="0.25">
      <c r="B50" s="21"/>
      <c r="C50" s="21"/>
      <c r="D50" s="21"/>
      <c r="E50" s="21"/>
      <c r="F50" s="21"/>
      <c r="G50" s="21"/>
    </row>
    <row r="51" spans="2:7" x14ac:dyDescent="0.25">
      <c r="B51" s="21"/>
      <c r="C51" s="21"/>
      <c r="D51" s="21"/>
      <c r="E51" s="21"/>
      <c r="F51" s="21"/>
      <c r="G51" s="21"/>
    </row>
    <row r="52" spans="2:7" x14ac:dyDescent="0.25">
      <c r="B52" s="21"/>
      <c r="C52" s="21"/>
      <c r="D52" s="21"/>
      <c r="E52" s="21"/>
      <c r="F52" s="21"/>
      <c r="G52" s="21"/>
    </row>
    <row r="53" spans="2:7" x14ac:dyDescent="0.25">
      <c r="B53" s="21"/>
      <c r="C53" s="21"/>
      <c r="D53" s="21"/>
      <c r="E53" s="21"/>
      <c r="F53" s="21"/>
      <c r="G53" s="21"/>
    </row>
    <row r="54" spans="2:7" x14ac:dyDescent="0.25">
      <c r="B54" s="21"/>
      <c r="C54" s="21"/>
      <c r="D54" s="21"/>
      <c r="E54" s="21"/>
      <c r="F54" s="21"/>
      <c r="G54" s="21"/>
    </row>
    <row r="55" spans="2:7" x14ac:dyDescent="0.25">
      <c r="B55" s="21"/>
      <c r="C55" s="21"/>
      <c r="D55" s="21"/>
      <c r="E55" s="21"/>
      <c r="F55" s="21"/>
      <c r="G55" s="21"/>
    </row>
    <row r="56" spans="2:7" x14ac:dyDescent="0.25">
      <c r="B56" s="21"/>
      <c r="C56" s="21"/>
      <c r="D56" s="21"/>
      <c r="E56" s="21"/>
      <c r="F56" s="21"/>
      <c r="G56" s="21"/>
    </row>
    <row r="57" spans="2:7" x14ac:dyDescent="0.25">
      <c r="B57" s="21"/>
      <c r="C57" s="21"/>
      <c r="D57" s="21"/>
      <c r="E57" s="21"/>
      <c r="F57" s="21"/>
      <c r="G57" s="21"/>
    </row>
    <row r="58" spans="2:7" x14ac:dyDescent="0.25">
      <c r="B58" s="21"/>
      <c r="C58" s="21"/>
      <c r="D58" s="21"/>
      <c r="E58" s="21"/>
      <c r="F58" s="21"/>
      <c r="G58" s="21"/>
    </row>
    <row r="59" spans="2:7" x14ac:dyDescent="0.25">
      <c r="B59" s="21"/>
      <c r="C59" s="21"/>
      <c r="D59" s="21"/>
      <c r="E59" s="21"/>
      <c r="F59" s="21"/>
      <c r="G59" s="21"/>
    </row>
    <row r="60" spans="2:7" x14ac:dyDescent="0.25">
      <c r="B60" s="21"/>
      <c r="C60" s="21"/>
      <c r="D60" s="21"/>
      <c r="E60" s="21"/>
      <c r="F60" s="21"/>
      <c r="G60" s="21"/>
    </row>
    <row r="61" spans="2:7" x14ac:dyDescent="0.25">
      <c r="B61" s="21"/>
      <c r="C61" s="21"/>
      <c r="D61" s="21"/>
      <c r="E61" s="21"/>
      <c r="F61" s="21"/>
      <c r="G61" s="21"/>
    </row>
    <row r="62" spans="2:7" x14ac:dyDescent="0.25">
      <c r="B62" s="21"/>
      <c r="C62" s="21"/>
      <c r="D62" s="21"/>
      <c r="E62" s="21"/>
      <c r="F62" s="21"/>
      <c r="G62" s="21"/>
    </row>
    <row r="63" spans="2:7" x14ac:dyDescent="0.25">
      <c r="B63" s="21"/>
      <c r="C63" s="21"/>
      <c r="D63" s="21"/>
      <c r="E63" s="21"/>
      <c r="F63" s="21"/>
      <c r="G63" s="21"/>
    </row>
    <row r="64" spans="2:7" x14ac:dyDescent="0.25">
      <c r="B64" s="21"/>
      <c r="C64" s="21"/>
      <c r="D64" s="21"/>
      <c r="E64" s="21"/>
      <c r="F64" s="21"/>
      <c r="G64" s="21"/>
    </row>
    <row r="65" spans="2:7" x14ac:dyDescent="0.25">
      <c r="B65" s="21"/>
      <c r="C65" s="21"/>
      <c r="D65" s="21"/>
      <c r="E65" s="21"/>
      <c r="F65" s="21"/>
      <c r="G65" s="21"/>
    </row>
    <row r="66" spans="2:7" x14ac:dyDescent="0.25">
      <c r="B66" s="21"/>
      <c r="C66" s="21"/>
      <c r="D66" s="21"/>
      <c r="E66" s="21"/>
      <c r="F66" s="21"/>
      <c r="G66" s="21"/>
    </row>
    <row r="67" spans="2:7" x14ac:dyDescent="0.25">
      <c r="B67" s="21"/>
      <c r="C67" s="21"/>
      <c r="F67" s="21"/>
      <c r="G67" s="21"/>
    </row>
    <row r="73" spans="2:7" x14ac:dyDescent="0.25">
      <c r="D73" s="22"/>
      <c r="E73" s="22"/>
    </row>
    <row r="74" spans="2:7" x14ac:dyDescent="0.25">
      <c r="B74" s="22"/>
      <c r="C74" s="22"/>
      <c r="D74" s="22"/>
      <c r="E74" s="22"/>
      <c r="F74" s="22"/>
      <c r="G74" s="22"/>
    </row>
    <row r="75" spans="2:7" x14ac:dyDescent="0.25">
      <c r="B75" s="22"/>
      <c r="C75" s="22"/>
      <c r="F75" s="22"/>
      <c r="G75" s="22"/>
    </row>
    <row r="93" spans="2:7" x14ac:dyDescent="0.25">
      <c r="D93" s="13"/>
      <c r="E93" s="13"/>
    </row>
    <row r="94" spans="2:7" x14ac:dyDescent="0.25">
      <c r="B94" s="13"/>
      <c r="C94" s="13"/>
      <c r="D94" s="13"/>
      <c r="E94" s="13"/>
      <c r="F94" s="13"/>
      <c r="G94" s="13"/>
    </row>
    <row r="95" spans="2:7" x14ac:dyDescent="0.25">
      <c r="B95" s="13"/>
      <c r="C95" s="13"/>
      <c r="F95" s="13"/>
      <c r="G95" s="13"/>
    </row>
  </sheetData>
  <phoneticPr fontId="0" type="noConversion"/>
  <pageMargins left="0.38" right="0.75" top="0.73" bottom="0.74" header="0.5" footer="0.5"/>
  <pageSetup scale="86"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pageSetUpPr fitToPage="1"/>
  </sheetPr>
  <dimension ref="A1:J57"/>
  <sheetViews>
    <sheetView workbookViewId="0">
      <selection activeCell="C33" sqref="C33"/>
    </sheetView>
  </sheetViews>
  <sheetFormatPr defaultRowHeight="12.5" x14ac:dyDescent="0.25"/>
  <cols>
    <col min="1" max="1" width="17" bestFit="1" customWidth="1"/>
    <col min="2" max="2" width="14.1796875" style="6" bestFit="1" customWidth="1"/>
    <col min="3" max="3" width="14.1796875" style="6" customWidth="1"/>
    <col min="4" max="4" width="17.54296875" style="6" customWidth="1"/>
    <col min="5" max="5" width="12.54296875" style="6" bestFit="1" customWidth="1"/>
    <col min="6" max="6" width="14.453125" style="6" bestFit="1" customWidth="1"/>
    <col min="7" max="7" width="11.54296875" style="6" bestFit="1" customWidth="1"/>
    <col min="8" max="8" width="10.54296875" style="6" bestFit="1" customWidth="1"/>
    <col min="9" max="10" width="9.1796875" style="6" customWidth="1"/>
  </cols>
  <sheetData>
    <row r="1" spans="1:10" ht="42" customHeight="1" x14ac:dyDescent="0.25">
      <c r="B1" s="8" t="str">
        <f>'Rate Class Customer Model'!D2</f>
        <v>GS&gt;50 (excl. WMP)</v>
      </c>
      <c r="C1" s="8" t="str">
        <f>'Rate Class Customer Model'!E2</f>
        <v>Sentinels</v>
      </c>
      <c r="D1" s="8" t="str">
        <f>'Rate Class Customer Model'!F2</f>
        <v>Streetlights</v>
      </c>
      <c r="E1" s="6" t="s">
        <v>9</v>
      </c>
      <c r="G1" s="148" t="s">
        <v>163</v>
      </c>
    </row>
    <row r="2" spans="1:10" x14ac:dyDescent="0.25">
      <c r="A2" s="25">
        <v>2006</v>
      </c>
      <c r="B2" s="35">
        <v>1481342.88</v>
      </c>
      <c r="C2" s="34">
        <v>0</v>
      </c>
      <c r="D2" s="35">
        <v>21299</v>
      </c>
      <c r="E2" s="6">
        <f t="shared" ref="E2:E18" si="0">SUM(B2:D2)</f>
        <v>1502641.88</v>
      </c>
    </row>
    <row r="3" spans="1:10" x14ac:dyDescent="0.25">
      <c r="A3" s="25">
        <v>2007</v>
      </c>
      <c r="B3" s="35">
        <v>1489945.61</v>
      </c>
      <c r="C3" s="34">
        <v>0</v>
      </c>
      <c r="D3" s="35">
        <v>21758</v>
      </c>
      <c r="E3" s="6">
        <f t="shared" si="0"/>
        <v>1511703.61</v>
      </c>
    </row>
    <row r="4" spans="1:10" x14ac:dyDescent="0.25">
      <c r="A4" s="25">
        <v>2008</v>
      </c>
      <c r="B4" s="35">
        <v>1450726.3200000003</v>
      </c>
      <c r="C4" s="34">
        <v>0</v>
      </c>
      <c r="D4" s="35">
        <v>22064</v>
      </c>
      <c r="E4" s="6">
        <f t="shared" si="0"/>
        <v>1472790.3200000003</v>
      </c>
    </row>
    <row r="5" spans="1:10" x14ac:dyDescent="0.25">
      <c r="A5" s="25">
        <v>2009</v>
      </c>
      <c r="B5" s="35">
        <v>1326769.78</v>
      </c>
      <c r="C5" s="34">
        <v>0</v>
      </c>
      <c r="D5" s="35">
        <v>22380</v>
      </c>
      <c r="E5" s="6">
        <f t="shared" si="0"/>
        <v>1349149.78</v>
      </c>
    </row>
    <row r="6" spans="1:10" x14ac:dyDescent="0.25">
      <c r="A6" s="25">
        <v>2010</v>
      </c>
      <c r="B6" s="35">
        <v>1323482.2400000002</v>
      </c>
      <c r="C6" s="34">
        <v>1534.31</v>
      </c>
      <c r="D6" s="35">
        <v>22480</v>
      </c>
      <c r="E6" s="6">
        <f t="shared" si="0"/>
        <v>1347496.5500000003</v>
      </c>
    </row>
    <row r="7" spans="1:10" s="27" customFormat="1" x14ac:dyDescent="0.25">
      <c r="A7" s="139">
        <v>2011</v>
      </c>
      <c r="B7" s="35">
        <v>1344251</v>
      </c>
      <c r="C7" s="34">
        <v>1487.24</v>
      </c>
      <c r="D7" s="35">
        <v>22428</v>
      </c>
      <c r="E7" s="23">
        <f>SUM(B7:D7)</f>
        <v>1368166.24</v>
      </c>
      <c r="F7" s="23"/>
      <c r="G7" s="23"/>
      <c r="H7" s="23"/>
      <c r="I7" s="23"/>
      <c r="J7" s="23"/>
    </row>
    <row r="8" spans="1:10" s="27" customFormat="1" x14ac:dyDescent="0.25">
      <c r="A8" s="139">
        <v>2012</v>
      </c>
      <c r="B8" s="35">
        <v>1398783.62</v>
      </c>
      <c r="C8" s="34">
        <v>1392.0700000000002</v>
      </c>
      <c r="D8" s="35">
        <v>22533</v>
      </c>
      <c r="E8" s="23">
        <f t="shared" si="0"/>
        <v>1422708.6900000002</v>
      </c>
      <c r="F8" s="23"/>
      <c r="G8" s="23"/>
      <c r="H8" s="23"/>
      <c r="I8" s="23"/>
      <c r="J8" s="23"/>
    </row>
    <row r="9" spans="1:10" s="27" customFormat="1" x14ac:dyDescent="0.25">
      <c r="A9" s="139">
        <v>2013</v>
      </c>
      <c r="B9" s="35">
        <v>1395148.24</v>
      </c>
      <c r="C9" s="34">
        <v>1384.9899999999998</v>
      </c>
      <c r="D9" s="35">
        <v>22581</v>
      </c>
      <c r="E9" s="23">
        <f t="shared" si="0"/>
        <v>1419114.23</v>
      </c>
      <c r="F9" s="23"/>
      <c r="G9" s="23"/>
      <c r="H9" s="23"/>
      <c r="I9" s="23"/>
      <c r="J9" s="23"/>
    </row>
    <row r="10" spans="1:10" s="27" customFormat="1" x14ac:dyDescent="0.25">
      <c r="A10" s="139">
        <v>2014</v>
      </c>
      <c r="B10" s="35">
        <v>1368652.3</v>
      </c>
      <c r="C10" s="34">
        <v>1361</v>
      </c>
      <c r="D10" s="35">
        <v>22553</v>
      </c>
      <c r="E10" s="23">
        <f t="shared" si="0"/>
        <v>1392566.3</v>
      </c>
      <c r="F10" s="23"/>
      <c r="G10" s="23"/>
      <c r="H10" s="23"/>
      <c r="I10" s="23"/>
      <c r="J10" s="23"/>
    </row>
    <row r="11" spans="1:10" s="27" customFormat="1" x14ac:dyDescent="0.25">
      <c r="A11" s="139">
        <v>2015</v>
      </c>
      <c r="B11" s="35">
        <v>1388241.3</v>
      </c>
      <c r="C11" s="34">
        <v>1363.29</v>
      </c>
      <c r="D11" s="35">
        <v>22527</v>
      </c>
      <c r="E11" s="23">
        <f t="shared" si="0"/>
        <v>1412131.59</v>
      </c>
      <c r="F11" s="23" t="s">
        <v>147</v>
      </c>
      <c r="G11" s="23"/>
      <c r="H11" s="23"/>
      <c r="I11" s="23"/>
      <c r="J11" s="23"/>
    </row>
    <row r="12" spans="1:10" x14ac:dyDescent="0.25">
      <c r="A12" s="25">
        <v>2016</v>
      </c>
      <c r="B12" s="35">
        <f>994736.57+384221.71</f>
        <v>1378958.28</v>
      </c>
      <c r="C12" s="34">
        <v>923</v>
      </c>
      <c r="D12" s="35">
        <v>22444</v>
      </c>
      <c r="E12" s="6">
        <f>SUM(B12:D12)</f>
        <v>1402325.28</v>
      </c>
      <c r="F12" s="23" t="s">
        <v>147</v>
      </c>
    </row>
    <row r="13" spans="1:10" x14ac:dyDescent="0.25">
      <c r="A13" s="25">
        <v>2017</v>
      </c>
      <c r="B13" s="35">
        <f>112237+1288154</f>
        <v>1400391</v>
      </c>
      <c r="C13" s="34">
        <v>570</v>
      </c>
      <c r="D13" s="35">
        <v>22338</v>
      </c>
      <c r="E13" s="6">
        <f t="shared" si="0"/>
        <v>1423299</v>
      </c>
      <c r="F13" s="23" t="s">
        <v>147</v>
      </c>
    </row>
    <row r="14" spans="1:10" x14ac:dyDescent="0.25">
      <c r="A14" s="170">
        <v>2018</v>
      </c>
      <c r="B14" s="35">
        <f>106845+1328400</f>
        <v>1435245</v>
      </c>
      <c r="C14" s="34">
        <v>520</v>
      </c>
      <c r="D14" s="35">
        <v>22227</v>
      </c>
      <c r="E14" s="6">
        <f t="shared" si="0"/>
        <v>1457992</v>
      </c>
      <c r="F14" s="23" t="s">
        <v>147</v>
      </c>
    </row>
    <row r="15" spans="1:10" x14ac:dyDescent="0.25">
      <c r="A15" s="170">
        <v>2019</v>
      </c>
      <c r="B15" s="35">
        <f>1355662.76+95246.57</f>
        <v>1450909.33</v>
      </c>
      <c r="C15" s="34">
        <v>568</v>
      </c>
      <c r="D15" s="35">
        <v>21978.7</v>
      </c>
      <c r="E15" s="6">
        <f t="shared" si="0"/>
        <v>1473456.03</v>
      </c>
      <c r="F15" s="23" t="s">
        <v>147</v>
      </c>
    </row>
    <row r="16" spans="1:10" x14ac:dyDescent="0.25">
      <c r="A16" s="170">
        <v>2020</v>
      </c>
      <c r="B16" s="35">
        <f>'[5]Summary for 2.1.5.3 Demand&amp;Rev'!$L$30-'[5]Summary for 2.1.5.3 Demand&amp;Rev'!$I$8</f>
        <v>1428136.72</v>
      </c>
      <c r="C16" s="34">
        <f>'[5]Summary for 2.1.5.3 Demand&amp;Rev'!$L$31</f>
        <v>554.28999999999974</v>
      </c>
      <c r="D16" s="35">
        <f>'[5]Summary for 2.1.5.3 Demand&amp;Rev'!$L$32</f>
        <v>21543.26</v>
      </c>
      <c r="E16" s="6">
        <f>SUM(B16:D16)</f>
        <v>1450234.27</v>
      </c>
      <c r="F16" s="23" t="s">
        <v>147</v>
      </c>
    </row>
    <row r="17" spans="1:10" x14ac:dyDescent="0.25">
      <c r="A17" s="170">
        <v>2021</v>
      </c>
      <c r="B17" s="26">
        <f>$B$33*'Rate Class Energy Model'!J84</f>
        <v>1571556.3222927533</v>
      </c>
      <c r="C17" s="26">
        <f>$C$33*'Rate Class Energy Model'!K84</f>
        <v>509.96507329783549</v>
      </c>
      <c r="D17" s="26">
        <f>$D$33*'Rate Class Energy Model'!L84+G17</f>
        <v>22103.207939749733</v>
      </c>
      <c r="E17" s="6">
        <f t="shared" si="0"/>
        <v>1594169.4953058008</v>
      </c>
      <c r="G17" s="207">
        <v>-435</v>
      </c>
    </row>
    <row r="18" spans="1:10" x14ac:dyDescent="0.25">
      <c r="A18" s="170">
        <v>2022</v>
      </c>
      <c r="B18" s="26">
        <f>$B$33*'Rate Class Energy Model'!J85</f>
        <v>1615925.5279310422</v>
      </c>
      <c r="C18" s="26">
        <f>$C$33*'Rate Class Energy Model'!K85</f>
        <v>462.46010571397261</v>
      </c>
      <c r="D18" s="26">
        <f>$D$33*'Rate Class Energy Model'!L85+G18</f>
        <v>22947.72530147756</v>
      </c>
      <c r="E18" s="6">
        <f t="shared" si="0"/>
        <v>1639335.7133382338</v>
      </c>
      <c r="G18" s="207">
        <f>-435*2</f>
        <v>-870</v>
      </c>
    </row>
    <row r="19" spans="1:10" ht="13" x14ac:dyDescent="0.3">
      <c r="A19" s="16"/>
    </row>
    <row r="20" spans="1:10" ht="13" x14ac:dyDescent="0.3">
      <c r="A20" s="15" t="s">
        <v>55</v>
      </c>
      <c r="B20" s="5"/>
      <c r="C20" s="5"/>
      <c r="D20" s="5"/>
    </row>
    <row r="21" spans="1:10" x14ac:dyDescent="0.25">
      <c r="A21" s="4">
        <v>2010</v>
      </c>
      <c r="B21" s="163">
        <f>B6/'Rate Class Energy Model'!J7</f>
        <v>2.5367393647145425E-3</v>
      </c>
      <c r="C21" s="24">
        <f>C6/'Rate Class Energy Model'!K7</f>
        <v>3.1923889183650112E-3</v>
      </c>
      <c r="D21" s="24">
        <f>D6/'Rate Class Energy Model'!L7</f>
        <v>3.0566939217342225E-3</v>
      </c>
    </row>
    <row r="22" spans="1:10" x14ac:dyDescent="0.25">
      <c r="A22" s="4">
        <v>2011</v>
      </c>
      <c r="B22" s="163">
        <f>B7/'Rate Class Energy Model'!J8</f>
        <v>2.5875109408273634E-3</v>
      </c>
      <c r="C22" s="24">
        <f>C7/'Rate Class Energy Model'!K8</f>
        <v>3.1282194742831182E-3</v>
      </c>
      <c r="D22" s="24">
        <f>D7/'Rate Class Energy Model'!L8</f>
        <v>3.0594080070060281E-3</v>
      </c>
    </row>
    <row r="23" spans="1:10" x14ac:dyDescent="0.25">
      <c r="A23" s="4">
        <v>2012</v>
      </c>
      <c r="B23" s="163">
        <f>B8/'Rate Class Energy Model'!J9</f>
        <v>2.5926387713965985E-3</v>
      </c>
      <c r="C23" s="24">
        <f>C8/'Rate Class Energy Model'!K9</f>
        <v>3.0302311305763683E-3</v>
      </c>
      <c r="D23" s="24">
        <f>D8/'Rate Class Energy Model'!L9</f>
        <v>3.046904727198381E-3</v>
      </c>
    </row>
    <row r="24" spans="1:10" x14ac:dyDescent="0.25">
      <c r="A24" s="4">
        <v>2013</v>
      </c>
      <c r="B24" s="163">
        <f>B9/'Rate Class Energy Model'!J10</f>
        <v>2.6096018347677905E-3</v>
      </c>
      <c r="C24" s="24">
        <f>C9/'Rate Class Energy Model'!K10</f>
        <v>3.0861361296676748E-3</v>
      </c>
      <c r="D24" s="24">
        <f>D9/'Rate Class Energy Model'!L10</f>
        <v>3.0569737543755908E-3</v>
      </c>
    </row>
    <row r="25" spans="1:10" x14ac:dyDescent="0.25">
      <c r="A25" s="4">
        <v>2014</v>
      </c>
      <c r="B25" s="163">
        <f>B10/'Rate Class Energy Model'!J11</f>
        <v>2.7483766607446962E-3</v>
      </c>
      <c r="C25" s="24">
        <f>C10/'Rate Class Energy Model'!K11</f>
        <v>3.0574169880960671E-3</v>
      </c>
      <c r="D25" s="24">
        <f>D10/'Rate Class Energy Model'!L11</f>
        <v>3.0566831551996211E-3</v>
      </c>
    </row>
    <row r="26" spans="1:10" x14ac:dyDescent="0.25">
      <c r="A26" s="4">
        <v>2015</v>
      </c>
      <c r="B26" s="163">
        <f>B11/'Rate Class Energy Model'!J12</f>
        <v>2.7333673059924063E-3</v>
      </c>
      <c r="C26" s="24">
        <f>C11/'Rate Class Energy Model'!K12</f>
        <v>3.0550121345353583E-3</v>
      </c>
      <c r="D26" s="24">
        <f>D11/'Rate Class Energy Model'!L12</f>
        <v>3.0566993508839013E-3</v>
      </c>
    </row>
    <row r="27" spans="1:10" x14ac:dyDescent="0.25">
      <c r="A27" s="4">
        <v>2016</v>
      </c>
      <c r="B27" s="163">
        <f>B12/'Rate Class Energy Model'!J13</f>
        <v>2.7103529501072746E-3</v>
      </c>
      <c r="C27" s="24">
        <f>C12/'Rate Class Energy Model'!K13</f>
        <v>2.9381897822301595E-3</v>
      </c>
      <c r="D27" s="24">
        <f>D12/'Rate Class Energy Model'!L13</f>
        <v>3.0461070456086806E-3</v>
      </c>
    </row>
    <row r="28" spans="1:10" x14ac:dyDescent="0.25">
      <c r="A28" s="4">
        <v>2017</v>
      </c>
      <c r="B28" s="163">
        <f>B13/'Rate Class Energy Model'!J14</f>
        <v>2.7283113072927531E-3</v>
      </c>
      <c r="C28" s="24">
        <f>C13/'Rate Class Energy Model'!K14</f>
        <v>3.0562347188264061E-3</v>
      </c>
      <c r="D28" s="24">
        <f>D13/'Rate Class Energy Model'!L14</f>
        <v>3.0497024499057906E-3</v>
      </c>
    </row>
    <row r="29" spans="1:10" x14ac:dyDescent="0.25">
      <c r="A29" s="4">
        <v>2018</v>
      </c>
      <c r="B29" s="163">
        <f>B14/'Rate Class Energy Model'!J15</f>
        <v>2.710092625916601E-3</v>
      </c>
      <c r="C29" s="24">
        <f>C14/'Rate Class Energy Model'!K15</f>
        <v>2.7365108434242169E-3</v>
      </c>
      <c r="D29" s="24">
        <f>D14/'Rate Class Energy Model'!L15</f>
        <v>3.09069773262621E-3</v>
      </c>
    </row>
    <row r="30" spans="1:10" x14ac:dyDescent="0.25">
      <c r="A30" s="4">
        <v>2019</v>
      </c>
      <c r="B30" s="163">
        <f>B15/'Rate Class Energy Model'!J16</f>
        <v>2.6961033718966303E-3</v>
      </c>
      <c r="C30" s="24">
        <f>C15/'Rate Class Energy Model'!K16</f>
        <v>2.9134496360544611E-3</v>
      </c>
      <c r="D30" s="24">
        <f>D15/'Rate Class Energy Model'!L16</f>
        <v>3.0752161489997543E-3</v>
      </c>
      <c r="E30"/>
      <c r="F30"/>
      <c r="G30"/>
      <c r="H30"/>
      <c r="I30"/>
      <c r="J30"/>
    </row>
    <row r="31" spans="1:10" x14ac:dyDescent="0.25">
      <c r="A31" s="4">
        <v>2020</v>
      </c>
      <c r="B31" s="163">
        <f>B16/'Rate Class Energy Model'!J17</f>
        <v>2.7385931089906842E-3</v>
      </c>
      <c r="C31" s="24">
        <f>C16/'Rate Class Energy Model'!K17</f>
        <v>2.9524542455128711E-3</v>
      </c>
      <c r="D31" s="24">
        <f>D16/'Rate Class Energy Model'!L17</f>
        <v>3.0942658757377776E-3</v>
      </c>
      <c r="E31"/>
      <c r="F31"/>
      <c r="G31"/>
      <c r="H31"/>
      <c r="I31"/>
      <c r="J31"/>
    </row>
    <row r="32" spans="1:10" x14ac:dyDescent="0.25">
      <c r="A32" s="4"/>
      <c r="E32"/>
      <c r="F32"/>
      <c r="G32"/>
      <c r="H32"/>
      <c r="I32"/>
      <c r="J32"/>
    </row>
    <row r="33" spans="1:10" x14ac:dyDescent="0.25">
      <c r="A33" t="s">
        <v>10</v>
      </c>
      <c r="B33" s="24">
        <f>AVERAGE(B22:B31)</f>
        <v>2.6854948877932799E-3</v>
      </c>
      <c r="C33" s="24">
        <f>AVERAGE(C22:C31)</f>
        <v>2.99538550832067E-3</v>
      </c>
      <c r="D33" s="24">
        <f>AVERAGE(D22:D31)</f>
        <v>3.0632658247541733E-3</v>
      </c>
      <c r="E33"/>
      <c r="F33"/>
      <c r="G33"/>
      <c r="H33"/>
      <c r="I33"/>
      <c r="J33"/>
    </row>
    <row r="35" spans="1:10" x14ac:dyDescent="0.25">
      <c r="A35" s="181" t="s">
        <v>136</v>
      </c>
      <c r="B35" s="204">
        <f>AVERAGE(B27:B31)</f>
        <v>2.7166906728407882E-3</v>
      </c>
      <c r="C35" s="204">
        <f>AVERAGE(C27:C31)</f>
        <v>2.9193678452096227E-3</v>
      </c>
      <c r="D35" s="204">
        <f>AVERAGE(D27:D31)</f>
        <v>3.0711978505756428E-3</v>
      </c>
      <c r="E35"/>
      <c r="F35"/>
      <c r="G35"/>
      <c r="H35"/>
      <c r="I35"/>
      <c r="J35"/>
    </row>
    <row r="36" spans="1:10" x14ac:dyDescent="0.25">
      <c r="B36" s="22"/>
      <c r="D36" s="22"/>
      <c r="E36"/>
      <c r="F36"/>
      <c r="G36"/>
      <c r="H36"/>
      <c r="I36"/>
      <c r="J36"/>
    </row>
    <row r="37" spans="1:10" x14ac:dyDescent="0.25">
      <c r="B37" s="22"/>
      <c r="D37" s="22"/>
      <c r="E37"/>
      <c r="F37"/>
      <c r="G37"/>
      <c r="H37"/>
      <c r="I37"/>
      <c r="J37"/>
    </row>
    <row r="56" spans="2:10" x14ac:dyDescent="0.25">
      <c r="B56" s="13"/>
      <c r="C56" s="13"/>
      <c r="D56" s="13"/>
      <c r="E56"/>
      <c r="F56"/>
      <c r="G56"/>
      <c r="H56"/>
      <c r="I56"/>
      <c r="J56"/>
    </row>
    <row r="57" spans="2:10" x14ac:dyDescent="0.25">
      <c r="B57" s="13"/>
      <c r="C57" s="13"/>
      <c r="D57" s="13"/>
      <c r="E57"/>
      <c r="F57"/>
      <c r="G57"/>
      <c r="H57"/>
      <c r="I57"/>
      <c r="J57"/>
    </row>
  </sheetData>
  <phoneticPr fontId="0" type="noConversion"/>
  <pageMargins left="0.38" right="0.75" top="0.73" bottom="0.74" header="0.5" footer="0.5"/>
  <pageSetup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00B050"/>
  </sheetPr>
  <dimension ref="A1:AJ80"/>
  <sheetViews>
    <sheetView zoomScale="55" zoomScaleNormal="55" workbookViewId="0">
      <selection activeCell="AB42" sqref="AB42"/>
    </sheetView>
  </sheetViews>
  <sheetFormatPr defaultRowHeight="12.5" x14ac:dyDescent="0.25"/>
  <cols>
    <col min="2" max="2" width="3.81640625" bestFit="1" customWidth="1"/>
    <col min="3" max="15" width="0" hidden="1" customWidth="1"/>
    <col min="16" max="16" width="9.1796875" bestFit="1" customWidth="1"/>
    <col min="27" max="30" width="9.453125" bestFit="1" customWidth="1"/>
    <col min="31" max="31" width="17.81640625" style="27" bestFit="1" customWidth="1"/>
    <col min="32" max="32" width="12" bestFit="1" customWidth="1"/>
    <col min="33" max="33" width="10.453125" bestFit="1" customWidth="1"/>
    <col min="34" max="34" width="18.81640625" bestFit="1" customWidth="1"/>
    <col min="35" max="35" width="23.7265625" bestFit="1" customWidth="1"/>
    <col min="36" max="36" width="13" bestFit="1" customWidth="1"/>
  </cols>
  <sheetData>
    <row r="1" spans="1:36" ht="13" x14ac:dyDescent="0.3">
      <c r="A1" s="66" t="s">
        <v>74</v>
      </c>
      <c r="B1" s="66"/>
      <c r="C1" s="67"/>
      <c r="D1" s="67"/>
      <c r="E1" s="267" t="s">
        <v>75</v>
      </c>
      <c r="F1" s="267"/>
      <c r="G1" s="66" t="s">
        <v>76</v>
      </c>
      <c r="H1" s="66"/>
      <c r="I1" s="66"/>
      <c r="J1" s="66"/>
      <c r="K1" s="104" t="s">
        <v>113</v>
      </c>
      <c r="L1" s="67"/>
      <c r="M1" s="67"/>
      <c r="N1" s="67"/>
      <c r="O1" s="67"/>
      <c r="P1" s="67"/>
      <c r="Q1" s="67"/>
      <c r="R1" s="67"/>
      <c r="S1" s="67"/>
      <c r="T1" s="67"/>
      <c r="U1" s="67"/>
      <c r="V1" s="67"/>
      <c r="W1" s="67"/>
      <c r="X1" s="67"/>
      <c r="Y1" s="67"/>
      <c r="Z1" s="67"/>
      <c r="AA1" s="67"/>
      <c r="AB1" s="67"/>
      <c r="AC1" s="67"/>
      <c r="AD1" s="67"/>
      <c r="AE1" s="68"/>
      <c r="AF1" s="67"/>
      <c r="AG1" s="67"/>
      <c r="AH1" s="67"/>
      <c r="AI1" s="67"/>
    </row>
    <row r="2" spans="1:36" ht="13" x14ac:dyDescent="0.3">
      <c r="A2" s="69"/>
      <c r="B2" s="69"/>
      <c r="C2" s="67"/>
      <c r="D2" s="67"/>
      <c r="E2" s="267" t="s">
        <v>75</v>
      </c>
      <c r="F2" s="267"/>
      <c r="G2" s="66" t="s">
        <v>114</v>
      </c>
      <c r="H2" s="67"/>
      <c r="I2" s="67"/>
      <c r="J2" s="67"/>
      <c r="K2" s="104" t="s">
        <v>115</v>
      </c>
      <c r="L2" s="67"/>
      <c r="M2" s="67"/>
      <c r="N2" s="67"/>
      <c r="O2" s="67"/>
      <c r="P2" s="67"/>
      <c r="Q2" s="67"/>
      <c r="R2" s="67"/>
      <c r="S2" s="67"/>
      <c r="T2" s="67"/>
      <c r="U2" s="67"/>
      <c r="V2" s="67"/>
      <c r="W2" s="67"/>
      <c r="X2" s="67"/>
      <c r="Y2" s="67"/>
      <c r="Z2" s="67"/>
      <c r="AA2" s="67"/>
      <c r="AB2" s="67"/>
      <c r="AC2" s="67"/>
      <c r="AD2" s="67"/>
      <c r="AE2" s="68"/>
      <c r="AF2" s="67"/>
      <c r="AG2" s="67"/>
      <c r="AH2" s="67"/>
      <c r="AI2" s="67"/>
    </row>
    <row r="3" spans="1:36" x14ac:dyDescent="0.25">
      <c r="A3" s="70" t="s">
        <v>77</v>
      </c>
      <c r="B3" s="70"/>
      <c r="C3" s="70"/>
      <c r="D3" s="70"/>
      <c r="E3" s="70"/>
      <c r="F3" s="59"/>
      <c r="G3" s="59"/>
      <c r="H3" s="67"/>
      <c r="I3" s="67"/>
      <c r="J3" s="67"/>
      <c r="K3" s="67"/>
      <c r="L3" s="67"/>
      <c r="M3" s="67"/>
      <c r="N3" s="67"/>
      <c r="O3" s="67"/>
      <c r="P3" s="67"/>
      <c r="Q3" s="67"/>
      <c r="R3" s="67"/>
      <c r="S3" s="67"/>
      <c r="T3" s="67"/>
      <c r="U3" s="67"/>
      <c r="V3" s="67"/>
      <c r="W3" s="67"/>
      <c r="X3" s="67"/>
      <c r="Y3" s="67"/>
      <c r="Z3" s="67"/>
      <c r="AA3" s="67"/>
      <c r="AB3" s="67"/>
      <c r="AC3" s="67"/>
      <c r="AD3" s="67"/>
      <c r="AE3" s="68"/>
      <c r="AF3" s="67"/>
      <c r="AG3" s="67"/>
      <c r="AH3" s="67"/>
      <c r="AI3" s="67"/>
    </row>
    <row r="4" spans="1:36" x14ac:dyDescent="0.25">
      <c r="A4" s="71"/>
      <c r="B4" s="71"/>
      <c r="C4" s="71"/>
      <c r="D4" s="71"/>
      <c r="E4" s="71"/>
      <c r="F4" s="60"/>
      <c r="G4" s="60"/>
      <c r="H4" s="67"/>
      <c r="I4" s="67"/>
      <c r="J4" s="67"/>
      <c r="K4" s="67"/>
      <c r="L4" s="67"/>
      <c r="M4" s="67"/>
      <c r="N4" s="67"/>
      <c r="O4" s="67"/>
      <c r="P4" s="67"/>
      <c r="Q4" s="67"/>
      <c r="R4" s="67"/>
      <c r="S4" s="67"/>
      <c r="T4" s="67"/>
      <c r="U4" s="67"/>
      <c r="V4" s="67"/>
      <c r="W4" s="67"/>
      <c r="X4" s="67"/>
      <c r="Y4" s="67"/>
      <c r="Z4" s="67"/>
      <c r="AA4" s="67"/>
      <c r="AB4" s="67"/>
      <c r="AC4" s="67"/>
      <c r="AD4" s="67"/>
      <c r="AE4" s="68"/>
      <c r="AF4" s="67"/>
      <c r="AG4" s="67"/>
      <c r="AH4" s="67"/>
      <c r="AI4" s="67" t="s">
        <v>184</v>
      </c>
    </row>
    <row r="5" spans="1:36" x14ac:dyDescent="0.25">
      <c r="A5" s="72" t="s">
        <v>78</v>
      </c>
      <c r="B5" s="72" t="s">
        <v>116</v>
      </c>
      <c r="C5" s="72">
        <v>1993</v>
      </c>
      <c r="D5" s="72">
        <v>1994</v>
      </c>
      <c r="E5" s="72">
        <v>1995</v>
      </c>
      <c r="F5" s="72">
        <v>1996</v>
      </c>
      <c r="G5" s="72">
        <v>1997</v>
      </c>
      <c r="H5" s="72">
        <v>1998</v>
      </c>
      <c r="I5" s="72">
        <v>1999</v>
      </c>
      <c r="J5" s="72">
        <v>2000</v>
      </c>
      <c r="K5" s="72">
        <v>2001</v>
      </c>
      <c r="L5" s="72">
        <v>2002</v>
      </c>
      <c r="M5" s="73">
        <v>2003</v>
      </c>
      <c r="N5" s="73">
        <v>2004</v>
      </c>
      <c r="O5" s="73">
        <v>2005</v>
      </c>
      <c r="P5" s="74">
        <v>2006</v>
      </c>
      <c r="Q5" s="74">
        <v>2007</v>
      </c>
      <c r="R5" s="74">
        <v>2008</v>
      </c>
      <c r="S5" s="74">
        <v>2009</v>
      </c>
      <c r="T5" s="74">
        <v>2010</v>
      </c>
      <c r="U5" s="74">
        <v>2011</v>
      </c>
      <c r="V5" s="75">
        <v>2012</v>
      </c>
      <c r="W5" s="75">
        <v>2013</v>
      </c>
      <c r="X5" s="75">
        <v>2014</v>
      </c>
      <c r="Y5" s="75">
        <v>2015</v>
      </c>
      <c r="Z5" s="75">
        <v>2016</v>
      </c>
      <c r="AA5" s="75">
        <v>2017</v>
      </c>
      <c r="AB5" s="75">
        <v>2018</v>
      </c>
      <c r="AC5" s="75">
        <v>2019</v>
      </c>
      <c r="AD5" s="75">
        <v>2020</v>
      </c>
      <c r="AE5" s="76"/>
      <c r="AF5" s="77" t="s">
        <v>135</v>
      </c>
      <c r="AG5" s="77" t="s">
        <v>79</v>
      </c>
      <c r="AH5" s="189"/>
      <c r="AI5" s="264" t="s">
        <v>185</v>
      </c>
      <c r="AJ5" s="264" t="s">
        <v>79</v>
      </c>
    </row>
    <row r="6" spans="1:36" x14ac:dyDescent="0.25">
      <c r="A6" s="71"/>
      <c r="B6" s="71"/>
      <c r="C6" s="71"/>
      <c r="D6" s="71"/>
      <c r="E6" s="71"/>
      <c r="F6" s="59"/>
      <c r="G6" s="59"/>
      <c r="H6" s="67"/>
      <c r="I6" s="67"/>
      <c r="J6" s="67"/>
      <c r="K6" s="67"/>
      <c r="L6" s="67"/>
      <c r="M6" s="68"/>
      <c r="N6" s="68"/>
      <c r="O6" s="68"/>
      <c r="P6" s="78"/>
      <c r="Q6" s="78"/>
      <c r="R6" s="78"/>
      <c r="S6" s="78"/>
      <c r="T6" s="78"/>
      <c r="U6" s="78"/>
      <c r="V6" s="78"/>
      <c r="W6" s="78"/>
      <c r="X6" s="78"/>
      <c r="Y6" s="78"/>
      <c r="Z6" s="78"/>
      <c r="AA6" s="78"/>
      <c r="AB6" s="78"/>
      <c r="AC6" s="78"/>
      <c r="AD6" s="78"/>
      <c r="AE6" s="68"/>
      <c r="AF6" s="67"/>
      <c r="AG6" s="67"/>
      <c r="AH6" s="190"/>
      <c r="AI6" s="263"/>
      <c r="AJ6" s="263"/>
    </row>
    <row r="7" spans="1:36" x14ac:dyDescent="0.25">
      <c r="A7" s="79"/>
      <c r="B7" s="79"/>
      <c r="C7" s="79"/>
      <c r="D7" s="79"/>
      <c r="E7" s="79"/>
      <c r="F7" s="59"/>
      <c r="G7" s="59"/>
      <c r="H7" s="59"/>
      <c r="I7" s="59"/>
      <c r="J7" s="67"/>
      <c r="K7" s="67"/>
      <c r="L7" s="67"/>
      <c r="M7" s="68"/>
      <c r="N7" s="68"/>
      <c r="O7" s="68"/>
      <c r="P7" s="78"/>
      <c r="Q7" s="78"/>
      <c r="R7" s="78"/>
      <c r="S7" s="78"/>
      <c r="T7" s="78"/>
      <c r="U7" s="78"/>
      <c r="V7" s="78"/>
      <c r="W7" s="78"/>
      <c r="X7" s="78"/>
      <c r="Y7" s="78"/>
      <c r="Z7" s="78"/>
      <c r="AA7" s="78"/>
      <c r="AB7" s="78"/>
      <c r="AC7" s="78"/>
      <c r="AD7" s="78"/>
      <c r="AE7" s="68"/>
      <c r="AF7" s="67"/>
      <c r="AG7" s="67"/>
      <c r="AH7" s="190"/>
      <c r="AI7" s="263"/>
      <c r="AJ7" s="263"/>
    </row>
    <row r="8" spans="1:36" x14ac:dyDescent="0.25">
      <c r="A8" s="79" t="s">
        <v>80</v>
      </c>
      <c r="B8" s="79">
        <v>1</v>
      </c>
      <c r="C8" s="80">
        <v>635.1</v>
      </c>
      <c r="D8" s="80">
        <v>941.4</v>
      </c>
      <c r="E8" s="80">
        <v>653.20000000000005</v>
      </c>
      <c r="F8" s="80">
        <v>765.2</v>
      </c>
      <c r="G8" s="80">
        <v>756.6</v>
      </c>
      <c r="H8" s="80">
        <v>624.79999999999995</v>
      </c>
      <c r="I8" s="80">
        <v>749.8</v>
      </c>
      <c r="J8" s="80">
        <v>738.9</v>
      </c>
      <c r="K8" s="80">
        <v>684.9</v>
      </c>
      <c r="L8" s="80">
        <v>572.20000000000005</v>
      </c>
      <c r="M8" s="81">
        <v>814.5</v>
      </c>
      <c r="N8" s="81">
        <v>849.1</v>
      </c>
      <c r="O8" s="81">
        <v>770</v>
      </c>
      <c r="P8" s="82">
        <v>551.79999999999995</v>
      </c>
      <c r="Q8" s="82">
        <v>647.1</v>
      </c>
      <c r="R8" s="82">
        <v>623.5</v>
      </c>
      <c r="S8" s="82">
        <v>830.2</v>
      </c>
      <c r="T8" s="82">
        <v>720</v>
      </c>
      <c r="U8" s="82">
        <v>775.3</v>
      </c>
      <c r="V8" s="82">
        <v>610.80000000000007</v>
      </c>
      <c r="W8" s="82">
        <v>624.40000000000009</v>
      </c>
      <c r="X8" s="82">
        <v>825.90000000000009</v>
      </c>
      <c r="Y8" s="82">
        <v>792.39999999999975</v>
      </c>
      <c r="Z8" s="82">
        <v>670.4</v>
      </c>
      <c r="AA8" s="82">
        <v>608.9</v>
      </c>
      <c r="AB8" s="82">
        <v>732.29999999999984</v>
      </c>
      <c r="AC8" s="82">
        <v>764.5</v>
      </c>
      <c r="AD8" s="82">
        <v>605</v>
      </c>
      <c r="AE8" s="81"/>
      <c r="AF8" s="165">
        <f>AVERAGE(U8:AD8)</f>
        <v>700.99</v>
      </c>
      <c r="AG8" s="166">
        <f>TREND(K8:AD8)</f>
        <v>709.9571428571428</v>
      </c>
      <c r="AH8" s="191"/>
      <c r="AI8" s="262">
        <v>700.14</v>
      </c>
      <c r="AJ8" s="261">
        <v>716.37</v>
      </c>
    </row>
    <row r="9" spans="1:36" x14ac:dyDescent="0.25">
      <c r="A9" s="79" t="s">
        <v>81</v>
      </c>
      <c r="B9" s="79">
        <v>2</v>
      </c>
      <c r="C9" s="80">
        <v>686.8</v>
      </c>
      <c r="D9" s="80">
        <v>737.5</v>
      </c>
      <c r="E9" s="80">
        <v>707</v>
      </c>
      <c r="F9" s="80">
        <v>689.8</v>
      </c>
      <c r="G9" s="80">
        <v>593</v>
      </c>
      <c r="H9" s="80">
        <v>512.20000000000005</v>
      </c>
      <c r="I9" s="80">
        <v>548.1</v>
      </c>
      <c r="J9" s="80">
        <v>612.70000000000005</v>
      </c>
      <c r="K9" s="80">
        <v>587.6</v>
      </c>
      <c r="L9" s="80">
        <v>540.20000000000005</v>
      </c>
      <c r="M9" s="81">
        <v>699</v>
      </c>
      <c r="N9" s="81">
        <v>631.70000000000005</v>
      </c>
      <c r="O9" s="81">
        <v>616.4</v>
      </c>
      <c r="P9" s="82">
        <v>604.29999999999995</v>
      </c>
      <c r="Q9" s="82">
        <v>740.1</v>
      </c>
      <c r="R9" s="82">
        <v>674.7</v>
      </c>
      <c r="S9" s="82">
        <v>606.4</v>
      </c>
      <c r="T9" s="82">
        <v>598.29999999999995</v>
      </c>
      <c r="U9" s="82">
        <v>654.20000000000005</v>
      </c>
      <c r="V9" s="82">
        <v>532</v>
      </c>
      <c r="W9" s="82">
        <v>631.49999999999989</v>
      </c>
      <c r="X9" s="82">
        <v>737.09999999999991</v>
      </c>
      <c r="Y9" s="82">
        <v>856.8</v>
      </c>
      <c r="Z9" s="82">
        <v>588.4</v>
      </c>
      <c r="AA9" s="82">
        <v>510.4</v>
      </c>
      <c r="AB9" s="82">
        <v>555.00000000000023</v>
      </c>
      <c r="AC9" s="82">
        <v>621.70000000000016</v>
      </c>
      <c r="AD9" s="82">
        <v>611.79999999999995</v>
      </c>
      <c r="AE9" s="81"/>
      <c r="AF9" s="165">
        <f>AVERAGE(U9:AD9)</f>
        <v>629.89</v>
      </c>
      <c r="AG9" s="166">
        <f>TREND(K9:AD9)</f>
        <v>632.24714285714276</v>
      </c>
      <c r="AH9" s="191"/>
      <c r="AI9" s="262">
        <v>663.54000000000008</v>
      </c>
      <c r="AJ9" s="261">
        <v>633.30500000000006</v>
      </c>
    </row>
    <row r="10" spans="1:36" x14ac:dyDescent="0.25">
      <c r="A10" s="79" t="s">
        <v>82</v>
      </c>
      <c r="B10" s="79">
        <v>3</v>
      </c>
      <c r="C10" s="80">
        <v>530.1</v>
      </c>
      <c r="D10" s="80">
        <v>581.5</v>
      </c>
      <c r="E10" s="80">
        <v>498.1</v>
      </c>
      <c r="F10" s="80">
        <v>645.6</v>
      </c>
      <c r="G10" s="80">
        <v>600</v>
      </c>
      <c r="H10" s="80">
        <v>492.3</v>
      </c>
      <c r="I10" s="80">
        <v>550.6</v>
      </c>
      <c r="J10" s="80">
        <v>418.6</v>
      </c>
      <c r="K10" s="80">
        <v>566.6</v>
      </c>
      <c r="L10" s="80">
        <v>545.6</v>
      </c>
      <c r="M10" s="81">
        <v>581.1</v>
      </c>
      <c r="N10" s="81">
        <v>487.3</v>
      </c>
      <c r="O10" s="81">
        <v>608.6</v>
      </c>
      <c r="P10" s="82">
        <v>516.6</v>
      </c>
      <c r="Q10" s="82">
        <v>546.70000000000005</v>
      </c>
      <c r="R10" s="82">
        <v>610.20000000000005</v>
      </c>
      <c r="S10" s="82">
        <v>533.79999999999995</v>
      </c>
      <c r="T10" s="82">
        <v>422.8</v>
      </c>
      <c r="U10" s="82">
        <v>572.79999999999995</v>
      </c>
      <c r="V10" s="82">
        <v>349.40000000000009</v>
      </c>
      <c r="W10" s="82">
        <v>554.79999999999995</v>
      </c>
      <c r="X10" s="82">
        <v>690.6</v>
      </c>
      <c r="Y10" s="82">
        <v>615.49999999999989</v>
      </c>
      <c r="Z10" s="82">
        <v>476.0999999999998</v>
      </c>
      <c r="AA10" s="82">
        <v>574</v>
      </c>
      <c r="AB10" s="82">
        <v>553.99999999999989</v>
      </c>
      <c r="AC10" s="82">
        <v>593.90000000000009</v>
      </c>
      <c r="AD10" s="82">
        <v>458.69999999999993</v>
      </c>
      <c r="AE10" s="81"/>
      <c r="AF10" s="165">
        <f>AVERAGE(U10:AD10)</f>
        <v>543.98</v>
      </c>
      <c r="AG10" s="166">
        <f>TREND(K10:AD10)</f>
        <v>548.30285714285731</v>
      </c>
      <c r="AH10" s="191"/>
      <c r="AI10" s="262">
        <v>541.32000000000005</v>
      </c>
      <c r="AJ10" s="261">
        <v>545.47500000000002</v>
      </c>
    </row>
    <row r="11" spans="1:36" x14ac:dyDescent="0.25">
      <c r="A11" s="79" t="s">
        <v>83</v>
      </c>
      <c r="B11" s="79">
        <v>4</v>
      </c>
      <c r="C11" s="80">
        <v>280.3</v>
      </c>
      <c r="D11" s="80">
        <v>320.2</v>
      </c>
      <c r="E11" s="80">
        <v>417.6</v>
      </c>
      <c r="F11" s="80">
        <v>408.2</v>
      </c>
      <c r="G11" s="80">
        <v>366.8</v>
      </c>
      <c r="H11" s="80">
        <v>282</v>
      </c>
      <c r="I11" s="80">
        <v>296.7</v>
      </c>
      <c r="J11" s="80">
        <v>339.2</v>
      </c>
      <c r="K11" s="80">
        <v>293.8</v>
      </c>
      <c r="L11" s="80">
        <v>329.5</v>
      </c>
      <c r="M11" s="81">
        <v>372.5</v>
      </c>
      <c r="N11" s="81">
        <v>331.5</v>
      </c>
      <c r="O11" s="81">
        <v>306.8</v>
      </c>
      <c r="P11" s="82">
        <v>293.3</v>
      </c>
      <c r="Q11" s="82">
        <v>356.4</v>
      </c>
      <c r="R11" s="82">
        <v>253.9</v>
      </c>
      <c r="S11" s="82">
        <v>305.8</v>
      </c>
      <c r="T11" s="82">
        <v>225.1</v>
      </c>
      <c r="U11" s="82">
        <v>332.3</v>
      </c>
      <c r="V11" s="82">
        <v>321.70000000000005</v>
      </c>
      <c r="W11" s="82">
        <v>358.6</v>
      </c>
      <c r="X11" s="82">
        <v>356.90000000000003</v>
      </c>
      <c r="Y11" s="82">
        <v>313.7</v>
      </c>
      <c r="Z11" s="82">
        <v>394.8</v>
      </c>
      <c r="AA11" s="82">
        <v>257.49999999999994</v>
      </c>
      <c r="AB11" s="82">
        <v>437.20000000000005</v>
      </c>
      <c r="AC11" s="82">
        <v>346.8</v>
      </c>
      <c r="AD11" s="82">
        <v>362.2999999999999</v>
      </c>
      <c r="AE11" s="81"/>
      <c r="AF11" s="165">
        <f>AVERAGE(U11:AD11)</f>
        <v>348.17999999999995</v>
      </c>
      <c r="AG11" s="166">
        <f>TREND(K11:AD11)</f>
        <v>302.96571428571434</v>
      </c>
      <c r="AH11" s="191"/>
      <c r="AI11" s="262">
        <v>311.77</v>
      </c>
      <c r="AJ11" s="261">
        <v>322.23500000000001</v>
      </c>
    </row>
    <row r="12" spans="1:36" x14ac:dyDescent="0.25">
      <c r="A12" s="79" t="s">
        <v>84</v>
      </c>
      <c r="B12" s="79">
        <v>5</v>
      </c>
      <c r="C12" s="80">
        <v>182</v>
      </c>
      <c r="D12" s="80">
        <v>199.7</v>
      </c>
      <c r="E12" s="80">
        <v>149.19999999999999</v>
      </c>
      <c r="F12" s="80">
        <v>205.9</v>
      </c>
      <c r="G12" s="80">
        <v>260.8</v>
      </c>
      <c r="H12" s="80">
        <v>59.1</v>
      </c>
      <c r="I12" s="80">
        <v>97.1</v>
      </c>
      <c r="J12" s="80">
        <v>139.6</v>
      </c>
      <c r="K12" s="80">
        <v>111.5</v>
      </c>
      <c r="L12" s="80">
        <v>227.5</v>
      </c>
      <c r="M12" s="81">
        <v>177.9</v>
      </c>
      <c r="N12" s="81">
        <v>158.9</v>
      </c>
      <c r="O12" s="81">
        <v>189.4</v>
      </c>
      <c r="P12" s="82">
        <v>136.9</v>
      </c>
      <c r="Q12" s="82">
        <v>136.4</v>
      </c>
      <c r="R12" s="82">
        <v>193.5</v>
      </c>
      <c r="S12" s="82">
        <v>158.80000000000001</v>
      </c>
      <c r="T12" s="82">
        <v>107.9</v>
      </c>
      <c r="U12" s="82">
        <v>134.1</v>
      </c>
      <c r="V12" s="82">
        <v>81.300000000000011</v>
      </c>
      <c r="W12" s="82">
        <v>109.10000000000001</v>
      </c>
      <c r="X12" s="82">
        <v>132.10000000000005</v>
      </c>
      <c r="Y12" s="82">
        <v>89.3</v>
      </c>
      <c r="Z12" s="82">
        <v>142.50000000000003</v>
      </c>
      <c r="AA12" s="82">
        <v>177</v>
      </c>
      <c r="AB12" s="82">
        <v>75.3</v>
      </c>
      <c r="AC12" s="82">
        <v>180.99999999999997</v>
      </c>
      <c r="AD12" s="82">
        <v>208.09999999999997</v>
      </c>
      <c r="AE12" s="81"/>
      <c r="AF12" s="165">
        <f>AVERAGE(U12:AD12)</f>
        <v>132.97999999999996</v>
      </c>
      <c r="AG12" s="166">
        <f>TREND(K12:AD12)</f>
        <v>159.72142857142859</v>
      </c>
      <c r="AH12" s="191"/>
      <c r="AI12" s="262">
        <v>127.94000000000001</v>
      </c>
      <c r="AJ12" s="261">
        <v>145.35500000000005</v>
      </c>
    </row>
    <row r="13" spans="1:36" x14ac:dyDescent="0.25">
      <c r="A13" s="79" t="s">
        <v>85</v>
      </c>
      <c r="B13" s="79">
        <v>6</v>
      </c>
      <c r="C13" s="80">
        <v>46.5</v>
      </c>
      <c r="D13" s="80">
        <v>35.6</v>
      </c>
      <c r="E13" s="80">
        <v>20</v>
      </c>
      <c r="F13" s="80">
        <v>20.9</v>
      </c>
      <c r="G13" s="80">
        <v>20.6</v>
      </c>
      <c r="H13" s="80">
        <v>54.7</v>
      </c>
      <c r="I13" s="80">
        <v>25</v>
      </c>
      <c r="J13" s="80">
        <v>34.5</v>
      </c>
      <c r="K13" s="80">
        <v>29.8</v>
      </c>
      <c r="L13" s="80">
        <v>36.200000000000003</v>
      </c>
      <c r="M13" s="81">
        <v>43.4</v>
      </c>
      <c r="N13" s="81">
        <v>44.2</v>
      </c>
      <c r="O13" s="81">
        <v>8.9</v>
      </c>
      <c r="P13" s="82">
        <v>19.5</v>
      </c>
      <c r="Q13" s="82">
        <v>16.5</v>
      </c>
      <c r="R13" s="82">
        <v>22.7</v>
      </c>
      <c r="S13" s="82">
        <v>49.3</v>
      </c>
      <c r="T13" s="82">
        <v>21.7</v>
      </c>
      <c r="U13" s="82">
        <v>19</v>
      </c>
      <c r="V13" s="82">
        <v>23.2</v>
      </c>
      <c r="W13" s="84">
        <v>33</v>
      </c>
      <c r="X13" s="82">
        <v>14.1</v>
      </c>
      <c r="Y13" s="82">
        <v>33.800000000000004</v>
      </c>
      <c r="Z13" s="82">
        <v>24.200000000000003</v>
      </c>
      <c r="AA13" s="82">
        <v>26.699999999999996</v>
      </c>
      <c r="AB13" s="82">
        <v>14.799999999999999</v>
      </c>
      <c r="AC13" s="82">
        <v>35.5</v>
      </c>
      <c r="AD13" s="82">
        <v>23.799999999999997</v>
      </c>
      <c r="AE13" s="81"/>
      <c r="AF13" s="83">
        <f t="shared" ref="AF13:AF19" si="0">AVERAGE(T13:AC13)</f>
        <v>24.6</v>
      </c>
      <c r="AG13" s="61">
        <f t="shared" ref="AG13:AG19" si="1">TREND(J13:AC13)</f>
        <v>31.881428571428572</v>
      </c>
      <c r="AH13" s="191"/>
      <c r="AI13" s="262">
        <v>25.279999999999998</v>
      </c>
      <c r="AJ13" s="262">
        <v>28.549999999999994</v>
      </c>
    </row>
    <row r="14" spans="1:36" x14ac:dyDescent="0.25">
      <c r="A14" s="79" t="s">
        <v>86</v>
      </c>
      <c r="B14" s="79">
        <v>7</v>
      </c>
      <c r="C14" s="80">
        <v>0.6</v>
      </c>
      <c r="D14" s="80">
        <v>2.4</v>
      </c>
      <c r="E14" s="80">
        <v>10.3</v>
      </c>
      <c r="F14" s="80">
        <v>10.3</v>
      </c>
      <c r="G14" s="80">
        <v>12.4</v>
      </c>
      <c r="H14" s="80">
        <v>1</v>
      </c>
      <c r="I14" s="80">
        <v>0</v>
      </c>
      <c r="J14" s="80">
        <v>6.6</v>
      </c>
      <c r="K14" s="80">
        <v>9.3000000000000007</v>
      </c>
      <c r="L14" s="80">
        <v>0</v>
      </c>
      <c r="M14" s="81">
        <v>0.2</v>
      </c>
      <c r="N14" s="81">
        <v>3.6</v>
      </c>
      <c r="O14" s="81">
        <v>0</v>
      </c>
      <c r="P14" s="82">
        <v>0</v>
      </c>
      <c r="Q14" s="82">
        <v>3.2</v>
      </c>
      <c r="R14" s="82">
        <v>1</v>
      </c>
      <c r="S14" s="82">
        <v>6.2</v>
      </c>
      <c r="T14" s="82">
        <v>1.8</v>
      </c>
      <c r="U14" s="82">
        <v>0</v>
      </c>
      <c r="V14" s="82">
        <v>0</v>
      </c>
      <c r="W14" s="82">
        <v>1.2999999999999998</v>
      </c>
      <c r="X14" s="82">
        <v>4</v>
      </c>
      <c r="Y14" s="82">
        <v>4</v>
      </c>
      <c r="Z14" s="82">
        <v>0</v>
      </c>
      <c r="AA14" s="82">
        <v>0</v>
      </c>
      <c r="AB14" s="82">
        <v>0</v>
      </c>
      <c r="AC14" s="82">
        <v>0</v>
      </c>
      <c r="AD14" s="82">
        <v>0</v>
      </c>
      <c r="AE14" s="81"/>
      <c r="AF14" s="83">
        <f t="shared" si="0"/>
        <v>1.1099999999999999</v>
      </c>
      <c r="AG14" s="61">
        <f t="shared" si="1"/>
        <v>3.9171428571428573</v>
      </c>
      <c r="AH14" s="192"/>
      <c r="AI14" s="262">
        <v>2.15</v>
      </c>
      <c r="AJ14" s="262">
        <v>3.2450000000000001</v>
      </c>
    </row>
    <row r="15" spans="1:36" x14ac:dyDescent="0.25">
      <c r="A15" s="79" t="s">
        <v>87</v>
      </c>
      <c r="B15" s="79">
        <v>8</v>
      </c>
      <c r="C15" s="80">
        <v>9.6999999999999993</v>
      </c>
      <c r="D15" s="80">
        <v>24.5</v>
      </c>
      <c r="E15" s="80">
        <v>4.5999999999999996</v>
      </c>
      <c r="F15" s="80">
        <v>2.5</v>
      </c>
      <c r="G15" s="80">
        <v>17</v>
      </c>
      <c r="H15" s="80">
        <v>3.4</v>
      </c>
      <c r="I15" s="80">
        <v>8.4</v>
      </c>
      <c r="J15" s="80">
        <v>11.5</v>
      </c>
      <c r="K15" s="80">
        <v>0</v>
      </c>
      <c r="L15" s="80">
        <v>0.2</v>
      </c>
      <c r="M15" s="81">
        <v>2</v>
      </c>
      <c r="N15" s="81">
        <v>12.8</v>
      </c>
      <c r="O15" s="81">
        <v>0.2</v>
      </c>
      <c r="P15" s="82">
        <v>4.2</v>
      </c>
      <c r="Q15" s="82">
        <v>5.2</v>
      </c>
      <c r="R15" s="82">
        <v>12.7</v>
      </c>
      <c r="S15" s="82">
        <v>9.8000000000000007</v>
      </c>
      <c r="T15" s="82">
        <v>2.1</v>
      </c>
      <c r="U15" s="82">
        <v>0</v>
      </c>
      <c r="V15" s="82">
        <v>2</v>
      </c>
      <c r="W15" s="82">
        <v>4.4000000000000004</v>
      </c>
      <c r="X15" s="82">
        <v>8.7999999999999989</v>
      </c>
      <c r="Y15" s="82">
        <v>4.4000000000000004</v>
      </c>
      <c r="Z15" s="82">
        <v>0</v>
      </c>
      <c r="AA15" s="82">
        <v>11.6</v>
      </c>
      <c r="AB15" s="82">
        <v>1.2</v>
      </c>
      <c r="AC15" s="82">
        <v>0.89999999999999991</v>
      </c>
      <c r="AD15" s="82">
        <v>0.8</v>
      </c>
      <c r="AE15" s="81"/>
      <c r="AF15" s="83">
        <f t="shared" si="0"/>
        <v>3.54</v>
      </c>
      <c r="AG15" s="61">
        <f t="shared" si="1"/>
        <v>5.4957142857142856</v>
      </c>
      <c r="AH15" s="192"/>
      <c r="AI15" s="262">
        <v>5.3599999999999994</v>
      </c>
      <c r="AJ15" s="262">
        <v>5.58</v>
      </c>
    </row>
    <row r="16" spans="1:36" x14ac:dyDescent="0.25">
      <c r="A16" s="79" t="s">
        <v>88</v>
      </c>
      <c r="B16" s="79">
        <v>9</v>
      </c>
      <c r="C16" s="80">
        <v>77.2</v>
      </c>
      <c r="D16" s="80">
        <v>76.2</v>
      </c>
      <c r="E16" s="80">
        <v>133.69999999999999</v>
      </c>
      <c r="F16" s="80">
        <v>71.599999999999994</v>
      </c>
      <c r="G16" s="80">
        <v>87.1</v>
      </c>
      <c r="H16" s="80">
        <v>39.700000000000003</v>
      </c>
      <c r="I16" s="80">
        <v>49.3</v>
      </c>
      <c r="J16" s="80">
        <v>99.5</v>
      </c>
      <c r="K16" s="80">
        <v>73.599999999999994</v>
      </c>
      <c r="L16" s="80">
        <v>21.8</v>
      </c>
      <c r="M16" s="81">
        <v>54.9</v>
      </c>
      <c r="N16" s="81">
        <v>30</v>
      </c>
      <c r="O16" s="81">
        <v>22.6</v>
      </c>
      <c r="P16" s="82">
        <v>80.900000000000006</v>
      </c>
      <c r="Q16" s="82">
        <v>36.9</v>
      </c>
      <c r="R16" s="82">
        <v>59</v>
      </c>
      <c r="S16" s="82">
        <v>55.2</v>
      </c>
      <c r="T16" s="82">
        <v>78.099999999999994</v>
      </c>
      <c r="U16" s="82">
        <v>48.2</v>
      </c>
      <c r="V16" s="82">
        <v>85</v>
      </c>
      <c r="W16" s="82">
        <v>82.999999999999986</v>
      </c>
      <c r="X16" s="82">
        <v>69.700000000000017</v>
      </c>
      <c r="Y16" s="82">
        <v>31.099999999999994</v>
      </c>
      <c r="Z16" s="82">
        <v>25.900000000000006</v>
      </c>
      <c r="AA16" s="82">
        <v>49.1</v>
      </c>
      <c r="AB16" s="82">
        <v>41.399999999999991</v>
      </c>
      <c r="AC16" s="82">
        <v>38.400000000000006</v>
      </c>
      <c r="AD16" s="82">
        <v>69.100000000000009</v>
      </c>
      <c r="AE16" s="81"/>
      <c r="AF16" s="83">
        <f t="shared" si="0"/>
        <v>54.989999999999995</v>
      </c>
      <c r="AG16" s="61">
        <f t="shared" si="1"/>
        <v>61.315714285714307</v>
      </c>
      <c r="AH16" s="192"/>
      <c r="AI16" s="262">
        <v>62.71</v>
      </c>
      <c r="AJ16" s="262">
        <v>58.86</v>
      </c>
    </row>
    <row r="17" spans="1:36" x14ac:dyDescent="0.25">
      <c r="A17" s="79" t="s">
        <v>89</v>
      </c>
      <c r="B17" s="79">
        <v>10</v>
      </c>
      <c r="C17" s="80">
        <v>200.8</v>
      </c>
      <c r="D17" s="80">
        <v>249.3</v>
      </c>
      <c r="E17" s="80">
        <v>219.4</v>
      </c>
      <c r="F17" s="80">
        <v>273.10000000000002</v>
      </c>
      <c r="G17" s="80">
        <v>266.89999999999998</v>
      </c>
      <c r="H17" s="80">
        <v>223.4</v>
      </c>
      <c r="I17" s="80">
        <v>267.60000000000002</v>
      </c>
      <c r="J17" s="80">
        <v>212.7</v>
      </c>
      <c r="K17" s="80">
        <v>232.5</v>
      </c>
      <c r="L17" s="80">
        <v>292.2</v>
      </c>
      <c r="M17" s="81">
        <v>276</v>
      </c>
      <c r="N17" s="81">
        <v>226.3</v>
      </c>
      <c r="O17" s="81">
        <v>220.2</v>
      </c>
      <c r="P17" s="82">
        <v>288.3</v>
      </c>
      <c r="Q17" s="82">
        <v>137.69999999999999</v>
      </c>
      <c r="R17" s="82">
        <v>278.60000000000002</v>
      </c>
      <c r="S17" s="82">
        <v>287.8</v>
      </c>
      <c r="T17" s="82">
        <v>241.6</v>
      </c>
      <c r="U17" s="82">
        <v>235.5</v>
      </c>
      <c r="V17" s="82">
        <v>242.50000000000003</v>
      </c>
      <c r="W17" s="82">
        <v>208.5</v>
      </c>
      <c r="X17" s="82">
        <v>224.30000000000004</v>
      </c>
      <c r="Y17" s="82">
        <v>249.8</v>
      </c>
      <c r="Z17" s="82">
        <v>194.20000000000002</v>
      </c>
      <c r="AA17" s="82">
        <v>153.99999999999997</v>
      </c>
      <c r="AB17" s="82">
        <v>289.40000000000003</v>
      </c>
      <c r="AC17" s="82">
        <v>236.5</v>
      </c>
      <c r="AD17" s="82">
        <v>270.3</v>
      </c>
      <c r="AE17" s="81"/>
      <c r="AF17" s="83">
        <f t="shared" si="0"/>
        <v>227.63000000000002</v>
      </c>
      <c r="AG17" s="61">
        <f t="shared" si="1"/>
        <v>248.0842857142857</v>
      </c>
      <c r="AH17" s="192"/>
      <c r="AI17" s="262">
        <v>239.46000000000004</v>
      </c>
      <c r="AJ17" s="262">
        <v>244.27500000000003</v>
      </c>
    </row>
    <row r="18" spans="1:36" x14ac:dyDescent="0.25">
      <c r="A18" s="79" t="s">
        <v>90</v>
      </c>
      <c r="B18" s="79">
        <v>11</v>
      </c>
      <c r="C18" s="80">
        <v>312.5</v>
      </c>
      <c r="D18" s="80">
        <v>379</v>
      </c>
      <c r="E18" s="80">
        <v>511.4</v>
      </c>
      <c r="F18" s="80">
        <v>512.1</v>
      </c>
      <c r="G18" s="80">
        <v>466.5</v>
      </c>
      <c r="H18" s="80">
        <v>392.6</v>
      </c>
      <c r="I18" s="80">
        <v>367.5</v>
      </c>
      <c r="J18" s="80">
        <v>432</v>
      </c>
      <c r="K18" s="80">
        <v>325.8</v>
      </c>
      <c r="L18" s="80">
        <v>445</v>
      </c>
      <c r="M18" s="81">
        <v>398.5</v>
      </c>
      <c r="N18" s="81">
        <v>379.1</v>
      </c>
      <c r="O18" s="81">
        <v>388.4</v>
      </c>
      <c r="P18" s="82">
        <v>382.2</v>
      </c>
      <c r="Q18" s="82">
        <v>462.5</v>
      </c>
      <c r="R18" s="82">
        <v>451.6</v>
      </c>
      <c r="S18" s="82">
        <v>361.2</v>
      </c>
      <c r="T18" s="82">
        <v>405.3</v>
      </c>
      <c r="U18" s="82">
        <v>342.1</v>
      </c>
      <c r="V18" s="82">
        <v>433.99999999999994</v>
      </c>
      <c r="W18" s="82">
        <v>478.20000000000005</v>
      </c>
      <c r="X18" s="82">
        <v>482.1</v>
      </c>
      <c r="Y18" s="82">
        <v>345</v>
      </c>
      <c r="Z18" s="82">
        <v>337.80000000000007</v>
      </c>
      <c r="AA18" s="82">
        <v>414.2</v>
      </c>
      <c r="AB18" s="82">
        <v>494.1</v>
      </c>
      <c r="AC18" s="82">
        <v>513.30000000000007</v>
      </c>
      <c r="AD18" s="82">
        <v>334.79999999999995</v>
      </c>
      <c r="AE18" s="81"/>
      <c r="AF18" s="83">
        <f t="shared" si="0"/>
        <v>424.61</v>
      </c>
      <c r="AG18" s="61">
        <f t="shared" si="1"/>
        <v>385.99142857142857</v>
      </c>
      <c r="AH18" s="192"/>
      <c r="AI18" s="262">
        <v>414.42000000000007</v>
      </c>
      <c r="AJ18" s="262">
        <v>412.58500000000004</v>
      </c>
    </row>
    <row r="19" spans="1:36" x14ac:dyDescent="0.25">
      <c r="A19" s="79" t="s">
        <v>91</v>
      </c>
      <c r="B19" s="79">
        <v>12</v>
      </c>
      <c r="C19" s="80">
        <v>503.5</v>
      </c>
      <c r="D19" s="80">
        <v>562.5</v>
      </c>
      <c r="E19" s="80">
        <v>717.5</v>
      </c>
      <c r="F19" s="80">
        <v>571.6</v>
      </c>
      <c r="G19" s="80">
        <v>586.20000000000005</v>
      </c>
      <c r="H19" s="80">
        <v>535.1</v>
      </c>
      <c r="I19" s="80">
        <v>579.29999999999995</v>
      </c>
      <c r="J19" s="80">
        <v>780.3</v>
      </c>
      <c r="K19" s="80">
        <v>505</v>
      </c>
      <c r="L19" s="80">
        <v>619.4</v>
      </c>
      <c r="M19" s="81">
        <v>561.5</v>
      </c>
      <c r="N19" s="81">
        <v>643.4</v>
      </c>
      <c r="O19" s="81">
        <v>665.3</v>
      </c>
      <c r="P19" s="82">
        <v>500.5</v>
      </c>
      <c r="Q19" s="82">
        <v>630.70000000000005</v>
      </c>
      <c r="R19" s="82">
        <v>654.6</v>
      </c>
      <c r="S19" s="82">
        <v>631.29999999999995</v>
      </c>
      <c r="T19" s="82">
        <v>676.2</v>
      </c>
      <c r="U19" s="82">
        <v>534</v>
      </c>
      <c r="V19" s="82">
        <v>533.50000000000011</v>
      </c>
      <c r="W19" s="82">
        <v>687.9</v>
      </c>
      <c r="X19" s="82">
        <v>557.29999999999995</v>
      </c>
      <c r="Y19" s="82">
        <v>429.70000000000005</v>
      </c>
      <c r="Z19" s="82">
        <v>607.99999999999989</v>
      </c>
      <c r="AA19" s="82">
        <v>718.49999999999989</v>
      </c>
      <c r="AB19" s="82">
        <v>563.60000000000014</v>
      </c>
      <c r="AC19" s="82">
        <v>582.4</v>
      </c>
      <c r="AD19" s="82">
        <v>567.29999999999995</v>
      </c>
      <c r="AE19" s="81"/>
      <c r="AF19" s="83">
        <f t="shared" si="0"/>
        <v>589.11</v>
      </c>
      <c r="AG19" s="61">
        <f t="shared" si="1"/>
        <v>629.05999999999995</v>
      </c>
      <c r="AH19" s="192"/>
      <c r="AI19" s="262">
        <v>583.56999999999994</v>
      </c>
      <c r="AJ19" s="262">
        <v>594.14</v>
      </c>
    </row>
    <row r="20" spans="1:36" x14ac:dyDescent="0.25">
      <c r="A20" s="79"/>
      <c r="B20" s="79"/>
      <c r="C20" s="79"/>
      <c r="D20" s="79"/>
      <c r="E20" s="79"/>
      <c r="F20" s="79"/>
      <c r="G20" s="79"/>
      <c r="H20" s="67"/>
      <c r="I20" s="67"/>
      <c r="J20" s="67"/>
      <c r="K20" s="67"/>
      <c r="L20" s="67"/>
      <c r="M20" s="68"/>
      <c r="N20" s="68"/>
      <c r="O20" s="68"/>
      <c r="P20" s="78"/>
      <c r="Q20" s="78"/>
      <c r="R20" s="85"/>
      <c r="S20" s="85"/>
      <c r="T20" s="85"/>
      <c r="U20" s="85"/>
      <c r="V20" s="85"/>
      <c r="W20" s="85"/>
      <c r="X20" s="85"/>
      <c r="Y20" s="85"/>
      <c r="Z20" s="85"/>
      <c r="AA20" s="85"/>
      <c r="AB20" s="85"/>
      <c r="AC20" s="85"/>
      <c r="AD20" s="85"/>
      <c r="AE20" s="86"/>
      <c r="AF20" s="67"/>
      <c r="AG20" s="67"/>
      <c r="AH20" s="190"/>
      <c r="AI20" s="263"/>
      <c r="AJ20" s="263"/>
    </row>
    <row r="21" spans="1:36" x14ac:dyDescent="0.25">
      <c r="A21" s="79" t="s">
        <v>9</v>
      </c>
      <c r="B21" s="79"/>
      <c r="C21" s="80">
        <v>3465.1</v>
      </c>
      <c r="D21" s="80">
        <v>4109.7999999999993</v>
      </c>
      <c r="E21" s="80">
        <v>4042</v>
      </c>
      <c r="F21" s="80">
        <v>4176.8</v>
      </c>
      <c r="G21" s="80">
        <v>4033.9000000000005</v>
      </c>
      <c r="H21" s="80">
        <v>3220.2999999999997</v>
      </c>
      <c r="I21" s="80">
        <v>3539.3999999999996</v>
      </c>
      <c r="J21" s="80">
        <v>3826.0999999999995</v>
      </c>
      <c r="K21" s="80">
        <v>3420.4000000000005</v>
      </c>
      <c r="L21" s="80">
        <v>3629.7999999999997</v>
      </c>
      <c r="M21" s="81">
        <v>3981.5</v>
      </c>
      <c r="N21" s="81">
        <v>3797.9000000000005</v>
      </c>
      <c r="O21" s="81">
        <v>3796.8</v>
      </c>
      <c r="P21" s="82">
        <v>3378.4999999999995</v>
      </c>
      <c r="Q21" s="82">
        <v>3719.3999999999996</v>
      </c>
      <c r="R21" s="82">
        <v>3835.9999999999995</v>
      </c>
      <c r="S21" s="82">
        <v>3835.8</v>
      </c>
      <c r="T21" s="82">
        <v>3500.8999999999996</v>
      </c>
      <c r="U21" s="82">
        <v>3647.4999999999995</v>
      </c>
      <c r="V21" s="82">
        <f t="shared" ref="V21:AJ21" si="2">SUM(V8:V19)</f>
        <v>3215.4000000000005</v>
      </c>
      <c r="W21" s="82">
        <f t="shared" si="2"/>
        <v>3774.7000000000003</v>
      </c>
      <c r="X21" s="82">
        <f t="shared" si="2"/>
        <v>4102.8999999999996</v>
      </c>
      <c r="Y21" s="82">
        <f t="shared" si="2"/>
        <v>3765.5</v>
      </c>
      <c r="Z21" s="82">
        <f t="shared" si="2"/>
        <v>3462.2999999999997</v>
      </c>
      <c r="AA21" s="82">
        <f t="shared" si="2"/>
        <v>3501.8999999999996</v>
      </c>
      <c r="AB21" s="82">
        <f t="shared" si="2"/>
        <v>3758.3</v>
      </c>
      <c r="AC21" s="82">
        <f t="shared" si="2"/>
        <v>3914.900000000001</v>
      </c>
      <c r="AD21" s="82">
        <f t="shared" si="2"/>
        <v>3512.0000000000009</v>
      </c>
      <c r="AE21" s="81"/>
      <c r="AF21" s="82">
        <f t="shared" si="2"/>
        <v>3681.61</v>
      </c>
      <c r="AG21" s="82">
        <f t="shared" si="2"/>
        <v>3718.94</v>
      </c>
      <c r="AH21" s="192"/>
      <c r="AI21" s="266">
        <f t="shared" si="2"/>
        <v>3677.6600000000008</v>
      </c>
      <c r="AJ21" s="266">
        <f t="shared" si="2"/>
        <v>3709.9750000000004</v>
      </c>
    </row>
    <row r="22" spans="1:36" ht="14.5" customHeight="1" x14ac:dyDescent="0.25">
      <c r="A22" s="79" t="s">
        <v>183</v>
      </c>
      <c r="B22" s="70"/>
      <c r="C22" s="70"/>
      <c r="D22" s="70"/>
      <c r="E22" s="70"/>
      <c r="F22" s="59"/>
      <c r="G22" s="59"/>
      <c r="H22" s="67"/>
      <c r="I22" s="67"/>
      <c r="J22" s="67"/>
      <c r="K22" s="67"/>
      <c r="L22" s="67"/>
      <c r="M22" s="67"/>
      <c r="N22" s="67"/>
      <c r="O22" s="67"/>
      <c r="P22" s="67"/>
      <c r="Q22" s="258">
        <f>(Q21-P21)/P21</f>
        <v>0.10090276750037003</v>
      </c>
      <c r="R22" s="258">
        <f t="shared" ref="R22:AD22" si="3">(R21-Q21)/Q21</f>
        <v>3.1349142334785161E-2</v>
      </c>
      <c r="S22" s="258">
        <f t="shared" si="3"/>
        <v>-5.2137643378353332E-5</v>
      </c>
      <c r="T22" s="258">
        <f t="shared" si="3"/>
        <v>-8.7309035924709455E-2</v>
      </c>
      <c r="U22" s="258">
        <f t="shared" si="3"/>
        <v>4.1874946442343373E-2</v>
      </c>
      <c r="V22" s="258">
        <f t="shared" si="3"/>
        <v>-0.11846470185058233</v>
      </c>
      <c r="W22" s="258">
        <f t="shared" si="3"/>
        <v>0.17394414380792425</v>
      </c>
      <c r="X22" s="258">
        <f t="shared" si="3"/>
        <v>8.6947307070760413E-2</v>
      </c>
      <c r="Y22" s="258">
        <f t="shared" si="3"/>
        <v>-8.2234517048916544E-2</v>
      </c>
      <c r="Z22" s="258">
        <f t="shared" si="3"/>
        <v>-8.0520515203824264E-2</v>
      </c>
      <c r="AA22" s="258">
        <f t="shared" si="3"/>
        <v>1.1437483753574187E-2</v>
      </c>
      <c r="AB22" s="258">
        <f>(AB21-AA21)/AA21</f>
        <v>7.3217396270596119E-2</v>
      </c>
      <c r="AC22" s="258">
        <f t="shared" si="3"/>
        <v>4.1667775323949871E-2</v>
      </c>
      <c r="AD22" s="258">
        <f t="shared" si="3"/>
        <v>-0.10291450611765307</v>
      </c>
      <c r="AE22" s="68" t="s">
        <v>187</v>
      </c>
      <c r="AF22" s="258">
        <f>(AF21-AD21)/AD21</f>
        <v>4.8294419134396117E-2</v>
      </c>
      <c r="AG22" s="67"/>
      <c r="AH22" s="190" t="s">
        <v>186</v>
      </c>
      <c r="AI22" s="259">
        <f>(AA21-AI21)/AI21</f>
        <v>-4.7791258572027075E-2</v>
      </c>
      <c r="AJ22" s="259">
        <f>(AB21-AJ21)/AJ21</f>
        <v>1.3025694243222613E-2</v>
      </c>
    </row>
    <row r="23" spans="1:36" x14ac:dyDescent="0.25">
      <c r="A23" s="70" t="s">
        <v>92</v>
      </c>
      <c r="B23" s="70"/>
      <c r="C23" s="70"/>
      <c r="D23" s="70"/>
      <c r="E23" s="70"/>
      <c r="F23" s="59"/>
      <c r="G23" s="59"/>
      <c r="H23" s="67"/>
      <c r="I23" s="67"/>
      <c r="J23" s="67"/>
      <c r="K23" s="67"/>
      <c r="L23" s="67"/>
      <c r="M23" s="67"/>
      <c r="N23" s="67"/>
      <c r="O23" s="67"/>
      <c r="P23" s="67"/>
      <c r="Q23" s="67"/>
      <c r="R23" s="67"/>
      <c r="S23" s="67"/>
      <c r="T23" s="67"/>
      <c r="U23" s="67"/>
      <c r="V23" s="67"/>
      <c r="W23" s="67"/>
      <c r="X23" s="67"/>
      <c r="Y23" s="67"/>
      <c r="Z23" s="67"/>
      <c r="AA23" s="67"/>
      <c r="AB23" s="67"/>
      <c r="AC23" s="67"/>
      <c r="AD23" s="67"/>
      <c r="AE23" s="68"/>
      <c r="AF23" s="67"/>
      <c r="AG23" s="67"/>
      <c r="AH23" s="190"/>
      <c r="AI23" s="263"/>
      <c r="AJ23" s="263"/>
    </row>
    <row r="24" spans="1:36" x14ac:dyDescent="0.25">
      <c r="A24" s="71"/>
      <c r="B24" s="71"/>
      <c r="C24" s="71"/>
      <c r="D24" s="71"/>
      <c r="E24" s="71"/>
      <c r="F24" s="60"/>
      <c r="G24" s="60"/>
      <c r="H24" s="67"/>
      <c r="I24" s="67"/>
      <c r="J24" s="67"/>
      <c r="K24" s="67"/>
      <c r="L24" s="67"/>
      <c r="M24" s="67"/>
      <c r="N24" s="67"/>
      <c r="O24" s="67"/>
      <c r="P24" s="67"/>
      <c r="Q24" s="67"/>
      <c r="R24" s="67"/>
      <c r="S24" s="67"/>
      <c r="T24" s="67"/>
      <c r="U24" s="67"/>
      <c r="V24" s="67"/>
      <c r="W24" s="67"/>
      <c r="X24" s="67"/>
      <c r="Y24" s="67"/>
      <c r="Z24" s="67"/>
      <c r="AA24" s="67"/>
      <c r="AB24" s="67"/>
      <c r="AC24" s="67"/>
      <c r="AD24" s="67"/>
      <c r="AE24" s="68"/>
      <c r="AF24" s="67"/>
      <c r="AG24" s="67"/>
      <c r="AH24" s="190"/>
      <c r="AI24" s="263"/>
      <c r="AJ24" s="263"/>
    </row>
    <row r="25" spans="1:36" x14ac:dyDescent="0.25">
      <c r="A25" s="72" t="s">
        <v>78</v>
      </c>
      <c r="B25" s="72"/>
      <c r="C25" s="72">
        <v>1993</v>
      </c>
      <c r="D25" s="72">
        <v>1994</v>
      </c>
      <c r="E25" s="72">
        <v>1995</v>
      </c>
      <c r="F25" s="72">
        <v>1996</v>
      </c>
      <c r="G25" s="72">
        <v>1997</v>
      </c>
      <c r="H25" s="72">
        <v>1998</v>
      </c>
      <c r="I25" s="72">
        <v>1999</v>
      </c>
      <c r="J25" s="72">
        <v>2000</v>
      </c>
      <c r="K25" s="72">
        <v>2001</v>
      </c>
      <c r="L25" s="72">
        <v>2002</v>
      </c>
      <c r="M25" s="73">
        <v>2003</v>
      </c>
      <c r="N25" s="73">
        <v>2004</v>
      </c>
      <c r="O25" s="73">
        <v>2005</v>
      </c>
      <c r="P25" s="74">
        <v>2006</v>
      </c>
      <c r="Q25" s="74">
        <v>2007</v>
      </c>
      <c r="R25" s="74">
        <v>2008</v>
      </c>
      <c r="S25" s="74">
        <v>2009</v>
      </c>
      <c r="T25" s="74">
        <v>2010</v>
      </c>
      <c r="U25" s="74">
        <v>2011</v>
      </c>
      <c r="V25" s="75">
        <v>2012</v>
      </c>
      <c r="W25" s="75">
        <v>2013</v>
      </c>
      <c r="X25" s="75">
        <v>2014</v>
      </c>
      <c r="Y25" s="75">
        <v>2015</v>
      </c>
      <c r="Z25" s="75">
        <v>2016</v>
      </c>
      <c r="AA25" s="75">
        <v>2017</v>
      </c>
      <c r="AB25" s="75">
        <v>2018</v>
      </c>
      <c r="AC25" s="75">
        <v>2019</v>
      </c>
      <c r="AD25" s="75">
        <v>2020</v>
      </c>
      <c r="AE25" s="76"/>
      <c r="AF25" s="77" t="s">
        <v>135</v>
      </c>
      <c r="AG25" s="77" t="s">
        <v>79</v>
      </c>
      <c r="AH25" s="189"/>
      <c r="AI25" s="264" t="s">
        <v>185</v>
      </c>
      <c r="AJ25" s="264" t="s">
        <v>79</v>
      </c>
    </row>
    <row r="26" spans="1:36" x14ac:dyDescent="0.25">
      <c r="A26" s="71"/>
      <c r="B26" s="71"/>
      <c r="C26" s="71"/>
      <c r="D26" s="71"/>
      <c r="E26" s="71"/>
      <c r="F26" s="59"/>
      <c r="G26" s="59"/>
      <c r="H26" s="67"/>
      <c r="I26" s="67"/>
      <c r="J26" s="67"/>
      <c r="K26" s="67"/>
      <c r="L26" s="67"/>
      <c r="M26" s="68"/>
      <c r="N26" s="68"/>
      <c r="O26" s="68"/>
      <c r="P26" s="78"/>
      <c r="Q26" s="78"/>
      <c r="R26" s="78"/>
      <c r="S26" s="78"/>
      <c r="T26" s="78"/>
      <c r="U26" s="78"/>
      <c r="V26" s="78"/>
      <c r="W26" s="78"/>
      <c r="X26" s="78"/>
      <c r="Y26" s="78"/>
      <c r="Z26" s="78"/>
      <c r="AA26" s="78"/>
      <c r="AB26" s="78"/>
      <c r="AC26" s="78"/>
      <c r="AD26" s="78"/>
      <c r="AE26" s="68"/>
      <c r="AF26" s="87"/>
      <c r="AG26" s="87"/>
      <c r="AH26" s="190"/>
      <c r="AI26" s="260"/>
      <c r="AJ26" s="260"/>
    </row>
    <row r="27" spans="1:36" x14ac:dyDescent="0.25">
      <c r="A27" s="67"/>
      <c r="B27" s="67"/>
      <c r="C27" s="67"/>
      <c r="D27" s="67"/>
      <c r="E27" s="67"/>
      <c r="F27" s="59"/>
      <c r="G27" s="59"/>
      <c r="H27" s="67"/>
      <c r="I27" s="67"/>
      <c r="J27" s="67"/>
      <c r="K27" s="67"/>
      <c r="L27" s="67"/>
      <c r="M27" s="68"/>
      <c r="N27" s="68"/>
      <c r="O27" s="68"/>
      <c r="P27" s="78"/>
      <c r="Q27" s="78"/>
      <c r="R27" s="78"/>
      <c r="S27" s="78"/>
      <c r="T27" s="78"/>
      <c r="U27" s="78"/>
      <c r="V27" s="78"/>
      <c r="W27" s="78"/>
      <c r="X27" s="78"/>
      <c r="Y27" s="78"/>
      <c r="Z27" s="78"/>
      <c r="AA27" s="78"/>
      <c r="AB27" s="78"/>
      <c r="AC27" s="78"/>
      <c r="AD27" s="78"/>
      <c r="AE27" s="68"/>
      <c r="AF27" s="87"/>
      <c r="AG27" s="87"/>
      <c r="AH27" s="190"/>
      <c r="AI27" s="260"/>
      <c r="AJ27" s="260"/>
    </row>
    <row r="28" spans="1:36" x14ac:dyDescent="0.25">
      <c r="A28" s="79" t="s">
        <v>80</v>
      </c>
      <c r="B28" s="79">
        <v>1</v>
      </c>
      <c r="C28" s="80">
        <v>0</v>
      </c>
      <c r="D28" s="80">
        <v>0</v>
      </c>
      <c r="E28" s="80">
        <v>0</v>
      </c>
      <c r="F28" s="80">
        <v>0</v>
      </c>
      <c r="G28" s="80">
        <v>0</v>
      </c>
      <c r="H28" s="80">
        <v>0</v>
      </c>
      <c r="I28" s="80">
        <v>0</v>
      </c>
      <c r="J28" s="80">
        <v>0</v>
      </c>
      <c r="K28" s="80">
        <v>0</v>
      </c>
      <c r="L28" s="80">
        <v>0</v>
      </c>
      <c r="M28" s="81">
        <v>0</v>
      </c>
      <c r="N28" s="81">
        <v>0</v>
      </c>
      <c r="O28" s="81">
        <v>0</v>
      </c>
      <c r="P28" s="82">
        <v>0</v>
      </c>
      <c r="Q28" s="82">
        <v>0</v>
      </c>
      <c r="R28" s="82">
        <v>0</v>
      </c>
      <c r="S28" s="82">
        <v>0</v>
      </c>
      <c r="T28" s="82">
        <v>0</v>
      </c>
      <c r="U28" s="82">
        <v>0</v>
      </c>
      <c r="V28" s="82">
        <v>0</v>
      </c>
      <c r="W28" s="82">
        <v>0</v>
      </c>
      <c r="X28" s="82">
        <v>0</v>
      </c>
      <c r="Y28" s="82">
        <v>0</v>
      </c>
      <c r="Z28" s="82">
        <v>0</v>
      </c>
      <c r="AA28" s="82">
        <v>0</v>
      </c>
      <c r="AB28" s="82">
        <v>0</v>
      </c>
      <c r="AC28" s="82">
        <v>0</v>
      </c>
      <c r="AD28" s="82">
        <v>0</v>
      </c>
      <c r="AE28" s="81"/>
      <c r="AF28" s="83">
        <f t="shared" ref="AF28:AF32" si="4">AVERAGE(U28:AD28)</f>
        <v>0</v>
      </c>
      <c r="AG28" s="166">
        <f>TREND(K28:AD28)</f>
        <v>0</v>
      </c>
      <c r="AH28" s="191"/>
      <c r="AI28" s="262">
        <v>0</v>
      </c>
      <c r="AJ28" s="261">
        <v>0</v>
      </c>
    </row>
    <row r="29" spans="1:36" x14ac:dyDescent="0.25">
      <c r="A29" s="79" t="s">
        <v>81</v>
      </c>
      <c r="B29" s="79">
        <v>2</v>
      </c>
      <c r="C29" s="80">
        <v>0</v>
      </c>
      <c r="D29" s="80">
        <v>0</v>
      </c>
      <c r="E29" s="80">
        <v>0</v>
      </c>
      <c r="F29" s="80">
        <v>0</v>
      </c>
      <c r="G29" s="80">
        <v>0</v>
      </c>
      <c r="H29" s="80">
        <v>0</v>
      </c>
      <c r="I29" s="80">
        <v>0</v>
      </c>
      <c r="J29" s="80">
        <v>0</v>
      </c>
      <c r="K29" s="80">
        <v>0</v>
      </c>
      <c r="L29" s="80">
        <v>0</v>
      </c>
      <c r="M29" s="81">
        <v>0</v>
      </c>
      <c r="N29" s="81">
        <v>0</v>
      </c>
      <c r="O29" s="81">
        <v>0</v>
      </c>
      <c r="P29" s="82">
        <v>0</v>
      </c>
      <c r="Q29" s="82">
        <v>0</v>
      </c>
      <c r="R29" s="82">
        <v>0</v>
      </c>
      <c r="S29" s="82">
        <v>0</v>
      </c>
      <c r="T29" s="82">
        <v>0</v>
      </c>
      <c r="U29" s="82">
        <v>0</v>
      </c>
      <c r="V29" s="82">
        <v>0</v>
      </c>
      <c r="W29" s="82">
        <v>0</v>
      </c>
      <c r="X29" s="82">
        <v>0</v>
      </c>
      <c r="Y29" s="82">
        <v>0</v>
      </c>
      <c r="Z29" s="82">
        <v>0</v>
      </c>
      <c r="AA29" s="82">
        <v>0</v>
      </c>
      <c r="AB29" s="82">
        <v>0</v>
      </c>
      <c r="AC29" s="82">
        <v>0</v>
      </c>
      <c r="AD29" s="82">
        <v>0</v>
      </c>
      <c r="AE29" s="81"/>
      <c r="AF29" s="83">
        <f t="shared" si="4"/>
        <v>0</v>
      </c>
      <c r="AG29" s="166">
        <f t="shared" ref="AG29:AG39" si="5">TREND(K29:AD29)</f>
        <v>0</v>
      </c>
      <c r="AH29" s="191"/>
      <c r="AI29" s="262">
        <v>0</v>
      </c>
      <c r="AJ29" s="261">
        <v>0</v>
      </c>
    </row>
    <row r="30" spans="1:36" x14ac:dyDescent="0.25">
      <c r="A30" s="79" t="s">
        <v>82</v>
      </c>
      <c r="B30" s="79">
        <v>3</v>
      </c>
      <c r="C30" s="80">
        <v>0</v>
      </c>
      <c r="D30" s="80">
        <v>0</v>
      </c>
      <c r="E30" s="80">
        <v>0</v>
      </c>
      <c r="F30" s="80">
        <v>0</v>
      </c>
      <c r="G30" s="80">
        <v>0</v>
      </c>
      <c r="H30" s="80">
        <v>0</v>
      </c>
      <c r="I30" s="80">
        <v>0</v>
      </c>
      <c r="J30" s="80">
        <v>0</v>
      </c>
      <c r="K30" s="80">
        <v>0</v>
      </c>
      <c r="L30" s="80">
        <v>0</v>
      </c>
      <c r="M30" s="81">
        <v>0</v>
      </c>
      <c r="N30" s="81">
        <v>0</v>
      </c>
      <c r="O30" s="81">
        <v>0</v>
      </c>
      <c r="P30" s="82">
        <v>0</v>
      </c>
      <c r="Q30" s="82">
        <v>0</v>
      </c>
      <c r="R30" s="82">
        <v>0</v>
      </c>
      <c r="S30" s="82">
        <v>0</v>
      </c>
      <c r="T30" s="82">
        <v>0</v>
      </c>
      <c r="U30" s="82">
        <v>0</v>
      </c>
      <c r="V30" s="82">
        <v>0.2</v>
      </c>
      <c r="W30" s="82">
        <v>0</v>
      </c>
      <c r="X30" s="82">
        <v>0</v>
      </c>
      <c r="Y30" s="82">
        <v>0</v>
      </c>
      <c r="Z30" s="82">
        <v>0</v>
      </c>
      <c r="AA30" s="82">
        <v>0</v>
      </c>
      <c r="AB30" s="82">
        <v>0</v>
      </c>
      <c r="AC30" s="82">
        <v>0</v>
      </c>
      <c r="AD30" s="82">
        <v>0</v>
      </c>
      <c r="AE30" s="81"/>
      <c r="AF30" s="83">
        <f t="shared" si="4"/>
        <v>0.02</v>
      </c>
      <c r="AG30" s="166">
        <f t="shared" si="5"/>
        <v>5.7142857142857169E-3</v>
      </c>
      <c r="AH30" s="191"/>
      <c r="AI30" s="262">
        <v>0.02</v>
      </c>
      <c r="AJ30" s="261">
        <v>0.01</v>
      </c>
    </row>
    <row r="31" spans="1:36" x14ac:dyDescent="0.25">
      <c r="A31" s="79" t="s">
        <v>83</v>
      </c>
      <c r="B31" s="79">
        <v>4</v>
      </c>
      <c r="C31" s="80">
        <v>0</v>
      </c>
      <c r="D31" s="80">
        <v>0.5</v>
      </c>
      <c r="E31" s="80">
        <v>0</v>
      </c>
      <c r="F31" s="80">
        <v>0</v>
      </c>
      <c r="G31" s="80">
        <v>0</v>
      </c>
      <c r="H31" s="80">
        <v>0</v>
      </c>
      <c r="I31" s="80">
        <v>0</v>
      </c>
      <c r="J31" s="80">
        <v>0</v>
      </c>
      <c r="K31" s="80">
        <v>1.4</v>
      </c>
      <c r="L31" s="80">
        <v>8.3000000000000007</v>
      </c>
      <c r="M31" s="81">
        <v>2.4</v>
      </c>
      <c r="N31" s="81">
        <v>0</v>
      </c>
      <c r="O31" s="81">
        <v>0</v>
      </c>
      <c r="P31" s="82">
        <v>0</v>
      </c>
      <c r="Q31" s="82">
        <v>0</v>
      </c>
      <c r="R31" s="82">
        <v>0</v>
      </c>
      <c r="S31" s="82">
        <v>1.2</v>
      </c>
      <c r="T31" s="82">
        <v>0</v>
      </c>
      <c r="U31" s="82">
        <v>0</v>
      </c>
      <c r="V31" s="82">
        <v>0</v>
      </c>
      <c r="W31" s="82">
        <v>0</v>
      </c>
      <c r="X31" s="82">
        <v>0</v>
      </c>
      <c r="Y31" s="82">
        <v>0</v>
      </c>
      <c r="Z31" s="82">
        <v>0</v>
      </c>
      <c r="AA31" s="82">
        <v>0</v>
      </c>
      <c r="AB31" s="82">
        <v>0</v>
      </c>
      <c r="AC31" s="82">
        <v>0</v>
      </c>
      <c r="AD31" s="82">
        <v>0</v>
      </c>
      <c r="AE31" s="81"/>
      <c r="AF31" s="83">
        <f t="shared" si="4"/>
        <v>0</v>
      </c>
      <c r="AG31" s="166">
        <f t="shared" si="5"/>
        <v>2.145714285714285</v>
      </c>
      <c r="AH31" s="191"/>
      <c r="AI31" s="262">
        <v>0.12</v>
      </c>
      <c r="AJ31" s="261">
        <v>0.66500000000000004</v>
      </c>
    </row>
    <row r="32" spans="1:36" x14ac:dyDescent="0.25">
      <c r="A32" s="79" t="s">
        <v>84</v>
      </c>
      <c r="B32" s="79">
        <v>5</v>
      </c>
      <c r="C32" s="80">
        <v>4.3</v>
      </c>
      <c r="D32" s="80">
        <v>8.1999999999999993</v>
      </c>
      <c r="E32" s="80">
        <v>3.5</v>
      </c>
      <c r="F32" s="80">
        <v>8.6</v>
      </c>
      <c r="G32" s="80">
        <v>0</v>
      </c>
      <c r="H32" s="80">
        <v>28.6</v>
      </c>
      <c r="I32" s="80">
        <v>19.399999999999999</v>
      </c>
      <c r="J32" s="80">
        <v>23.7</v>
      </c>
      <c r="K32" s="80">
        <v>12.2</v>
      </c>
      <c r="L32" s="80">
        <v>7.8</v>
      </c>
      <c r="M32" s="81">
        <v>0</v>
      </c>
      <c r="N32" s="81">
        <v>8.6</v>
      </c>
      <c r="O32" s="81">
        <v>0.8</v>
      </c>
      <c r="P32" s="82">
        <v>26</v>
      </c>
      <c r="Q32" s="82">
        <v>22.4</v>
      </c>
      <c r="R32" s="82">
        <v>2.5</v>
      </c>
      <c r="S32" s="82">
        <v>6.9</v>
      </c>
      <c r="T32" s="82">
        <v>45.7</v>
      </c>
      <c r="U32" s="82">
        <v>13</v>
      </c>
      <c r="V32" s="82">
        <v>36.700000000000003</v>
      </c>
      <c r="W32" s="82">
        <v>23.1</v>
      </c>
      <c r="X32" s="82">
        <v>11.9</v>
      </c>
      <c r="Y32" s="82">
        <v>34.1</v>
      </c>
      <c r="Z32" s="82">
        <v>36.9</v>
      </c>
      <c r="AA32" s="82">
        <v>9</v>
      </c>
      <c r="AB32" s="82">
        <v>43.4</v>
      </c>
      <c r="AC32" s="82">
        <v>0</v>
      </c>
      <c r="AD32" s="82">
        <v>24.2</v>
      </c>
      <c r="AE32" s="81"/>
      <c r="AF32" s="83">
        <f t="shared" si="4"/>
        <v>23.23</v>
      </c>
      <c r="AG32" s="166">
        <f t="shared" si="5"/>
        <v>8.9185714285714237</v>
      </c>
      <c r="AH32" s="191"/>
      <c r="AI32" s="262">
        <v>22.229999999999997</v>
      </c>
      <c r="AJ32" s="261">
        <v>16.600000000000001</v>
      </c>
    </row>
    <row r="33" spans="1:36" x14ac:dyDescent="0.25">
      <c r="A33" s="79" t="s">
        <v>85</v>
      </c>
      <c r="B33" s="79">
        <v>6</v>
      </c>
      <c r="C33" s="80">
        <v>17.899999999999999</v>
      </c>
      <c r="D33" s="80">
        <v>67.7</v>
      </c>
      <c r="E33" s="80">
        <v>77.900000000000006</v>
      </c>
      <c r="F33" s="80">
        <v>38.299999999999997</v>
      </c>
      <c r="G33" s="80">
        <v>73.2</v>
      </c>
      <c r="H33" s="80">
        <v>82.4</v>
      </c>
      <c r="I33" s="80">
        <v>96</v>
      </c>
      <c r="J33" s="80">
        <v>41.1</v>
      </c>
      <c r="K33" s="80">
        <v>79.7</v>
      </c>
      <c r="L33" s="80">
        <v>70</v>
      </c>
      <c r="M33" s="81">
        <v>52.9</v>
      </c>
      <c r="N33" s="81">
        <v>31.6</v>
      </c>
      <c r="O33" s="81">
        <v>146.30000000000001</v>
      </c>
      <c r="P33" s="82">
        <v>73.599999999999994</v>
      </c>
      <c r="Q33" s="82">
        <v>99.2</v>
      </c>
      <c r="R33" s="82">
        <v>71.5</v>
      </c>
      <c r="S33" s="82">
        <v>34.200000000000003</v>
      </c>
      <c r="T33" s="82">
        <v>58.7</v>
      </c>
      <c r="U33" s="82">
        <v>52.2</v>
      </c>
      <c r="V33" s="82">
        <v>101.60000000000001</v>
      </c>
      <c r="W33" s="84">
        <v>59.599999999999994</v>
      </c>
      <c r="X33" s="82">
        <v>68.099999999999994</v>
      </c>
      <c r="Y33" s="82">
        <v>32.299999999999997</v>
      </c>
      <c r="Z33" s="82">
        <v>83.7</v>
      </c>
      <c r="AA33" s="82">
        <v>68.2</v>
      </c>
      <c r="AB33" s="82">
        <v>60.5</v>
      </c>
      <c r="AC33" s="82">
        <v>41.300000000000004</v>
      </c>
      <c r="AD33" s="82">
        <v>97.700000000000017</v>
      </c>
      <c r="AE33" s="81"/>
      <c r="AF33" s="83">
        <f>AVERAGE(U33:AD33)</f>
        <v>66.52000000000001</v>
      </c>
      <c r="AG33" s="166">
        <f t="shared" si="5"/>
        <v>74.13000000000001</v>
      </c>
      <c r="AH33" s="191"/>
      <c r="AI33" s="262">
        <v>65.099999999999994</v>
      </c>
      <c r="AJ33" s="262">
        <v>68.124999999999986</v>
      </c>
    </row>
    <row r="34" spans="1:36" x14ac:dyDescent="0.25">
      <c r="A34" s="79" t="s">
        <v>86</v>
      </c>
      <c r="B34" s="79">
        <v>7</v>
      </c>
      <c r="C34" s="80">
        <v>107.8</v>
      </c>
      <c r="D34" s="80">
        <v>111.2</v>
      </c>
      <c r="E34" s="80">
        <v>130.9</v>
      </c>
      <c r="F34" s="80">
        <v>59.6</v>
      </c>
      <c r="G34" s="80">
        <v>103</v>
      </c>
      <c r="H34" s="80">
        <v>101.3</v>
      </c>
      <c r="I34" s="80">
        <v>196.5</v>
      </c>
      <c r="J34" s="80">
        <v>71.8</v>
      </c>
      <c r="K34" s="80">
        <v>100.9</v>
      </c>
      <c r="L34" s="80">
        <v>192.4</v>
      </c>
      <c r="M34" s="81">
        <v>118.3</v>
      </c>
      <c r="N34" s="81">
        <v>86.4</v>
      </c>
      <c r="O34" s="81">
        <v>188.7</v>
      </c>
      <c r="P34" s="82">
        <v>167.3</v>
      </c>
      <c r="Q34" s="82">
        <v>106.1</v>
      </c>
      <c r="R34" s="82">
        <v>111</v>
      </c>
      <c r="S34" s="82">
        <v>43.7</v>
      </c>
      <c r="T34" s="82">
        <v>164.9</v>
      </c>
      <c r="U34" s="82">
        <v>198.5</v>
      </c>
      <c r="V34" s="82">
        <v>190.09999999999997</v>
      </c>
      <c r="W34" s="82">
        <v>120.80000000000003</v>
      </c>
      <c r="X34" s="82">
        <v>71</v>
      </c>
      <c r="Y34" s="82">
        <v>114.29999999999998</v>
      </c>
      <c r="Z34" s="82">
        <v>176.89999999999998</v>
      </c>
      <c r="AA34" s="82">
        <v>116.49999999999999</v>
      </c>
      <c r="AB34" s="82">
        <v>167.8</v>
      </c>
      <c r="AC34" s="82">
        <v>166.90000000000003</v>
      </c>
      <c r="AD34" s="82">
        <v>215.7</v>
      </c>
      <c r="AE34" s="81"/>
      <c r="AF34" s="83">
        <f t="shared" ref="AF34:AF39" si="6">AVERAGE(U34:AD34)</f>
        <v>153.85</v>
      </c>
      <c r="AG34" s="166">
        <f t="shared" si="5"/>
        <v>122.69</v>
      </c>
      <c r="AH34" s="192"/>
      <c r="AI34" s="262">
        <v>128.76999999999998</v>
      </c>
      <c r="AJ34" s="262">
        <v>125.33000000000001</v>
      </c>
    </row>
    <row r="35" spans="1:36" x14ac:dyDescent="0.25">
      <c r="A35" s="79" t="s">
        <v>87</v>
      </c>
      <c r="B35" s="79">
        <v>8</v>
      </c>
      <c r="C35" s="80">
        <v>103.5</v>
      </c>
      <c r="D35" s="80">
        <v>46.4</v>
      </c>
      <c r="E35" s="80">
        <v>122.9</v>
      </c>
      <c r="F35" s="80">
        <v>87.1</v>
      </c>
      <c r="G35" s="80">
        <v>46.8</v>
      </c>
      <c r="H35" s="80">
        <v>117.7</v>
      </c>
      <c r="I35" s="80">
        <v>79.099999999999994</v>
      </c>
      <c r="J35" s="80">
        <v>92.5</v>
      </c>
      <c r="K35" s="80">
        <v>160</v>
      </c>
      <c r="L35" s="80">
        <v>142.69999999999999</v>
      </c>
      <c r="M35" s="81">
        <v>128</v>
      </c>
      <c r="N35" s="81">
        <v>59.6</v>
      </c>
      <c r="O35" s="81">
        <v>140.69999999999999</v>
      </c>
      <c r="P35" s="82">
        <v>101.6</v>
      </c>
      <c r="Q35" s="82">
        <v>141</v>
      </c>
      <c r="R35" s="82">
        <v>64</v>
      </c>
      <c r="S35" s="82">
        <v>91</v>
      </c>
      <c r="T35" s="82">
        <v>138.80000000000001</v>
      </c>
      <c r="U35" s="82">
        <v>122.2</v>
      </c>
      <c r="V35" s="82">
        <v>112.10000000000001</v>
      </c>
      <c r="W35" s="82">
        <v>93.799999999999983</v>
      </c>
      <c r="X35" s="82">
        <v>81.799999999999983</v>
      </c>
      <c r="Y35" s="82">
        <v>88.6</v>
      </c>
      <c r="Z35" s="82">
        <v>195.4</v>
      </c>
      <c r="AA35" s="82">
        <v>75.2</v>
      </c>
      <c r="AB35" s="82">
        <v>162.4</v>
      </c>
      <c r="AC35" s="82">
        <v>103.30000000000003</v>
      </c>
      <c r="AD35" s="82">
        <v>126.69999999999999</v>
      </c>
      <c r="AE35" s="81"/>
      <c r="AF35" s="83">
        <f>AVERAGE(U35:AD35)</f>
        <v>116.15</v>
      </c>
      <c r="AG35" s="166">
        <f t="shared" si="5"/>
        <v>118.71428571428569</v>
      </c>
      <c r="AH35" s="192"/>
      <c r="AI35" s="262">
        <v>103.49000000000001</v>
      </c>
      <c r="AJ35" s="262">
        <v>104.45499999999997</v>
      </c>
    </row>
    <row r="36" spans="1:36" x14ac:dyDescent="0.25">
      <c r="A36" s="79" t="s">
        <v>88</v>
      </c>
      <c r="B36" s="79">
        <v>9</v>
      </c>
      <c r="C36" s="80">
        <v>15.7</v>
      </c>
      <c r="D36" s="80">
        <v>13.7</v>
      </c>
      <c r="E36" s="80">
        <v>12.7</v>
      </c>
      <c r="F36" s="80">
        <v>27.1</v>
      </c>
      <c r="G36" s="80">
        <v>11.7</v>
      </c>
      <c r="H36" s="80">
        <v>45</v>
      </c>
      <c r="I36" s="80">
        <v>48.9</v>
      </c>
      <c r="J36" s="80">
        <v>35.200000000000003</v>
      </c>
      <c r="K36" s="80">
        <v>35.700000000000003</v>
      </c>
      <c r="L36" s="80">
        <v>87.6</v>
      </c>
      <c r="M36" s="81">
        <v>24</v>
      </c>
      <c r="N36" s="81">
        <v>41.2</v>
      </c>
      <c r="O36" s="81">
        <v>52.1</v>
      </c>
      <c r="P36" s="82">
        <v>12.9</v>
      </c>
      <c r="Q36" s="82">
        <v>47.5</v>
      </c>
      <c r="R36" s="82">
        <v>26.7</v>
      </c>
      <c r="S36" s="82">
        <v>20.9</v>
      </c>
      <c r="T36" s="82">
        <v>31.5</v>
      </c>
      <c r="U36" s="82">
        <v>39.700000000000003</v>
      </c>
      <c r="V36" s="82">
        <v>35.6</v>
      </c>
      <c r="W36" s="82">
        <v>28.099999999999998</v>
      </c>
      <c r="X36" s="82">
        <v>30.099999999999998</v>
      </c>
      <c r="Y36" s="82">
        <v>81.900000000000006</v>
      </c>
      <c r="Z36" s="82">
        <v>69.400000000000006</v>
      </c>
      <c r="AA36" s="82">
        <v>71.499999999999986</v>
      </c>
      <c r="AB36" s="82">
        <v>76.399999999999977</v>
      </c>
      <c r="AC36" s="82">
        <v>25.400000000000002</v>
      </c>
      <c r="AD36" s="82">
        <v>33.300000000000004</v>
      </c>
      <c r="AE36" s="81"/>
      <c r="AF36" s="83">
        <f t="shared" si="6"/>
        <v>49.14</v>
      </c>
      <c r="AG36" s="166">
        <f t="shared" si="5"/>
        <v>37.677142857142854</v>
      </c>
      <c r="AH36" s="192"/>
      <c r="AI36" s="262">
        <v>35.489999999999995</v>
      </c>
      <c r="AJ36" s="262">
        <v>38.17</v>
      </c>
    </row>
    <row r="37" spans="1:36" x14ac:dyDescent="0.25">
      <c r="A37" s="79" t="s">
        <v>89</v>
      </c>
      <c r="B37" s="79">
        <v>10</v>
      </c>
      <c r="C37" s="80">
        <v>2.5</v>
      </c>
      <c r="D37" s="80">
        <v>0</v>
      </c>
      <c r="E37" s="80">
        <v>3.2</v>
      </c>
      <c r="F37" s="80">
        <v>0</v>
      </c>
      <c r="G37" s="80">
        <v>2.8</v>
      </c>
      <c r="H37" s="80">
        <v>0</v>
      </c>
      <c r="I37" s="80">
        <v>0</v>
      </c>
      <c r="J37" s="80">
        <v>1.2</v>
      </c>
      <c r="K37" s="80">
        <v>2</v>
      </c>
      <c r="L37" s="80">
        <v>10</v>
      </c>
      <c r="M37" s="81">
        <v>0</v>
      </c>
      <c r="N37" s="81">
        <v>1.5</v>
      </c>
      <c r="O37" s="81">
        <v>7.6</v>
      </c>
      <c r="P37" s="82">
        <v>1.1000000000000001</v>
      </c>
      <c r="Q37" s="82">
        <v>19.8</v>
      </c>
      <c r="R37" s="82">
        <v>0</v>
      </c>
      <c r="S37" s="82">
        <v>0</v>
      </c>
      <c r="T37" s="82">
        <v>0</v>
      </c>
      <c r="U37" s="82">
        <v>2.4</v>
      </c>
      <c r="V37" s="82">
        <v>1.1000000000000001</v>
      </c>
      <c r="W37" s="82">
        <v>0.4</v>
      </c>
      <c r="X37" s="82">
        <v>1.3</v>
      </c>
      <c r="Y37" s="82">
        <v>0</v>
      </c>
      <c r="Z37" s="82">
        <v>4.0999999999999996</v>
      </c>
      <c r="AA37" s="82">
        <v>8.1</v>
      </c>
      <c r="AB37" s="82">
        <v>8.1999999999999993</v>
      </c>
      <c r="AC37" s="82">
        <v>5.0999999999999996</v>
      </c>
      <c r="AD37" s="82">
        <v>0</v>
      </c>
      <c r="AE37" s="81"/>
      <c r="AF37" s="83">
        <f t="shared" si="6"/>
        <v>3.0699999999999994</v>
      </c>
      <c r="AG37" s="166">
        <f t="shared" si="5"/>
        <v>4.225714285714286</v>
      </c>
      <c r="AH37" s="192"/>
      <c r="AI37" s="262">
        <v>2.6100000000000003</v>
      </c>
      <c r="AJ37" s="262">
        <v>2.5599999999999996</v>
      </c>
    </row>
    <row r="38" spans="1:36" x14ac:dyDescent="0.25">
      <c r="A38" s="79" t="s">
        <v>90</v>
      </c>
      <c r="B38" s="79">
        <v>11</v>
      </c>
      <c r="C38" s="80">
        <v>0</v>
      </c>
      <c r="D38" s="80">
        <v>0</v>
      </c>
      <c r="E38" s="80">
        <v>0</v>
      </c>
      <c r="F38" s="80">
        <v>0</v>
      </c>
      <c r="G38" s="80">
        <v>0</v>
      </c>
      <c r="H38" s="80">
        <v>0</v>
      </c>
      <c r="I38" s="80">
        <v>0</v>
      </c>
      <c r="J38" s="80">
        <v>0</v>
      </c>
      <c r="K38" s="80">
        <v>0</v>
      </c>
      <c r="L38" s="80">
        <v>0</v>
      </c>
      <c r="M38" s="81">
        <v>0</v>
      </c>
      <c r="N38" s="81">
        <v>0</v>
      </c>
      <c r="O38" s="81">
        <v>0</v>
      </c>
      <c r="P38" s="82">
        <v>0</v>
      </c>
      <c r="Q38" s="82">
        <v>0</v>
      </c>
      <c r="R38" s="82">
        <v>0</v>
      </c>
      <c r="S38" s="82">
        <v>0</v>
      </c>
      <c r="T38" s="82">
        <v>0</v>
      </c>
      <c r="U38" s="82">
        <v>0</v>
      </c>
      <c r="V38" s="82">
        <v>0</v>
      </c>
      <c r="W38" s="82">
        <v>0</v>
      </c>
      <c r="X38" s="82">
        <v>0</v>
      </c>
      <c r="Y38" s="82">
        <v>0</v>
      </c>
      <c r="Z38" s="82">
        <v>0</v>
      </c>
      <c r="AA38" s="82">
        <v>0</v>
      </c>
      <c r="AB38" s="82">
        <v>0</v>
      </c>
      <c r="AC38" s="82">
        <v>0</v>
      </c>
      <c r="AD38" s="82">
        <v>0</v>
      </c>
      <c r="AE38" s="81"/>
      <c r="AF38" s="83">
        <f t="shared" si="6"/>
        <v>0</v>
      </c>
      <c r="AG38" s="166">
        <f t="shared" si="5"/>
        <v>0</v>
      </c>
      <c r="AH38" s="192"/>
      <c r="AI38" s="262">
        <v>0</v>
      </c>
      <c r="AJ38" s="262">
        <v>0</v>
      </c>
    </row>
    <row r="39" spans="1:36" x14ac:dyDescent="0.25">
      <c r="A39" s="79" t="s">
        <v>91</v>
      </c>
      <c r="B39" s="79">
        <v>12</v>
      </c>
      <c r="C39" s="80">
        <v>0</v>
      </c>
      <c r="D39" s="80">
        <v>0</v>
      </c>
      <c r="E39" s="80">
        <v>0</v>
      </c>
      <c r="F39" s="80">
        <v>0</v>
      </c>
      <c r="G39" s="80">
        <v>0</v>
      </c>
      <c r="H39" s="80">
        <v>0</v>
      </c>
      <c r="I39" s="80">
        <v>0</v>
      </c>
      <c r="J39" s="80">
        <v>0</v>
      </c>
      <c r="K39" s="80">
        <v>0</v>
      </c>
      <c r="L39" s="80">
        <v>0</v>
      </c>
      <c r="M39" s="81">
        <v>0</v>
      </c>
      <c r="N39" s="81">
        <v>0</v>
      </c>
      <c r="O39" s="81">
        <v>0</v>
      </c>
      <c r="P39" s="82">
        <v>0</v>
      </c>
      <c r="Q39" s="82">
        <v>0</v>
      </c>
      <c r="R39" s="82">
        <v>0</v>
      </c>
      <c r="S39" s="82">
        <v>0</v>
      </c>
      <c r="T39" s="82">
        <v>0</v>
      </c>
      <c r="U39" s="82">
        <v>0</v>
      </c>
      <c r="V39" s="82">
        <v>0</v>
      </c>
      <c r="W39" s="82">
        <v>0</v>
      </c>
      <c r="X39" s="82">
        <v>0</v>
      </c>
      <c r="Y39" s="82">
        <v>0</v>
      </c>
      <c r="Z39" s="82">
        <v>0</v>
      </c>
      <c r="AA39" s="82">
        <v>0</v>
      </c>
      <c r="AB39" s="82">
        <v>0</v>
      </c>
      <c r="AC39" s="82">
        <v>0</v>
      </c>
      <c r="AD39" s="82">
        <v>0</v>
      </c>
      <c r="AE39" s="81"/>
      <c r="AF39" s="83">
        <f t="shared" si="6"/>
        <v>0</v>
      </c>
      <c r="AG39" s="166">
        <f t="shared" si="5"/>
        <v>0</v>
      </c>
      <c r="AH39" s="192"/>
      <c r="AI39" s="262">
        <v>0</v>
      </c>
      <c r="AJ39" s="262">
        <v>0</v>
      </c>
    </row>
    <row r="40" spans="1:36" x14ac:dyDescent="0.25">
      <c r="A40" s="79"/>
      <c r="B40" s="79"/>
      <c r="C40" s="79"/>
      <c r="D40" s="79"/>
      <c r="E40" s="79"/>
      <c r="F40" s="79"/>
      <c r="G40" s="79"/>
      <c r="H40" s="59"/>
      <c r="I40" s="59"/>
      <c r="J40" s="67"/>
      <c r="K40" s="67"/>
      <c r="L40" s="67"/>
      <c r="M40" s="68"/>
      <c r="N40" s="68"/>
      <c r="O40" s="68"/>
      <c r="P40" s="78"/>
      <c r="Q40" s="78"/>
      <c r="R40" s="85"/>
      <c r="S40" s="85"/>
      <c r="T40" s="85"/>
      <c r="U40" s="85"/>
      <c r="V40" s="85"/>
      <c r="W40" s="85"/>
      <c r="X40" s="85"/>
      <c r="Y40" s="85"/>
      <c r="Z40" s="85"/>
      <c r="AA40" s="85"/>
      <c r="AB40" s="85"/>
      <c r="AC40" s="85"/>
      <c r="AD40" s="85"/>
      <c r="AE40" s="86"/>
      <c r="AF40" s="67"/>
      <c r="AG40" s="67"/>
      <c r="AH40" s="67"/>
      <c r="AI40" s="67"/>
    </row>
    <row r="41" spans="1:36" x14ac:dyDescent="0.25">
      <c r="A41" s="79" t="s">
        <v>9</v>
      </c>
      <c r="B41" s="79"/>
      <c r="C41" s="80">
        <v>251.7</v>
      </c>
      <c r="D41" s="80">
        <v>247.70000000000002</v>
      </c>
      <c r="E41" s="80">
        <v>351.1</v>
      </c>
      <c r="F41" s="80">
        <v>220.7</v>
      </c>
      <c r="G41" s="80">
        <v>237.5</v>
      </c>
      <c r="H41" s="80">
        <v>375</v>
      </c>
      <c r="I41" s="80">
        <v>439.9</v>
      </c>
      <c r="J41" s="80">
        <v>265.5</v>
      </c>
      <c r="K41" s="80">
        <v>391.9</v>
      </c>
      <c r="L41" s="80">
        <v>518.79999999999995</v>
      </c>
      <c r="M41" s="81">
        <v>325.60000000000002</v>
      </c>
      <c r="N41" s="81">
        <v>228.90000000000003</v>
      </c>
      <c r="O41" s="81">
        <v>536.20000000000005</v>
      </c>
      <c r="P41" s="82">
        <v>382.5</v>
      </c>
      <c r="Q41" s="82">
        <v>436</v>
      </c>
      <c r="R41" s="82">
        <v>275.7</v>
      </c>
      <c r="S41" s="82">
        <v>197.9</v>
      </c>
      <c r="T41" s="82">
        <v>439.6</v>
      </c>
      <c r="U41" s="82">
        <v>427.99999999999994</v>
      </c>
      <c r="V41" s="82">
        <f t="shared" ref="V41:AG41" si="7">SUM(V28:V39)</f>
        <v>477.40000000000003</v>
      </c>
      <c r="W41" s="82">
        <f t="shared" si="7"/>
        <v>325.79999999999995</v>
      </c>
      <c r="X41" s="82">
        <f t="shared" si="7"/>
        <v>264.2</v>
      </c>
      <c r="Y41" s="82">
        <f t="shared" si="7"/>
        <v>351.19999999999993</v>
      </c>
      <c r="Z41" s="82">
        <f t="shared" si="7"/>
        <v>566.4</v>
      </c>
      <c r="AA41" s="82">
        <f t="shared" si="7"/>
        <v>348.5</v>
      </c>
      <c r="AB41" s="82">
        <f t="shared" si="7"/>
        <v>518.70000000000005</v>
      </c>
      <c r="AC41" s="82">
        <f>SUM(AC28:AC39)</f>
        <v>342.00000000000006</v>
      </c>
      <c r="AD41" s="82">
        <f t="shared" si="7"/>
        <v>497.6</v>
      </c>
      <c r="AE41" s="81"/>
      <c r="AF41" s="82">
        <f t="shared" si="7"/>
        <v>411.97999999999996</v>
      </c>
      <c r="AG41" s="82">
        <f t="shared" si="7"/>
        <v>368.50714285714275</v>
      </c>
      <c r="AH41" s="67"/>
      <c r="AI41" s="266">
        <f t="shared" ref="AI41:AJ41" si="8">SUM(AI28:AI39)</f>
        <v>357.83000000000004</v>
      </c>
      <c r="AJ41" s="266">
        <f t="shared" si="8"/>
        <v>355.91500000000002</v>
      </c>
    </row>
    <row r="42" spans="1:36" x14ac:dyDescent="0.25">
      <c r="A42" s="79" t="s">
        <v>183</v>
      </c>
      <c r="B42" s="79"/>
      <c r="C42" s="79"/>
      <c r="D42" s="79"/>
      <c r="E42" s="79"/>
      <c r="F42" s="59"/>
      <c r="G42" s="59"/>
      <c r="H42" s="59"/>
      <c r="I42" s="59"/>
      <c r="J42" s="59"/>
      <c r="K42" s="59"/>
      <c r="L42" s="59"/>
      <c r="M42" s="59"/>
      <c r="N42" s="59"/>
      <c r="O42" s="59"/>
      <c r="P42" s="59"/>
      <c r="Q42" s="258">
        <f>(Q41-P41)/P41</f>
        <v>0.13986928104575164</v>
      </c>
      <c r="R42" s="258">
        <f t="shared" ref="R42" si="9">(R41-Q41)/Q41</f>
        <v>-0.3676605504587156</v>
      </c>
      <c r="S42" s="258">
        <f t="shared" ref="S42" si="10">(S41-R41)/R41</f>
        <v>-0.2821907870874138</v>
      </c>
      <c r="T42" s="258">
        <f t="shared" ref="T42" si="11">(T41-S41)/S41</f>
        <v>1.2213239009600809</v>
      </c>
      <c r="U42" s="258">
        <f t="shared" ref="U42" si="12">(U41-T41)/T41</f>
        <v>-2.6387625113739942E-2</v>
      </c>
      <c r="V42" s="258">
        <f t="shared" ref="V42" si="13">(V41-U41)/U41</f>
        <v>0.11542056074766378</v>
      </c>
      <c r="W42" s="258">
        <f t="shared" ref="W42" si="14">(W41-V41)/V41</f>
        <v>-0.31755341432760803</v>
      </c>
      <c r="X42" s="258">
        <f t="shared" ref="X42" si="15">(X41-W41)/W41</f>
        <v>-0.18907305095150392</v>
      </c>
      <c r="Y42" s="258">
        <f t="shared" ref="Y42" si="16">(Y41-X41)/X41</f>
        <v>0.32929598788796344</v>
      </c>
      <c r="Z42" s="258">
        <f t="shared" ref="Z42" si="17">(Z41-Y41)/Y41</f>
        <v>0.61275626423690233</v>
      </c>
      <c r="AA42" s="258">
        <f t="shared" ref="AA42" si="18">(AA41-Z41)/Z41</f>
        <v>-0.38471045197740111</v>
      </c>
      <c r="AB42" s="258">
        <f>(AB41-AA41)/AA41</f>
        <v>0.48837876614060272</v>
      </c>
      <c r="AC42" s="258">
        <f t="shared" ref="AC42" si="19">(AC41-AB41)/AB41</f>
        <v>-0.34065934065934061</v>
      </c>
      <c r="AD42" s="258">
        <f t="shared" ref="AD42" si="20">(AD41-AC41)/AC41</f>
        <v>0.45497076023391797</v>
      </c>
      <c r="AE42" s="265" t="s">
        <v>187</v>
      </c>
      <c r="AF42" s="258">
        <f>(AF41-AD41)/AD41</f>
        <v>-0.17206591639871394</v>
      </c>
      <c r="AG42" s="67"/>
      <c r="AH42" s="67"/>
      <c r="AI42" s="259">
        <f>(AA41-AI41)/AI41</f>
        <v>-2.607383394349283E-2</v>
      </c>
      <c r="AJ42" s="259">
        <f>(AB41-AJ41)/AJ41</f>
        <v>0.45737043957124601</v>
      </c>
    </row>
    <row r="43" spans="1:36" x14ac:dyDescent="0.25">
      <c r="A43" s="79" t="s">
        <v>182</v>
      </c>
      <c r="B43" s="79"/>
      <c r="C43" s="79"/>
      <c r="D43" s="79"/>
      <c r="E43" s="79"/>
      <c r="F43" s="59"/>
      <c r="G43" s="59"/>
      <c r="H43" s="59"/>
      <c r="I43" s="59"/>
      <c r="J43" s="67"/>
      <c r="K43" s="67"/>
      <c r="L43" s="67"/>
      <c r="M43" s="67"/>
      <c r="N43" s="67"/>
      <c r="O43" s="67"/>
      <c r="P43" s="257">
        <f>SUM(P21,P41)</f>
        <v>3760.9999999999995</v>
      </c>
      <c r="Q43" s="257">
        <f t="shared" ref="Q43:AJ43" si="21">SUM(Q21,Q41)</f>
        <v>4155.3999999999996</v>
      </c>
      <c r="R43" s="257">
        <f t="shared" si="21"/>
        <v>4111.7</v>
      </c>
      <c r="S43" s="257">
        <f t="shared" si="21"/>
        <v>4033.7000000000003</v>
      </c>
      <c r="T43" s="257">
        <f t="shared" si="21"/>
        <v>3940.4999999999995</v>
      </c>
      <c r="U43" s="257">
        <f t="shared" si="21"/>
        <v>4075.4999999999995</v>
      </c>
      <c r="V43" s="257">
        <f t="shared" si="21"/>
        <v>3692.8000000000006</v>
      </c>
      <c r="W43" s="257">
        <f t="shared" si="21"/>
        <v>4100.5</v>
      </c>
      <c r="X43" s="257">
        <f t="shared" si="21"/>
        <v>4367.0999999999995</v>
      </c>
      <c r="Y43" s="257">
        <f t="shared" si="21"/>
        <v>4116.7</v>
      </c>
      <c r="Z43" s="257">
        <f t="shared" si="21"/>
        <v>4028.7</v>
      </c>
      <c r="AA43" s="257">
        <f t="shared" si="21"/>
        <v>3850.3999999999996</v>
      </c>
      <c r="AB43" s="257">
        <f t="shared" si="21"/>
        <v>4277</v>
      </c>
      <c r="AC43" s="257">
        <f t="shared" si="21"/>
        <v>4256.9000000000015</v>
      </c>
      <c r="AD43" s="257">
        <f t="shared" si="21"/>
        <v>4009.6000000000008</v>
      </c>
      <c r="AE43" s="257"/>
      <c r="AF43" s="257">
        <f t="shared" si="21"/>
        <v>4093.59</v>
      </c>
      <c r="AG43" s="257">
        <f t="shared" si="21"/>
        <v>4087.4471428571428</v>
      </c>
      <c r="AH43" s="67"/>
      <c r="AI43" s="257">
        <f t="shared" si="21"/>
        <v>4035.4900000000007</v>
      </c>
      <c r="AJ43" s="257">
        <f t="shared" si="21"/>
        <v>4065.8900000000003</v>
      </c>
    </row>
    <row r="44" spans="1:36" x14ac:dyDescent="0.25">
      <c r="A44" s="79" t="s">
        <v>183</v>
      </c>
      <c r="B44" s="70"/>
      <c r="C44" s="70"/>
      <c r="D44" s="70"/>
      <c r="E44" s="70"/>
      <c r="F44" s="59"/>
      <c r="G44" s="59"/>
      <c r="H44" s="67"/>
      <c r="I44" s="67"/>
      <c r="J44" s="67"/>
      <c r="K44" s="67"/>
      <c r="L44" s="67"/>
      <c r="M44" s="67"/>
      <c r="N44" s="67"/>
      <c r="O44" s="67"/>
      <c r="P44" s="67"/>
      <c r="Q44" s="258">
        <f>(Q43-P43)/P43</f>
        <v>0.10486572720021274</v>
      </c>
      <c r="R44" s="258">
        <f t="shared" ref="R44" si="22">(R43-Q43)/Q43</f>
        <v>-1.0516436444144924E-2</v>
      </c>
      <c r="S44" s="258">
        <f t="shared" ref="S44" si="23">(S43-R43)/R43</f>
        <v>-1.8970255612033842E-2</v>
      </c>
      <c r="T44" s="258">
        <f t="shared" ref="T44" si="24">(T43-S43)/S43</f>
        <v>-2.3105337531298988E-2</v>
      </c>
      <c r="U44" s="258">
        <f t="shared" ref="U44" si="25">(U43-T43)/T43</f>
        <v>3.4259611724400459E-2</v>
      </c>
      <c r="V44" s="258">
        <f t="shared" ref="V44" si="26">(V43-U43)/U43</f>
        <v>-9.390258863943049E-2</v>
      </c>
      <c r="W44" s="258">
        <f t="shared" ref="W44" si="27">(W43-V43)/V43</f>
        <v>0.11040402946273811</v>
      </c>
      <c r="X44" s="258">
        <f t="shared" ref="X44" si="28">(X43-W43)/W43</f>
        <v>6.5016461407145343E-2</v>
      </c>
      <c r="Y44" s="258">
        <f t="shared" ref="Y44" si="29">(Y43-X43)/X43</f>
        <v>-5.7337821437567188E-2</v>
      </c>
      <c r="Z44" s="258">
        <f t="shared" ref="Z44" si="30">(Z43-Y43)/Y43</f>
        <v>-2.1376345130808657E-2</v>
      </c>
      <c r="AA44" s="258">
        <f t="shared" ref="AA44" si="31">(AA43-Z43)/Z43</f>
        <v>-4.4257452776329878E-2</v>
      </c>
      <c r="AB44" s="258">
        <f>(AB43-AA43)/AA43</f>
        <v>0.11079368377311459</v>
      </c>
      <c r="AC44" s="258">
        <f t="shared" ref="AC44" si="32">(AC43-AB43)/AB43</f>
        <v>-4.6995557633852103E-3</v>
      </c>
      <c r="AD44" s="258">
        <f t="shared" ref="AD44" si="33">(AD43-AC43)/AC43</f>
        <v>-5.8093918109422479E-2</v>
      </c>
      <c r="AE44" s="265" t="s">
        <v>187</v>
      </c>
      <c r="AF44" s="258">
        <f>(AF43-AD43)/AD43</f>
        <v>2.0947226656025365E-2</v>
      </c>
      <c r="AG44" s="67"/>
      <c r="AH44" s="67"/>
      <c r="AI44" s="67"/>
    </row>
    <row r="45" spans="1:36" x14ac:dyDescent="0.25">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8"/>
      <c r="AF45" s="67"/>
      <c r="AG45" s="67"/>
      <c r="AH45" s="67"/>
      <c r="AI45" s="67"/>
    </row>
    <row r="46" spans="1:36" x14ac:dyDescent="0.25">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8"/>
      <c r="AF46" s="67"/>
      <c r="AG46" s="67"/>
      <c r="AH46" s="67"/>
      <c r="AI46" s="67"/>
    </row>
    <row r="47" spans="1:36" x14ac:dyDescent="0.25">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8"/>
      <c r="AF47" s="67"/>
      <c r="AG47" s="67"/>
      <c r="AH47" s="67"/>
      <c r="AI47" s="67"/>
    </row>
    <row r="48" spans="1:36" x14ac:dyDescent="0.25">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8"/>
      <c r="AF48" s="67"/>
      <c r="AG48" s="67"/>
      <c r="AH48" s="67"/>
      <c r="AI48" s="67"/>
    </row>
    <row r="49" spans="11:35" x14ac:dyDescent="0.25">
      <c r="K49" s="67"/>
      <c r="L49" s="67"/>
      <c r="M49" s="67"/>
      <c r="N49" s="67"/>
      <c r="O49" s="67"/>
      <c r="P49" s="67"/>
      <c r="Q49" s="67"/>
      <c r="R49" s="67"/>
      <c r="S49" s="67"/>
      <c r="T49" s="67"/>
      <c r="U49" s="67"/>
      <c r="V49" s="67"/>
      <c r="W49" s="67"/>
      <c r="X49" s="67"/>
      <c r="Y49" s="67"/>
      <c r="Z49" s="67"/>
      <c r="AA49" s="67"/>
      <c r="AB49" s="67"/>
      <c r="AC49" s="67"/>
      <c r="AD49" s="67"/>
      <c r="AE49" s="68"/>
      <c r="AF49" s="67"/>
      <c r="AG49" s="67"/>
      <c r="AH49" s="67"/>
      <c r="AI49" s="67"/>
    </row>
    <row r="50" spans="11:35" x14ac:dyDescent="0.25">
      <c r="W50" s="67"/>
      <c r="X50" s="67"/>
      <c r="Y50" s="67"/>
      <c r="Z50" s="67"/>
      <c r="AA50" s="67"/>
      <c r="AB50" s="67"/>
      <c r="AC50" s="67"/>
      <c r="AD50" s="67"/>
      <c r="AE50" s="68"/>
      <c r="AF50" s="67"/>
      <c r="AG50" s="67"/>
      <c r="AH50" s="67"/>
      <c r="AI50" s="67"/>
    </row>
    <row r="51" spans="11:35" x14ac:dyDescent="0.25">
      <c r="W51" s="67"/>
      <c r="X51" s="67"/>
      <c r="Y51" s="67"/>
      <c r="Z51" s="67"/>
      <c r="AA51" s="67"/>
      <c r="AB51" s="67"/>
      <c r="AC51" s="67"/>
      <c r="AD51" s="67"/>
      <c r="AE51" s="68"/>
      <c r="AF51" s="67"/>
      <c r="AG51" s="67"/>
      <c r="AH51" s="67"/>
      <c r="AI51" s="67"/>
    </row>
    <row r="52" spans="11:35" x14ac:dyDescent="0.25">
      <c r="W52" s="67"/>
      <c r="X52" s="67"/>
      <c r="Y52" s="67"/>
      <c r="Z52" s="67"/>
      <c r="AA52" s="67"/>
      <c r="AB52" s="67"/>
      <c r="AC52" s="67"/>
      <c r="AD52" s="67"/>
      <c r="AE52" s="68"/>
      <c r="AF52" s="67"/>
      <c r="AG52" s="67"/>
      <c r="AH52" s="67"/>
      <c r="AI52" s="67"/>
    </row>
    <row r="53" spans="11:35" x14ac:dyDescent="0.25">
      <c r="W53" s="67"/>
      <c r="X53" s="67"/>
      <c r="Y53" s="67"/>
      <c r="Z53" s="67"/>
      <c r="AA53" s="67"/>
      <c r="AB53" s="67"/>
      <c r="AC53" s="67"/>
      <c r="AD53" s="67"/>
      <c r="AE53" s="68"/>
      <c r="AF53" s="67"/>
      <c r="AG53" s="67"/>
      <c r="AH53" s="67"/>
      <c r="AI53" s="67"/>
    </row>
    <row r="54" spans="11:35" x14ac:dyDescent="0.25">
      <c r="W54" s="67"/>
      <c r="X54" s="67"/>
      <c r="Y54" s="67"/>
      <c r="Z54" s="67"/>
      <c r="AA54" s="67"/>
      <c r="AB54" s="67"/>
      <c r="AC54" s="67"/>
      <c r="AD54" s="67"/>
      <c r="AE54" s="68"/>
      <c r="AF54" s="67"/>
      <c r="AG54" s="67"/>
      <c r="AH54" s="67"/>
      <c r="AI54" s="67"/>
    </row>
    <row r="55" spans="11:35" x14ac:dyDescent="0.25">
      <c r="W55" s="67"/>
      <c r="X55" s="67"/>
      <c r="Y55" s="67"/>
      <c r="Z55" s="67"/>
      <c r="AA55" s="67"/>
      <c r="AB55" s="67"/>
      <c r="AC55" s="67"/>
      <c r="AD55" s="67"/>
      <c r="AE55" s="68"/>
      <c r="AF55" s="67"/>
      <c r="AG55" s="67"/>
      <c r="AH55" s="67"/>
      <c r="AI55" s="67"/>
    </row>
    <row r="56" spans="11:35" x14ac:dyDescent="0.25">
      <c r="W56" s="67"/>
      <c r="X56" s="67"/>
      <c r="Y56" s="67"/>
      <c r="Z56" s="67"/>
      <c r="AA56" s="67"/>
      <c r="AB56" s="67"/>
      <c r="AC56" s="67"/>
      <c r="AD56" s="67"/>
      <c r="AE56" s="68"/>
      <c r="AF56" s="67"/>
      <c r="AG56" s="67"/>
      <c r="AH56" s="67"/>
      <c r="AI56" s="67"/>
    </row>
    <row r="57" spans="11:35" x14ac:dyDescent="0.25">
      <c r="W57" s="67"/>
      <c r="X57" s="67"/>
      <c r="Y57" s="67"/>
      <c r="Z57" s="67"/>
      <c r="AA57" s="67"/>
      <c r="AB57" s="67"/>
      <c r="AC57" s="67"/>
      <c r="AD57" s="67"/>
      <c r="AE57" s="68"/>
      <c r="AF57" s="67"/>
      <c r="AG57" s="67"/>
      <c r="AH57" s="67"/>
      <c r="AI57" s="67"/>
    </row>
    <row r="58" spans="11:35" x14ac:dyDescent="0.25">
      <c r="W58" s="67"/>
      <c r="X58" s="67"/>
      <c r="Y58" s="67"/>
      <c r="Z58" s="67"/>
      <c r="AA58" s="67"/>
      <c r="AB58" s="67"/>
      <c r="AC58" s="67"/>
      <c r="AD58" s="67"/>
      <c r="AE58" s="68"/>
      <c r="AF58" s="67"/>
      <c r="AG58" s="67"/>
      <c r="AH58" s="67"/>
      <c r="AI58" s="67"/>
    </row>
    <row r="59" spans="11:35" x14ac:dyDescent="0.25">
      <c r="W59" s="67"/>
      <c r="X59" s="67"/>
      <c r="Y59" s="67"/>
      <c r="Z59" s="67"/>
      <c r="AA59" s="67"/>
      <c r="AB59" s="67"/>
      <c r="AC59" s="67"/>
      <c r="AD59" s="67"/>
      <c r="AE59" s="68"/>
      <c r="AF59" s="67"/>
      <c r="AG59" s="67"/>
      <c r="AH59" s="67"/>
      <c r="AI59" s="67"/>
    </row>
    <row r="60" spans="11:35" x14ac:dyDescent="0.25">
      <c r="W60" s="67"/>
      <c r="X60" s="67"/>
      <c r="Y60" s="67"/>
      <c r="Z60" s="67"/>
      <c r="AA60" s="67"/>
      <c r="AB60" s="67"/>
      <c r="AC60" s="67"/>
      <c r="AD60" s="67"/>
      <c r="AE60" s="68"/>
      <c r="AF60" s="67"/>
      <c r="AG60" s="67"/>
      <c r="AH60" s="67"/>
      <c r="AI60" s="67"/>
    </row>
    <row r="61" spans="11:35" x14ac:dyDescent="0.25">
      <c r="W61" s="67"/>
      <c r="X61" s="67"/>
      <c r="Y61" s="67"/>
      <c r="Z61" s="67"/>
      <c r="AA61" s="67"/>
      <c r="AB61" s="67"/>
      <c r="AC61" s="67"/>
      <c r="AD61" s="67"/>
      <c r="AE61" s="68"/>
      <c r="AF61" s="67"/>
      <c r="AG61" s="67"/>
      <c r="AH61" s="67"/>
      <c r="AI61" s="67"/>
    </row>
    <row r="62" spans="11:35" x14ac:dyDescent="0.25">
      <c r="W62" s="67"/>
      <c r="X62" s="67"/>
      <c r="Y62" s="67"/>
      <c r="Z62" s="67"/>
      <c r="AA62" s="67"/>
      <c r="AB62" s="67"/>
      <c r="AC62" s="67"/>
      <c r="AD62" s="67"/>
      <c r="AE62" s="68"/>
      <c r="AF62" s="67"/>
      <c r="AG62" s="67"/>
      <c r="AH62" s="67"/>
      <c r="AI62" s="67"/>
    </row>
    <row r="63" spans="11:35" x14ac:dyDescent="0.25">
      <c r="W63" s="67"/>
      <c r="X63" s="67"/>
      <c r="Y63" s="67"/>
      <c r="Z63" s="67"/>
      <c r="AA63" s="67"/>
      <c r="AB63" s="67"/>
      <c r="AC63" s="67"/>
      <c r="AD63" s="67"/>
      <c r="AE63" s="68"/>
      <c r="AF63" s="67"/>
      <c r="AG63" s="67"/>
      <c r="AH63" s="67"/>
      <c r="AI63" s="67"/>
    </row>
    <row r="64" spans="11:35" x14ac:dyDescent="0.25">
      <c r="W64" s="67"/>
      <c r="X64" s="67"/>
      <c r="Y64" s="67"/>
      <c r="Z64" s="67"/>
      <c r="AA64" s="67"/>
      <c r="AB64" s="67"/>
      <c r="AC64" s="67"/>
      <c r="AD64" s="67"/>
      <c r="AE64" s="68"/>
      <c r="AF64" s="67"/>
      <c r="AG64" s="67"/>
      <c r="AH64" s="67"/>
      <c r="AI64" s="67"/>
    </row>
    <row r="65" spans="23:35" x14ac:dyDescent="0.25">
      <c r="W65" s="67"/>
      <c r="X65" s="67"/>
      <c r="Y65" s="67"/>
      <c r="Z65" s="67"/>
      <c r="AA65" s="67"/>
      <c r="AB65" s="67"/>
      <c r="AC65" s="67"/>
      <c r="AD65" s="67"/>
      <c r="AE65" s="68"/>
      <c r="AF65" s="67"/>
      <c r="AG65" s="67"/>
      <c r="AH65" s="67"/>
      <c r="AI65" s="67"/>
    </row>
    <row r="66" spans="23:35" x14ac:dyDescent="0.25">
      <c r="W66" s="67"/>
      <c r="X66" s="67"/>
      <c r="Y66" s="67"/>
      <c r="Z66" s="67"/>
      <c r="AA66" s="67"/>
      <c r="AB66" s="67"/>
      <c r="AC66" s="67"/>
      <c r="AD66" s="67"/>
      <c r="AE66" s="68"/>
      <c r="AF66" s="67"/>
      <c r="AG66" s="67"/>
      <c r="AH66" s="67"/>
      <c r="AI66" s="67"/>
    </row>
    <row r="67" spans="23:35" x14ac:dyDescent="0.25">
      <c r="W67" s="67"/>
      <c r="X67" s="67"/>
      <c r="Y67" s="67"/>
      <c r="Z67" s="67"/>
      <c r="AA67" s="67"/>
      <c r="AB67" s="67"/>
      <c r="AC67" s="67"/>
      <c r="AD67" s="67"/>
      <c r="AE67" s="68"/>
      <c r="AF67" s="67"/>
      <c r="AG67" s="67"/>
      <c r="AH67" s="67"/>
      <c r="AI67" s="67"/>
    </row>
    <row r="68" spans="23:35" x14ac:dyDescent="0.25">
      <c r="W68" s="67"/>
      <c r="X68" s="67"/>
      <c r="Y68" s="67"/>
      <c r="Z68" s="67"/>
      <c r="AA68" s="67"/>
      <c r="AB68" s="67"/>
      <c r="AC68" s="67"/>
      <c r="AD68" s="67"/>
      <c r="AE68" s="68"/>
      <c r="AF68" s="67"/>
      <c r="AG68" s="67"/>
      <c r="AH68" s="67"/>
      <c r="AI68" s="67"/>
    </row>
    <row r="69" spans="23:35" x14ac:dyDescent="0.25">
      <c r="W69" s="67"/>
      <c r="X69" s="67"/>
      <c r="Y69" s="67"/>
      <c r="Z69" s="67"/>
      <c r="AA69" s="67"/>
      <c r="AB69" s="67"/>
      <c r="AC69" s="67"/>
      <c r="AD69" s="67"/>
      <c r="AE69" s="68"/>
      <c r="AF69" s="67"/>
      <c r="AG69" s="67"/>
      <c r="AH69" s="67"/>
      <c r="AI69" s="67"/>
    </row>
    <row r="70" spans="23:35" x14ac:dyDescent="0.25">
      <c r="W70" s="67"/>
      <c r="X70" s="67"/>
      <c r="Y70" s="67"/>
      <c r="Z70" s="67"/>
      <c r="AA70" s="67"/>
      <c r="AB70" s="67"/>
      <c r="AC70" s="67"/>
      <c r="AD70" s="67"/>
      <c r="AE70" s="68"/>
      <c r="AF70" s="67"/>
      <c r="AG70" s="67"/>
      <c r="AH70" s="67"/>
      <c r="AI70" s="67"/>
    </row>
    <row r="71" spans="23:35" x14ac:dyDescent="0.25">
      <c r="W71" s="67"/>
      <c r="X71" s="67"/>
      <c r="Y71" s="67"/>
      <c r="Z71" s="67"/>
      <c r="AA71" s="67"/>
      <c r="AB71" s="67"/>
      <c r="AC71" s="67"/>
      <c r="AD71" s="67"/>
      <c r="AE71" s="68"/>
      <c r="AF71" s="67"/>
      <c r="AG71" s="67"/>
      <c r="AH71" s="67"/>
      <c r="AI71" s="67"/>
    </row>
    <row r="72" spans="23:35" x14ac:dyDescent="0.25">
      <c r="W72" s="67"/>
      <c r="X72" s="67"/>
      <c r="Y72" s="67"/>
      <c r="Z72" s="67"/>
      <c r="AA72" s="67"/>
      <c r="AB72" s="67"/>
      <c r="AC72" s="67"/>
      <c r="AD72" s="67"/>
      <c r="AE72" s="68"/>
      <c r="AF72" s="67"/>
      <c r="AG72" s="67"/>
      <c r="AH72" s="67"/>
      <c r="AI72" s="67"/>
    </row>
    <row r="73" spans="23:35" x14ac:dyDescent="0.25">
      <c r="W73" s="67"/>
      <c r="X73" s="67"/>
      <c r="Y73" s="67"/>
      <c r="Z73" s="67"/>
      <c r="AA73" s="67"/>
      <c r="AB73" s="67"/>
      <c r="AC73" s="67"/>
      <c r="AD73" s="67"/>
      <c r="AE73" s="68"/>
      <c r="AF73" s="67"/>
      <c r="AG73" s="67"/>
      <c r="AH73" s="67"/>
      <c r="AI73" s="67"/>
    </row>
    <row r="74" spans="23:35" x14ac:dyDescent="0.25">
      <c r="W74" s="67"/>
      <c r="X74" s="67"/>
      <c r="Y74" s="67"/>
      <c r="Z74" s="67"/>
      <c r="AA74" s="67"/>
      <c r="AB74" s="67"/>
      <c r="AC74" s="67"/>
      <c r="AD74" s="67"/>
      <c r="AE74" s="68"/>
      <c r="AF74" s="67"/>
      <c r="AG74" s="67"/>
      <c r="AH74" s="67"/>
      <c r="AI74" s="67"/>
    </row>
    <row r="75" spans="23:35" x14ac:dyDescent="0.25">
      <c r="W75" s="67"/>
      <c r="X75" s="67"/>
      <c r="Y75" s="67"/>
      <c r="Z75" s="67"/>
      <c r="AA75" s="67"/>
      <c r="AB75" s="67"/>
      <c r="AC75" s="67"/>
      <c r="AD75" s="67"/>
      <c r="AE75" s="68"/>
      <c r="AF75" s="67"/>
      <c r="AG75" s="67"/>
      <c r="AH75" s="67"/>
      <c r="AI75" s="67"/>
    </row>
    <row r="76" spans="23:35" x14ac:dyDescent="0.25">
      <c r="W76" s="67"/>
      <c r="X76" s="67"/>
      <c r="Y76" s="67"/>
      <c r="Z76" s="67"/>
      <c r="AA76" s="67"/>
      <c r="AB76" s="67"/>
      <c r="AC76" s="67"/>
      <c r="AD76" s="67"/>
      <c r="AE76" s="68"/>
      <c r="AF76" s="67"/>
      <c r="AG76" s="67"/>
      <c r="AH76" s="67"/>
      <c r="AI76" s="67"/>
    </row>
    <row r="77" spans="23:35" x14ac:dyDescent="0.25">
      <c r="W77" s="67"/>
      <c r="X77" s="67"/>
      <c r="Y77" s="67"/>
      <c r="Z77" s="67"/>
      <c r="AA77" s="67"/>
      <c r="AB77" s="67"/>
      <c r="AC77" s="67"/>
      <c r="AD77" s="67"/>
      <c r="AE77" s="68"/>
      <c r="AF77" s="67"/>
      <c r="AG77" s="67"/>
      <c r="AH77" s="67"/>
      <c r="AI77" s="67"/>
    </row>
    <row r="78" spans="23:35" x14ac:dyDescent="0.25">
      <c r="W78" s="67"/>
      <c r="X78" s="67"/>
      <c r="Y78" s="67"/>
      <c r="Z78" s="67"/>
      <c r="AA78" s="67"/>
      <c r="AB78" s="67"/>
      <c r="AC78" s="67"/>
      <c r="AD78" s="67"/>
      <c r="AE78" s="68"/>
      <c r="AF78" s="67"/>
      <c r="AG78" s="67"/>
      <c r="AH78" s="67"/>
      <c r="AI78" s="67"/>
    </row>
    <row r="79" spans="23:35" x14ac:dyDescent="0.25">
      <c r="W79" s="67"/>
      <c r="X79" s="67"/>
      <c r="Y79" s="67"/>
      <c r="Z79" s="67"/>
      <c r="AA79" s="67"/>
      <c r="AB79" s="67"/>
      <c r="AC79" s="67"/>
      <c r="AD79" s="67"/>
      <c r="AE79" s="68"/>
      <c r="AF79" s="67"/>
      <c r="AG79" s="67"/>
      <c r="AH79" s="67"/>
      <c r="AI79" s="67"/>
    </row>
    <row r="80" spans="23:35" x14ac:dyDescent="0.25">
      <c r="W80" s="67"/>
      <c r="X80" s="67"/>
      <c r="Y80" s="67"/>
      <c r="Z80" s="67"/>
      <c r="AA80" s="67"/>
      <c r="AB80" s="67"/>
      <c r="AC80" s="67"/>
      <c r="AD80" s="67"/>
      <c r="AE80" s="68"/>
      <c r="AF80" s="67"/>
      <c r="AG80" s="67"/>
      <c r="AH80" s="67"/>
      <c r="AI80" s="67"/>
    </row>
  </sheetData>
  <mergeCells count="2">
    <mergeCell ref="E1:F1"/>
    <mergeCell ref="E2:F2"/>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sheetPr>
  <dimension ref="A2:D18"/>
  <sheetViews>
    <sheetView workbookViewId="0">
      <selection activeCell="D13" sqref="D13:D14"/>
    </sheetView>
  </sheetViews>
  <sheetFormatPr defaultRowHeight="12.5" x14ac:dyDescent="0.25"/>
  <cols>
    <col min="2" max="2" width="12" bestFit="1" customWidth="1"/>
    <col min="3" max="3" width="16.453125" bestFit="1" customWidth="1"/>
    <col min="4" max="4" width="11.453125" bestFit="1" customWidth="1"/>
  </cols>
  <sheetData>
    <row r="2" spans="1:4" ht="25" x14ac:dyDescent="0.25">
      <c r="B2" s="101" t="s">
        <v>122</v>
      </c>
      <c r="C2" s="112" t="s">
        <v>127</v>
      </c>
      <c r="D2" s="101" t="s">
        <v>126</v>
      </c>
    </row>
    <row r="3" spans="1:4" x14ac:dyDescent="0.25">
      <c r="A3">
        <v>2011</v>
      </c>
      <c r="B3" s="113">
        <v>0</v>
      </c>
      <c r="C3" s="114">
        <f>'Rate Class Load Model'!B22</f>
        <v>2.5875109408273634E-3</v>
      </c>
      <c r="D3" s="105"/>
    </row>
    <row r="4" spans="1:4" x14ac:dyDescent="0.25">
      <c r="A4">
        <v>2012</v>
      </c>
      <c r="B4" s="113">
        <v>3486.38</v>
      </c>
      <c r="C4" s="114">
        <f>'Rate Class Load Model'!B23</f>
        <v>2.5926387713965985E-3</v>
      </c>
      <c r="D4" s="105"/>
    </row>
    <row r="5" spans="1:4" x14ac:dyDescent="0.25">
      <c r="A5">
        <v>2013</v>
      </c>
      <c r="B5" s="113">
        <v>13589.76</v>
      </c>
      <c r="C5" s="114">
        <f>'Rate Class Load Model'!B24</f>
        <v>2.6096018347677905E-3</v>
      </c>
      <c r="D5" s="105"/>
    </row>
    <row r="6" spans="1:4" x14ac:dyDescent="0.25">
      <c r="A6">
        <v>2014</v>
      </c>
      <c r="B6" s="113">
        <v>12736.7</v>
      </c>
      <c r="C6" s="114">
        <f>'Rate Class Load Model'!B25</f>
        <v>2.7483766607446962E-3</v>
      </c>
      <c r="D6" s="105"/>
    </row>
    <row r="7" spans="1:4" x14ac:dyDescent="0.25">
      <c r="A7">
        <v>2015</v>
      </c>
      <c r="B7" s="113">
        <v>12397.7</v>
      </c>
      <c r="C7" s="114">
        <f>'Rate Class Load Model'!B26</f>
        <v>2.7333673059924063E-3</v>
      </c>
      <c r="D7" s="105">
        <v>6792377.5999999996</v>
      </c>
    </row>
    <row r="8" spans="1:4" x14ac:dyDescent="0.25">
      <c r="A8">
        <v>2016</v>
      </c>
      <c r="B8" s="168">
        <v>12437.3</v>
      </c>
      <c r="C8" s="114">
        <f>'Rate Class Load Model'!B27</f>
        <v>2.7103529501072746E-3</v>
      </c>
      <c r="D8" s="169">
        <v>6607289</v>
      </c>
    </row>
    <row r="9" spans="1:4" x14ac:dyDescent="0.25">
      <c r="A9">
        <v>2017</v>
      </c>
      <c r="B9" s="168">
        <v>12330</v>
      </c>
      <c r="C9" s="114">
        <f>'Rate Class Load Model'!B28</f>
        <v>2.7283113072927531E-3</v>
      </c>
      <c r="D9" s="169">
        <v>6489035</v>
      </c>
    </row>
    <row r="10" spans="1:4" x14ac:dyDescent="0.25">
      <c r="A10">
        <v>2018</v>
      </c>
      <c r="B10" s="168">
        <v>12258</v>
      </c>
      <c r="C10" s="114">
        <f>'Rate Class Load Model'!B29</f>
        <v>2.710092625916601E-3</v>
      </c>
      <c r="D10" s="169">
        <v>6330357</v>
      </c>
    </row>
    <row r="11" spans="1:4" x14ac:dyDescent="0.25">
      <c r="A11">
        <v>2019</v>
      </c>
      <c r="B11" s="168">
        <v>10962.46</v>
      </c>
      <c r="C11" s="114">
        <f>'Rate Class Load Model'!B30</f>
        <v>2.6961033718966303E-3</v>
      </c>
      <c r="D11" s="169">
        <v>6085994.9199999999</v>
      </c>
    </row>
    <row r="12" spans="1:4" x14ac:dyDescent="0.25">
      <c r="A12">
        <v>2020</v>
      </c>
      <c r="B12" s="168">
        <f>'[5]Annual Summary '!$BB$23</f>
        <v>11674.01</v>
      </c>
      <c r="C12" s="114">
        <f>'Rate Class Load Model'!B31</f>
        <v>2.7385931089906842E-3</v>
      </c>
      <c r="D12" s="169">
        <f>'[5]Annual Summary '!$BA$23</f>
        <v>6029967.5800000001</v>
      </c>
    </row>
    <row r="13" spans="1:4" x14ac:dyDescent="0.25">
      <c r="A13">
        <v>2021</v>
      </c>
      <c r="B13" s="116">
        <f>B16</f>
        <v>11674.01</v>
      </c>
      <c r="D13" s="116">
        <f>D16</f>
        <v>6029967.5800000001</v>
      </c>
    </row>
    <row r="14" spans="1:4" x14ac:dyDescent="0.25">
      <c r="A14">
        <v>2022</v>
      </c>
      <c r="B14" s="116">
        <f>B13</f>
        <v>11674.01</v>
      </c>
      <c r="D14" s="116">
        <f>D13</f>
        <v>6029967.5800000001</v>
      </c>
    </row>
    <row r="16" spans="1:4" x14ac:dyDescent="0.25">
      <c r="A16" s="112"/>
      <c r="B16" s="115">
        <f>B12</f>
        <v>11674.01</v>
      </c>
      <c r="D16" s="115">
        <f>D12</f>
        <v>6029967.5800000001</v>
      </c>
    </row>
    <row r="18" spans="2:4" x14ac:dyDescent="0.25">
      <c r="B18" s="126"/>
      <c r="D18" s="126"/>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I2:T50"/>
  <sheetViews>
    <sheetView topLeftCell="A25" zoomScale="70" zoomScaleNormal="70" workbookViewId="0">
      <selection activeCell="I61" sqref="I61"/>
    </sheetView>
  </sheetViews>
  <sheetFormatPr defaultRowHeight="12.5" x14ac:dyDescent="0.25"/>
  <cols>
    <col min="9" max="9" width="24.26953125" bestFit="1" customWidth="1"/>
    <col min="10" max="10" width="32.1796875" bestFit="1" customWidth="1"/>
    <col min="11" max="11" width="32.1796875" customWidth="1"/>
    <col min="12" max="14" width="15.1796875" bestFit="1" customWidth="1"/>
    <col min="15" max="20" width="12.453125" bestFit="1" customWidth="1"/>
  </cols>
  <sheetData>
    <row r="2" spans="10:20" x14ac:dyDescent="0.25">
      <c r="J2" t="s">
        <v>165</v>
      </c>
      <c r="L2">
        <v>2011</v>
      </c>
      <c r="M2">
        <v>2012</v>
      </c>
      <c r="N2">
        <v>2013</v>
      </c>
      <c r="O2">
        <v>2014</v>
      </c>
      <c r="P2">
        <v>2015</v>
      </c>
      <c r="Q2">
        <v>2016</v>
      </c>
      <c r="R2">
        <v>2017</v>
      </c>
      <c r="S2">
        <v>2018</v>
      </c>
      <c r="T2">
        <v>2019</v>
      </c>
    </row>
    <row r="3" spans="10:20" x14ac:dyDescent="0.25">
      <c r="J3">
        <v>2006</v>
      </c>
      <c r="L3">
        <v>129.11000000000001</v>
      </c>
      <c r="M3">
        <v>120.16</v>
      </c>
      <c r="N3">
        <v>120.16</v>
      </c>
      <c r="O3">
        <v>93.98</v>
      </c>
      <c r="P3">
        <v>93.98</v>
      </c>
      <c r="Q3">
        <v>93.98</v>
      </c>
      <c r="R3">
        <v>93.98</v>
      </c>
      <c r="S3">
        <v>93.98</v>
      </c>
      <c r="T3">
        <v>93.98</v>
      </c>
    </row>
    <row r="4" spans="10:20" x14ac:dyDescent="0.25">
      <c r="J4">
        <v>2007</v>
      </c>
      <c r="L4">
        <v>180.57</v>
      </c>
      <c r="M4">
        <v>167.07</v>
      </c>
      <c r="N4">
        <v>193.4</v>
      </c>
      <c r="O4">
        <v>167.07</v>
      </c>
      <c r="P4">
        <v>136.83000000000001</v>
      </c>
      <c r="Q4">
        <v>121.7</v>
      </c>
      <c r="R4">
        <v>103.75</v>
      </c>
      <c r="S4">
        <v>103.75</v>
      </c>
      <c r="T4">
        <v>97.89</v>
      </c>
    </row>
    <row r="5" spans="10:20" x14ac:dyDescent="0.25">
      <c r="J5">
        <v>2008</v>
      </c>
      <c r="L5">
        <v>620.95000000000005</v>
      </c>
      <c r="M5">
        <v>614.39</v>
      </c>
      <c r="N5">
        <v>680.54</v>
      </c>
      <c r="O5">
        <v>605.07000000000005</v>
      </c>
      <c r="P5">
        <v>601.91999999999996</v>
      </c>
      <c r="Q5">
        <v>579.79999999999995</v>
      </c>
      <c r="R5">
        <v>542.45000000000005</v>
      </c>
      <c r="S5">
        <v>539.07000000000005</v>
      </c>
      <c r="T5">
        <v>539.07000000000005</v>
      </c>
    </row>
    <row r="6" spans="10:20" x14ac:dyDescent="0.25">
      <c r="J6">
        <v>2009</v>
      </c>
      <c r="L6" s="237">
        <v>1576.58</v>
      </c>
      <c r="M6" s="237">
        <v>1573.98</v>
      </c>
      <c r="N6" s="237">
        <v>1763.5</v>
      </c>
      <c r="O6" s="237">
        <v>1516.1</v>
      </c>
      <c r="P6" s="237">
        <v>1513.44</v>
      </c>
      <c r="Q6" s="237">
        <v>1513.44</v>
      </c>
      <c r="R6" s="237">
        <v>1505.52</v>
      </c>
      <c r="S6">
        <v>801.1</v>
      </c>
      <c r="T6">
        <v>796.1</v>
      </c>
    </row>
    <row r="7" spans="10:20" x14ac:dyDescent="0.25">
      <c r="J7">
        <v>2010</v>
      </c>
      <c r="L7">
        <v>888.44</v>
      </c>
      <c r="M7">
        <v>888.16</v>
      </c>
      <c r="N7" s="237">
        <v>1002.13</v>
      </c>
      <c r="O7">
        <v>859.54</v>
      </c>
      <c r="P7">
        <v>808.53</v>
      </c>
      <c r="Q7">
        <v>808.08</v>
      </c>
      <c r="R7">
        <v>808.08</v>
      </c>
      <c r="S7">
        <v>742.47</v>
      </c>
      <c r="T7">
        <v>737.22</v>
      </c>
    </row>
    <row r="8" spans="10:20" x14ac:dyDescent="0.25">
      <c r="J8">
        <v>2011</v>
      </c>
      <c r="L8" s="237">
        <v>1164.98</v>
      </c>
      <c r="M8">
        <v>927.24</v>
      </c>
      <c r="N8" s="237">
        <v>1012.88</v>
      </c>
      <c r="O8">
        <v>886.44</v>
      </c>
      <c r="P8">
        <v>868.12</v>
      </c>
      <c r="Q8">
        <v>844.29</v>
      </c>
      <c r="R8">
        <v>768.64</v>
      </c>
      <c r="S8">
        <v>765.67</v>
      </c>
      <c r="T8">
        <v>697.95</v>
      </c>
    </row>
    <row r="9" spans="10:20" x14ac:dyDescent="0.25">
      <c r="J9">
        <v>2012</v>
      </c>
      <c r="L9">
        <v>15</v>
      </c>
      <c r="M9" s="237">
        <v>3646.77</v>
      </c>
      <c r="N9" s="237">
        <v>1045.46</v>
      </c>
      <c r="O9" s="237">
        <v>1038.6400000000001</v>
      </c>
      <c r="P9" s="237">
        <v>1011.72</v>
      </c>
      <c r="Q9">
        <v>999.6</v>
      </c>
      <c r="R9">
        <v>935.45</v>
      </c>
      <c r="S9">
        <v>907.56</v>
      </c>
      <c r="T9">
        <v>718.27</v>
      </c>
    </row>
    <row r="10" spans="10:20" x14ac:dyDescent="0.25">
      <c r="J10">
        <v>2013</v>
      </c>
      <c r="L10" t="s">
        <v>166</v>
      </c>
      <c r="M10" t="s">
        <v>166</v>
      </c>
      <c r="N10" s="237">
        <v>2341.46</v>
      </c>
      <c r="O10" s="237">
        <v>1752.27</v>
      </c>
      <c r="P10" s="237">
        <v>1750.66</v>
      </c>
      <c r="Q10" s="237">
        <v>1737.45</v>
      </c>
      <c r="R10" s="237">
        <v>1560.92</v>
      </c>
      <c r="S10" s="237">
        <v>1533.18</v>
      </c>
      <c r="T10" s="237">
        <v>1532.92</v>
      </c>
    </row>
    <row r="11" spans="10:20" x14ac:dyDescent="0.25">
      <c r="J11">
        <v>2014</v>
      </c>
      <c r="L11" t="s">
        <v>166</v>
      </c>
      <c r="M11" t="s">
        <v>166</v>
      </c>
      <c r="N11" t="s">
        <v>166</v>
      </c>
      <c r="O11" s="237">
        <v>5343.15</v>
      </c>
      <c r="P11" s="237">
        <v>4098.3500000000004</v>
      </c>
      <c r="Q11" s="237">
        <v>4086.62</v>
      </c>
      <c r="R11" s="237">
        <v>4038.46</v>
      </c>
      <c r="S11" s="237">
        <v>3990.41</v>
      </c>
      <c r="T11" s="237">
        <v>3981.2</v>
      </c>
    </row>
    <row r="13" spans="10:20" x14ac:dyDescent="0.25">
      <c r="J13" s="101" t="s">
        <v>169</v>
      </c>
      <c r="K13" s="101"/>
      <c r="L13">
        <v>2011</v>
      </c>
      <c r="M13">
        <v>2012</v>
      </c>
      <c r="N13">
        <v>2013</v>
      </c>
      <c r="O13">
        <v>2014</v>
      </c>
      <c r="P13">
        <v>2015</v>
      </c>
      <c r="Q13">
        <v>2016</v>
      </c>
      <c r="R13">
        <v>2017</v>
      </c>
      <c r="S13">
        <v>2018</v>
      </c>
      <c r="T13">
        <v>2019</v>
      </c>
    </row>
    <row r="14" spans="10:20" x14ac:dyDescent="0.25">
      <c r="J14" s="101">
        <v>2015</v>
      </c>
      <c r="K14" s="101"/>
      <c r="L14">
        <v>0</v>
      </c>
      <c r="M14">
        <v>0</v>
      </c>
      <c r="N14">
        <v>0</v>
      </c>
      <c r="O14">
        <v>0</v>
      </c>
      <c r="P14" s="235"/>
      <c r="Q14" s="235"/>
      <c r="R14" s="235"/>
      <c r="S14" s="235"/>
      <c r="T14" s="235"/>
    </row>
    <row r="15" spans="10:20" x14ac:dyDescent="0.25">
      <c r="J15" s="101">
        <v>2016</v>
      </c>
      <c r="K15" s="101"/>
      <c r="L15">
        <v>0</v>
      </c>
      <c r="M15">
        <v>0</v>
      </c>
      <c r="N15">
        <v>0</v>
      </c>
      <c r="O15">
        <v>0</v>
      </c>
      <c r="P15">
        <v>0</v>
      </c>
    </row>
    <row r="16" spans="10:20" x14ac:dyDescent="0.25">
      <c r="J16" s="101">
        <v>2017</v>
      </c>
      <c r="K16" s="101"/>
      <c r="L16">
        <v>0</v>
      </c>
      <c r="M16">
        <v>0</v>
      </c>
      <c r="N16">
        <v>0</v>
      </c>
      <c r="O16">
        <v>0</v>
      </c>
      <c r="P16">
        <v>0</v>
      </c>
      <c r="Q16">
        <v>0</v>
      </c>
    </row>
    <row r="17" spans="9:20" x14ac:dyDescent="0.25">
      <c r="J17" s="101">
        <v>2018</v>
      </c>
      <c r="K17" s="101"/>
      <c r="L17">
        <v>0</v>
      </c>
      <c r="M17">
        <v>0</v>
      </c>
      <c r="N17">
        <v>0</v>
      </c>
      <c r="O17">
        <v>0</v>
      </c>
      <c r="P17">
        <v>0</v>
      </c>
      <c r="Q17">
        <v>0</v>
      </c>
      <c r="R17">
        <v>0</v>
      </c>
    </row>
    <row r="18" spans="9:20" x14ac:dyDescent="0.25">
      <c r="J18" s="101">
        <v>2019</v>
      </c>
      <c r="K18" s="101"/>
      <c r="L18">
        <v>0</v>
      </c>
      <c r="M18">
        <v>0</v>
      </c>
      <c r="N18">
        <v>0</v>
      </c>
      <c r="O18">
        <v>0</v>
      </c>
      <c r="P18">
        <v>0</v>
      </c>
      <c r="Q18">
        <v>0</v>
      </c>
      <c r="R18">
        <v>0</v>
      </c>
      <c r="S18">
        <v>0</v>
      </c>
    </row>
    <row r="24" spans="9:20" x14ac:dyDescent="0.25">
      <c r="K24">
        <v>2010</v>
      </c>
      <c r="L24">
        <v>2011</v>
      </c>
      <c r="M24">
        <v>2012</v>
      </c>
      <c r="N24">
        <v>2013</v>
      </c>
      <c r="O24">
        <v>2014</v>
      </c>
      <c r="P24">
        <v>2015</v>
      </c>
      <c r="Q24">
        <v>2016</v>
      </c>
      <c r="R24">
        <v>2017</v>
      </c>
      <c r="S24">
        <v>2018</v>
      </c>
      <c r="T24">
        <v>2019</v>
      </c>
    </row>
    <row r="25" spans="9:20" x14ac:dyDescent="0.25">
      <c r="I25" s="238" t="s">
        <v>167</v>
      </c>
      <c r="J25">
        <v>2006</v>
      </c>
      <c r="K25" s="235">
        <v>463043.42715370021</v>
      </c>
      <c r="L25" s="235">
        <v>463043.43</v>
      </c>
      <c r="M25" s="235">
        <v>423558.67</v>
      </c>
      <c r="N25" s="235">
        <v>423558.67</v>
      </c>
      <c r="O25" s="235">
        <v>397998.63</v>
      </c>
      <c r="P25" s="235">
        <v>397998.63</v>
      </c>
      <c r="Q25" s="235">
        <v>376020.92</v>
      </c>
      <c r="R25" s="235">
        <v>376020.92</v>
      </c>
      <c r="S25" s="235">
        <v>376020.92</v>
      </c>
      <c r="T25" s="235">
        <v>376020.92</v>
      </c>
    </row>
    <row r="26" spans="9:20" x14ac:dyDescent="0.25">
      <c r="J26">
        <v>2007</v>
      </c>
      <c r="K26" s="235">
        <v>1375496.831751832</v>
      </c>
      <c r="L26" s="235">
        <v>1374565.2</v>
      </c>
      <c r="M26" s="235">
        <v>1319405.8600000001</v>
      </c>
      <c r="N26" s="235">
        <v>1319449.1599999999</v>
      </c>
      <c r="O26" s="235">
        <v>1319405.8600000001</v>
      </c>
      <c r="P26" s="235">
        <v>451386.63</v>
      </c>
      <c r="Q26" s="235">
        <v>311034.57</v>
      </c>
      <c r="R26" s="235">
        <v>164898.26999999999</v>
      </c>
      <c r="S26" s="235">
        <v>164898.26999999999</v>
      </c>
      <c r="T26" s="235">
        <v>164898.26999999999</v>
      </c>
    </row>
    <row r="27" spans="9:20" x14ac:dyDescent="0.25">
      <c r="J27">
        <v>2008</v>
      </c>
      <c r="K27" s="235">
        <v>2083518.3959945007</v>
      </c>
      <c r="L27" s="235">
        <v>2083518.4</v>
      </c>
      <c r="M27" s="235">
        <v>1953835.15</v>
      </c>
      <c r="N27" s="235">
        <v>1952703</v>
      </c>
      <c r="O27" s="235">
        <v>1818843.91</v>
      </c>
      <c r="P27" s="235">
        <v>1718921.23</v>
      </c>
      <c r="Q27" s="235">
        <v>1280426.25</v>
      </c>
      <c r="R27" s="235">
        <v>950424.38</v>
      </c>
      <c r="S27" s="235">
        <v>850075.15</v>
      </c>
      <c r="T27" s="235">
        <v>850075.15</v>
      </c>
    </row>
    <row r="28" spans="9:20" x14ac:dyDescent="0.25">
      <c r="J28">
        <v>2009</v>
      </c>
      <c r="K28" s="235">
        <v>6230628.8779311981</v>
      </c>
      <c r="L28" s="235">
        <v>6230628.8799999999</v>
      </c>
      <c r="M28" s="235">
        <v>6227931.46</v>
      </c>
      <c r="N28" s="235">
        <v>6110635.9800000004</v>
      </c>
      <c r="O28" s="235">
        <v>5806438.0099999998</v>
      </c>
      <c r="P28" s="235">
        <v>5738137.9100000001</v>
      </c>
      <c r="Q28" s="235">
        <v>5736647.6500000004</v>
      </c>
      <c r="R28" s="235">
        <v>4440683.2300000004</v>
      </c>
      <c r="S28" s="235">
        <v>2892856.07</v>
      </c>
      <c r="T28" s="235">
        <v>2377810.81</v>
      </c>
    </row>
    <row r="29" spans="9:20" x14ac:dyDescent="0.25">
      <c r="J29">
        <v>2010</v>
      </c>
      <c r="K29" s="235">
        <v>4170819.6032697526</v>
      </c>
      <c r="L29" s="235">
        <v>2995440.3</v>
      </c>
      <c r="M29" s="235">
        <v>2991631.44</v>
      </c>
      <c r="N29" s="235">
        <v>2989542.01</v>
      </c>
      <c r="O29" s="235">
        <v>2866698.41</v>
      </c>
      <c r="P29" s="235">
        <v>2447090.15</v>
      </c>
      <c r="Q29" s="235">
        <v>2432987.33</v>
      </c>
      <c r="R29" s="235">
        <v>2367567.9300000002</v>
      </c>
      <c r="S29" s="235">
        <v>2215013.5099999998</v>
      </c>
      <c r="T29" s="235">
        <v>937585.67</v>
      </c>
    </row>
    <row r="30" spans="9:20" x14ac:dyDescent="0.25">
      <c r="J30">
        <v>2011</v>
      </c>
      <c r="K30" s="235">
        <v>0</v>
      </c>
      <c r="L30" s="235">
        <v>4286049.6900000004</v>
      </c>
      <c r="M30" s="235">
        <v>4273421.38</v>
      </c>
      <c r="N30" s="235">
        <v>4269479.78</v>
      </c>
      <c r="O30" s="235">
        <v>4164654.72</v>
      </c>
      <c r="P30" s="235">
        <v>4044924.87</v>
      </c>
      <c r="Q30" s="235">
        <v>3842745.46</v>
      </c>
      <c r="R30" s="235">
        <v>3585982.4</v>
      </c>
      <c r="S30" s="235">
        <v>3582790.41</v>
      </c>
      <c r="T30" s="235">
        <v>3120827.28</v>
      </c>
    </row>
    <row r="31" spans="9:20" x14ac:dyDescent="0.25">
      <c r="J31">
        <v>2012</v>
      </c>
      <c r="K31" s="235">
        <v>0</v>
      </c>
      <c r="L31" s="235">
        <v>153118.66</v>
      </c>
      <c r="M31" s="235">
        <v>5903679</v>
      </c>
      <c r="N31" s="235">
        <v>5801327.04</v>
      </c>
      <c r="O31" s="235">
        <v>5778849.0199999996</v>
      </c>
      <c r="P31" s="235">
        <v>5681217.0800000001</v>
      </c>
      <c r="Q31" s="235">
        <v>5580103.1100000003</v>
      </c>
      <c r="R31" s="235">
        <v>5264741.51</v>
      </c>
      <c r="S31" s="235">
        <v>5005437</v>
      </c>
      <c r="T31" s="235">
        <v>3249973.59</v>
      </c>
    </row>
    <row r="32" spans="9:20" x14ac:dyDescent="0.25">
      <c r="J32">
        <v>2013</v>
      </c>
      <c r="K32" s="235">
        <v>0</v>
      </c>
      <c r="L32" s="235">
        <v>0</v>
      </c>
      <c r="M32" s="235">
        <v>0</v>
      </c>
      <c r="N32" s="235">
        <v>6994577.8200000003</v>
      </c>
      <c r="O32" s="235">
        <v>6908924.9199999999</v>
      </c>
      <c r="P32" s="235">
        <v>6895581.3399999999</v>
      </c>
      <c r="Q32" s="235">
        <v>6806731.7199999997</v>
      </c>
      <c r="R32" s="235">
        <v>6111009.04</v>
      </c>
      <c r="S32" s="235">
        <v>5938031.5700000003</v>
      </c>
      <c r="T32" s="235">
        <v>5933062.1699999999</v>
      </c>
    </row>
    <row r="33" spans="9:20" x14ac:dyDescent="0.25">
      <c r="J33">
        <v>2014</v>
      </c>
      <c r="K33" s="235">
        <v>0</v>
      </c>
      <c r="L33" s="235">
        <v>0</v>
      </c>
      <c r="M33" s="235">
        <v>0</v>
      </c>
      <c r="N33" s="235">
        <v>0</v>
      </c>
      <c r="O33" s="235">
        <v>33821560.079999998</v>
      </c>
      <c r="P33" s="235">
        <v>33152890.469999999</v>
      </c>
      <c r="Q33" s="235">
        <v>33032221.41</v>
      </c>
      <c r="R33" s="235">
        <v>32854801.32</v>
      </c>
      <c r="S33" s="235">
        <v>32675045.449999999</v>
      </c>
      <c r="T33" s="235">
        <v>32618967.93</v>
      </c>
    </row>
    <row r="34" spans="9:20" x14ac:dyDescent="0.25">
      <c r="I34" s="238" t="s">
        <v>168</v>
      </c>
      <c r="J34" s="101">
        <v>2015</v>
      </c>
      <c r="K34" s="235">
        <v>0</v>
      </c>
      <c r="L34" s="235">
        <v>0</v>
      </c>
      <c r="M34" s="235">
        <v>0</v>
      </c>
      <c r="N34" s="235">
        <v>0</v>
      </c>
      <c r="O34" s="235">
        <v>0</v>
      </c>
      <c r="P34" s="235">
        <v>9522225</v>
      </c>
      <c r="Q34" s="235">
        <v>9486358</v>
      </c>
      <c r="R34" s="235">
        <v>9482555</v>
      </c>
      <c r="S34" s="235">
        <v>9481982</v>
      </c>
      <c r="T34" s="235">
        <v>9469641</v>
      </c>
    </row>
    <row r="35" spans="9:20" x14ac:dyDescent="0.25">
      <c r="I35" s="235"/>
      <c r="J35" s="101">
        <v>2016</v>
      </c>
      <c r="K35" s="235">
        <v>0</v>
      </c>
      <c r="L35" s="235">
        <v>0</v>
      </c>
      <c r="M35" s="235">
        <v>0</v>
      </c>
      <c r="N35" s="235">
        <v>0</v>
      </c>
      <c r="O35" s="235">
        <v>0</v>
      </c>
      <c r="P35" s="235">
        <v>0</v>
      </c>
      <c r="Q35" s="235">
        <v>12181475</v>
      </c>
      <c r="R35" s="235">
        <v>12181342</v>
      </c>
      <c r="S35" s="235">
        <v>12207408</v>
      </c>
      <c r="T35" s="235">
        <v>12109967</v>
      </c>
    </row>
    <row r="36" spans="9:20" x14ac:dyDescent="0.25">
      <c r="I36" s="235"/>
      <c r="J36" s="101">
        <v>2017</v>
      </c>
      <c r="K36" s="235">
        <v>0</v>
      </c>
      <c r="L36" s="235">
        <v>0</v>
      </c>
      <c r="M36" s="235">
        <v>0</v>
      </c>
      <c r="N36" s="235">
        <v>0</v>
      </c>
      <c r="O36" s="235">
        <v>0</v>
      </c>
      <c r="P36" s="235">
        <v>0</v>
      </c>
      <c r="Q36" s="235">
        <v>0</v>
      </c>
      <c r="R36" s="235">
        <v>16387248</v>
      </c>
      <c r="S36" s="235">
        <v>15261381</v>
      </c>
      <c r="T36" s="235">
        <v>15084685</v>
      </c>
    </row>
    <row r="37" spans="9:20" x14ac:dyDescent="0.25">
      <c r="I37" s="235"/>
      <c r="J37" s="101">
        <v>2018</v>
      </c>
      <c r="K37" s="235">
        <v>0</v>
      </c>
      <c r="L37" s="235">
        <v>0</v>
      </c>
      <c r="M37" s="235">
        <v>0</v>
      </c>
      <c r="N37" s="235">
        <v>0</v>
      </c>
      <c r="O37" s="235">
        <v>0</v>
      </c>
      <c r="P37" s="235">
        <v>0</v>
      </c>
      <c r="Q37" s="235">
        <v>0</v>
      </c>
      <c r="R37" s="235">
        <v>0</v>
      </c>
      <c r="S37" s="235">
        <v>9697361</v>
      </c>
      <c r="T37" s="235">
        <v>9786758</v>
      </c>
    </row>
    <row r="38" spans="9:20" x14ac:dyDescent="0.25">
      <c r="I38" s="235"/>
      <c r="J38" s="101">
        <v>2019</v>
      </c>
      <c r="K38" s="235">
        <v>0</v>
      </c>
      <c r="L38" s="235">
        <v>0</v>
      </c>
      <c r="M38" s="235">
        <v>0</v>
      </c>
      <c r="N38" s="235">
        <v>0</v>
      </c>
      <c r="O38" s="235">
        <v>0</v>
      </c>
      <c r="P38" s="235">
        <v>0</v>
      </c>
      <c r="Q38" s="235">
        <v>0</v>
      </c>
      <c r="R38" s="235">
        <v>0</v>
      </c>
      <c r="S38" s="235">
        <v>0</v>
      </c>
      <c r="T38" s="235">
        <v>5149306</v>
      </c>
    </row>
    <row r="39" spans="9:20" x14ac:dyDescent="0.25">
      <c r="J39" t="s">
        <v>170</v>
      </c>
      <c r="K39" s="235">
        <f>SUM(K25:K38)</f>
        <v>14323507.136100983</v>
      </c>
      <c r="L39" s="235">
        <f>SUM(L25:L38)</f>
        <v>17586364.560000002</v>
      </c>
      <c r="M39" s="235">
        <f>SUM(M25:M38)</f>
        <v>23093462.960000001</v>
      </c>
      <c r="N39" s="235">
        <f>SUM(N25:N38)</f>
        <v>29861273.460000001</v>
      </c>
      <c r="O39" s="235">
        <f>SUM(O25:O38)</f>
        <v>62883373.560000002</v>
      </c>
      <c r="P39" s="235">
        <f>SUM(P25:P38)</f>
        <v>70050373.310000002</v>
      </c>
      <c r="Q39" s="235">
        <f>SUM(Q25:Q38)</f>
        <v>81066751.420000002</v>
      </c>
      <c r="R39" s="235">
        <f>SUM(R25:R38)</f>
        <v>94167274</v>
      </c>
      <c r="S39" s="235">
        <f>SUM(S25:S38)</f>
        <v>100348300.34999999</v>
      </c>
      <c r="T39" s="235">
        <f>SUM(T25:T38)</f>
        <v>101229578.78999999</v>
      </c>
    </row>
    <row r="40" spans="9:20" x14ac:dyDescent="0.25">
      <c r="J40" s="101"/>
      <c r="K40" s="101"/>
    </row>
    <row r="41" spans="9:20" x14ac:dyDescent="0.25">
      <c r="J41" s="101" t="s">
        <v>117</v>
      </c>
      <c r="K41" s="88">
        <f>SUMIF($J25:$J38,"&lt;"&amp;K24,K25:K38)</f>
        <v>10152687.532831231</v>
      </c>
      <c r="L41" s="88">
        <f>SUMIF($J25:$J38,"&lt;"&amp;L24,L25:L38)</f>
        <v>13147196.210000001</v>
      </c>
      <c r="M41" s="88">
        <f>SUMIF($J25:$J38,"&lt;"&amp;M24,M25:M38)</f>
        <v>17189783.960000001</v>
      </c>
      <c r="N41" s="88">
        <f>SUMIF($J25:$J38,"&lt;"&amp;N24,N25:N38)</f>
        <v>22866695.640000001</v>
      </c>
      <c r="O41" s="88">
        <f>SUMIF($J25:$J38,"&lt;"&amp;O24,O25:O38)</f>
        <v>29061813.480000004</v>
      </c>
      <c r="P41" s="88">
        <f>SUMIF($J25:$J38,"&lt;"&amp;P24,P25:P38)</f>
        <v>60528148.310000002</v>
      </c>
      <c r="Q41" s="88">
        <f>SUMIF($J25:$J38,"&lt;"&amp;Q24,Q25:Q38)</f>
        <v>68885276.420000002</v>
      </c>
      <c r="R41" s="88">
        <f>SUMIF($J25:$J38,"&lt;"&amp;R24,R25:R38)</f>
        <v>77780026</v>
      </c>
      <c r="S41" s="88">
        <f>SUMIF($J25:$J38,"&lt;"&amp;S24,S25:S38)</f>
        <v>90650939.349999994</v>
      </c>
      <c r="T41" s="88">
        <f>SUMIF($J25:$J38,"&lt;"&amp;T24,T25:T38)</f>
        <v>96080272.789999992</v>
      </c>
    </row>
    <row r="43" spans="9:20" x14ac:dyDescent="0.25">
      <c r="J43" t="s">
        <v>171</v>
      </c>
      <c r="K43" s="88">
        <f>SUMIF($J25:$J38,"="&amp;K24,K25:K38)</f>
        <v>4170819.6032697526</v>
      </c>
      <c r="L43" s="88">
        <f>SUMIF($J25:$J38,"="&amp;L24,L25:L38)</f>
        <v>4286049.6900000004</v>
      </c>
      <c r="M43" s="88">
        <f>SUMIF($J25:$J38,"="&amp;M24,M25:M38)</f>
        <v>5903679</v>
      </c>
      <c r="N43" s="88">
        <f>SUMIF($J25:$J38,"="&amp;N24,N25:N38)</f>
        <v>6994577.8200000003</v>
      </c>
      <c r="O43" s="88">
        <f>SUMIF($J25:$J38,"="&amp;O24,O25:O38)</f>
        <v>33821560.079999998</v>
      </c>
      <c r="P43" s="88">
        <f>SUMIF($J25:$J38,"="&amp;P24,P25:P38)</f>
        <v>9522225</v>
      </c>
      <c r="Q43" s="88">
        <f>SUMIF($J25:$J38,"="&amp;Q24,Q25:Q38)</f>
        <v>12181475</v>
      </c>
      <c r="R43" s="88">
        <f>SUMIF($J25:$J38,"="&amp;R24,R25:R38)</f>
        <v>16387248</v>
      </c>
      <c r="S43" s="88">
        <f>SUMIF($J25:$J38,"="&amp;S24,S25:S38)</f>
        <v>9697361</v>
      </c>
      <c r="T43" s="88">
        <f>SUMIF($J25:$J38,"="&amp;T24,T25:T38)</f>
        <v>5149306</v>
      </c>
    </row>
    <row r="45" spans="9:20" x14ac:dyDescent="0.25">
      <c r="J45" s="101" t="s">
        <v>9</v>
      </c>
      <c r="K45" s="235">
        <f>SUM(K43,K41)</f>
        <v>14323507.136100983</v>
      </c>
      <c r="L45" s="235">
        <f t="shared" ref="L45:T45" si="0">SUM(L43,L41)</f>
        <v>17433245.900000002</v>
      </c>
      <c r="M45" s="235">
        <f t="shared" si="0"/>
        <v>23093462.960000001</v>
      </c>
      <c r="N45" s="235">
        <f t="shared" si="0"/>
        <v>29861273.460000001</v>
      </c>
      <c r="O45" s="235">
        <f t="shared" si="0"/>
        <v>62883373.560000002</v>
      </c>
      <c r="P45" s="235">
        <f t="shared" si="0"/>
        <v>70050373.310000002</v>
      </c>
      <c r="Q45" s="235">
        <f t="shared" si="0"/>
        <v>81066751.420000002</v>
      </c>
      <c r="R45" s="235">
        <f t="shared" si="0"/>
        <v>94167274</v>
      </c>
      <c r="S45" s="235">
        <f t="shared" si="0"/>
        <v>100348300.34999999</v>
      </c>
      <c r="T45" s="235">
        <f t="shared" si="0"/>
        <v>101229578.78999999</v>
      </c>
    </row>
    <row r="46" spans="9:20" ht="11" customHeight="1" x14ac:dyDescent="0.25">
      <c r="J46" s="101"/>
      <c r="K46" s="235"/>
      <c r="L46" s="235"/>
      <c r="M46" s="235"/>
      <c r="N46" s="235"/>
      <c r="O46" s="235"/>
      <c r="P46" s="235"/>
      <c r="Q46" s="235"/>
      <c r="R46" s="235"/>
      <c r="S46" s="235"/>
      <c r="T46" s="235"/>
    </row>
    <row r="48" spans="9:20" x14ac:dyDescent="0.25">
      <c r="J48" s="89"/>
      <c r="K48" s="239"/>
      <c r="L48" s="239"/>
      <c r="M48" s="239"/>
      <c r="N48" s="239"/>
      <c r="O48" s="239"/>
      <c r="P48" s="239"/>
      <c r="Q48" s="239"/>
      <c r="R48" s="239"/>
      <c r="S48" s="239"/>
      <c r="T48" s="239"/>
    </row>
    <row r="50" spans="10:20" ht="13" x14ac:dyDescent="0.3">
      <c r="J50" s="89"/>
      <c r="K50" s="152"/>
      <c r="L50" s="152"/>
      <c r="M50" s="152"/>
      <c r="N50" s="152"/>
      <c r="O50" s="152"/>
      <c r="P50" s="152"/>
      <c r="Q50" s="152"/>
      <c r="R50" s="152"/>
      <c r="S50" s="152"/>
      <c r="T50" s="15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CDM Worksheet--simple ex.</vt:lpstr>
      <vt:lpstr>Summary</vt:lpstr>
      <vt:lpstr>Embedded Distributor Forecast</vt:lpstr>
      <vt:lpstr>Rate Class Energy Model</vt:lpstr>
      <vt:lpstr>Rate Class Customer Model</vt:lpstr>
      <vt:lpstr>Rate Class Load Model</vt:lpstr>
      <vt:lpstr>HDD&amp;CDD</vt:lpstr>
      <vt:lpstr>WMP Forecast</vt:lpstr>
      <vt:lpstr>CDM Results - update</vt:lpstr>
      <vt:lpstr>Negative Impact Var</vt:lpstr>
      <vt:lpstr>Purch. Power Model </vt:lpstr>
      <vt:lpstr>Total_for_half_Yr</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Bacon</dc:creator>
  <cp:lastModifiedBy>James Crosbie</cp:lastModifiedBy>
  <cp:lastPrinted>2009-07-21T19:47:49Z</cp:lastPrinted>
  <dcterms:created xsi:type="dcterms:W3CDTF">2008-02-06T18:24:44Z</dcterms:created>
  <dcterms:modified xsi:type="dcterms:W3CDTF">2021-08-09T02:35:01Z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