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comments5.xml" ContentType="application/vnd.openxmlformats-officedocument.spreadsheetml.comments+xml"/>
  <Override PartName="/xl/pivotTables/pivotTable2.xml" ContentType="application/vnd.openxmlformats-officedocument.spreadsheetml.pivotTable+xml"/>
  <Override PartName="/xl/comments6.xml" ContentType="application/vnd.openxmlformats-officedocument.spreadsheetml.comments+xml"/>
  <Override PartName="/xl/comments7.xml" ContentType="application/vnd.openxmlformats-officedocument.spreadsheetml.comments+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8" yWindow="324" windowWidth="9480" windowHeight="11016" firstSheet="1" activeTab="1"/>
  </bookViews>
  <sheets>
    <sheet name="CDM Worksheet--simple ex." sheetId="26" state="hidden" r:id="rId1"/>
    <sheet name="Summary" sheetId="11" r:id="rId2"/>
    <sheet name="Embedded Distributor Forecast" sheetId="30" r:id="rId3"/>
    <sheet name="Rate Class Energy Model" sheetId="9" r:id="rId4"/>
    <sheet name="Rate Class Customer Model" sheetId="17" r:id="rId5"/>
    <sheet name="Rate Class Load Model" sheetId="18" r:id="rId6"/>
    <sheet name="Purch. Power Model " sheetId="47" r:id="rId7"/>
    <sheet name="HDD&amp;CDD" sheetId="24" r:id="rId8"/>
    <sheet name="Purch. Power Model (20yr Avg W)" sheetId="53" r:id="rId9"/>
    <sheet name="CDM" sheetId="49" r:id="rId10"/>
    <sheet name="CDM Results" sheetId="29" r:id="rId11"/>
    <sheet name="CDM Notes" sheetId="50" r:id="rId12"/>
    <sheet name="CDM Activity (waterloo)" sheetId="48" r:id="rId13"/>
    <sheet name="Load Profile - Step 5 " sheetId="33" r:id="rId14"/>
    <sheet name="WMP Forecast" sheetId="31" r:id="rId15"/>
    <sheet name="Change Tracking" sheetId="32" r:id="rId16"/>
    <sheet name="Sheet5" sheetId="52" r:id="rId17"/>
    <sheet name="CDM Results - update" sheetId="51" r:id="rId18"/>
    <sheet name="Negative Impact Var" sheetId="28" r:id="rId19"/>
    <sheet name="GDP A" sheetId="39" r:id="rId20"/>
    <sheet name="Sheet1" sheetId="54" r:id="rId21"/>
    <sheet name="Forecast Notes" sheetId="43" r:id="rId22"/>
  </sheets>
  <externalReferences>
    <externalReference r:id="rId23"/>
    <externalReference r:id="rId24"/>
    <externalReference r:id="rId25"/>
  </externalReferences>
  <definedNames>
    <definedName name="_xlnm._FilterDatabase" localSheetId="6" hidden="1">'Purch. Power Model '!$B$34:$P$190</definedName>
    <definedName name="_xlnm._FilterDatabase" localSheetId="8" hidden="1">'Purch. Power Model (20yr Avg W)'!$B$34:$P$190</definedName>
    <definedName name="_Order1" hidden="1">255</definedName>
    <definedName name="_Sort" localSheetId="12" hidden="1">[1]Sheet1!$G$40:$K$40</definedName>
    <definedName name="_Sort" hidden="1">[2]Sheet1!$G$40:$K$40</definedName>
    <definedName name="CAfile">[3]Refs!$B$2</definedName>
    <definedName name="CArevReq">[3]Refs!$B$6</definedName>
    <definedName name="ClassRange1">[3]Refs!$B$3</definedName>
    <definedName name="ClassRange2">[3]Refs!$B$4</definedName>
    <definedName name="FolderPath">[3]Menu!$C$8</definedName>
    <definedName name="GDP_Used">'GDP A'!$AJ$11:$AN$11</definedName>
    <definedName name="NewRevReq">[3]Refs!$B$8</definedName>
    <definedName name="PAGE11" localSheetId="17">#REF!</definedName>
    <definedName name="PAGE11" localSheetId="8">#REF!</definedName>
    <definedName name="PAGE11">#REF!</definedName>
    <definedName name="PAGE2">[1]Sheet1!$A$1:$I$40</definedName>
    <definedName name="PAGE3" localSheetId="17">#REF!</definedName>
    <definedName name="PAGE3" localSheetId="8">#REF!</definedName>
    <definedName name="PAGE3">#REF!</definedName>
    <definedName name="PAGE4" localSheetId="17">#REF!</definedName>
    <definedName name="PAGE4" localSheetId="8">#REF!</definedName>
    <definedName name="PAGE4">#REF!</definedName>
    <definedName name="PAGE7" localSheetId="17">#REF!</definedName>
    <definedName name="PAGE7" localSheetId="8">#REF!</definedName>
    <definedName name="PAGE7">#REF!</definedName>
    <definedName name="PAGE9" localSheetId="17">#REF!</definedName>
    <definedName name="PAGE9" localSheetId="8">#REF!</definedName>
    <definedName name="PAGE9">#REF!</definedName>
    <definedName name="_xlnm.Print_Area" localSheetId="12">'CDM Activity (waterloo)'!$A$1:$Q$216</definedName>
    <definedName name="RevReqLookupKey">[3]Refs!$B$5</definedName>
    <definedName name="RevReqRange">[3]Refs!$B$7</definedName>
    <definedName name="solver_eng" localSheetId="6" hidden="1">1</definedName>
    <definedName name="solver_eng" localSheetId="8" hidden="1">1</definedName>
    <definedName name="solver_neg" localSheetId="6" hidden="1">1</definedName>
    <definedName name="solver_neg" localSheetId="8" hidden="1">1</definedName>
    <definedName name="solver_num" localSheetId="6" hidden="1">0</definedName>
    <definedName name="solver_num" localSheetId="8" hidden="1">0</definedName>
    <definedName name="solver_opt" localSheetId="6" hidden="1">'Purch. Power Model '!$E$34</definedName>
    <definedName name="solver_opt" localSheetId="8" hidden="1">'Purch. Power Model (20yr Avg W)'!$E$34</definedName>
    <definedName name="solver_typ" localSheetId="6" hidden="1">1</definedName>
    <definedName name="solver_typ" localSheetId="8" hidden="1">1</definedName>
    <definedName name="solver_val" localSheetId="6" hidden="1">0</definedName>
    <definedName name="solver_val" localSheetId="8" hidden="1">0</definedName>
    <definedName name="solver_ver" localSheetId="6" hidden="1">3</definedName>
    <definedName name="solver_ver" localSheetId="8" hidden="1">3</definedName>
    <definedName name="Total_for_half_Yr">'Negative Impact Var'!$T$14</definedName>
  </definedNames>
  <calcPr calcId="145621"/>
  <pivotCaches>
    <pivotCache cacheId="142" r:id="rId26"/>
    <pivotCache cacheId="143" r:id="rId27"/>
    <pivotCache cacheId="144" r:id="rId28"/>
  </pivotCaches>
</workbook>
</file>

<file path=xl/calcChain.xml><?xml version="1.0" encoding="utf-8"?>
<calcChain xmlns="http://schemas.openxmlformats.org/spreadsheetml/2006/main">
  <c r="I56" i="9" l="1"/>
  <c r="J56" i="9"/>
  <c r="K56" i="9"/>
  <c r="L56" i="9"/>
  <c r="M56" i="9"/>
  <c r="H56" i="9"/>
  <c r="K72" i="11" l="1"/>
  <c r="J72" i="11"/>
  <c r="J71" i="11"/>
  <c r="I72" i="11"/>
  <c r="I71" i="11"/>
  <c r="H72" i="11"/>
  <c r="H71" i="11"/>
  <c r="G72" i="11"/>
  <c r="G71" i="11"/>
  <c r="G70" i="11"/>
  <c r="F72" i="11"/>
  <c r="F71" i="11"/>
  <c r="F70" i="11"/>
  <c r="E72" i="11"/>
  <c r="E71" i="11"/>
  <c r="E70" i="11"/>
  <c r="D72" i="11"/>
  <c r="D71" i="11"/>
  <c r="D70" i="11"/>
  <c r="C72" i="11"/>
  <c r="C71" i="11"/>
  <c r="C70" i="11"/>
  <c r="B72" i="11"/>
  <c r="B71" i="11"/>
  <c r="B70" i="11"/>
  <c r="AD42" i="24" l="1"/>
  <c r="AC42" i="24"/>
  <c r="AB42" i="24"/>
  <c r="AA42" i="24"/>
  <c r="Z42" i="24"/>
  <c r="Y42" i="24"/>
  <c r="X42" i="24"/>
  <c r="W42" i="24"/>
  <c r="V42" i="24"/>
  <c r="U42" i="24"/>
  <c r="T42" i="24"/>
  <c r="S42" i="24"/>
  <c r="R42" i="24"/>
  <c r="Q42" i="24"/>
  <c r="AF42" i="24"/>
  <c r="AF44" i="24"/>
  <c r="AF22" i="24"/>
  <c r="AD44" i="24"/>
  <c r="AC44" i="24"/>
  <c r="AB44" i="24"/>
  <c r="AA44" i="24"/>
  <c r="Z44" i="24"/>
  <c r="Y44" i="24"/>
  <c r="X44" i="24"/>
  <c r="W44" i="24"/>
  <c r="V44" i="24"/>
  <c r="U44" i="24"/>
  <c r="T44" i="24"/>
  <c r="S44" i="24"/>
  <c r="R44" i="24"/>
  <c r="Q44" i="24"/>
  <c r="AB22" i="24"/>
  <c r="AJ42" i="24"/>
  <c r="AI42" i="24"/>
  <c r="AJ22" i="24"/>
  <c r="AI22" i="24"/>
  <c r="AJ43" i="24"/>
  <c r="AI43" i="24"/>
  <c r="AJ41" i="24"/>
  <c r="AI41" i="24"/>
  <c r="AJ21" i="24"/>
  <c r="AI21" i="24"/>
  <c r="R22" i="24"/>
  <c r="S22" i="24"/>
  <c r="T22" i="24"/>
  <c r="U22" i="24"/>
  <c r="V22" i="24"/>
  <c r="W22" i="24"/>
  <c r="X22" i="24"/>
  <c r="Y22" i="24"/>
  <c r="Z22" i="24"/>
  <c r="AA22" i="24"/>
  <c r="AC22" i="24"/>
  <c r="AD22" i="24"/>
  <c r="Q22" i="24"/>
  <c r="AG43" i="24"/>
  <c r="AF43" i="24"/>
  <c r="AG21" i="24"/>
  <c r="AF21" i="24"/>
  <c r="AG41" i="24"/>
  <c r="AF41" i="24"/>
  <c r="Q43" i="24"/>
  <c r="R43" i="24"/>
  <c r="S43" i="24"/>
  <c r="T43" i="24"/>
  <c r="U43" i="24"/>
  <c r="V43" i="24"/>
  <c r="W43" i="24"/>
  <c r="X43" i="24"/>
  <c r="Y43" i="24"/>
  <c r="Z43" i="24"/>
  <c r="AA43" i="24"/>
  <c r="AB43" i="24"/>
  <c r="AC43" i="24"/>
  <c r="AD43" i="24"/>
  <c r="P43" i="24"/>
  <c r="F180" i="53" l="1"/>
  <c r="G180" i="53"/>
  <c r="F181" i="53"/>
  <c r="G181" i="53"/>
  <c r="F182" i="53"/>
  <c r="G182" i="53"/>
  <c r="F183" i="53"/>
  <c r="G183" i="53"/>
  <c r="F184" i="53"/>
  <c r="G184" i="53"/>
  <c r="F185" i="53"/>
  <c r="G185" i="53"/>
  <c r="F186" i="53"/>
  <c r="G186" i="53"/>
  <c r="F187" i="53"/>
  <c r="G187" i="53"/>
  <c r="F188" i="53"/>
  <c r="G188" i="53"/>
  <c r="F189" i="53"/>
  <c r="G189" i="53"/>
  <c r="F190" i="53"/>
  <c r="G190" i="53"/>
  <c r="G179" i="53"/>
  <c r="F179" i="53"/>
  <c r="F168" i="53"/>
  <c r="G168" i="53"/>
  <c r="F169" i="53"/>
  <c r="G169" i="53"/>
  <c r="F170" i="53"/>
  <c r="G170" i="53"/>
  <c r="F171" i="53"/>
  <c r="G171" i="53"/>
  <c r="F172" i="53"/>
  <c r="G172" i="53"/>
  <c r="F173" i="53"/>
  <c r="G173" i="53"/>
  <c r="F174" i="53"/>
  <c r="G174" i="53"/>
  <c r="F175" i="53"/>
  <c r="G175" i="53"/>
  <c r="F176" i="53"/>
  <c r="G176" i="53"/>
  <c r="F177" i="53"/>
  <c r="G177" i="53"/>
  <c r="F178" i="53"/>
  <c r="G178" i="53"/>
  <c r="G167" i="53"/>
  <c r="F167" i="53"/>
  <c r="Q204" i="53"/>
  <c r="E204" i="53"/>
  <c r="Q203" i="53"/>
  <c r="E203" i="53"/>
  <c r="Q202" i="53"/>
  <c r="E202" i="53"/>
  <c r="Q201" i="53"/>
  <c r="E201" i="53"/>
  <c r="Q200" i="53"/>
  <c r="E200" i="53"/>
  <c r="Q199" i="53"/>
  <c r="E199" i="53"/>
  <c r="Q198" i="53"/>
  <c r="E198" i="53"/>
  <c r="Q197" i="53"/>
  <c r="E197" i="53"/>
  <c r="Q196" i="53"/>
  <c r="E196" i="53"/>
  <c r="Q195" i="53"/>
  <c r="E195" i="53"/>
  <c r="Q194" i="53"/>
  <c r="E194" i="53"/>
  <c r="Q193" i="53"/>
  <c r="E193" i="53"/>
  <c r="Q192" i="53"/>
  <c r="E192" i="53"/>
  <c r="M190" i="53"/>
  <c r="L190" i="53"/>
  <c r="K190" i="53"/>
  <c r="J190" i="53"/>
  <c r="I190" i="53"/>
  <c r="C190" i="53"/>
  <c r="M189" i="53"/>
  <c r="L189" i="53"/>
  <c r="K189" i="53"/>
  <c r="J189" i="53"/>
  <c r="I189" i="53"/>
  <c r="C189" i="53"/>
  <c r="M188" i="53"/>
  <c r="L188" i="53"/>
  <c r="K188" i="53"/>
  <c r="J188" i="53"/>
  <c r="I188" i="53"/>
  <c r="C188" i="53"/>
  <c r="M187" i="53"/>
  <c r="L187" i="53"/>
  <c r="K187" i="53"/>
  <c r="J187" i="53"/>
  <c r="I187" i="53"/>
  <c r="C187" i="53"/>
  <c r="M186" i="53"/>
  <c r="L186" i="53"/>
  <c r="K186" i="53"/>
  <c r="J186" i="53"/>
  <c r="I186" i="53"/>
  <c r="C186" i="53"/>
  <c r="M185" i="53"/>
  <c r="L185" i="53"/>
  <c r="K185" i="53"/>
  <c r="J185" i="53"/>
  <c r="I185" i="53"/>
  <c r="C185" i="53"/>
  <c r="M184" i="53"/>
  <c r="L184" i="53"/>
  <c r="K184" i="53"/>
  <c r="J184" i="53"/>
  <c r="I184" i="53"/>
  <c r="C184" i="53"/>
  <c r="M183" i="53"/>
  <c r="L183" i="53"/>
  <c r="K183" i="53"/>
  <c r="J183" i="53"/>
  <c r="I183" i="53"/>
  <c r="C183" i="53"/>
  <c r="M182" i="53"/>
  <c r="L182" i="53"/>
  <c r="K182" i="53"/>
  <c r="J182" i="53"/>
  <c r="I182" i="53"/>
  <c r="C182" i="53"/>
  <c r="M181" i="53"/>
  <c r="L181" i="53"/>
  <c r="K181" i="53"/>
  <c r="J181" i="53"/>
  <c r="I181" i="53"/>
  <c r="C181" i="53"/>
  <c r="M180" i="53"/>
  <c r="L180" i="53"/>
  <c r="K180" i="53"/>
  <c r="J180" i="53"/>
  <c r="I180" i="53"/>
  <c r="C180" i="53"/>
  <c r="M179" i="53"/>
  <c r="L179" i="53"/>
  <c r="K179" i="53"/>
  <c r="J179" i="53"/>
  <c r="I179" i="53"/>
  <c r="C179" i="53"/>
  <c r="M178" i="53"/>
  <c r="L178" i="53"/>
  <c r="K178" i="53"/>
  <c r="J178" i="53"/>
  <c r="I178" i="53"/>
  <c r="C178" i="53"/>
  <c r="M177" i="53"/>
  <c r="L177" i="53"/>
  <c r="K177" i="53"/>
  <c r="J177" i="53"/>
  <c r="I177" i="53"/>
  <c r="C177" i="53"/>
  <c r="M176" i="53"/>
  <c r="L176" i="53"/>
  <c r="K176" i="53"/>
  <c r="J176" i="53"/>
  <c r="I176" i="53"/>
  <c r="C176" i="53"/>
  <c r="M175" i="53"/>
  <c r="L175" i="53"/>
  <c r="K175" i="53"/>
  <c r="J175" i="53"/>
  <c r="I175" i="53"/>
  <c r="C175" i="53"/>
  <c r="M174" i="53"/>
  <c r="L174" i="53"/>
  <c r="K174" i="53"/>
  <c r="J174" i="53"/>
  <c r="I174" i="53"/>
  <c r="C174" i="53"/>
  <c r="M173" i="53"/>
  <c r="L173" i="53"/>
  <c r="K173" i="53"/>
  <c r="J173" i="53"/>
  <c r="I173" i="53"/>
  <c r="C173" i="53"/>
  <c r="M172" i="53"/>
  <c r="L172" i="53"/>
  <c r="K172" i="53"/>
  <c r="J172" i="53"/>
  <c r="I172" i="53"/>
  <c r="C172" i="53"/>
  <c r="M171" i="53"/>
  <c r="L171" i="53"/>
  <c r="K171" i="53"/>
  <c r="J171" i="53"/>
  <c r="I171" i="53"/>
  <c r="C171" i="53"/>
  <c r="M170" i="53"/>
  <c r="L170" i="53"/>
  <c r="K170" i="53"/>
  <c r="J170" i="53"/>
  <c r="I170" i="53"/>
  <c r="C170" i="53"/>
  <c r="M169" i="53"/>
  <c r="L169" i="53"/>
  <c r="K169" i="53"/>
  <c r="J169" i="53"/>
  <c r="I169" i="53"/>
  <c r="C169" i="53"/>
  <c r="M168" i="53"/>
  <c r="L168" i="53"/>
  <c r="K168" i="53"/>
  <c r="J168" i="53"/>
  <c r="I168" i="53"/>
  <c r="C168" i="53"/>
  <c r="M167" i="53"/>
  <c r="L167" i="53"/>
  <c r="K167" i="53"/>
  <c r="J167" i="53"/>
  <c r="I167" i="53"/>
  <c r="C167" i="53"/>
  <c r="M166" i="53"/>
  <c r="L166" i="53"/>
  <c r="K166" i="53"/>
  <c r="J166" i="53"/>
  <c r="I166" i="53"/>
  <c r="C166" i="53"/>
  <c r="M165" i="53"/>
  <c r="L165" i="53"/>
  <c r="K165" i="53"/>
  <c r="J165" i="53"/>
  <c r="I165" i="53"/>
  <c r="C165" i="53"/>
  <c r="M164" i="53"/>
  <c r="L164" i="53"/>
  <c r="K164" i="53"/>
  <c r="J164" i="53"/>
  <c r="I164" i="53"/>
  <c r="C164" i="53"/>
  <c r="M163" i="53"/>
  <c r="L163" i="53"/>
  <c r="K163" i="53"/>
  <c r="J163" i="53"/>
  <c r="I163" i="53"/>
  <c r="C163" i="53"/>
  <c r="M162" i="53"/>
  <c r="L162" i="53"/>
  <c r="K162" i="53"/>
  <c r="J162" i="53"/>
  <c r="I162" i="53"/>
  <c r="C162" i="53"/>
  <c r="M161" i="53"/>
  <c r="L161" i="53"/>
  <c r="K161" i="53"/>
  <c r="J161" i="53"/>
  <c r="I161" i="53"/>
  <c r="C161" i="53"/>
  <c r="M160" i="53"/>
  <c r="L160" i="53"/>
  <c r="K160" i="53"/>
  <c r="J160" i="53"/>
  <c r="I160" i="53"/>
  <c r="C160" i="53"/>
  <c r="M159" i="53"/>
  <c r="L159" i="53"/>
  <c r="K159" i="53"/>
  <c r="J159" i="53"/>
  <c r="I159" i="53"/>
  <c r="C159" i="53"/>
  <c r="M158" i="53"/>
  <c r="L158" i="53"/>
  <c r="K158" i="53"/>
  <c r="J158" i="53"/>
  <c r="I158" i="53"/>
  <c r="C158" i="53"/>
  <c r="M157" i="53"/>
  <c r="L157" i="53"/>
  <c r="K157" i="53"/>
  <c r="J157" i="53"/>
  <c r="I157" i="53"/>
  <c r="C157" i="53"/>
  <c r="M156" i="53"/>
  <c r="L156" i="53"/>
  <c r="K156" i="53"/>
  <c r="J156" i="53"/>
  <c r="I156" i="53"/>
  <c r="C156" i="53"/>
  <c r="M155" i="53"/>
  <c r="L155" i="53"/>
  <c r="K155" i="53"/>
  <c r="J155" i="53"/>
  <c r="I155" i="53"/>
  <c r="C155" i="53"/>
  <c r="M154" i="53"/>
  <c r="L154" i="53"/>
  <c r="K154" i="53"/>
  <c r="J154" i="53"/>
  <c r="I154" i="53"/>
  <c r="C154" i="53"/>
  <c r="M153" i="53"/>
  <c r="L153" i="53"/>
  <c r="K153" i="53"/>
  <c r="J153" i="53"/>
  <c r="I153" i="53"/>
  <c r="C153" i="53"/>
  <c r="M152" i="53"/>
  <c r="L152" i="53"/>
  <c r="K152" i="53"/>
  <c r="J152" i="53"/>
  <c r="I152" i="53"/>
  <c r="C152" i="53"/>
  <c r="M151" i="53"/>
  <c r="L151" i="53"/>
  <c r="K151" i="53"/>
  <c r="J151" i="53"/>
  <c r="I151" i="53"/>
  <c r="C151" i="53"/>
  <c r="M150" i="53"/>
  <c r="L150" i="53"/>
  <c r="K150" i="53"/>
  <c r="J150" i="53"/>
  <c r="I150" i="53"/>
  <c r="C150" i="53"/>
  <c r="M149" i="53"/>
  <c r="L149" i="53"/>
  <c r="K149" i="53"/>
  <c r="J149" i="53"/>
  <c r="I149" i="53"/>
  <c r="C149" i="53"/>
  <c r="M148" i="53"/>
  <c r="L148" i="53"/>
  <c r="K148" i="53"/>
  <c r="J148" i="53"/>
  <c r="I148" i="53"/>
  <c r="C148" i="53"/>
  <c r="M147" i="53"/>
  <c r="L147" i="53"/>
  <c r="K147" i="53"/>
  <c r="J147" i="53"/>
  <c r="I147" i="53"/>
  <c r="C147" i="53"/>
  <c r="M146" i="53"/>
  <c r="L146" i="53"/>
  <c r="K146" i="53"/>
  <c r="J146" i="53"/>
  <c r="I146" i="53"/>
  <c r="C146" i="53"/>
  <c r="M145" i="53"/>
  <c r="L145" i="53"/>
  <c r="K145" i="53"/>
  <c r="J145" i="53"/>
  <c r="I145" i="53"/>
  <c r="C145" i="53"/>
  <c r="M144" i="53"/>
  <c r="L144" i="53"/>
  <c r="K144" i="53"/>
  <c r="J144" i="53"/>
  <c r="I144" i="53"/>
  <c r="C144" i="53"/>
  <c r="M143" i="53"/>
  <c r="L143" i="53"/>
  <c r="K143" i="53"/>
  <c r="J143" i="53"/>
  <c r="I143" i="53"/>
  <c r="C143" i="53"/>
  <c r="M142" i="53"/>
  <c r="L142" i="53"/>
  <c r="K142" i="53"/>
  <c r="J142" i="53"/>
  <c r="I142" i="53"/>
  <c r="C142" i="53"/>
  <c r="M141" i="53"/>
  <c r="L141" i="53"/>
  <c r="K141" i="53"/>
  <c r="J141" i="53"/>
  <c r="I141" i="53"/>
  <c r="C141" i="53"/>
  <c r="M140" i="53"/>
  <c r="L140" i="53"/>
  <c r="K140" i="53"/>
  <c r="J140" i="53"/>
  <c r="I140" i="53"/>
  <c r="C140" i="53"/>
  <c r="M139" i="53"/>
  <c r="L139" i="53"/>
  <c r="K139" i="53"/>
  <c r="J139" i="53"/>
  <c r="I139" i="53"/>
  <c r="C139" i="53"/>
  <c r="M138" i="53"/>
  <c r="L138" i="53"/>
  <c r="K138" i="53"/>
  <c r="J138" i="53"/>
  <c r="I138" i="53"/>
  <c r="C138" i="53"/>
  <c r="M137" i="53"/>
  <c r="L137" i="53"/>
  <c r="K137" i="53"/>
  <c r="J137" i="53"/>
  <c r="I137" i="53"/>
  <c r="C137" i="53"/>
  <c r="M136" i="53"/>
  <c r="L136" i="53"/>
  <c r="K136" i="53"/>
  <c r="J136" i="53"/>
  <c r="I136" i="53"/>
  <c r="C136" i="53"/>
  <c r="M135" i="53"/>
  <c r="L135" i="53"/>
  <c r="K135" i="53"/>
  <c r="J135" i="53"/>
  <c r="I135" i="53"/>
  <c r="C135" i="53"/>
  <c r="M134" i="53"/>
  <c r="L134" i="53"/>
  <c r="K134" i="53"/>
  <c r="J134" i="53"/>
  <c r="I134" i="53"/>
  <c r="C134" i="53"/>
  <c r="M133" i="53"/>
  <c r="L133" i="53"/>
  <c r="K133" i="53"/>
  <c r="J133" i="53"/>
  <c r="I133" i="53"/>
  <c r="C133" i="53"/>
  <c r="M132" i="53"/>
  <c r="L132" i="53"/>
  <c r="K132" i="53"/>
  <c r="J132" i="53"/>
  <c r="I132" i="53"/>
  <c r="C132" i="53"/>
  <c r="M131" i="53"/>
  <c r="L131" i="53"/>
  <c r="K131" i="53"/>
  <c r="J131" i="53"/>
  <c r="I131" i="53"/>
  <c r="C131" i="53"/>
  <c r="M130" i="53"/>
  <c r="L130" i="53"/>
  <c r="K130" i="53"/>
  <c r="J130" i="53"/>
  <c r="I130" i="53"/>
  <c r="C130" i="53"/>
  <c r="M129" i="53"/>
  <c r="L129" i="53"/>
  <c r="K129" i="53"/>
  <c r="J129" i="53"/>
  <c r="I129" i="53"/>
  <c r="C129" i="53"/>
  <c r="M128" i="53"/>
  <c r="L128" i="53"/>
  <c r="K128" i="53"/>
  <c r="J128" i="53"/>
  <c r="I128" i="53"/>
  <c r="C128" i="53"/>
  <c r="M127" i="53"/>
  <c r="L127" i="53"/>
  <c r="K127" i="53"/>
  <c r="J127" i="53"/>
  <c r="I127" i="53"/>
  <c r="C127" i="53"/>
  <c r="M126" i="53"/>
  <c r="L126" i="53"/>
  <c r="K126" i="53"/>
  <c r="J126" i="53"/>
  <c r="I126" i="53"/>
  <c r="C126" i="53"/>
  <c r="M125" i="53"/>
  <c r="L125" i="53"/>
  <c r="K125" i="53"/>
  <c r="J125" i="53"/>
  <c r="I125" i="53"/>
  <c r="C125" i="53"/>
  <c r="M124" i="53"/>
  <c r="L124" i="53"/>
  <c r="K124" i="53"/>
  <c r="J124" i="53"/>
  <c r="I124" i="53"/>
  <c r="C124" i="53"/>
  <c r="M123" i="53"/>
  <c r="L123" i="53"/>
  <c r="K123" i="53"/>
  <c r="J123" i="53"/>
  <c r="I123" i="53"/>
  <c r="C123" i="53"/>
  <c r="M122" i="53"/>
  <c r="L122" i="53"/>
  <c r="K122" i="53"/>
  <c r="J122" i="53"/>
  <c r="I122" i="53"/>
  <c r="C122" i="53"/>
  <c r="M121" i="53"/>
  <c r="L121" i="53"/>
  <c r="K121" i="53"/>
  <c r="J121" i="53"/>
  <c r="I121" i="53"/>
  <c r="C121" i="53"/>
  <c r="M120" i="53"/>
  <c r="L120" i="53"/>
  <c r="K120" i="53"/>
  <c r="J120" i="53"/>
  <c r="I120" i="53"/>
  <c r="C120" i="53"/>
  <c r="M119" i="53"/>
  <c r="L119" i="53"/>
  <c r="K119" i="53"/>
  <c r="J119" i="53"/>
  <c r="I119" i="53"/>
  <c r="C119" i="53"/>
  <c r="M118" i="53"/>
  <c r="L118" i="53"/>
  <c r="K118" i="53"/>
  <c r="J118" i="53"/>
  <c r="I118" i="53"/>
  <c r="C118" i="53"/>
  <c r="M117" i="53"/>
  <c r="L117" i="53"/>
  <c r="K117" i="53"/>
  <c r="J117" i="53"/>
  <c r="I117" i="53"/>
  <c r="C117" i="53"/>
  <c r="M116" i="53"/>
  <c r="L116" i="53"/>
  <c r="K116" i="53"/>
  <c r="J116" i="53"/>
  <c r="I116" i="53"/>
  <c r="C116" i="53"/>
  <c r="M115" i="53"/>
  <c r="L115" i="53"/>
  <c r="K115" i="53"/>
  <c r="J115" i="53"/>
  <c r="I115" i="53"/>
  <c r="C115" i="53"/>
  <c r="M114" i="53"/>
  <c r="L114" i="53"/>
  <c r="K114" i="53"/>
  <c r="J114" i="53"/>
  <c r="I114" i="53"/>
  <c r="C114" i="53"/>
  <c r="M113" i="53"/>
  <c r="L113" i="53"/>
  <c r="K113" i="53"/>
  <c r="J113" i="53"/>
  <c r="I113" i="53"/>
  <c r="C113" i="53"/>
  <c r="M112" i="53"/>
  <c r="L112" i="53"/>
  <c r="K112" i="53"/>
  <c r="J112" i="53"/>
  <c r="I112" i="53"/>
  <c r="C112" i="53"/>
  <c r="M111" i="53"/>
  <c r="L111" i="53"/>
  <c r="K111" i="53"/>
  <c r="J111" i="53"/>
  <c r="I111" i="53"/>
  <c r="C111" i="53"/>
  <c r="M110" i="53"/>
  <c r="L110" i="53"/>
  <c r="K110" i="53"/>
  <c r="J110" i="53"/>
  <c r="I110" i="53"/>
  <c r="C110" i="53"/>
  <c r="M109" i="53"/>
  <c r="L109" i="53"/>
  <c r="K109" i="53"/>
  <c r="J109" i="53"/>
  <c r="I109" i="53"/>
  <c r="C109" i="53"/>
  <c r="M108" i="53"/>
  <c r="L108" i="53"/>
  <c r="K108" i="53"/>
  <c r="J108" i="53"/>
  <c r="I108" i="53"/>
  <c r="C108" i="53"/>
  <c r="M107" i="53"/>
  <c r="L107" i="53"/>
  <c r="K107" i="53"/>
  <c r="J107" i="53"/>
  <c r="I107" i="53"/>
  <c r="C107" i="53"/>
  <c r="M106" i="53"/>
  <c r="L106" i="53"/>
  <c r="K106" i="53"/>
  <c r="J106" i="53"/>
  <c r="I106" i="53"/>
  <c r="C106" i="53"/>
  <c r="M105" i="53"/>
  <c r="L105" i="53"/>
  <c r="K105" i="53"/>
  <c r="J105" i="53"/>
  <c r="I105" i="53"/>
  <c r="C105" i="53"/>
  <c r="M104" i="53"/>
  <c r="L104" i="53"/>
  <c r="K104" i="53"/>
  <c r="J104" i="53"/>
  <c r="I104" i="53"/>
  <c r="C104" i="53"/>
  <c r="M103" i="53"/>
  <c r="L103" i="53"/>
  <c r="K103" i="53"/>
  <c r="J103" i="53"/>
  <c r="I103" i="53"/>
  <c r="C103" i="53"/>
  <c r="M102" i="53"/>
  <c r="L102" i="53"/>
  <c r="K102" i="53"/>
  <c r="J102" i="53"/>
  <c r="I102" i="53"/>
  <c r="C102" i="53"/>
  <c r="M101" i="53"/>
  <c r="L101" i="53"/>
  <c r="K101" i="53"/>
  <c r="J101" i="53"/>
  <c r="I101" i="53"/>
  <c r="C101" i="53"/>
  <c r="M100" i="53"/>
  <c r="L100" i="53"/>
  <c r="K100" i="53"/>
  <c r="J100" i="53"/>
  <c r="I100" i="53"/>
  <c r="C100" i="53"/>
  <c r="M99" i="53"/>
  <c r="L99" i="53"/>
  <c r="K99" i="53"/>
  <c r="J99" i="53"/>
  <c r="I99" i="53"/>
  <c r="C99" i="53"/>
  <c r="M98" i="53"/>
  <c r="L98" i="53"/>
  <c r="K98" i="53"/>
  <c r="J98" i="53"/>
  <c r="I98" i="53"/>
  <c r="C98" i="53"/>
  <c r="M97" i="53"/>
  <c r="L97" i="53"/>
  <c r="K97" i="53"/>
  <c r="J97" i="53"/>
  <c r="I97" i="53"/>
  <c r="C97" i="53"/>
  <c r="M96" i="53"/>
  <c r="L96" i="53"/>
  <c r="K96" i="53"/>
  <c r="J96" i="53"/>
  <c r="I96" i="53"/>
  <c r="C96" i="53"/>
  <c r="M95" i="53"/>
  <c r="L95" i="53"/>
  <c r="K95" i="53"/>
  <c r="J95" i="53"/>
  <c r="I95" i="53"/>
  <c r="C95" i="53"/>
  <c r="M94" i="53"/>
  <c r="L94" i="53"/>
  <c r="K94" i="53"/>
  <c r="J94" i="53"/>
  <c r="I94" i="53"/>
  <c r="C94" i="53"/>
  <c r="M93" i="53"/>
  <c r="L93" i="53"/>
  <c r="K93" i="53"/>
  <c r="J93" i="53"/>
  <c r="I93" i="53"/>
  <c r="C93" i="53"/>
  <c r="M92" i="53"/>
  <c r="L92" i="53"/>
  <c r="K92" i="53"/>
  <c r="J92" i="53"/>
  <c r="I92" i="53"/>
  <c r="C92" i="53"/>
  <c r="M91" i="53"/>
  <c r="L91" i="53"/>
  <c r="K91" i="53"/>
  <c r="J91" i="53"/>
  <c r="I91" i="53"/>
  <c r="C91" i="53"/>
  <c r="M90" i="53"/>
  <c r="L90" i="53"/>
  <c r="K90" i="53"/>
  <c r="J90" i="53"/>
  <c r="I90" i="53"/>
  <c r="C90" i="53"/>
  <c r="M89" i="53"/>
  <c r="L89" i="53"/>
  <c r="K89" i="53"/>
  <c r="J89" i="53"/>
  <c r="I89" i="53"/>
  <c r="C89" i="53"/>
  <c r="M88" i="53"/>
  <c r="L88" i="53"/>
  <c r="K88" i="53"/>
  <c r="J88" i="53"/>
  <c r="I88" i="53"/>
  <c r="C88" i="53"/>
  <c r="M87" i="53"/>
  <c r="L87" i="53"/>
  <c r="K87" i="53"/>
  <c r="J87" i="53"/>
  <c r="I87" i="53"/>
  <c r="C87" i="53"/>
  <c r="M86" i="53"/>
  <c r="L86" i="53"/>
  <c r="K86" i="53"/>
  <c r="J86" i="53"/>
  <c r="I86" i="53"/>
  <c r="C86" i="53"/>
  <c r="M85" i="53"/>
  <c r="L85" i="53"/>
  <c r="K85" i="53"/>
  <c r="J85" i="53"/>
  <c r="I85" i="53"/>
  <c r="C85" i="53"/>
  <c r="M84" i="53"/>
  <c r="L84" i="53"/>
  <c r="K84" i="53"/>
  <c r="J84" i="53"/>
  <c r="I84" i="53"/>
  <c r="C84" i="53"/>
  <c r="M83" i="53"/>
  <c r="L83" i="53"/>
  <c r="K83" i="53"/>
  <c r="J83" i="53"/>
  <c r="I83" i="53"/>
  <c r="C83" i="53"/>
  <c r="M82" i="53"/>
  <c r="L82" i="53"/>
  <c r="K82" i="53"/>
  <c r="J82" i="53"/>
  <c r="I82" i="53"/>
  <c r="C82" i="53"/>
  <c r="M81" i="53"/>
  <c r="L81" i="53"/>
  <c r="K81" i="53"/>
  <c r="J81" i="53"/>
  <c r="I81" i="53"/>
  <c r="C81" i="53"/>
  <c r="M80" i="53"/>
  <c r="L80" i="53"/>
  <c r="K80" i="53"/>
  <c r="J80" i="53"/>
  <c r="I80" i="53"/>
  <c r="C80" i="53"/>
  <c r="M79" i="53"/>
  <c r="L79" i="53"/>
  <c r="K79" i="53"/>
  <c r="J79" i="53"/>
  <c r="I79" i="53"/>
  <c r="C79" i="53"/>
  <c r="M78" i="53"/>
  <c r="L78" i="53"/>
  <c r="K78" i="53"/>
  <c r="J78" i="53"/>
  <c r="I78" i="53"/>
  <c r="C78" i="53"/>
  <c r="M77" i="53"/>
  <c r="L77" i="53"/>
  <c r="K77" i="53"/>
  <c r="J77" i="53"/>
  <c r="I77" i="53"/>
  <c r="C77" i="53"/>
  <c r="M76" i="53"/>
  <c r="L76" i="53"/>
  <c r="K76" i="53"/>
  <c r="J76" i="53"/>
  <c r="I76" i="53"/>
  <c r="C76" i="53"/>
  <c r="M75" i="53"/>
  <c r="L75" i="53"/>
  <c r="K75" i="53"/>
  <c r="J75" i="53"/>
  <c r="I75" i="53"/>
  <c r="C75" i="53"/>
  <c r="M74" i="53"/>
  <c r="L74" i="53"/>
  <c r="K74" i="53"/>
  <c r="J74" i="53"/>
  <c r="I74" i="53"/>
  <c r="C74" i="53"/>
  <c r="M73" i="53"/>
  <c r="L73" i="53"/>
  <c r="K73" i="53"/>
  <c r="J73" i="53"/>
  <c r="I73" i="53"/>
  <c r="C73" i="53"/>
  <c r="M72" i="53"/>
  <c r="L72" i="53"/>
  <c r="K72" i="53"/>
  <c r="J72" i="53"/>
  <c r="I72" i="53"/>
  <c r="C72" i="53"/>
  <c r="M71" i="53"/>
  <c r="L71" i="53"/>
  <c r="K71" i="53"/>
  <c r="J71" i="53"/>
  <c r="I71" i="53"/>
  <c r="C71" i="53"/>
  <c r="M70" i="53"/>
  <c r="L70" i="53"/>
  <c r="K70" i="53"/>
  <c r="J70" i="53"/>
  <c r="I70" i="53"/>
  <c r="C70" i="53"/>
  <c r="M69" i="53"/>
  <c r="L69" i="53"/>
  <c r="K69" i="53"/>
  <c r="J69" i="53"/>
  <c r="I69" i="53"/>
  <c r="C69" i="53"/>
  <c r="M68" i="53"/>
  <c r="L68" i="53"/>
  <c r="K68" i="53"/>
  <c r="J68" i="53"/>
  <c r="I68" i="53"/>
  <c r="C68" i="53"/>
  <c r="M67" i="53"/>
  <c r="L67" i="53"/>
  <c r="K67" i="53"/>
  <c r="J67" i="53"/>
  <c r="I67" i="53"/>
  <c r="C67" i="53"/>
  <c r="M66" i="53"/>
  <c r="L66" i="53"/>
  <c r="K66" i="53"/>
  <c r="J66" i="53"/>
  <c r="I66" i="53"/>
  <c r="C66" i="53"/>
  <c r="M65" i="53"/>
  <c r="L65" i="53"/>
  <c r="K65" i="53"/>
  <c r="J65" i="53"/>
  <c r="I65" i="53"/>
  <c r="C65" i="53"/>
  <c r="M64" i="53"/>
  <c r="L64" i="53"/>
  <c r="K64" i="53"/>
  <c r="J64" i="53"/>
  <c r="I64" i="53"/>
  <c r="C64" i="53"/>
  <c r="M63" i="53"/>
  <c r="L63" i="53"/>
  <c r="K63" i="53"/>
  <c r="J63" i="53"/>
  <c r="I63" i="53"/>
  <c r="C63" i="53"/>
  <c r="M62" i="53"/>
  <c r="L62" i="53"/>
  <c r="K62" i="53"/>
  <c r="J62" i="53"/>
  <c r="I62" i="53"/>
  <c r="C62" i="53"/>
  <c r="M61" i="53"/>
  <c r="L61" i="53"/>
  <c r="K61" i="53"/>
  <c r="J61" i="53"/>
  <c r="I61" i="53"/>
  <c r="C61" i="53"/>
  <c r="M60" i="53"/>
  <c r="L60" i="53"/>
  <c r="K60" i="53"/>
  <c r="J60" i="53"/>
  <c r="I60" i="53"/>
  <c r="C60" i="53"/>
  <c r="M59" i="53"/>
  <c r="L59" i="53"/>
  <c r="K59" i="53"/>
  <c r="J59" i="53"/>
  <c r="I59" i="53"/>
  <c r="C59" i="53"/>
  <c r="M58" i="53"/>
  <c r="L58" i="53"/>
  <c r="K58" i="53"/>
  <c r="J58" i="53"/>
  <c r="I58" i="53"/>
  <c r="C58" i="53"/>
  <c r="M57" i="53"/>
  <c r="L57" i="53"/>
  <c r="K57" i="53"/>
  <c r="J57" i="53"/>
  <c r="I57" i="53"/>
  <c r="C57" i="53"/>
  <c r="M56" i="53"/>
  <c r="L56" i="53"/>
  <c r="K56" i="53"/>
  <c r="J56" i="53"/>
  <c r="I56" i="53"/>
  <c r="C56" i="53"/>
  <c r="M55" i="53"/>
  <c r="L55" i="53"/>
  <c r="K55" i="53"/>
  <c r="J55" i="53"/>
  <c r="I55" i="53"/>
  <c r="C55" i="53"/>
  <c r="M54" i="53"/>
  <c r="L54" i="53"/>
  <c r="K54" i="53"/>
  <c r="J54" i="53"/>
  <c r="I54" i="53"/>
  <c r="C54" i="53"/>
  <c r="M53" i="53"/>
  <c r="L53" i="53"/>
  <c r="K53" i="53"/>
  <c r="J53" i="53"/>
  <c r="I53" i="53"/>
  <c r="C53" i="53"/>
  <c r="M52" i="53"/>
  <c r="L52" i="53"/>
  <c r="K52" i="53"/>
  <c r="J52" i="53"/>
  <c r="I52" i="53"/>
  <c r="C52" i="53"/>
  <c r="M51" i="53"/>
  <c r="L51" i="53"/>
  <c r="K51" i="53"/>
  <c r="J51" i="53"/>
  <c r="I51" i="53"/>
  <c r="C51" i="53"/>
  <c r="M50" i="53"/>
  <c r="L50" i="53"/>
  <c r="K50" i="53"/>
  <c r="J50" i="53"/>
  <c r="I50" i="53"/>
  <c r="C50" i="53"/>
  <c r="M49" i="53"/>
  <c r="L49" i="53"/>
  <c r="K49" i="53"/>
  <c r="J49" i="53"/>
  <c r="I49" i="53"/>
  <c r="C49" i="53"/>
  <c r="M48" i="53"/>
  <c r="L48" i="53"/>
  <c r="K48" i="53"/>
  <c r="J48" i="53"/>
  <c r="I48" i="53"/>
  <c r="C48" i="53"/>
  <c r="M47" i="53"/>
  <c r="L47" i="53"/>
  <c r="K47" i="53"/>
  <c r="J47" i="53"/>
  <c r="I47" i="53"/>
  <c r="C47" i="53"/>
  <c r="M46" i="53"/>
  <c r="L46" i="53"/>
  <c r="K46" i="53"/>
  <c r="J46" i="53"/>
  <c r="I46" i="53"/>
  <c r="C46" i="53"/>
  <c r="M45" i="53"/>
  <c r="L45" i="53"/>
  <c r="K45" i="53"/>
  <c r="J45" i="53"/>
  <c r="I45" i="53"/>
  <c r="C45" i="53"/>
  <c r="M44" i="53"/>
  <c r="L44" i="53"/>
  <c r="K44" i="53"/>
  <c r="J44" i="53"/>
  <c r="I44" i="53"/>
  <c r="C44" i="53"/>
  <c r="M43" i="53"/>
  <c r="L43" i="53"/>
  <c r="K43" i="53"/>
  <c r="J43" i="53"/>
  <c r="I43" i="53"/>
  <c r="C43" i="53"/>
  <c r="M42" i="53"/>
  <c r="L42" i="53"/>
  <c r="K42" i="53"/>
  <c r="J42" i="53"/>
  <c r="I42" i="53"/>
  <c r="C42" i="53"/>
  <c r="M41" i="53"/>
  <c r="L41" i="53"/>
  <c r="K41" i="53"/>
  <c r="J41" i="53"/>
  <c r="I41" i="53"/>
  <c r="C41" i="53"/>
  <c r="M40" i="53"/>
  <c r="L40" i="53"/>
  <c r="K40" i="53"/>
  <c r="J40" i="53"/>
  <c r="C40" i="53"/>
  <c r="M39" i="53"/>
  <c r="L39" i="53"/>
  <c r="K39" i="53"/>
  <c r="J39" i="53"/>
  <c r="C39" i="53"/>
  <c r="M38" i="53"/>
  <c r="L38" i="53"/>
  <c r="K38" i="53"/>
  <c r="J38" i="53"/>
  <c r="C38" i="53"/>
  <c r="M37" i="53"/>
  <c r="L37" i="53"/>
  <c r="K37" i="53"/>
  <c r="J37" i="53"/>
  <c r="C37" i="53"/>
  <c r="M36" i="53"/>
  <c r="L36" i="53"/>
  <c r="K36" i="53"/>
  <c r="J36" i="53"/>
  <c r="C36" i="53"/>
  <c r="M35" i="53"/>
  <c r="L35" i="53"/>
  <c r="K35" i="53"/>
  <c r="J35" i="53"/>
  <c r="C35" i="53"/>
  <c r="K17" i="53"/>
  <c r="K16" i="53"/>
  <c r="K15" i="53"/>
  <c r="K14" i="53"/>
  <c r="K13" i="53"/>
  <c r="K12" i="53"/>
  <c r="K11" i="53"/>
  <c r="K10" i="53"/>
  <c r="K9" i="53"/>
  <c r="K8" i="53"/>
  <c r="K7" i="53"/>
  <c r="F6" i="52" l="1"/>
  <c r="Q193" i="47"/>
  <c r="Q194" i="47"/>
  <c r="Q195" i="47"/>
  <c r="Q196" i="47"/>
  <c r="Q197" i="47"/>
  <c r="Q198" i="47"/>
  <c r="Q199" i="47"/>
  <c r="Q200" i="47"/>
  <c r="Q201" i="47"/>
  <c r="Q202" i="47"/>
  <c r="Q203" i="47"/>
  <c r="Q204" i="47"/>
  <c r="Q192" i="47"/>
  <c r="D176" i="28"/>
  <c r="D175" i="28"/>
  <c r="D174" i="28"/>
  <c r="D173" i="28"/>
  <c r="D172" i="28"/>
  <c r="D171" i="28"/>
  <c r="D170" i="28"/>
  <c r="D169" i="28"/>
  <c r="D168" i="28"/>
  <c r="D167" i="28"/>
  <c r="D166" i="28"/>
  <c r="D165" i="28"/>
  <c r="D164" i="28"/>
  <c r="D163" i="28"/>
  <c r="D162" i="28"/>
  <c r="D161" i="28"/>
  <c r="D160" i="28"/>
  <c r="D159" i="28"/>
  <c r="D158" i="28"/>
  <c r="D157" i="28"/>
  <c r="D156" i="28"/>
  <c r="D155" i="28"/>
  <c r="D154" i="28"/>
  <c r="D153" i="28"/>
  <c r="D152" i="28"/>
  <c r="D151" i="28"/>
  <c r="D150" i="28"/>
  <c r="D149" i="28"/>
  <c r="D148" i="28"/>
  <c r="D147" i="28"/>
  <c r="D146" i="28"/>
  <c r="D145" i="28"/>
  <c r="D144" i="28"/>
  <c r="D143" i="28"/>
  <c r="D142" i="28"/>
  <c r="D141" i="28"/>
  <c r="D140" i="28"/>
  <c r="D139" i="28"/>
  <c r="D138" i="28"/>
  <c r="D137" i="28"/>
  <c r="D136" i="28"/>
  <c r="D135" i="28"/>
  <c r="D134" i="28"/>
  <c r="D133" i="28"/>
  <c r="D132" i="28"/>
  <c r="D131" i="28"/>
  <c r="D130" i="28"/>
  <c r="D129" i="28"/>
  <c r="D128" i="28"/>
  <c r="D127" i="28"/>
  <c r="D126" i="28"/>
  <c r="D125" i="28"/>
  <c r="D124" i="28"/>
  <c r="D123" i="28"/>
  <c r="D122" i="28"/>
  <c r="D121" i="28"/>
  <c r="D120" i="28"/>
  <c r="D119" i="28"/>
  <c r="D118" i="28"/>
  <c r="D117" i="28"/>
  <c r="D116" i="28"/>
  <c r="D115" i="28"/>
  <c r="D114" i="28"/>
  <c r="D113" i="28"/>
  <c r="D112" i="28"/>
  <c r="D111" i="28"/>
  <c r="D110" i="28"/>
  <c r="D109" i="28"/>
  <c r="D108" i="28"/>
  <c r="D107" i="28"/>
  <c r="D106" i="28"/>
  <c r="D105" i="28"/>
  <c r="D104" i="28"/>
  <c r="D103" i="28"/>
  <c r="D102" i="28"/>
  <c r="D101" i="28"/>
  <c r="D100" i="28"/>
  <c r="D99" i="28"/>
  <c r="D98" i="28"/>
  <c r="D97" i="28"/>
  <c r="D96" i="28"/>
  <c r="D95" i="28"/>
  <c r="D94" i="28"/>
  <c r="D93" i="28"/>
  <c r="D92" i="28"/>
  <c r="D91" i="28"/>
  <c r="D90" i="28"/>
  <c r="D89" i="28"/>
  <c r="D88" i="28"/>
  <c r="D87" i="28"/>
  <c r="D86" i="28"/>
  <c r="D85" i="28"/>
  <c r="D84" i="28"/>
  <c r="D83" i="28"/>
  <c r="D82" i="28"/>
  <c r="D81" i="28"/>
  <c r="D80" i="28"/>
  <c r="D79" i="28"/>
  <c r="D78" i="28"/>
  <c r="D77" i="28"/>
  <c r="D76" i="28"/>
  <c r="D75" i="28"/>
  <c r="D74" i="28"/>
  <c r="D73" i="28"/>
  <c r="D72" i="28"/>
  <c r="D71" i="28"/>
  <c r="D70" i="28"/>
  <c r="D69" i="28"/>
  <c r="D68" i="28"/>
  <c r="D67" i="28"/>
  <c r="D66" i="28"/>
  <c r="D65" i="28"/>
  <c r="D64" i="28"/>
  <c r="D63" i="28"/>
  <c r="D62" i="28"/>
  <c r="D61" i="28"/>
  <c r="D60" i="28"/>
  <c r="D59" i="28"/>
  <c r="D58" i="28"/>
  <c r="D57" i="28"/>
  <c r="D56" i="28"/>
  <c r="D55" i="28"/>
  <c r="D54" i="28"/>
  <c r="D53" i="28"/>
  <c r="D52" i="28"/>
  <c r="D51" i="28"/>
  <c r="D50" i="28"/>
  <c r="D49" i="28"/>
  <c r="D48" i="28"/>
  <c r="D47" i="28"/>
  <c r="D46" i="28"/>
  <c r="D45" i="28"/>
  <c r="D44" i="28"/>
  <c r="D43" i="28"/>
  <c r="D42" i="28"/>
  <c r="D41" i="28"/>
  <c r="D40" i="28"/>
  <c r="D39" i="28"/>
  <c r="D38" i="28"/>
  <c r="D37" i="28"/>
  <c r="D36" i="28"/>
  <c r="D35" i="28"/>
  <c r="D34" i="28"/>
  <c r="D33" i="28"/>
  <c r="D32" i="28"/>
  <c r="D31" i="28"/>
  <c r="D30" i="28"/>
  <c r="D29" i="28"/>
  <c r="D28" i="28"/>
  <c r="D27" i="28"/>
  <c r="D26" i="28"/>
  <c r="D25" i="28"/>
  <c r="D24" i="28"/>
  <c r="D23" i="28"/>
  <c r="D22" i="28"/>
  <c r="D21" i="28"/>
  <c r="C36" i="47" l="1"/>
  <c r="C37" i="47"/>
  <c r="C38" i="47"/>
  <c r="C39" i="47"/>
  <c r="C40" i="47"/>
  <c r="C41" i="47"/>
  <c r="C42" i="47"/>
  <c r="C43" i="47"/>
  <c r="C44" i="47"/>
  <c r="C45" i="47"/>
  <c r="C46" i="47"/>
  <c r="C47" i="47"/>
  <c r="C48" i="47"/>
  <c r="C49" i="47"/>
  <c r="C50" i="47"/>
  <c r="C51" i="47"/>
  <c r="C52" i="47"/>
  <c r="C53" i="47"/>
  <c r="C54" i="47"/>
  <c r="C55" i="47"/>
  <c r="C56" i="47"/>
  <c r="C57" i="47"/>
  <c r="C58" i="47"/>
  <c r="C59" i="47"/>
  <c r="C60" i="47"/>
  <c r="C61" i="47"/>
  <c r="C62" i="47"/>
  <c r="C63" i="47"/>
  <c r="C64" i="47"/>
  <c r="C65" i="47"/>
  <c r="C66" i="47"/>
  <c r="C67" i="47"/>
  <c r="C68" i="47"/>
  <c r="C69" i="47"/>
  <c r="C70" i="47"/>
  <c r="C71" i="47"/>
  <c r="C72" i="47"/>
  <c r="C73" i="47"/>
  <c r="C74" i="47"/>
  <c r="C75" i="47"/>
  <c r="C76" i="47"/>
  <c r="C77" i="47"/>
  <c r="C78" i="47"/>
  <c r="C79" i="47"/>
  <c r="C80" i="47"/>
  <c r="C81" i="47"/>
  <c r="C82" i="47"/>
  <c r="C83" i="47"/>
  <c r="C84" i="47"/>
  <c r="C85" i="47"/>
  <c r="C86" i="47"/>
  <c r="C87" i="47"/>
  <c r="C88" i="47"/>
  <c r="C89" i="47"/>
  <c r="C90" i="47"/>
  <c r="C91" i="47"/>
  <c r="C92" i="47"/>
  <c r="C93" i="47"/>
  <c r="C94" i="47"/>
  <c r="C95" i="47"/>
  <c r="C96" i="47"/>
  <c r="C97" i="47"/>
  <c r="C98" i="47"/>
  <c r="C99" i="47"/>
  <c r="C100" i="47"/>
  <c r="C101" i="47"/>
  <c r="C102" i="47"/>
  <c r="C103" i="47"/>
  <c r="C104" i="47"/>
  <c r="C105" i="47"/>
  <c r="C106" i="47"/>
  <c r="C107" i="47"/>
  <c r="C108" i="47"/>
  <c r="C109" i="47"/>
  <c r="C110" i="47"/>
  <c r="C111" i="47"/>
  <c r="C112" i="47"/>
  <c r="C113" i="47"/>
  <c r="C114" i="47"/>
  <c r="C115" i="47"/>
  <c r="C116" i="47"/>
  <c r="C117" i="47"/>
  <c r="C118" i="47"/>
  <c r="C119" i="47"/>
  <c r="C120" i="47"/>
  <c r="C121" i="47"/>
  <c r="C122" i="47"/>
  <c r="C123" i="47"/>
  <c r="C124" i="47"/>
  <c r="C125" i="47"/>
  <c r="C126" i="47"/>
  <c r="C127" i="47"/>
  <c r="C128" i="47"/>
  <c r="C129" i="47"/>
  <c r="C130" i="47"/>
  <c r="C131" i="47"/>
  <c r="C132" i="47"/>
  <c r="C133" i="47"/>
  <c r="C134" i="47"/>
  <c r="C135" i="47"/>
  <c r="C136" i="47"/>
  <c r="C137" i="47"/>
  <c r="C138" i="47"/>
  <c r="C139" i="47"/>
  <c r="C140" i="47"/>
  <c r="C141" i="47"/>
  <c r="C142" i="47"/>
  <c r="C143" i="47"/>
  <c r="C144" i="47"/>
  <c r="C145" i="47"/>
  <c r="C146" i="47"/>
  <c r="C147" i="47"/>
  <c r="C148" i="47"/>
  <c r="C149" i="47"/>
  <c r="C150" i="47"/>
  <c r="C151" i="47"/>
  <c r="C152" i="47"/>
  <c r="C153" i="47"/>
  <c r="C154" i="47"/>
  <c r="C155" i="47"/>
  <c r="C156" i="47"/>
  <c r="C157" i="47"/>
  <c r="C158" i="47"/>
  <c r="C159" i="47"/>
  <c r="C160" i="47"/>
  <c r="C161" i="47"/>
  <c r="C162" i="47"/>
  <c r="C163" i="47"/>
  <c r="C164" i="47"/>
  <c r="C165" i="47"/>
  <c r="C166" i="47"/>
  <c r="C167" i="47"/>
  <c r="C168" i="47"/>
  <c r="C169" i="47"/>
  <c r="C170" i="47"/>
  <c r="C171" i="47"/>
  <c r="C172" i="47"/>
  <c r="C173" i="47"/>
  <c r="C174" i="47"/>
  <c r="C175" i="47"/>
  <c r="C176" i="47"/>
  <c r="C177" i="47"/>
  <c r="C178" i="47"/>
  <c r="C179" i="47"/>
  <c r="C180" i="47"/>
  <c r="C181" i="47"/>
  <c r="C182" i="47"/>
  <c r="C183" i="47"/>
  <c r="C184" i="47"/>
  <c r="C185" i="47"/>
  <c r="C186" i="47"/>
  <c r="C187" i="47"/>
  <c r="C188" i="47"/>
  <c r="C189" i="47"/>
  <c r="C190" i="47"/>
  <c r="C35" i="47"/>
  <c r="T14" i="28"/>
  <c r="Y10" i="28"/>
  <c r="Y12" i="28"/>
  <c r="Y5" i="28"/>
  <c r="Y14" i="28"/>
  <c r="Y11" i="28"/>
  <c r="Y4" i="28"/>
  <c r="Y13" i="28"/>
  <c r="Y6" i="28"/>
  <c r="Y7" i="28"/>
  <c r="Y8" i="28"/>
  <c r="Y9" i="28"/>
  <c r="Y3" i="28"/>
  <c r="B11" i="28" l="1"/>
  <c r="C11" i="28"/>
  <c r="D11" i="28" s="1"/>
  <c r="H11" i="28" s="1"/>
  <c r="B12" i="28"/>
  <c r="C12" i="28"/>
  <c r="D12" i="28" s="1"/>
  <c r="H12" i="28" s="1"/>
  <c r="B13" i="28"/>
  <c r="C13" i="28"/>
  <c r="D13" i="28" s="1"/>
  <c r="H13" i="28" s="1"/>
  <c r="B14" i="28"/>
  <c r="C14" i="28"/>
  <c r="D14" i="28" s="1"/>
  <c r="H14" i="28" s="1"/>
  <c r="B15" i="28"/>
  <c r="C15" i="28"/>
  <c r="D15" i="28" s="1"/>
  <c r="H15" i="28" s="1"/>
  <c r="C4" i="28"/>
  <c r="C5" i="28"/>
  <c r="C6" i="28"/>
  <c r="C7" i="28"/>
  <c r="C8" i="28"/>
  <c r="C9" i="28"/>
  <c r="C10" i="28"/>
  <c r="C3" i="28"/>
  <c r="D3" i="28" s="1"/>
  <c r="B4" i="28"/>
  <c r="B5" i="28"/>
  <c r="B6" i="28"/>
  <c r="B7" i="28"/>
  <c r="B8" i="28"/>
  <c r="B9" i="28"/>
  <c r="B10" i="28"/>
  <c r="B3" i="28"/>
  <c r="X37" i="51"/>
  <c r="Y37" i="51" s="1"/>
  <c r="X38" i="51"/>
  <c r="Y38" i="51"/>
  <c r="Z38" i="51" s="1"/>
  <c r="L50" i="51"/>
  <c r="M50" i="51"/>
  <c r="N50" i="51"/>
  <c r="O50" i="51"/>
  <c r="P50" i="51"/>
  <c r="Q50" i="51"/>
  <c r="R50" i="51"/>
  <c r="S50" i="51"/>
  <c r="T50" i="51"/>
  <c r="U50" i="51"/>
  <c r="V50" i="51"/>
  <c r="W50" i="51"/>
  <c r="K50" i="51"/>
  <c r="L48" i="51"/>
  <c r="M48" i="51"/>
  <c r="N48" i="51"/>
  <c r="O48" i="51"/>
  <c r="P48" i="51"/>
  <c r="Q48" i="51"/>
  <c r="R48" i="51"/>
  <c r="S48" i="51"/>
  <c r="T48" i="51"/>
  <c r="U48" i="51"/>
  <c r="V48" i="51"/>
  <c r="W48" i="51"/>
  <c r="K48" i="51"/>
  <c r="L45" i="51"/>
  <c r="L46" i="51" s="1"/>
  <c r="M45" i="51"/>
  <c r="M46" i="51" s="1"/>
  <c r="N45" i="51"/>
  <c r="N46" i="51" s="1"/>
  <c r="O45" i="51"/>
  <c r="O46" i="51" s="1"/>
  <c r="P45" i="51"/>
  <c r="P46" i="51" s="1"/>
  <c r="Q45" i="51"/>
  <c r="Q46" i="51" s="1"/>
  <c r="R45" i="51"/>
  <c r="S45" i="51"/>
  <c r="T45" i="51"/>
  <c r="T46" i="51" s="1"/>
  <c r="U45" i="51"/>
  <c r="U46" i="51" s="1"/>
  <c r="V45" i="51"/>
  <c r="V46" i="51" s="1"/>
  <c r="W45" i="51"/>
  <c r="W46" i="51" s="1"/>
  <c r="R46" i="51"/>
  <c r="S46" i="51"/>
  <c r="K46" i="51"/>
  <c r="K45" i="51"/>
  <c r="L43" i="51"/>
  <c r="M43" i="51"/>
  <c r="N43" i="51"/>
  <c r="O43" i="51"/>
  <c r="P43" i="51"/>
  <c r="Q43" i="51"/>
  <c r="R43" i="51"/>
  <c r="S43" i="51"/>
  <c r="T43" i="51"/>
  <c r="U43" i="51"/>
  <c r="V43" i="51"/>
  <c r="W43" i="51"/>
  <c r="X43" i="51"/>
  <c r="X48" i="51" s="1"/>
  <c r="X50" i="51" s="1"/>
  <c r="Y43" i="51"/>
  <c r="Y48" i="51" s="1"/>
  <c r="Z43" i="51"/>
  <c r="Z48" i="51" s="1"/>
  <c r="K43" i="51"/>
  <c r="L41" i="51"/>
  <c r="M41" i="51"/>
  <c r="N41" i="51"/>
  <c r="O41" i="51"/>
  <c r="P41" i="51"/>
  <c r="Q41" i="51"/>
  <c r="R41" i="51"/>
  <c r="S41" i="51"/>
  <c r="T41" i="51"/>
  <c r="U41" i="51"/>
  <c r="V41" i="51"/>
  <c r="W41" i="51"/>
  <c r="X41" i="51"/>
  <c r="K41" i="51"/>
  <c r="W38" i="51"/>
  <c r="W37" i="51"/>
  <c r="L39" i="51"/>
  <c r="M39" i="51"/>
  <c r="N39" i="51"/>
  <c r="O39" i="51"/>
  <c r="P39" i="51"/>
  <c r="Q39" i="51"/>
  <c r="R39" i="51"/>
  <c r="S39" i="51"/>
  <c r="T39" i="51"/>
  <c r="U39" i="51"/>
  <c r="V39" i="51"/>
  <c r="W39" i="51"/>
  <c r="X39" i="51"/>
  <c r="K39" i="51"/>
  <c r="I26" i="49"/>
  <c r="I27" i="49"/>
  <c r="I28" i="49"/>
  <c r="I29" i="49"/>
  <c r="I30" i="49"/>
  <c r="I31" i="49"/>
  <c r="I25" i="49"/>
  <c r="L42" i="49"/>
  <c r="K34" i="49"/>
  <c r="L34" i="49"/>
  <c r="B153" i="28" l="1"/>
  <c r="C153" i="28"/>
  <c r="C129" i="28"/>
  <c r="B129" i="28"/>
  <c r="C141" i="28"/>
  <c r="B141" i="28"/>
  <c r="C117" i="28"/>
  <c r="B117" i="28"/>
  <c r="C165" i="28"/>
  <c r="B165" i="28"/>
  <c r="E3" i="28"/>
  <c r="G3" i="28" s="1"/>
  <c r="H3" i="28"/>
  <c r="E13" i="28"/>
  <c r="E15" i="28"/>
  <c r="E14" i="28"/>
  <c r="E11" i="28"/>
  <c r="E12" i="28"/>
  <c r="Y39" i="51"/>
  <c r="Y41" i="51"/>
  <c r="Y45" i="51" s="1"/>
  <c r="Y46" i="51" s="1"/>
  <c r="Z37" i="51"/>
  <c r="X45" i="51"/>
  <c r="X46" i="51" s="1"/>
  <c r="B118" i="28" l="1"/>
  <c r="E117" i="28"/>
  <c r="B142" i="28"/>
  <c r="E141" i="28"/>
  <c r="B130" i="28"/>
  <c r="E129" i="28"/>
  <c r="B166" i="28"/>
  <c r="E165" i="28"/>
  <c r="B154" i="28"/>
  <c r="E153" i="28"/>
  <c r="B21" i="28"/>
  <c r="C21" i="28"/>
  <c r="Y50" i="51"/>
  <c r="Z39" i="51"/>
  <c r="Z41" i="51"/>
  <c r="E130" i="28" l="1"/>
  <c r="B131" i="28"/>
  <c r="B167" i="28"/>
  <c r="E166" i="28"/>
  <c r="B143" i="28"/>
  <c r="E142" i="28"/>
  <c r="B155" i="28"/>
  <c r="E154" i="28"/>
  <c r="E118" i="28"/>
  <c r="B119" i="28"/>
  <c r="E21" i="28"/>
  <c r="B22" i="28"/>
  <c r="B23" i="28" s="1"/>
  <c r="B24" i="28" s="1"/>
  <c r="B25" i="28" s="1"/>
  <c r="B26" i="28" s="1"/>
  <c r="B27" i="28" s="1"/>
  <c r="B28" i="28" s="1"/>
  <c r="B29" i="28" s="1"/>
  <c r="B30" i="28" s="1"/>
  <c r="B31" i="28" s="1"/>
  <c r="B32" i="28" s="1"/>
  <c r="Z45" i="51"/>
  <c r="Z46" i="51" s="1"/>
  <c r="Z50" i="51"/>
  <c r="E143" i="28" l="1"/>
  <c r="B144" i="28"/>
  <c r="B156" i="28"/>
  <c r="E155" i="28"/>
  <c r="E167" i="28"/>
  <c r="B168" i="28"/>
  <c r="E131" i="28"/>
  <c r="B132" i="28"/>
  <c r="B120" i="28"/>
  <c r="E119" i="28"/>
  <c r="B133" i="28" l="1"/>
  <c r="E132" i="28"/>
  <c r="E156" i="28"/>
  <c r="B157" i="28"/>
  <c r="B145" i="28"/>
  <c r="E144" i="28"/>
  <c r="E168" i="28"/>
  <c r="B169" i="28"/>
  <c r="E120" i="28"/>
  <c r="B121" i="28"/>
  <c r="B170" i="28" l="1"/>
  <c r="E169" i="28"/>
  <c r="B158" i="28"/>
  <c r="E157" i="28"/>
  <c r="B146" i="28"/>
  <c r="E145" i="28"/>
  <c r="B122" i="28"/>
  <c r="E121" i="28"/>
  <c r="B134" i="28"/>
  <c r="E133" i="28"/>
  <c r="E122" i="28" l="1"/>
  <c r="B123" i="28"/>
  <c r="B159" i="28"/>
  <c r="E158" i="28"/>
  <c r="B147" i="28"/>
  <c r="E146" i="28"/>
  <c r="B135" i="28"/>
  <c r="E134" i="28"/>
  <c r="B171" i="28"/>
  <c r="E170" i="28"/>
  <c r="E147" i="28" l="1"/>
  <c r="B148" i="28"/>
  <c r="B160" i="28"/>
  <c r="E159" i="28"/>
  <c r="B124" i="28"/>
  <c r="E123" i="28"/>
  <c r="E135" i="28"/>
  <c r="B136" i="28"/>
  <c r="B172" i="28"/>
  <c r="E171" i="28"/>
  <c r="B125" i="28" l="1"/>
  <c r="E124" i="28"/>
  <c r="B137" i="28"/>
  <c r="E136" i="28"/>
  <c r="E160" i="28"/>
  <c r="B161" i="28"/>
  <c r="B149" i="28"/>
  <c r="E148" i="28"/>
  <c r="E172" i="28"/>
  <c r="B173" i="28"/>
  <c r="E149" i="28" l="1"/>
  <c r="B150" i="28"/>
  <c r="B138" i="28"/>
  <c r="E137" i="28"/>
  <c r="B162" i="28"/>
  <c r="E161" i="28"/>
  <c r="E173" i="28"/>
  <c r="B174" i="28"/>
  <c r="B126" i="28"/>
  <c r="E125" i="28"/>
  <c r="U18" i="29"/>
  <c r="E162" i="28" l="1"/>
  <c r="B163" i="28"/>
  <c r="B151" i="28"/>
  <c r="E150" i="28"/>
  <c r="B139" i="28"/>
  <c r="E138" i="28"/>
  <c r="E126" i="28"/>
  <c r="B127" i="28"/>
  <c r="B175" i="28"/>
  <c r="E174" i="28"/>
  <c r="T15" i="29"/>
  <c r="AD15" i="29"/>
  <c r="AE15" i="29"/>
  <c r="M42" i="49"/>
  <c r="N42" i="49"/>
  <c r="O42" i="49"/>
  <c r="P42" i="49"/>
  <c r="Q42" i="49"/>
  <c r="R42" i="49"/>
  <c r="S42" i="49"/>
  <c r="T42" i="49"/>
  <c r="U42" i="49"/>
  <c r="V42" i="49"/>
  <c r="W42" i="49"/>
  <c r="X42" i="49"/>
  <c r="Y42" i="49"/>
  <c r="M34" i="49"/>
  <c r="N34" i="49"/>
  <c r="O34" i="49"/>
  <c r="P34" i="49"/>
  <c r="Q34" i="49"/>
  <c r="R34" i="49"/>
  <c r="S34" i="49"/>
  <c r="T34" i="49"/>
  <c r="U34" i="49"/>
  <c r="V34" i="49"/>
  <c r="W34" i="49"/>
  <c r="X34" i="49"/>
  <c r="Y34" i="49"/>
  <c r="Z34" i="49"/>
  <c r="D17" i="50"/>
  <c r="E17" i="50"/>
  <c r="F17" i="50"/>
  <c r="G17" i="50"/>
  <c r="H17" i="50"/>
  <c r="I17" i="50"/>
  <c r="J17" i="50"/>
  <c r="K17" i="50"/>
  <c r="L17" i="50"/>
  <c r="M17" i="50"/>
  <c r="C17" i="50"/>
  <c r="D15" i="50"/>
  <c r="E15" i="50"/>
  <c r="F15" i="50"/>
  <c r="G15" i="50"/>
  <c r="H15" i="50"/>
  <c r="I15" i="50"/>
  <c r="J15" i="50"/>
  <c r="K15" i="50"/>
  <c r="L15" i="50"/>
  <c r="M15" i="50"/>
  <c r="C15" i="50"/>
  <c r="C12" i="50"/>
  <c r="D12" i="50"/>
  <c r="E12" i="50"/>
  <c r="F12" i="50"/>
  <c r="G12" i="50"/>
  <c r="H12" i="50"/>
  <c r="I12" i="50"/>
  <c r="J12" i="50"/>
  <c r="K12" i="50"/>
  <c r="L12" i="50"/>
  <c r="M12" i="50"/>
  <c r="D8" i="50"/>
  <c r="E8" i="50"/>
  <c r="F8" i="50"/>
  <c r="G8" i="50"/>
  <c r="H8" i="50"/>
  <c r="I8" i="50"/>
  <c r="J8" i="50"/>
  <c r="K8" i="50"/>
  <c r="L8" i="50"/>
  <c r="M8" i="50"/>
  <c r="C8" i="50"/>
  <c r="E151" i="28" l="1"/>
  <c r="B152" i="28"/>
  <c r="E152" i="28" s="1"/>
  <c r="B140" i="28"/>
  <c r="E139" i="28"/>
  <c r="E163" i="28"/>
  <c r="B164" i="28"/>
  <c r="B128" i="28"/>
  <c r="E128" i="28" s="1"/>
  <c r="E127" i="28"/>
  <c r="E175" i="28"/>
  <c r="B176" i="28"/>
  <c r="E176" i="28" s="1"/>
  <c r="C152" i="28"/>
  <c r="C176" i="28"/>
  <c r="F12" i="28"/>
  <c r="G13" i="28" s="1"/>
  <c r="N35" i="48"/>
  <c r="J20" i="48"/>
  <c r="I20" i="48"/>
  <c r="H20" i="48"/>
  <c r="G20" i="48"/>
  <c r="F20" i="48"/>
  <c r="E20" i="48"/>
  <c r="D20" i="48"/>
  <c r="C20" i="48"/>
  <c r="B20" i="48"/>
  <c r="K19" i="48"/>
  <c r="K18" i="48"/>
  <c r="N17" i="48"/>
  <c r="O17" i="48" s="1"/>
  <c r="K17" i="48"/>
  <c r="K16" i="48"/>
  <c r="Z15" i="48"/>
  <c r="K15" i="48"/>
  <c r="K14" i="48"/>
  <c r="K13" i="48"/>
  <c r="N12" i="48"/>
  <c r="O12" i="48" s="1"/>
  <c r="K12" i="48"/>
  <c r="K11" i="48"/>
  <c r="O10" i="48"/>
  <c r="K10" i="48"/>
  <c r="N10" i="48" s="1"/>
  <c r="K9" i="48"/>
  <c r="K8" i="48"/>
  <c r="K7" i="48"/>
  <c r="K6" i="48"/>
  <c r="K5" i="48"/>
  <c r="N4" i="48"/>
  <c r="O4" i="48" s="1"/>
  <c r="P4" i="48" s="1"/>
  <c r="Q4" i="48" s="1"/>
  <c r="L4" i="48"/>
  <c r="M4" i="48" s="1"/>
  <c r="L24" i="48" s="1"/>
  <c r="K4" i="48"/>
  <c r="C128" i="28" l="1"/>
  <c r="E140" i="28"/>
  <c r="C140" i="28"/>
  <c r="E164" i="28"/>
  <c r="C164" i="28"/>
  <c r="F15" i="28"/>
  <c r="F14" i="28"/>
  <c r="G15" i="28" s="1"/>
  <c r="F11" i="28"/>
  <c r="G12" i="28" s="1"/>
  <c r="F13" i="28"/>
  <c r="G14" i="28" s="1"/>
  <c r="O24" i="48"/>
  <c r="O25" i="48"/>
  <c r="O26" i="48" s="1"/>
  <c r="O27" i="48" s="1"/>
  <c r="O28" i="48" s="1"/>
  <c r="O29" i="48" s="1"/>
  <c r="O30" i="48" s="1"/>
  <c r="O31" i="48" s="1"/>
  <c r="O32" i="48" s="1"/>
  <c r="O33" i="48" s="1"/>
  <c r="O34" i="48" s="1"/>
  <c r="O35" i="48" s="1"/>
  <c r="Q35" i="48" s="1"/>
  <c r="N15" i="48"/>
  <c r="O7" i="48"/>
  <c r="N6" i="48"/>
  <c r="N14" i="48"/>
  <c r="O14" i="48" s="1"/>
  <c r="N16" i="48"/>
  <c r="L25" i="48"/>
  <c r="L26" i="48" s="1"/>
  <c r="L27" i="48" s="1"/>
  <c r="L28" i="48" s="1"/>
  <c r="L29" i="48" s="1"/>
  <c r="L30" i="48" s="1"/>
  <c r="L31" i="48" s="1"/>
  <c r="L32" i="48" s="1"/>
  <c r="L33" i="48" s="1"/>
  <c r="L34" i="48" s="1"/>
  <c r="L35" i="48" s="1"/>
  <c r="O19" i="48"/>
  <c r="N18" i="48"/>
  <c r="O18" i="48" s="1"/>
  <c r="O6" i="48"/>
  <c r="K20" i="48"/>
  <c r="N5" i="48"/>
  <c r="O5" i="48" s="1"/>
  <c r="N13" i="48"/>
  <c r="O13" i="48" s="1"/>
  <c r="O16" i="48"/>
  <c r="N19" i="48"/>
  <c r="N7" i="48"/>
  <c r="O15" i="48"/>
  <c r="N11" i="48"/>
  <c r="O11" i="48" s="1"/>
  <c r="N8" i="48"/>
  <c r="O8" i="48" s="1"/>
  <c r="N9" i="48"/>
  <c r="O9" i="48" s="1"/>
  <c r="L5" i="48" l="1"/>
  <c r="M5" i="48" s="1"/>
  <c r="L36" i="48" s="1"/>
  <c r="P5" i="48"/>
  <c r="Q5" i="48" s="1"/>
  <c r="P35" i="48"/>
  <c r="V4" i="48" s="1"/>
  <c r="W4" i="48" s="1"/>
  <c r="M35" i="48"/>
  <c r="S4" i="48" s="1"/>
  <c r="T4" i="48" s="1"/>
  <c r="L37" i="48" l="1"/>
  <c r="L38" i="48" s="1"/>
  <c r="L39" i="48" s="1"/>
  <c r="L40" i="48" s="1"/>
  <c r="L41" i="48" s="1"/>
  <c r="L42" i="48" s="1"/>
  <c r="L43" i="48" s="1"/>
  <c r="L44" i="48" s="1"/>
  <c r="L45" i="48" s="1"/>
  <c r="L46" i="48" s="1"/>
  <c r="L47" i="48" s="1"/>
  <c r="O36" i="48"/>
  <c r="O37" i="48"/>
  <c r="O38" i="48" s="1"/>
  <c r="O39" i="48" s="1"/>
  <c r="O40" i="48" s="1"/>
  <c r="O41" i="48" s="1"/>
  <c r="O42" i="48" s="1"/>
  <c r="O43" i="48" s="1"/>
  <c r="O44" i="48" s="1"/>
  <c r="O45" i="48" s="1"/>
  <c r="O46" i="48" s="1"/>
  <c r="O47" i="48" s="1"/>
  <c r="Q47" i="48" s="1"/>
  <c r="P6" i="48" s="1"/>
  <c r="Q6" i="48" s="1"/>
  <c r="O48" i="48" l="1"/>
  <c r="O49" i="48"/>
  <c r="N47" i="48"/>
  <c r="L6" i="48" s="1"/>
  <c r="M6" i="48" s="1"/>
  <c r="L48" i="48" s="1"/>
  <c r="M47" i="48"/>
  <c r="S5" i="48" s="1"/>
  <c r="T5" i="48" s="1"/>
  <c r="P47" i="48"/>
  <c r="V5" i="48" s="1"/>
  <c r="W5" i="48" s="1"/>
  <c r="L49" i="48" l="1"/>
  <c r="L50" i="48" s="1"/>
  <c r="L51" i="48" s="1"/>
  <c r="L52" i="48" s="1"/>
  <c r="L53" i="48" s="1"/>
  <c r="L54" i="48" s="1"/>
  <c r="L55" i="48" s="1"/>
  <c r="L56" i="48" s="1"/>
  <c r="L57" i="48" s="1"/>
  <c r="L58" i="48" s="1"/>
  <c r="L59" i="48" s="1"/>
  <c r="M59" i="48"/>
  <c r="S6" i="48" s="1"/>
  <c r="T6" i="48" s="1"/>
  <c r="O50" i="48"/>
  <c r="O51" i="48" s="1"/>
  <c r="O52" i="48" s="1"/>
  <c r="O53" i="48" s="1"/>
  <c r="O54" i="48" s="1"/>
  <c r="O55" i="48" s="1"/>
  <c r="O56" i="48" s="1"/>
  <c r="O57" i="48" s="1"/>
  <c r="O58" i="48" s="1"/>
  <c r="O59" i="48" s="1"/>
  <c r="Q59" i="48" s="1"/>
  <c r="P7" i="48" s="1"/>
  <c r="Q7" i="48" s="1"/>
  <c r="O60" i="48" l="1"/>
  <c r="O61" i="48"/>
  <c r="O62" i="48" s="1"/>
  <c r="O63" i="48" s="1"/>
  <c r="O64" i="48" s="1"/>
  <c r="O65" i="48" s="1"/>
  <c r="O66" i="48" s="1"/>
  <c r="O67" i="48" s="1"/>
  <c r="O68" i="48" s="1"/>
  <c r="O69" i="48" s="1"/>
  <c r="O70" i="48" s="1"/>
  <c r="O71" i="48" s="1"/>
  <c r="Q71" i="48" s="1"/>
  <c r="P8" i="48" s="1"/>
  <c r="Q8" i="48" s="1"/>
  <c r="P59" i="48"/>
  <c r="V6" i="48" s="1"/>
  <c r="W6" i="48" s="1"/>
  <c r="N59" i="48"/>
  <c r="L7" i="48" s="1"/>
  <c r="M7" i="48" s="1"/>
  <c r="L60" i="48" s="1"/>
  <c r="L61" i="48" l="1"/>
  <c r="L62" i="48" s="1"/>
  <c r="L63" i="48" s="1"/>
  <c r="L64" i="48" s="1"/>
  <c r="L65" i="48" s="1"/>
  <c r="L66" i="48" s="1"/>
  <c r="L67" i="48" s="1"/>
  <c r="L68" i="48" s="1"/>
  <c r="L69" i="48" s="1"/>
  <c r="L70" i="48" s="1"/>
  <c r="L71" i="48" s="1"/>
  <c r="O72" i="48"/>
  <c r="O73" i="48"/>
  <c r="O74" i="48" s="1"/>
  <c r="O75" i="48" s="1"/>
  <c r="O76" i="48" s="1"/>
  <c r="O77" i="48" s="1"/>
  <c r="O78" i="48" s="1"/>
  <c r="O79" i="48" s="1"/>
  <c r="O80" i="48" s="1"/>
  <c r="O81" i="48" s="1"/>
  <c r="O82" i="48" s="1"/>
  <c r="O83" i="48" s="1"/>
  <c r="Q83" i="48" s="1"/>
  <c r="P9" i="48" s="1"/>
  <c r="Q9" i="48" s="1"/>
  <c r="P71" i="48"/>
  <c r="V7" i="48" s="1"/>
  <c r="W7" i="48" s="1"/>
  <c r="O84" i="48" l="1"/>
  <c r="P83" i="48"/>
  <c r="V8" i="48" s="1"/>
  <c r="W8" i="48" s="1"/>
  <c r="N71" i="48"/>
  <c r="L8" i="48" s="1"/>
  <c r="M8" i="48" s="1"/>
  <c r="L72" i="48" s="1"/>
  <c r="M71" i="48"/>
  <c r="S7" i="48" s="1"/>
  <c r="T7" i="48" s="1"/>
  <c r="L73" i="48" l="1"/>
  <c r="L74" i="48" s="1"/>
  <c r="L75" i="48" s="1"/>
  <c r="L76" i="48" s="1"/>
  <c r="L77" i="48" s="1"/>
  <c r="L78" i="48" s="1"/>
  <c r="L79" i="48" s="1"/>
  <c r="L80" i="48" s="1"/>
  <c r="L81" i="48" s="1"/>
  <c r="L82" i="48" s="1"/>
  <c r="L83" i="48" s="1"/>
  <c r="M83" i="48"/>
  <c r="S8" i="48" s="1"/>
  <c r="T8" i="48" s="1"/>
  <c r="O85" i="48"/>
  <c r="O86" i="48" s="1"/>
  <c r="O87" i="48" s="1"/>
  <c r="O88" i="48" s="1"/>
  <c r="O89" i="48" s="1"/>
  <c r="O90" i="48" s="1"/>
  <c r="O91" i="48" s="1"/>
  <c r="O92" i="48" s="1"/>
  <c r="O93" i="48" s="1"/>
  <c r="O94" i="48" s="1"/>
  <c r="O95" i="48" s="1"/>
  <c r="Q95" i="48" s="1"/>
  <c r="P10" i="48" s="1"/>
  <c r="Q10" i="48" s="1"/>
  <c r="O96" i="48" l="1"/>
  <c r="P95" i="48"/>
  <c r="V9" i="48" s="1"/>
  <c r="W9" i="48" s="1"/>
  <c r="N83" i="48"/>
  <c r="L9" i="48" s="1"/>
  <c r="M9" i="48" s="1"/>
  <c r="L84" i="48" s="1"/>
  <c r="L85" i="48" l="1"/>
  <c r="L86" i="48" s="1"/>
  <c r="L87" i="48" s="1"/>
  <c r="L88" i="48" s="1"/>
  <c r="L89" i="48" s="1"/>
  <c r="L90" i="48" s="1"/>
  <c r="L91" i="48" s="1"/>
  <c r="L92" i="48" s="1"/>
  <c r="L93" i="48" s="1"/>
  <c r="L94" i="48" s="1"/>
  <c r="L95" i="48" s="1"/>
  <c r="O97" i="48"/>
  <c r="O98" i="48" s="1"/>
  <c r="O99" i="48" s="1"/>
  <c r="O100" i="48" s="1"/>
  <c r="O101" i="48" s="1"/>
  <c r="O102" i="48" s="1"/>
  <c r="O103" i="48" s="1"/>
  <c r="O104" i="48" s="1"/>
  <c r="O105" i="48" s="1"/>
  <c r="O106" i="48" s="1"/>
  <c r="O107" i="48" s="1"/>
  <c r="Q107" i="48" s="1"/>
  <c r="P11" i="48" s="1"/>
  <c r="Q11" i="48" s="1"/>
  <c r="N95" i="48" l="1"/>
  <c r="L10" i="48" s="1"/>
  <c r="M10" i="48" s="1"/>
  <c r="L96" i="48"/>
  <c r="O108" i="48"/>
  <c r="O109" i="48"/>
  <c r="O110" i="48" s="1"/>
  <c r="O111" i="48" s="1"/>
  <c r="O112" i="48" s="1"/>
  <c r="O113" i="48" s="1"/>
  <c r="O114" i="48" s="1"/>
  <c r="O115" i="48" s="1"/>
  <c r="O116" i="48" s="1"/>
  <c r="O117" i="48" s="1"/>
  <c r="O118" i="48" s="1"/>
  <c r="O119" i="48" s="1"/>
  <c r="Q119" i="48" s="1"/>
  <c r="P12" i="48" s="1"/>
  <c r="Q12" i="48" s="1"/>
  <c r="P107" i="48"/>
  <c r="V10" i="48" s="1"/>
  <c r="W10" i="48" s="1"/>
  <c r="M95" i="48"/>
  <c r="S9" i="48" s="1"/>
  <c r="T9" i="48" s="1"/>
  <c r="O120" i="48" l="1"/>
  <c r="P119" i="48"/>
  <c r="V11" i="48" s="1"/>
  <c r="W11" i="48" s="1"/>
  <c r="L97" i="48"/>
  <c r="L98" i="48" s="1"/>
  <c r="L99" i="48" s="1"/>
  <c r="L100" i="48" s="1"/>
  <c r="L101" i="48" s="1"/>
  <c r="L102" i="48" s="1"/>
  <c r="L103" i="48" s="1"/>
  <c r="L104" i="48" s="1"/>
  <c r="L105" i="48" s="1"/>
  <c r="L106" i="48" s="1"/>
  <c r="L107" i="48" s="1"/>
  <c r="M107" i="48" l="1"/>
  <c r="S10" i="48" s="1"/>
  <c r="T10" i="48" s="1"/>
  <c r="N107" i="48"/>
  <c r="L11" i="48" s="1"/>
  <c r="M11" i="48" s="1"/>
  <c r="L108" i="48" s="1"/>
  <c r="O121" i="48"/>
  <c r="O122" i="48" s="1"/>
  <c r="O123" i="48" s="1"/>
  <c r="O124" i="48" s="1"/>
  <c r="O125" i="48" s="1"/>
  <c r="O126" i="48" s="1"/>
  <c r="O127" i="48" s="1"/>
  <c r="O128" i="48" s="1"/>
  <c r="O129" i="48" s="1"/>
  <c r="O130" i="48" s="1"/>
  <c r="O131" i="48" s="1"/>
  <c r="Q131" i="48" s="1"/>
  <c r="P13" i="48" s="1"/>
  <c r="Q13" i="48" s="1"/>
  <c r="L109" i="48" l="1"/>
  <c r="L110" i="48" s="1"/>
  <c r="L111" i="48" s="1"/>
  <c r="L112" i="48" s="1"/>
  <c r="L113" i="48" s="1"/>
  <c r="L114" i="48" s="1"/>
  <c r="L115" i="48" s="1"/>
  <c r="L116" i="48" s="1"/>
  <c r="L117" i="48" s="1"/>
  <c r="L118" i="48" s="1"/>
  <c r="L119" i="48" s="1"/>
  <c r="O132" i="48"/>
  <c r="O133" i="48"/>
  <c r="O134" i="48" s="1"/>
  <c r="O135" i="48" s="1"/>
  <c r="O136" i="48" s="1"/>
  <c r="O137" i="48" s="1"/>
  <c r="O138" i="48" s="1"/>
  <c r="O139" i="48" s="1"/>
  <c r="O140" i="48" s="1"/>
  <c r="O141" i="48" s="1"/>
  <c r="O142" i="48" s="1"/>
  <c r="O143" i="48" s="1"/>
  <c r="Q143" i="48" s="1"/>
  <c r="P14" i="48" s="1"/>
  <c r="Q14" i="48" s="1"/>
  <c r="P131" i="48"/>
  <c r="V12" i="48" s="1"/>
  <c r="W12" i="48" s="1"/>
  <c r="O145" i="48" l="1"/>
  <c r="O146" i="48" s="1"/>
  <c r="O147" i="48" s="1"/>
  <c r="O148" i="48" s="1"/>
  <c r="O149" i="48" s="1"/>
  <c r="O150" i="48" s="1"/>
  <c r="O151" i="48" s="1"/>
  <c r="O152" i="48" s="1"/>
  <c r="O153" i="48" s="1"/>
  <c r="O154" i="48" s="1"/>
  <c r="O155" i="48" s="1"/>
  <c r="Q155" i="48" s="1"/>
  <c r="P15" i="48" s="1"/>
  <c r="Q15" i="48" s="1"/>
  <c r="O144" i="48"/>
  <c r="P143" i="48"/>
  <c r="V13" i="48" s="1"/>
  <c r="W13" i="48" s="1"/>
  <c r="M119" i="48"/>
  <c r="S11" i="48" s="1"/>
  <c r="T11" i="48" s="1"/>
  <c r="N119" i="48"/>
  <c r="L12" i="48" s="1"/>
  <c r="M12" i="48" s="1"/>
  <c r="L120" i="48" s="1"/>
  <c r="L121" i="48" l="1"/>
  <c r="L122" i="48" s="1"/>
  <c r="L123" i="48" s="1"/>
  <c r="L124" i="48" s="1"/>
  <c r="L125" i="48" s="1"/>
  <c r="L126" i="48" s="1"/>
  <c r="L127" i="48" s="1"/>
  <c r="L128" i="48" s="1"/>
  <c r="L129" i="48" s="1"/>
  <c r="L130" i="48" s="1"/>
  <c r="L131" i="48" s="1"/>
  <c r="O156" i="48"/>
  <c r="O157" i="48"/>
  <c r="O158" i="48" s="1"/>
  <c r="O159" i="48" s="1"/>
  <c r="O160" i="48" s="1"/>
  <c r="O161" i="48" s="1"/>
  <c r="O162" i="48" s="1"/>
  <c r="O163" i="48" s="1"/>
  <c r="O164" i="48" s="1"/>
  <c r="O165" i="48" s="1"/>
  <c r="O166" i="48" s="1"/>
  <c r="O167" i="48" s="1"/>
  <c r="Q167" i="48" s="1"/>
  <c r="P16" i="48" s="1"/>
  <c r="Q16" i="48" s="1"/>
  <c r="P155" i="48"/>
  <c r="V14" i="48" s="1"/>
  <c r="W14" i="48" s="1"/>
  <c r="O168" i="48" l="1"/>
  <c r="O169" i="48"/>
  <c r="O170" i="48" s="1"/>
  <c r="O171" i="48" s="1"/>
  <c r="O172" i="48" s="1"/>
  <c r="O173" i="48" s="1"/>
  <c r="O174" i="48" s="1"/>
  <c r="O175" i="48" s="1"/>
  <c r="O176" i="48" s="1"/>
  <c r="O177" i="48" s="1"/>
  <c r="O178" i="48" s="1"/>
  <c r="O179" i="48" s="1"/>
  <c r="Q179" i="48" s="1"/>
  <c r="P17" i="48" s="1"/>
  <c r="Q17" i="48" s="1"/>
  <c r="P167" i="48"/>
  <c r="V15" i="48" s="1"/>
  <c r="W15" i="48" s="1"/>
  <c r="M131" i="48"/>
  <c r="S12" i="48" s="1"/>
  <c r="T12" i="48" s="1"/>
  <c r="N131" i="48"/>
  <c r="L13" i="48" s="1"/>
  <c r="M13" i="48" s="1"/>
  <c r="L132" i="48" s="1"/>
  <c r="L133" i="48" l="1"/>
  <c r="L134" i="48" s="1"/>
  <c r="L135" i="48" s="1"/>
  <c r="L136" i="48" s="1"/>
  <c r="L137" i="48" s="1"/>
  <c r="L138" i="48" s="1"/>
  <c r="L139" i="48" s="1"/>
  <c r="L140" i="48" s="1"/>
  <c r="L141" i="48" s="1"/>
  <c r="L142" i="48" s="1"/>
  <c r="L143" i="48" s="1"/>
  <c r="O180" i="48"/>
  <c r="P179" i="48"/>
  <c r="V16" i="48" s="1"/>
  <c r="W16" i="48" s="1"/>
  <c r="N143" i="48" l="1"/>
  <c r="L14" i="48" s="1"/>
  <c r="M14" i="48" s="1"/>
  <c r="L144" i="48"/>
  <c r="O181" i="48"/>
  <c r="O182" i="48" s="1"/>
  <c r="O183" i="48" s="1"/>
  <c r="O184" i="48" s="1"/>
  <c r="O185" i="48" s="1"/>
  <c r="O186" i="48" s="1"/>
  <c r="O187" i="48" s="1"/>
  <c r="O188" i="48" s="1"/>
  <c r="O189" i="48" s="1"/>
  <c r="O190" i="48" s="1"/>
  <c r="O191" i="48" s="1"/>
  <c r="Q191" i="48" s="1"/>
  <c r="P18" i="48" s="1"/>
  <c r="Q18" i="48" s="1"/>
  <c r="M143" i="48"/>
  <c r="S13" i="48" s="1"/>
  <c r="T13" i="48" s="1"/>
  <c r="L145" i="48" l="1"/>
  <c r="L146" i="48" s="1"/>
  <c r="L147" i="48" s="1"/>
  <c r="L148" i="48" s="1"/>
  <c r="L149" i="48" s="1"/>
  <c r="L150" i="48" s="1"/>
  <c r="L151" i="48" s="1"/>
  <c r="L152" i="48" s="1"/>
  <c r="L153" i="48" s="1"/>
  <c r="L154" i="48" s="1"/>
  <c r="L155" i="48" s="1"/>
  <c r="O192" i="48"/>
  <c r="O193" i="48"/>
  <c r="O194" i="48" s="1"/>
  <c r="O195" i="48" s="1"/>
  <c r="O196" i="48" s="1"/>
  <c r="O197" i="48" s="1"/>
  <c r="O198" i="48" s="1"/>
  <c r="O199" i="48" s="1"/>
  <c r="O200" i="48" s="1"/>
  <c r="O201" i="48" s="1"/>
  <c r="O202" i="48" s="1"/>
  <c r="O203" i="48" s="1"/>
  <c r="Q203" i="48" s="1"/>
  <c r="P19" i="48" s="1"/>
  <c r="Q19" i="48" s="1"/>
  <c r="P191" i="48"/>
  <c r="V17" i="48" s="1"/>
  <c r="W17" i="48" s="1"/>
  <c r="O204" i="48" l="1"/>
  <c r="M155" i="48"/>
  <c r="S14" i="48" s="1"/>
  <c r="T14" i="48" s="1"/>
  <c r="P203" i="48"/>
  <c r="V18" i="48" s="1"/>
  <c r="W18" i="48" s="1"/>
  <c r="N155" i="48"/>
  <c r="L15" i="48" s="1"/>
  <c r="M15" i="48" s="1"/>
  <c r="L156" i="48" s="1"/>
  <c r="L157" i="48" l="1"/>
  <c r="L158" i="48" s="1"/>
  <c r="L159" i="48" s="1"/>
  <c r="L160" i="48" s="1"/>
  <c r="L161" i="48" s="1"/>
  <c r="L162" i="48" s="1"/>
  <c r="L163" i="48" s="1"/>
  <c r="L164" i="48" s="1"/>
  <c r="L165" i="48" s="1"/>
  <c r="L166" i="48" s="1"/>
  <c r="L167" i="48" s="1"/>
  <c r="O205" i="48"/>
  <c r="O206" i="48" s="1"/>
  <c r="O207" i="48" s="1"/>
  <c r="O208" i="48" s="1"/>
  <c r="O209" i="48" s="1"/>
  <c r="O210" i="48" s="1"/>
  <c r="O211" i="48" s="1"/>
  <c r="O212" i="48" s="1"/>
  <c r="O213" i="48" s="1"/>
  <c r="O214" i="48" s="1"/>
  <c r="O215" i="48" s="1"/>
  <c r="Q215" i="48" l="1"/>
  <c r="O216" i="48"/>
  <c r="P215" i="48"/>
  <c r="V19" i="48" s="1"/>
  <c r="W19" i="48" s="1"/>
  <c r="N167" i="48"/>
  <c r="L16" i="48" s="1"/>
  <c r="M16" i="48" s="1"/>
  <c r="L168" i="48" s="1"/>
  <c r="M167" i="48"/>
  <c r="S15" i="48" s="1"/>
  <c r="T15" i="48" s="1"/>
  <c r="L169" i="48" l="1"/>
  <c r="L170" i="48" s="1"/>
  <c r="L171" i="48" s="1"/>
  <c r="L172" i="48" s="1"/>
  <c r="L173" i="48" s="1"/>
  <c r="L174" i="48" s="1"/>
  <c r="L175" i="48" s="1"/>
  <c r="L176" i="48" s="1"/>
  <c r="L177" i="48" s="1"/>
  <c r="L178" i="48" s="1"/>
  <c r="L179" i="48" s="1"/>
  <c r="M179" i="48" l="1"/>
  <c r="S16" i="48" s="1"/>
  <c r="T16" i="48" s="1"/>
  <c r="N179" i="48"/>
  <c r="L17" i="48" s="1"/>
  <c r="M17" i="48" s="1"/>
  <c r="L180" i="48" s="1"/>
  <c r="L181" i="48" l="1"/>
  <c r="L182" i="48" s="1"/>
  <c r="L183" i="48" s="1"/>
  <c r="L184" i="48" s="1"/>
  <c r="L185" i="48" s="1"/>
  <c r="L186" i="48" s="1"/>
  <c r="L187" i="48" s="1"/>
  <c r="L188" i="48" s="1"/>
  <c r="L189" i="48" s="1"/>
  <c r="L190" i="48" s="1"/>
  <c r="L191" i="48" s="1"/>
  <c r="N191" i="48" l="1"/>
  <c r="L18" i="48" s="1"/>
  <c r="M18" i="48" s="1"/>
  <c r="L192" i="48"/>
  <c r="M191" i="48"/>
  <c r="S17" i="48" s="1"/>
  <c r="T17" i="48" s="1"/>
  <c r="L193" i="48" l="1"/>
  <c r="L194" i="48" s="1"/>
  <c r="L195" i="48" s="1"/>
  <c r="L196" i="48" s="1"/>
  <c r="L197" i="48" s="1"/>
  <c r="L198" i="48" s="1"/>
  <c r="L199" i="48" s="1"/>
  <c r="L200" i="48" s="1"/>
  <c r="L201" i="48" s="1"/>
  <c r="L202" i="48" s="1"/>
  <c r="L203" i="48" s="1"/>
  <c r="M203" i="48" l="1"/>
  <c r="S18" i="48" s="1"/>
  <c r="T18" i="48" s="1"/>
  <c r="N203" i="48"/>
  <c r="L19" i="48" s="1"/>
  <c r="M19" i="48" s="1"/>
  <c r="L204" i="48" s="1"/>
  <c r="L205" i="48" l="1"/>
  <c r="L206" i="48" s="1"/>
  <c r="L207" i="48" s="1"/>
  <c r="L208" i="48" s="1"/>
  <c r="L209" i="48" s="1"/>
  <c r="L210" i="48" s="1"/>
  <c r="L211" i="48" s="1"/>
  <c r="L212" i="48" s="1"/>
  <c r="L213" i="48" s="1"/>
  <c r="L214" i="48" s="1"/>
  <c r="L215" i="48" s="1"/>
  <c r="M215" i="48"/>
  <c r="S19" i="48" s="1"/>
  <c r="T19" i="48" s="1"/>
  <c r="N215" i="48" l="1"/>
  <c r="L216" i="48"/>
  <c r="AF35" i="24" l="1"/>
  <c r="K8" i="47" l="1"/>
  <c r="K9" i="47"/>
  <c r="K10" i="47"/>
  <c r="K11" i="47"/>
  <c r="K12" i="47"/>
  <c r="K13" i="47"/>
  <c r="K14" i="47"/>
  <c r="K15" i="47"/>
  <c r="K16" i="47"/>
  <c r="K17" i="47"/>
  <c r="K7" i="47"/>
  <c r="AG29" i="24"/>
  <c r="AG30" i="24"/>
  <c r="AG31" i="24"/>
  <c r="AG32" i="24"/>
  <c r="AG33" i="24"/>
  <c r="AG34" i="24"/>
  <c r="AG35" i="24"/>
  <c r="AG36" i="24"/>
  <c r="AG37" i="24"/>
  <c r="AG38" i="24"/>
  <c r="AG39" i="24"/>
  <c r="AG28" i="24"/>
  <c r="AF28" i="24"/>
  <c r="AF29" i="24"/>
  <c r="AF30" i="24"/>
  <c r="AF31" i="24"/>
  <c r="AF32" i="24"/>
  <c r="AF34" i="24"/>
  <c r="AF36" i="24"/>
  <c r="AF37" i="24"/>
  <c r="AF38" i="24"/>
  <c r="AF39" i="24"/>
  <c r="AF33" i="24"/>
  <c r="J36" i="47" l="1"/>
  <c r="J37" i="47"/>
  <c r="J38" i="47"/>
  <c r="J39" i="47"/>
  <c r="J40" i="47"/>
  <c r="J41" i="47"/>
  <c r="J42" i="47"/>
  <c r="J43" i="47"/>
  <c r="J44" i="47"/>
  <c r="J45" i="47"/>
  <c r="J46" i="47"/>
  <c r="J47" i="47"/>
  <c r="J48" i="47"/>
  <c r="J49" i="47"/>
  <c r="J50" i="47"/>
  <c r="J51" i="47"/>
  <c r="J52" i="47"/>
  <c r="J53" i="47"/>
  <c r="J54" i="47"/>
  <c r="J55" i="47"/>
  <c r="J56" i="47"/>
  <c r="J57" i="47"/>
  <c r="J58" i="47"/>
  <c r="J59" i="47"/>
  <c r="J60" i="47"/>
  <c r="J61" i="47"/>
  <c r="J62" i="47"/>
  <c r="J63" i="47"/>
  <c r="J64" i="47"/>
  <c r="J65" i="47"/>
  <c r="J66" i="47"/>
  <c r="J67" i="47"/>
  <c r="J68" i="47"/>
  <c r="J69" i="47"/>
  <c r="J70" i="47"/>
  <c r="J71" i="47"/>
  <c r="J72" i="47"/>
  <c r="J73" i="47"/>
  <c r="J74" i="47"/>
  <c r="J75" i="47"/>
  <c r="J76" i="47"/>
  <c r="J77" i="47"/>
  <c r="J78" i="47"/>
  <c r="J79" i="47"/>
  <c r="J80" i="47"/>
  <c r="J81" i="47"/>
  <c r="J82" i="47"/>
  <c r="J83" i="47"/>
  <c r="J84" i="47"/>
  <c r="J85" i="47"/>
  <c r="J86" i="47"/>
  <c r="J87" i="47"/>
  <c r="J88" i="47"/>
  <c r="J89" i="47"/>
  <c r="J90" i="47"/>
  <c r="J91" i="47"/>
  <c r="J92" i="47"/>
  <c r="J93" i="47"/>
  <c r="J94" i="47"/>
  <c r="J95" i="47"/>
  <c r="J96" i="47"/>
  <c r="J97" i="47"/>
  <c r="J98" i="47"/>
  <c r="J99" i="47"/>
  <c r="J100" i="47"/>
  <c r="J101" i="47"/>
  <c r="J102" i="47"/>
  <c r="J103" i="47"/>
  <c r="J104" i="47"/>
  <c r="J105" i="47"/>
  <c r="J106" i="47"/>
  <c r="J107" i="47"/>
  <c r="J108" i="47"/>
  <c r="J109" i="47"/>
  <c r="J110" i="47"/>
  <c r="J111" i="47"/>
  <c r="J112" i="47"/>
  <c r="J113" i="47"/>
  <c r="J114" i="47"/>
  <c r="J115" i="47"/>
  <c r="J116" i="47"/>
  <c r="J117" i="47"/>
  <c r="J118" i="47"/>
  <c r="J119" i="47"/>
  <c r="J120" i="47"/>
  <c r="J121" i="47"/>
  <c r="J122" i="47"/>
  <c r="J123" i="47"/>
  <c r="J124" i="47"/>
  <c r="J125" i="47"/>
  <c r="J126" i="47"/>
  <c r="J127" i="47"/>
  <c r="J128" i="47"/>
  <c r="J129" i="47"/>
  <c r="J130" i="47"/>
  <c r="J131" i="47"/>
  <c r="J132" i="47"/>
  <c r="J133" i="47"/>
  <c r="J134" i="47"/>
  <c r="J135" i="47"/>
  <c r="J136" i="47"/>
  <c r="J137" i="47"/>
  <c r="J138" i="47"/>
  <c r="J139" i="47"/>
  <c r="J140" i="47"/>
  <c r="J141" i="47"/>
  <c r="J142" i="47"/>
  <c r="J143" i="47"/>
  <c r="J144" i="47"/>
  <c r="J145" i="47"/>
  <c r="J146" i="47"/>
  <c r="J147" i="47"/>
  <c r="J148" i="47"/>
  <c r="J149" i="47"/>
  <c r="J150" i="47"/>
  <c r="J151" i="47"/>
  <c r="J152" i="47"/>
  <c r="J153" i="47"/>
  <c r="J154" i="47"/>
  <c r="J155" i="47"/>
  <c r="J156" i="47"/>
  <c r="J157" i="47"/>
  <c r="J158" i="47"/>
  <c r="J159" i="47"/>
  <c r="J160" i="47"/>
  <c r="J161" i="47"/>
  <c r="J162" i="47"/>
  <c r="J163" i="47"/>
  <c r="J164" i="47"/>
  <c r="J165" i="47"/>
  <c r="J166" i="47"/>
  <c r="J167" i="47"/>
  <c r="J168" i="47"/>
  <c r="J169" i="47"/>
  <c r="J170" i="47"/>
  <c r="J171" i="47"/>
  <c r="J172" i="47"/>
  <c r="J173" i="47"/>
  <c r="J174" i="47"/>
  <c r="J175" i="47"/>
  <c r="J176" i="47"/>
  <c r="J177" i="47"/>
  <c r="J178" i="47"/>
  <c r="J179" i="47"/>
  <c r="J180" i="47"/>
  <c r="J181" i="47"/>
  <c r="J182" i="47"/>
  <c r="J183" i="47"/>
  <c r="J184" i="47"/>
  <c r="J185" i="47"/>
  <c r="J186" i="47"/>
  <c r="J187" i="47"/>
  <c r="J188" i="47"/>
  <c r="J189" i="47"/>
  <c r="J190" i="47"/>
  <c r="I42" i="47"/>
  <c r="I43" i="47"/>
  <c r="I44" i="47"/>
  <c r="I45" i="47"/>
  <c r="I46" i="47"/>
  <c r="I47" i="47"/>
  <c r="I48" i="47"/>
  <c r="I49" i="47"/>
  <c r="I50" i="47"/>
  <c r="I51" i="47"/>
  <c r="I52" i="47"/>
  <c r="I53" i="47"/>
  <c r="I54" i="47"/>
  <c r="I55" i="47"/>
  <c r="I56" i="47"/>
  <c r="I57" i="47"/>
  <c r="I58" i="47"/>
  <c r="I59" i="47"/>
  <c r="I60" i="47"/>
  <c r="I61" i="47"/>
  <c r="I62" i="47"/>
  <c r="I63" i="47"/>
  <c r="I64" i="47"/>
  <c r="I65" i="47"/>
  <c r="I66" i="47"/>
  <c r="I67" i="47"/>
  <c r="I68" i="47"/>
  <c r="I69" i="47"/>
  <c r="I70" i="47"/>
  <c r="I71" i="47"/>
  <c r="I72" i="47"/>
  <c r="I73" i="47"/>
  <c r="I74" i="47"/>
  <c r="I75" i="47"/>
  <c r="I76" i="47"/>
  <c r="I77" i="47"/>
  <c r="I78" i="47"/>
  <c r="I79" i="47"/>
  <c r="I80" i="47"/>
  <c r="I81" i="47"/>
  <c r="I82" i="47"/>
  <c r="I83" i="47"/>
  <c r="I84" i="47"/>
  <c r="I85" i="47"/>
  <c r="I86" i="47"/>
  <c r="I87" i="47"/>
  <c r="I88" i="47"/>
  <c r="I89" i="47"/>
  <c r="I90" i="47"/>
  <c r="I91" i="47"/>
  <c r="I92" i="47"/>
  <c r="I93" i="47"/>
  <c r="I94" i="47"/>
  <c r="I95" i="47"/>
  <c r="I96" i="47"/>
  <c r="I97" i="47"/>
  <c r="I98" i="47"/>
  <c r="I99" i="47"/>
  <c r="I100" i="47"/>
  <c r="I101" i="47"/>
  <c r="I102" i="47"/>
  <c r="I103" i="47"/>
  <c r="I104" i="47"/>
  <c r="I105" i="47"/>
  <c r="I106" i="47"/>
  <c r="I107" i="47"/>
  <c r="I108" i="47"/>
  <c r="I109" i="47"/>
  <c r="I110" i="47"/>
  <c r="I111" i="47"/>
  <c r="I112" i="47"/>
  <c r="I113" i="47"/>
  <c r="I114" i="47"/>
  <c r="I115" i="47"/>
  <c r="I116" i="47"/>
  <c r="I117" i="47"/>
  <c r="I118" i="47"/>
  <c r="I119" i="47"/>
  <c r="I120" i="47"/>
  <c r="I121" i="47"/>
  <c r="I122" i="47"/>
  <c r="I123" i="47"/>
  <c r="I124" i="47"/>
  <c r="I125" i="47"/>
  <c r="I126" i="47"/>
  <c r="I127" i="47"/>
  <c r="I128" i="47"/>
  <c r="I129" i="47"/>
  <c r="I130" i="47"/>
  <c r="I131" i="47"/>
  <c r="I132" i="47"/>
  <c r="I133" i="47"/>
  <c r="I134" i="47"/>
  <c r="I135" i="47"/>
  <c r="I136" i="47"/>
  <c r="I137" i="47"/>
  <c r="I138" i="47"/>
  <c r="I139" i="47"/>
  <c r="I140" i="47"/>
  <c r="I141" i="47"/>
  <c r="I142" i="47"/>
  <c r="I143" i="47"/>
  <c r="I144" i="47"/>
  <c r="I145" i="47"/>
  <c r="I146" i="47"/>
  <c r="I147" i="47"/>
  <c r="I148" i="47"/>
  <c r="I149" i="47"/>
  <c r="I150" i="47"/>
  <c r="I151" i="47"/>
  <c r="I152" i="47"/>
  <c r="I153" i="47"/>
  <c r="I154" i="47"/>
  <c r="I155" i="47"/>
  <c r="I156" i="47"/>
  <c r="I157" i="47"/>
  <c r="I158" i="47"/>
  <c r="I159" i="47"/>
  <c r="I160" i="47"/>
  <c r="I161" i="47"/>
  <c r="I162" i="47"/>
  <c r="I163" i="47"/>
  <c r="I164" i="47"/>
  <c r="I165" i="47"/>
  <c r="I166" i="47"/>
  <c r="I167" i="47"/>
  <c r="I168" i="47"/>
  <c r="I169" i="47"/>
  <c r="I170" i="47"/>
  <c r="I171" i="47"/>
  <c r="I172" i="47"/>
  <c r="I173" i="47"/>
  <c r="I174" i="47"/>
  <c r="I175" i="47"/>
  <c r="I176" i="47"/>
  <c r="I177" i="47"/>
  <c r="I178" i="47"/>
  <c r="I179" i="47"/>
  <c r="I180" i="47"/>
  <c r="I181" i="47"/>
  <c r="I182" i="47"/>
  <c r="I183" i="47"/>
  <c r="I184" i="47"/>
  <c r="I185" i="47"/>
  <c r="I186" i="47"/>
  <c r="I187" i="47"/>
  <c r="I188" i="47"/>
  <c r="I189" i="47"/>
  <c r="I190" i="47"/>
  <c r="I41" i="47"/>
  <c r="M36" i="47"/>
  <c r="M37" i="47"/>
  <c r="M38" i="47"/>
  <c r="M39" i="47"/>
  <c r="M40" i="47"/>
  <c r="M41" i="47"/>
  <c r="M42" i="47"/>
  <c r="M43" i="47"/>
  <c r="M44" i="47"/>
  <c r="M45" i="47"/>
  <c r="M46" i="47"/>
  <c r="M47" i="47"/>
  <c r="M48" i="47"/>
  <c r="M49" i="47"/>
  <c r="M50" i="47"/>
  <c r="M51" i="47"/>
  <c r="M52" i="47"/>
  <c r="M53" i="47"/>
  <c r="M54" i="47"/>
  <c r="M55" i="47"/>
  <c r="M56" i="47"/>
  <c r="M57" i="47"/>
  <c r="M58" i="47"/>
  <c r="M59" i="47"/>
  <c r="M60" i="47"/>
  <c r="M61" i="47"/>
  <c r="M62" i="47"/>
  <c r="M63" i="47"/>
  <c r="M64" i="47"/>
  <c r="M65" i="47"/>
  <c r="M66" i="47"/>
  <c r="M67" i="47"/>
  <c r="M68" i="47"/>
  <c r="M69" i="47"/>
  <c r="M70" i="47"/>
  <c r="M71" i="47"/>
  <c r="M72" i="47"/>
  <c r="M73" i="47"/>
  <c r="M74" i="47"/>
  <c r="M75" i="47"/>
  <c r="M76" i="47"/>
  <c r="M77" i="47"/>
  <c r="M78" i="47"/>
  <c r="M79" i="47"/>
  <c r="M80" i="47"/>
  <c r="M81" i="47"/>
  <c r="M82" i="47"/>
  <c r="M83" i="47"/>
  <c r="M84" i="47"/>
  <c r="M85" i="47"/>
  <c r="M86" i="47"/>
  <c r="M87" i="47"/>
  <c r="M88" i="47"/>
  <c r="M89" i="47"/>
  <c r="M90" i="47"/>
  <c r="M91" i="47"/>
  <c r="M92" i="47"/>
  <c r="M93" i="47"/>
  <c r="M94" i="47"/>
  <c r="M95" i="47"/>
  <c r="M96" i="47"/>
  <c r="M97" i="47"/>
  <c r="M98" i="47"/>
  <c r="M99" i="47"/>
  <c r="M100" i="47"/>
  <c r="M101" i="47"/>
  <c r="M102" i="47"/>
  <c r="M103" i="47"/>
  <c r="M104" i="47"/>
  <c r="M105" i="47"/>
  <c r="M106" i="47"/>
  <c r="M107" i="47"/>
  <c r="M108" i="47"/>
  <c r="M109" i="47"/>
  <c r="M110" i="47"/>
  <c r="M111" i="47"/>
  <c r="M112" i="47"/>
  <c r="M113" i="47"/>
  <c r="M114" i="47"/>
  <c r="M115" i="47"/>
  <c r="M116" i="47"/>
  <c r="M117" i="47"/>
  <c r="M118" i="47"/>
  <c r="M119" i="47"/>
  <c r="M120" i="47"/>
  <c r="M121" i="47"/>
  <c r="M122" i="47"/>
  <c r="M123" i="47"/>
  <c r="M124" i="47"/>
  <c r="M125" i="47"/>
  <c r="M126" i="47"/>
  <c r="M127" i="47"/>
  <c r="M128" i="47"/>
  <c r="M129" i="47"/>
  <c r="M130" i="47"/>
  <c r="M131" i="47"/>
  <c r="M132" i="47"/>
  <c r="M133" i="47"/>
  <c r="M134" i="47"/>
  <c r="M135" i="47"/>
  <c r="M136" i="47"/>
  <c r="M137" i="47"/>
  <c r="M138" i="47"/>
  <c r="M139" i="47"/>
  <c r="M140" i="47"/>
  <c r="M141" i="47"/>
  <c r="M142" i="47"/>
  <c r="M143" i="47"/>
  <c r="M144" i="47"/>
  <c r="M145" i="47"/>
  <c r="M146" i="47"/>
  <c r="M147" i="47"/>
  <c r="M148" i="47"/>
  <c r="M149" i="47"/>
  <c r="M150" i="47"/>
  <c r="M151" i="47"/>
  <c r="M152" i="47"/>
  <c r="M153" i="47"/>
  <c r="M154" i="47"/>
  <c r="M155" i="47"/>
  <c r="M156" i="47"/>
  <c r="M157" i="47"/>
  <c r="M158" i="47"/>
  <c r="M159" i="47"/>
  <c r="M160" i="47"/>
  <c r="M161" i="47"/>
  <c r="M162" i="47"/>
  <c r="M163" i="47"/>
  <c r="M164" i="47"/>
  <c r="M165" i="47"/>
  <c r="M166" i="47"/>
  <c r="M167" i="47"/>
  <c r="M168" i="47"/>
  <c r="M169" i="47"/>
  <c r="M170" i="47"/>
  <c r="M171" i="47"/>
  <c r="M172" i="47"/>
  <c r="M173" i="47"/>
  <c r="M174" i="47"/>
  <c r="M175" i="47"/>
  <c r="M176" i="47"/>
  <c r="M177" i="47"/>
  <c r="M178" i="47"/>
  <c r="M179" i="47"/>
  <c r="M180" i="47"/>
  <c r="M181" i="47"/>
  <c r="M182" i="47"/>
  <c r="M183" i="47"/>
  <c r="M184" i="47"/>
  <c r="M185" i="47"/>
  <c r="M186" i="47"/>
  <c r="M187" i="47"/>
  <c r="M188" i="47"/>
  <c r="M189" i="47"/>
  <c r="M190" i="47"/>
  <c r="M35" i="47"/>
  <c r="L36" i="47"/>
  <c r="L37" i="47"/>
  <c r="L38" i="47"/>
  <c r="L39" i="47"/>
  <c r="L40" i="47"/>
  <c r="L41" i="47"/>
  <c r="L42" i="47"/>
  <c r="L43" i="47"/>
  <c r="L44" i="47"/>
  <c r="L45" i="47"/>
  <c r="L46" i="47"/>
  <c r="L47" i="47"/>
  <c r="L48" i="47"/>
  <c r="L49" i="47"/>
  <c r="L50" i="47"/>
  <c r="L51" i="47"/>
  <c r="L52" i="47"/>
  <c r="L53" i="47"/>
  <c r="L54" i="47"/>
  <c r="L55" i="47"/>
  <c r="L56" i="47"/>
  <c r="L57" i="47"/>
  <c r="L58" i="47"/>
  <c r="L59" i="47"/>
  <c r="L60" i="47"/>
  <c r="L61" i="47"/>
  <c r="L62" i="47"/>
  <c r="L63" i="47"/>
  <c r="L64" i="47"/>
  <c r="L65" i="47"/>
  <c r="L66" i="47"/>
  <c r="L67" i="47"/>
  <c r="L68" i="47"/>
  <c r="L69" i="47"/>
  <c r="L70" i="47"/>
  <c r="L71" i="47"/>
  <c r="L72" i="47"/>
  <c r="L73" i="47"/>
  <c r="L74" i="47"/>
  <c r="L75" i="47"/>
  <c r="L76" i="47"/>
  <c r="L77" i="47"/>
  <c r="L78" i="47"/>
  <c r="L79" i="47"/>
  <c r="L80" i="47"/>
  <c r="L81" i="47"/>
  <c r="L82" i="47"/>
  <c r="L83" i="47"/>
  <c r="L84" i="47"/>
  <c r="L85" i="47"/>
  <c r="L86" i="47"/>
  <c r="L87" i="47"/>
  <c r="L88" i="47"/>
  <c r="L89" i="47"/>
  <c r="L90" i="47"/>
  <c r="L91" i="47"/>
  <c r="L92" i="47"/>
  <c r="L93" i="47"/>
  <c r="L94" i="47"/>
  <c r="L95" i="47"/>
  <c r="L96" i="47"/>
  <c r="L97" i="47"/>
  <c r="L98" i="47"/>
  <c r="L99" i="47"/>
  <c r="L100" i="47"/>
  <c r="L101" i="47"/>
  <c r="L102" i="47"/>
  <c r="L103" i="47"/>
  <c r="L104" i="47"/>
  <c r="L105" i="47"/>
  <c r="L106" i="47"/>
  <c r="L107" i="47"/>
  <c r="L108" i="47"/>
  <c r="L109" i="47"/>
  <c r="L110" i="47"/>
  <c r="L111" i="47"/>
  <c r="L112" i="47"/>
  <c r="L113" i="47"/>
  <c r="L114" i="47"/>
  <c r="L115" i="47"/>
  <c r="L116" i="47"/>
  <c r="L117" i="47"/>
  <c r="L118" i="47"/>
  <c r="L119" i="47"/>
  <c r="L120" i="47"/>
  <c r="L121" i="47"/>
  <c r="L122" i="47"/>
  <c r="L123" i="47"/>
  <c r="L124" i="47"/>
  <c r="L125" i="47"/>
  <c r="L126" i="47"/>
  <c r="L127" i="47"/>
  <c r="L128" i="47"/>
  <c r="L129" i="47"/>
  <c r="L130" i="47"/>
  <c r="L131" i="47"/>
  <c r="L132" i="47"/>
  <c r="L133" i="47"/>
  <c r="L134" i="47"/>
  <c r="L135" i="47"/>
  <c r="L136" i="47"/>
  <c r="L137" i="47"/>
  <c r="L138" i="47"/>
  <c r="L139" i="47"/>
  <c r="L140" i="47"/>
  <c r="L141" i="47"/>
  <c r="L142" i="47"/>
  <c r="L143" i="47"/>
  <c r="L144" i="47"/>
  <c r="L145" i="47"/>
  <c r="L146" i="47"/>
  <c r="L147" i="47"/>
  <c r="L148" i="47"/>
  <c r="L149" i="47"/>
  <c r="L150" i="47"/>
  <c r="L151" i="47"/>
  <c r="L152" i="47"/>
  <c r="L153" i="47"/>
  <c r="L154" i="47"/>
  <c r="L155" i="47"/>
  <c r="L156" i="47"/>
  <c r="L157" i="47"/>
  <c r="L158" i="47"/>
  <c r="L159" i="47"/>
  <c r="L160" i="47"/>
  <c r="L161" i="47"/>
  <c r="L162" i="47"/>
  <c r="L163" i="47"/>
  <c r="L164" i="47"/>
  <c r="L165" i="47"/>
  <c r="L166" i="47"/>
  <c r="L167" i="47"/>
  <c r="L168" i="47"/>
  <c r="L169" i="47"/>
  <c r="L170" i="47"/>
  <c r="L171" i="47"/>
  <c r="L172" i="47"/>
  <c r="L173" i="47"/>
  <c r="L174" i="47"/>
  <c r="L175" i="47"/>
  <c r="L176" i="47"/>
  <c r="L177" i="47"/>
  <c r="L178" i="47"/>
  <c r="L179" i="47"/>
  <c r="L180" i="47"/>
  <c r="L181" i="47"/>
  <c r="L182" i="47"/>
  <c r="L183" i="47"/>
  <c r="L184" i="47"/>
  <c r="L185" i="47"/>
  <c r="L186" i="47"/>
  <c r="L187" i="47"/>
  <c r="L188" i="47"/>
  <c r="L189" i="47"/>
  <c r="L190" i="47"/>
  <c r="K36" i="47"/>
  <c r="K37" i="47"/>
  <c r="K38" i="47"/>
  <c r="K39" i="47"/>
  <c r="K40" i="47"/>
  <c r="K41" i="47"/>
  <c r="K42" i="47"/>
  <c r="K43" i="47"/>
  <c r="K44" i="47"/>
  <c r="K45" i="47"/>
  <c r="K46" i="47"/>
  <c r="K47" i="47"/>
  <c r="K48" i="47"/>
  <c r="K49" i="47"/>
  <c r="K50" i="47"/>
  <c r="K51" i="47"/>
  <c r="K52" i="47"/>
  <c r="K53" i="47"/>
  <c r="K54" i="47"/>
  <c r="K55" i="47"/>
  <c r="K56" i="47"/>
  <c r="K57" i="47"/>
  <c r="K58" i="47"/>
  <c r="K59" i="47"/>
  <c r="K60" i="47"/>
  <c r="K61" i="47"/>
  <c r="K62" i="47"/>
  <c r="K63" i="47"/>
  <c r="K64" i="47"/>
  <c r="K65" i="47"/>
  <c r="K66" i="47"/>
  <c r="K67" i="47"/>
  <c r="K68" i="47"/>
  <c r="K69" i="47"/>
  <c r="K70" i="47"/>
  <c r="K71" i="47"/>
  <c r="K72" i="47"/>
  <c r="K73" i="47"/>
  <c r="K74" i="47"/>
  <c r="K75" i="47"/>
  <c r="K76" i="47"/>
  <c r="K77" i="47"/>
  <c r="K78" i="47"/>
  <c r="K79" i="47"/>
  <c r="K80" i="47"/>
  <c r="K81" i="47"/>
  <c r="K82" i="47"/>
  <c r="K83" i="47"/>
  <c r="K84" i="47"/>
  <c r="K85" i="47"/>
  <c r="K86" i="47"/>
  <c r="K87" i="47"/>
  <c r="K88" i="47"/>
  <c r="K89" i="47"/>
  <c r="K90" i="47"/>
  <c r="K91" i="47"/>
  <c r="K92" i="47"/>
  <c r="K93" i="47"/>
  <c r="K94" i="47"/>
  <c r="K95" i="47"/>
  <c r="K96" i="47"/>
  <c r="K97" i="47"/>
  <c r="K98" i="47"/>
  <c r="K99" i="47"/>
  <c r="K100" i="47"/>
  <c r="K101" i="47"/>
  <c r="K102" i="47"/>
  <c r="K103" i="47"/>
  <c r="K104" i="47"/>
  <c r="K105" i="47"/>
  <c r="K106" i="47"/>
  <c r="K107" i="47"/>
  <c r="K108" i="47"/>
  <c r="K109" i="47"/>
  <c r="K110" i="47"/>
  <c r="K111" i="47"/>
  <c r="K112" i="47"/>
  <c r="K113" i="47"/>
  <c r="K114" i="47"/>
  <c r="K115" i="47"/>
  <c r="K116" i="47"/>
  <c r="K117" i="47"/>
  <c r="K118" i="47"/>
  <c r="K119" i="47"/>
  <c r="K120" i="47"/>
  <c r="K121" i="47"/>
  <c r="K122" i="47"/>
  <c r="K123" i="47"/>
  <c r="K124" i="47"/>
  <c r="K125" i="47"/>
  <c r="K126" i="47"/>
  <c r="K127" i="47"/>
  <c r="K128" i="47"/>
  <c r="K129" i="47"/>
  <c r="K130" i="47"/>
  <c r="K131" i="47"/>
  <c r="K132" i="47"/>
  <c r="K133" i="47"/>
  <c r="K134" i="47"/>
  <c r="K135" i="47"/>
  <c r="K136" i="47"/>
  <c r="K137" i="47"/>
  <c r="K138" i="47"/>
  <c r="K139" i="47"/>
  <c r="K140" i="47"/>
  <c r="K141" i="47"/>
  <c r="K142" i="47"/>
  <c r="K143" i="47"/>
  <c r="K144" i="47"/>
  <c r="K145" i="47"/>
  <c r="K146" i="47"/>
  <c r="K147" i="47"/>
  <c r="K148" i="47"/>
  <c r="K149" i="47"/>
  <c r="K150" i="47"/>
  <c r="K151" i="47"/>
  <c r="K152" i="47"/>
  <c r="K153" i="47"/>
  <c r="K154" i="47"/>
  <c r="K155" i="47"/>
  <c r="K156" i="47"/>
  <c r="K157" i="47"/>
  <c r="K158" i="47"/>
  <c r="K159" i="47"/>
  <c r="K160" i="47"/>
  <c r="K161" i="47"/>
  <c r="K162" i="47"/>
  <c r="K163" i="47"/>
  <c r="K164" i="47"/>
  <c r="K165" i="47"/>
  <c r="K166" i="47"/>
  <c r="K167" i="47"/>
  <c r="K168" i="47"/>
  <c r="K169" i="47"/>
  <c r="K170" i="47"/>
  <c r="K171" i="47"/>
  <c r="K172" i="47"/>
  <c r="K173" i="47"/>
  <c r="K174" i="47"/>
  <c r="K175" i="47"/>
  <c r="K176" i="47"/>
  <c r="K177" i="47"/>
  <c r="K178" i="47"/>
  <c r="K179" i="47"/>
  <c r="K180" i="47"/>
  <c r="K181" i="47"/>
  <c r="K182" i="47"/>
  <c r="K183" i="47"/>
  <c r="K184" i="47"/>
  <c r="K185" i="47"/>
  <c r="K186" i="47"/>
  <c r="K187" i="47"/>
  <c r="K188" i="47"/>
  <c r="K189" i="47"/>
  <c r="K190" i="47"/>
  <c r="L35" i="47"/>
  <c r="K35" i="47"/>
  <c r="J35" i="47"/>
  <c r="AE24" i="39" l="1"/>
  <c r="AE25" i="39"/>
  <c r="AE26" i="39"/>
  <c r="AE27" i="39"/>
  <c r="AE28" i="39"/>
  <c r="AE29" i="39"/>
  <c r="AE30" i="39"/>
  <c r="AE31" i="39"/>
  <c r="AE32" i="39"/>
  <c r="AE33" i="39"/>
  <c r="AE34" i="39"/>
  <c r="AE35" i="39"/>
  <c r="AE36" i="39"/>
  <c r="AE37" i="39"/>
  <c r="AE38" i="39"/>
  <c r="AE39" i="39"/>
  <c r="AE40" i="39"/>
  <c r="AE41" i="39"/>
  <c r="AE42" i="39"/>
  <c r="AE43" i="39"/>
  <c r="AE44" i="39"/>
  <c r="AE45" i="39"/>
  <c r="AE46" i="39"/>
  <c r="AE47" i="39"/>
  <c r="AE48" i="39"/>
  <c r="AE49" i="39"/>
  <c r="AE50" i="39"/>
  <c r="AE51" i="39"/>
  <c r="AE52" i="39"/>
  <c r="AE53" i="39"/>
  <c r="AE54" i="39"/>
  <c r="AE55" i="39"/>
  <c r="AE56" i="39"/>
  <c r="AE57" i="39"/>
  <c r="AE58" i="39"/>
  <c r="AE59" i="39"/>
  <c r="AE60" i="39"/>
  <c r="AE61" i="39"/>
  <c r="AE62" i="39"/>
  <c r="AE63" i="39"/>
  <c r="AE64" i="39"/>
  <c r="AE65" i="39"/>
  <c r="AE66" i="39"/>
  <c r="AE67" i="39"/>
  <c r="AE68" i="39"/>
  <c r="AE69" i="39"/>
  <c r="AE70" i="39"/>
  <c r="AE71" i="39"/>
  <c r="AE72" i="39"/>
  <c r="AE73" i="39"/>
  <c r="AE74" i="39"/>
  <c r="AE75" i="39"/>
  <c r="AE76" i="39"/>
  <c r="AE77" i="39"/>
  <c r="AE78" i="39"/>
  <c r="AE79" i="39"/>
  <c r="AE80" i="39"/>
  <c r="AE81" i="39"/>
  <c r="AE82" i="39"/>
  <c r="AE83" i="39"/>
  <c r="AE84" i="39"/>
  <c r="AE85" i="39"/>
  <c r="AE86" i="39"/>
  <c r="AE87" i="39"/>
  <c r="AE88" i="39"/>
  <c r="AE89" i="39"/>
  <c r="AE90" i="39"/>
  <c r="AE91" i="39"/>
  <c r="AE92" i="39"/>
  <c r="AE93" i="39"/>
  <c r="AE94" i="39"/>
  <c r="AE95" i="39"/>
  <c r="AE96" i="39"/>
  <c r="AE97" i="39"/>
  <c r="AE98" i="39"/>
  <c r="AE99" i="39"/>
  <c r="AE100" i="39"/>
  <c r="AE101" i="39"/>
  <c r="AE102" i="39"/>
  <c r="AE103" i="39"/>
  <c r="AE104" i="39"/>
  <c r="AE105" i="39"/>
  <c r="AE106" i="39"/>
  <c r="AE107" i="39"/>
  <c r="AE108" i="39"/>
  <c r="AE109" i="39"/>
  <c r="AE110" i="39"/>
  <c r="AE111" i="39"/>
  <c r="AE112" i="39"/>
  <c r="AE113" i="39"/>
  <c r="AE114" i="39"/>
  <c r="AE115" i="39"/>
  <c r="AE116" i="39"/>
  <c r="AE117" i="39"/>
  <c r="AE118" i="39"/>
  <c r="AE119" i="39"/>
  <c r="AE120" i="39"/>
  <c r="AE121" i="39"/>
  <c r="AE122" i="39"/>
  <c r="AE123" i="39"/>
  <c r="AE124" i="39"/>
  <c r="AE125" i="39"/>
  <c r="AE126" i="39"/>
  <c r="AE127" i="39"/>
  <c r="AE128" i="39"/>
  <c r="AE129" i="39"/>
  <c r="AE130" i="39"/>
  <c r="AE131" i="39"/>
  <c r="AE132" i="39"/>
  <c r="AE133" i="39"/>
  <c r="AE134" i="39"/>
  <c r="AE135" i="39"/>
  <c r="AE136" i="39"/>
  <c r="AE137" i="39"/>
  <c r="AE138" i="39"/>
  <c r="AE139" i="39"/>
  <c r="AE140" i="39"/>
  <c r="AE141" i="39"/>
  <c r="AE142" i="39"/>
  <c r="AE143" i="39"/>
  <c r="AE144" i="39"/>
  <c r="AE145" i="39"/>
  <c r="AE146" i="39"/>
  <c r="AE147" i="39"/>
  <c r="AE148" i="39"/>
  <c r="AE149" i="39"/>
  <c r="AE150" i="39"/>
  <c r="AE151" i="39"/>
  <c r="AE152" i="39"/>
  <c r="AE153" i="39"/>
  <c r="AE154" i="39"/>
  <c r="AE155" i="39"/>
  <c r="AE156" i="39"/>
  <c r="AE157" i="39"/>
  <c r="AE158" i="39"/>
  <c r="AE159" i="39"/>
  <c r="AE160" i="39"/>
  <c r="AE161" i="39"/>
  <c r="AE162" i="39"/>
  <c r="AE163" i="39"/>
  <c r="AE164" i="39"/>
  <c r="AE165" i="39"/>
  <c r="AE166" i="39"/>
  <c r="AE167" i="39"/>
  <c r="AE168" i="39"/>
  <c r="AE169" i="39"/>
  <c r="AE170" i="39"/>
  <c r="AE171" i="39"/>
  <c r="AE172" i="39"/>
  <c r="AE173" i="39"/>
  <c r="AE174" i="39"/>
  <c r="AE175" i="39"/>
  <c r="AE176" i="39"/>
  <c r="AE177" i="39"/>
  <c r="AE178" i="39"/>
  <c r="AE179" i="39"/>
  <c r="AE180" i="39"/>
  <c r="AE181" i="39"/>
  <c r="AE182" i="39"/>
  <c r="AE183" i="39"/>
  <c r="AE184" i="39"/>
  <c r="AE185" i="39"/>
  <c r="AE186" i="39"/>
  <c r="AE187" i="39"/>
  <c r="AE188" i="39"/>
  <c r="AE189" i="39"/>
  <c r="AE190" i="39"/>
  <c r="AE191" i="39"/>
  <c r="AE192" i="39"/>
  <c r="AE193" i="39"/>
  <c r="AE194" i="39"/>
  <c r="AE195" i="39"/>
  <c r="AE196" i="39"/>
  <c r="AE197" i="39"/>
  <c r="AE198" i="39"/>
  <c r="AE199" i="39"/>
  <c r="AE200" i="39"/>
  <c r="AE201" i="39"/>
  <c r="AE202" i="39"/>
  <c r="AE203" i="39"/>
  <c r="AE204" i="39"/>
  <c r="AE205" i="39"/>
  <c r="AE206" i="39"/>
  <c r="AE207" i="39"/>
  <c r="AE208" i="39"/>
  <c r="AE209" i="39"/>
  <c r="AE210" i="39"/>
  <c r="AE211" i="39"/>
  <c r="AE212" i="39"/>
  <c r="AE213" i="39"/>
  <c r="AE214" i="39"/>
  <c r="AE215" i="39"/>
  <c r="AE23" i="39"/>
  <c r="Z204" i="39"/>
  <c r="AB204" i="39" s="1"/>
  <c r="AA204" i="39"/>
  <c r="Z205" i="39"/>
  <c r="AB205" i="39" s="1"/>
  <c r="AA205" i="39"/>
  <c r="Z206" i="39"/>
  <c r="AB206" i="39" s="1"/>
  <c r="AA206" i="39"/>
  <c r="Z207" i="39"/>
  <c r="AB207" i="39" s="1"/>
  <c r="AA207" i="39"/>
  <c r="Z208" i="39"/>
  <c r="AB208" i="39" s="1"/>
  <c r="AA208" i="39"/>
  <c r="Z209" i="39"/>
  <c r="AB209" i="39" s="1"/>
  <c r="AA209" i="39"/>
  <c r="Z210" i="39"/>
  <c r="AB210" i="39" s="1"/>
  <c r="AA210" i="39"/>
  <c r="Z211" i="39"/>
  <c r="AB211" i="39" s="1"/>
  <c r="AA211" i="39"/>
  <c r="Z212" i="39"/>
  <c r="AB212" i="39" s="1"/>
  <c r="AA212" i="39"/>
  <c r="Z213" i="39"/>
  <c r="AB213" i="39" s="1"/>
  <c r="AA213" i="39"/>
  <c r="Z214" i="39"/>
  <c r="AB214" i="39" s="1"/>
  <c r="AA214" i="39"/>
  <c r="Z215" i="39"/>
  <c r="AB215" i="39" s="1"/>
  <c r="AA215" i="39"/>
  <c r="Z216" i="39"/>
  <c r="AB216" i="39" s="1"/>
  <c r="AA216" i="39"/>
  <c r="Z217" i="39"/>
  <c r="AB217" i="39" s="1"/>
  <c r="AA217" i="39"/>
  <c r="Z218" i="39"/>
  <c r="AB218" i="39" s="1"/>
  <c r="AA218" i="39"/>
  <c r="Z219" i="39"/>
  <c r="AB219" i="39" s="1"/>
  <c r="AA219" i="39"/>
  <c r="Z220" i="39"/>
  <c r="AB220" i="39" s="1"/>
  <c r="AA220" i="39"/>
  <c r="Z221" i="39"/>
  <c r="AB221" i="39" s="1"/>
  <c r="AA221" i="39"/>
  <c r="Z222" i="39"/>
  <c r="AB222" i="39" s="1"/>
  <c r="AA222" i="39"/>
  <c r="Z223" i="39"/>
  <c r="AB223" i="39" s="1"/>
  <c r="AA223" i="39"/>
  <c r="Z224" i="39"/>
  <c r="AB224" i="39" s="1"/>
  <c r="AA224" i="39"/>
  <c r="Z225" i="39"/>
  <c r="AB225" i="39" s="1"/>
  <c r="AA225" i="39"/>
  <c r="Z226" i="39"/>
  <c r="AB226" i="39" s="1"/>
  <c r="AA226" i="39"/>
  <c r="Z227" i="39"/>
  <c r="AB227" i="39" s="1"/>
  <c r="AA227" i="39"/>
  <c r="Z228" i="39"/>
  <c r="AB228" i="39" s="1"/>
  <c r="AA228" i="39"/>
  <c r="Z229" i="39"/>
  <c r="AB229" i="39" s="1"/>
  <c r="AA229" i="39"/>
  <c r="Z230" i="39"/>
  <c r="AB230" i="39" s="1"/>
  <c r="AA230" i="39"/>
  <c r="Z231" i="39"/>
  <c r="AB231" i="39" s="1"/>
  <c r="AA231" i="39"/>
  <c r="Z232" i="39"/>
  <c r="AB232" i="39" s="1"/>
  <c r="AA232" i="39"/>
  <c r="Z233" i="39"/>
  <c r="AB233" i="39" s="1"/>
  <c r="AA233" i="39"/>
  <c r="Z234" i="39"/>
  <c r="AB234" i="39" s="1"/>
  <c r="AA234" i="39"/>
  <c r="Z235" i="39"/>
  <c r="AB235" i="39" s="1"/>
  <c r="AA235" i="39"/>
  <c r="Z236" i="39"/>
  <c r="AB236" i="39" s="1"/>
  <c r="AA236" i="39"/>
  <c r="Z237" i="39"/>
  <c r="AB237" i="39" s="1"/>
  <c r="AA237" i="39"/>
  <c r="Z238" i="39"/>
  <c r="AB238" i="39" s="1"/>
  <c r="AA238" i="39"/>
  <c r="Z239" i="39"/>
  <c r="AB239" i="39" s="1"/>
  <c r="AA239" i="39"/>
  <c r="AA25" i="39"/>
  <c r="AB25" i="39"/>
  <c r="AD25" i="39" s="1"/>
  <c r="AC25" i="39"/>
  <c r="AA26" i="39"/>
  <c r="AB26" i="39"/>
  <c r="AC26" i="39"/>
  <c r="AD26" i="39"/>
  <c r="AA27" i="39"/>
  <c r="AB27" i="39"/>
  <c r="AD27" i="39" s="1"/>
  <c r="AC27" i="39"/>
  <c r="AA28" i="39"/>
  <c r="AB28" i="39"/>
  <c r="AC28" i="39"/>
  <c r="AD28" i="39"/>
  <c r="AA29" i="39"/>
  <c r="AB29" i="39"/>
  <c r="AD29" i="39" s="1"/>
  <c r="AC29" i="39"/>
  <c r="AA30" i="39"/>
  <c r="AB30" i="39"/>
  <c r="AC30" i="39"/>
  <c r="AD30" i="39"/>
  <c r="AA31" i="39"/>
  <c r="AB31" i="39"/>
  <c r="AD31" i="39" s="1"/>
  <c r="AC31" i="39"/>
  <c r="AA32" i="39"/>
  <c r="AB32" i="39"/>
  <c r="AC32" i="39"/>
  <c r="AD32" i="39"/>
  <c r="AA33" i="39"/>
  <c r="AB33" i="39"/>
  <c r="AD33" i="39" s="1"/>
  <c r="AC33" i="39"/>
  <c r="AA34" i="39"/>
  <c r="AB34" i="39"/>
  <c r="AC34" i="39"/>
  <c r="AD34" i="39"/>
  <c r="AA35" i="39"/>
  <c r="AB35" i="39"/>
  <c r="AD35" i="39" s="1"/>
  <c r="AF35" i="39" s="1"/>
  <c r="AC35" i="39"/>
  <c r="AA36" i="39"/>
  <c r="AB36" i="39"/>
  <c r="AC36" i="39"/>
  <c r="AD36" i="39"/>
  <c r="AA37" i="39"/>
  <c r="AB37" i="39"/>
  <c r="AD37" i="39" s="1"/>
  <c r="AC37" i="39"/>
  <c r="AA38" i="39"/>
  <c r="AB38" i="39"/>
  <c r="AC38" i="39"/>
  <c r="AD38" i="39"/>
  <c r="AA39" i="39"/>
  <c r="AB39" i="39"/>
  <c r="AD39" i="39" s="1"/>
  <c r="AC39" i="39"/>
  <c r="AA40" i="39"/>
  <c r="AB40" i="39"/>
  <c r="AC40" i="39"/>
  <c r="AD40" i="39"/>
  <c r="AA41" i="39"/>
  <c r="AB41" i="39"/>
  <c r="AD41" i="39" s="1"/>
  <c r="AC41" i="39"/>
  <c r="AA42" i="39"/>
  <c r="AB42" i="39"/>
  <c r="AC42" i="39"/>
  <c r="AD42" i="39"/>
  <c r="AA43" i="39"/>
  <c r="AB43" i="39"/>
  <c r="AD43" i="39" s="1"/>
  <c r="AC43" i="39"/>
  <c r="AA44" i="39"/>
  <c r="AB44" i="39"/>
  <c r="AC44" i="39"/>
  <c r="AD44" i="39"/>
  <c r="AA45" i="39"/>
  <c r="AB45" i="39"/>
  <c r="AD45" i="39" s="1"/>
  <c r="AC45" i="39"/>
  <c r="AA46" i="39"/>
  <c r="AB46" i="39"/>
  <c r="AC46" i="39"/>
  <c r="AD46" i="39"/>
  <c r="AA47" i="39"/>
  <c r="AB47" i="39"/>
  <c r="AD47" i="39" s="1"/>
  <c r="AC47" i="39"/>
  <c r="AA48" i="39"/>
  <c r="AB48" i="39"/>
  <c r="AC48" i="39"/>
  <c r="AD48" i="39"/>
  <c r="AA49" i="39"/>
  <c r="AB49" i="39"/>
  <c r="AD49" i="39" s="1"/>
  <c r="AC49" i="39"/>
  <c r="AA50" i="39"/>
  <c r="AB50" i="39"/>
  <c r="AC50" i="39"/>
  <c r="AD50" i="39"/>
  <c r="AA51" i="39"/>
  <c r="AB51" i="39"/>
  <c r="AD51" i="39" s="1"/>
  <c r="AC51" i="39"/>
  <c r="AA52" i="39"/>
  <c r="AB52" i="39"/>
  <c r="AC52" i="39"/>
  <c r="AD52" i="39"/>
  <c r="AA53" i="39"/>
  <c r="AB53" i="39"/>
  <c r="AD53" i="39" s="1"/>
  <c r="AC53" i="39"/>
  <c r="AA54" i="39"/>
  <c r="AB54" i="39"/>
  <c r="AC54" i="39"/>
  <c r="AD54" i="39"/>
  <c r="AA55" i="39"/>
  <c r="AB55" i="39"/>
  <c r="AD55" i="39" s="1"/>
  <c r="AC55" i="39"/>
  <c r="AA56" i="39"/>
  <c r="AB56" i="39"/>
  <c r="AC56" i="39"/>
  <c r="AD56" i="39"/>
  <c r="AA57" i="39"/>
  <c r="AB57" i="39"/>
  <c r="AD57" i="39" s="1"/>
  <c r="AC57" i="39"/>
  <c r="AA58" i="39"/>
  <c r="AB58" i="39"/>
  <c r="AC58" i="39"/>
  <c r="AD58" i="39"/>
  <c r="AA59" i="39"/>
  <c r="AB59" i="39"/>
  <c r="AD59" i="39" s="1"/>
  <c r="AF59" i="39" s="1"/>
  <c r="AC59" i="39"/>
  <c r="AA60" i="39"/>
  <c r="AB60" i="39"/>
  <c r="AC60" i="39"/>
  <c r="AD60" i="39"/>
  <c r="AA61" i="39"/>
  <c r="AB61" i="39"/>
  <c r="AD61" i="39" s="1"/>
  <c r="AC61" i="39"/>
  <c r="AA62" i="39"/>
  <c r="AB62" i="39"/>
  <c r="AC62" i="39"/>
  <c r="AD62" i="39"/>
  <c r="AA63" i="39"/>
  <c r="AB63" i="39"/>
  <c r="AD63" i="39" s="1"/>
  <c r="AC63" i="39"/>
  <c r="AA64" i="39"/>
  <c r="AB64" i="39"/>
  <c r="AC64" i="39"/>
  <c r="AD64" i="39"/>
  <c r="AA65" i="39"/>
  <c r="AB65" i="39"/>
  <c r="AD65" i="39" s="1"/>
  <c r="AC65" i="39"/>
  <c r="AA66" i="39"/>
  <c r="AB66" i="39"/>
  <c r="AC66" i="39"/>
  <c r="AD66" i="39"/>
  <c r="AA67" i="39"/>
  <c r="AB67" i="39"/>
  <c r="AD67" i="39" s="1"/>
  <c r="AC67" i="39"/>
  <c r="AA68" i="39"/>
  <c r="AB68" i="39"/>
  <c r="AC68" i="39"/>
  <c r="AD68" i="39"/>
  <c r="AA69" i="39"/>
  <c r="AB69" i="39"/>
  <c r="AD69" i="39" s="1"/>
  <c r="AC69" i="39"/>
  <c r="AA70" i="39"/>
  <c r="AB70" i="39"/>
  <c r="AC70" i="39"/>
  <c r="AD70" i="39"/>
  <c r="AA71" i="39"/>
  <c r="AB71" i="39"/>
  <c r="AD71" i="39" s="1"/>
  <c r="AC71" i="39"/>
  <c r="AA72" i="39"/>
  <c r="AB72" i="39"/>
  <c r="AC72" i="39"/>
  <c r="AD72" i="39"/>
  <c r="AA73" i="39"/>
  <c r="AB73" i="39"/>
  <c r="AD73" i="39" s="1"/>
  <c r="AC73" i="39"/>
  <c r="AA74" i="39"/>
  <c r="AB74" i="39"/>
  <c r="AC74" i="39"/>
  <c r="AD74" i="39"/>
  <c r="AA75" i="39"/>
  <c r="AB75" i="39"/>
  <c r="AD75" i="39" s="1"/>
  <c r="AC75" i="39"/>
  <c r="AA76" i="39"/>
  <c r="AB76" i="39"/>
  <c r="AC76" i="39"/>
  <c r="AD76" i="39"/>
  <c r="AA77" i="39"/>
  <c r="AB77" i="39"/>
  <c r="AD77" i="39" s="1"/>
  <c r="AC77" i="39"/>
  <c r="AA78" i="39"/>
  <c r="AB78" i="39"/>
  <c r="AC78" i="39"/>
  <c r="AD78" i="39"/>
  <c r="AA79" i="39"/>
  <c r="AB79" i="39"/>
  <c r="AD79" i="39" s="1"/>
  <c r="AC79" i="39"/>
  <c r="AA80" i="39"/>
  <c r="AB80" i="39"/>
  <c r="AC80" i="39"/>
  <c r="AD80" i="39"/>
  <c r="AA81" i="39"/>
  <c r="AB81" i="39"/>
  <c r="AD81" i="39" s="1"/>
  <c r="AC81" i="39"/>
  <c r="AA82" i="39"/>
  <c r="AB82" i="39"/>
  <c r="AC82" i="39"/>
  <c r="AD82" i="39"/>
  <c r="AA83" i="39"/>
  <c r="AB83" i="39"/>
  <c r="AD83" i="39" s="1"/>
  <c r="AF83" i="39" s="1"/>
  <c r="AC83" i="39"/>
  <c r="AA84" i="39"/>
  <c r="AB84" i="39"/>
  <c r="AC84" i="39"/>
  <c r="AD84" i="39"/>
  <c r="AA85" i="39"/>
  <c r="AB85" i="39"/>
  <c r="AD85" i="39" s="1"/>
  <c r="AC85" i="39"/>
  <c r="AA86" i="39"/>
  <c r="AB86" i="39"/>
  <c r="AC86" i="39"/>
  <c r="AD86" i="39"/>
  <c r="AA87" i="39"/>
  <c r="AB87" i="39"/>
  <c r="AD87" i="39" s="1"/>
  <c r="AC87" i="39"/>
  <c r="AA88" i="39"/>
  <c r="AB88" i="39"/>
  <c r="AC88" i="39"/>
  <c r="AD88" i="39"/>
  <c r="AA89" i="39"/>
  <c r="AB89" i="39"/>
  <c r="AD89" i="39" s="1"/>
  <c r="AC89" i="39"/>
  <c r="AA90" i="39"/>
  <c r="AB90" i="39"/>
  <c r="AC90" i="39"/>
  <c r="AD90" i="39"/>
  <c r="AA91" i="39"/>
  <c r="AB91" i="39"/>
  <c r="AD91" i="39" s="1"/>
  <c r="AC91" i="39"/>
  <c r="AA92" i="39"/>
  <c r="AB92" i="39"/>
  <c r="AC92" i="39"/>
  <c r="AD92" i="39"/>
  <c r="AA93" i="39"/>
  <c r="AB93" i="39"/>
  <c r="AD93" i="39" s="1"/>
  <c r="AC93" i="39"/>
  <c r="AA94" i="39"/>
  <c r="AB94" i="39"/>
  <c r="AC94" i="39"/>
  <c r="AD94" i="39"/>
  <c r="AA95" i="39"/>
  <c r="AB95" i="39"/>
  <c r="AD95" i="39" s="1"/>
  <c r="AC95" i="39"/>
  <c r="AA96" i="39"/>
  <c r="AB96" i="39"/>
  <c r="AC96" i="39"/>
  <c r="AD96" i="39"/>
  <c r="AA97" i="39"/>
  <c r="AB97" i="39"/>
  <c r="AD97" i="39" s="1"/>
  <c r="AC97" i="39"/>
  <c r="AA98" i="39"/>
  <c r="AB98" i="39"/>
  <c r="AC98" i="39"/>
  <c r="AD98" i="39"/>
  <c r="AA99" i="39"/>
  <c r="AB99" i="39"/>
  <c r="AD99" i="39" s="1"/>
  <c r="AC99" i="39"/>
  <c r="AA100" i="39"/>
  <c r="AB100" i="39"/>
  <c r="AC100" i="39"/>
  <c r="AD100" i="39"/>
  <c r="AA101" i="39"/>
  <c r="AB101" i="39"/>
  <c r="AD101" i="39" s="1"/>
  <c r="AC101" i="39"/>
  <c r="AA102" i="39"/>
  <c r="AB102" i="39"/>
  <c r="AC102" i="39"/>
  <c r="AD102" i="39"/>
  <c r="AA103" i="39"/>
  <c r="AB103" i="39"/>
  <c r="AD103" i="39" s="1"/>
  <c r="AC103" i="39"/>
  <c r="AA104" i="39"/>
  <c r="AB104" i="39"/>
  <c r="AC104" i="39"/>
  <c r="AD104" i="39"/>
  <c r="AA105" i="39"/>
  <c r="AB105" i="39"/>
  <c r="AD105" i="39" s="1"/>
  <c r="AC105" i="39"/>
  <c r="AA106" i="39"/>
  <c r="AB106" i="39"/>
  <c r="AC106" i="39"/>
  <c r="AD106" i="39"/>
  <c r="AA107" i="39"/>
  <c r="AB107" i="39"/>
  <c r="AD107" i="39" s="1"/>
  <c r="AF107" i="39" s="1"/>
  <c r="AC107" i="39"/>
  <c r="AA108" i="39"/>
  <c r="AB108" i="39"/>
  <c r="AC108" i="39"/>
  <c r="AD108" i="39"/>
  <c r="AA109" i="39"/>
  <c r="AB109" i="39"/>
  <c r="AD109" i="39" s="1"/>
  <c r="AC109" i="39"/>
  <c r="AA110" i="39"/>
  <c r="AB110" i="39"/>
  <c r="AC110" i="39"/>
  <c r="AD110" i="39"/>
  <c r="AA111" i="39"/>
  <c r="AB111" i="39"/>
  <c r="AD111" i="39" s="1"/>
  <c r="AC111" i="39"/>
  <c r="AA112" i="39"/>
  <c r="AB112" i="39"/>
  <c r="AC112" i="39"/>
  <c r="AD112" i="39"/>
  <c r="AA113" i="39"/>
  <c r="AB113" i="39"/>
  <c r="AD113" i="39" s="1"/>
  <c r="AC113" i="39"/>
  <c r="AA114" i="39"/>
  <c r="AB114" i="39"/>
  <c r="AC114" i="39"/>
  <c r="AD114" i="39"/>
  <c r="AA115" i="39"/>
  <c r="AB115" i="39"/>
  <c r="AD115" i="39" s="1"/>
  <c r="AC115" i="39"/>
  <c r="AA116" i="39"/>
  <c r="AB116" i="39"/>
  <c r="AC116" i="39"/>
  <c r="AD116" i="39"/>
  <c r="AA117" i="39"/>
  <c r="AB117" i="39"/>
  <c r="AD117" i="39" s="1"/>
  <c r="AC117" i="39"/>
  <c r="AA118" i="39"/>
  <c r="AB118" i="39"/>
  <c r="AC118" i="39"/>
  <c r="AD118" i="39"/>
  <c r="AA119" i="39"/>
  <c r="AB119" i="39"/>
  <c r="AD119" i="39" s="1"/>
  <c r="AC119" i="39"/>
  <c r="AA120" i="39"/>
  <c r="AB120" i="39"/>
  <c r="AC120" i="39"/>
  <c r="AD120" i="39"/>
  <c r="AA121" i="39"/>
  <c r="AB121" i="39"/>
  <c r="AD121" i="39" s="1"/>
  <c r="AC121" i="39"/>
  <c r="AA122" i="39"/>
  <c r="AB122" i="39"/>
  <c r="AC122" i="39"/>
  <c r="AD122" i="39"/>
  <c r="AA123" i="39"/>
  <c r="AB123" i="39"/>
  <c r="AD123" i="39" s="1"/>
  <c r="AC123" i="39"/>
  <c r="AA124" i="39"/>
  <c r="AB124" i="39"/>
  <c r="AC124" i="39"/>
  <c r="AD124" i="39"/>
  <c r="AA125" i="39"/>
  <c r="AB125" i="39"/>
  <c r="AD125" i="39" s="1"/>
  <c r="AC125" i="39"/>
  <c r="AA126" i="39"/>
  <c r="AB126" i="39"/>
  <c r="AC126" i="39"/>
  <c r="AD126" i="39"/>
  <c r="AA127" i="39"/>
  <c r="AB127" i="39"/>
  <c r="AD127" i="39" s="1"/>
  <c r="AC127" i="39"/>
  <c r="AA128" i="39"/>
  <c r="AB128" i="39"/>
  <c r="AC128" i="39"/>
  <c r="AD128" i="39"/>
  <c r="AA129" i="39"/>
  <c r="AB129" i="39"/>
  <c r="AD129" i="39" s="1"/>
  <c r="AC129" i="39"/>
  <c r="AA130" i="39"/>
  <c r="AB130" i="39"/>
  <c r="AC130" i="39"/>
  <c r="AD130" i="39"/>
  <c r="AA131" i="39"/>
  <c r="AB131" i="39"/>
  <c r="AD131" i="39" s="1"/>
  <c r="AF131" i="39" s="1"/>
  <c r="AC131" i="39"/>
  <c r="AA132" i="39"/>
  <c r="AB132" i="39"/>
  <c r="AC132" i="39"/>
  <c r="AD132" i="39"/>
  <c r="AA133" i="39"/>
  <c r="AB133" i="39"/>
  <c r="AD133" i="39" s="1"/>
  <c r="AC133" i="39"/>
  <c r="AA134" i="39"/>
  <c r="AB134" i="39"/>
  <c r="AC134" i="39"/>
  <c r="AD134" i="39"/>
  <c r="AA135" i="39"/>
  <c r="AB135" i="39"/>
  <c r="AD135" i="39" s="1"/>
  <c r="AC135" i="39"/>
  <c r="AA136" i="39"/>
  <c r="AB136" i="39"/>
  <c r="AC136" i="39"/>
  <c r="AD136" i="39"/>
  <c r="AA137" i="39"/>
  <c r="AB137" i="39"/>
  <c r="AD137" i="39" s="1"/>
  <c r="AC137" i="39"/>
  <c r="AA138" i="39"/>
  <c r="AB138" i="39"/>
  <c r="AC138" i="39"/>
  <c r="AD138" i="39"/>
  <c r="AA139" i="39"/>
  <c r="AB139" i="39"/>
  <c r="AD139" i="39" s="1"/>
  <c r="AC139" i="39"/>
  <c r="AA140" i="39"/>
  <c r="AB140" i="39"/>
  <c r="AC140" i="39"/>
  <c r="AD140" i="39"/>
  <c r="AA141" i="39"/>
  <c r="AB141" i="39"/>
  <c r="AD141" i="39" s="1"/>
  <c r="AC141" i="39"/>
  <c r="AA142" i="39"/>
  <c r="AB142" i="39"/>
  <c r="AC142" i="39"/>
  <c r="AD142" i="39"/>
  <c r="AA143" i="39"/>
  <c r="AB143" i="39"/>
  <c r="AD143" i="39" s="1"/>
  <c r="AC143" i="39"/>
  <c r="AA144" i="39"/>
  <c r="AB144" i="39"/>
  <c r="AC144" i="39"/>
  <c r="AD144" i="39"/>
  <c r="AA145" i="39"/>
  <c r="AB145" i="39"/>
  <c r="AD145" i="39" s="1"/>
  <c r="AC145" i="39"/>
  <c r="AA146" i="39"/>
  <c r="AB146" i="39"/>
  <c r="AC146" i="39"/>
  <c r="AD146" i="39"/>
  <c r="AA147" i="39"/>
  <c r="AB147" i="39"/>
  <c r="AD147" i="39" s="1"/>
  <c r="AC147" i="39"/>
  <c r="AA148" i="39"/>
  <c r="AB148" i="39"/>
  <c r="AC148" i="39"/>
  <c r="AD148" i="39"/>
  <c r="AA149" i="39"/>
  <c r="AB149" i="39"/>
  <c r="AD149" i="39" s="1"/>
  <c r="AC149" i="39"/>
  <c r="AA150" i="39"/>
  <c r="AB150" i="39"/>
  <c r="AC150" i="39"/>
  <c r="AD150" i="39"/>
  <c r="AA151" i="39"/>
  <c r="AB151" i="39"/>
  <c r="AD151" i="39" s="1"/>
  <c r="AC151" i="39"/>
  <c r="AA152" i="39"/>
  <c r="AB152" i="39"/>
  <c r="AC152" i="39"/>
  <c r="AD152" i="39"/>
  <c r="AA153" i="39"/>
  <c r="AB153" i="39"/>
  <c r="AD153" i="39" s="1"/>
  <c r="AC153" i="39"/>
  <c r="AA154" i="39"/>
  <c r="AB154" i="39"/>
  <c r="AC154" i="39"/>
  <c r="AD154" i="39"/>
  <c r="AA155" i="39"/>
  <c r="AB155" i="39"/>
  <c r="AD155" i="39" s="1"/>
  <c r="AF155" i="39" s="1"/>
  <c r="AC155" i="39"/>
  <c r="AA156" i="39"/>
  <c r="AB156" i="39"/>
  <c r="AC156" i="39"/>
  <c r="AD156" i="39"/>
  <c r="AA157" i="39"/>
  <c r="AB157" i="39"/>
  <c r="AD157" i="39" s="1"/>
  <c r="AC157" i="39"/>
  <c r="AA158" i="39"/>
  <c r="AB158" i="39"/>
  <c r="AC158" i="39"/>
  <c r="AD158" i="39"/>
  <c r="AA159" i="39"/>
  <c r="AB159" i="39"/>
  <c r="AD159" i="39" s="1"/>
  <c r="AC159" i="39"/>
  <c r="AA160" i="39"/>
  <c r="AB160" i="39"/>
  <c r="AC160" i="39"/>
  <c r="AD160" i="39"/>
  <c r="AA161" i="39"/>
  <c r="AB161" i="39"/>
  <c r="AD161" i="39" s="1"/>
  <c r="AC161" i="39"/>
  <c r="AA162" i="39"/>
  <c r="AB162" i="39"/>
  <c r="AC162" i="39"/>
  <c r="AD162" i="39"/>
  <c r="AA163" i="39"/>
  <c r="AB163" i="39"/>
  <c r="AD163" i="39" s="1"/>
  <c r="AC163" i="39"/>
  <c r="AA164" i="39"/>
  <c r="AB164" i="39"/>
  <c r="AC164" i="39"/>
  <c r="AD164" i="39"/>
  <c r="AA165" i="39"/>
  <c r="AB165" i="39"/>
  <c r="AD165" i="39" s="1"/>
  <c r="AC165" i="39"/>
  <c r="AA166" i="39"/>
  <c r="AB166" i="39"/>
  <c r="AC166" i="39"/>
  <c r="AD166" i="39"/>
  <c r="AA167" i="39"/>
  <c r="AB167" i="39"/>
  <c r="AD167" i="39" s="1"/>
  <c r="AC167" i="39"/>
  <c r="AA168" i="39"/>
  <c r="AB168" i="39"/>
  <c r="AC168" i="39"/>
  <c r="AD168" i="39"/>
  <c r="AA169" i="39"/>
  <c r="AB169" i="39"/>
  <c r="AD169" i="39" s="1"/>
  <c r="AC169" i="39"/>
  <c r="AA170" i="39"/>
  <c r="AB170" i="39"/>
  <c r="AC170" i="39"/>
  <c r="AD170" i="39"/>
  <c r="AA171" i="39"/>
  <c r="AB171" i="39"/>
  <c r="AD171" i="39" s="1"/>
  <c r="AC171" i="39"/>
  <c r="AA172" i="39"/>
  <c r="AB172" i="39"/>
  <c r="AC172" i="39"/>
  <c r="AD172" i="39"/>
  <c r="AA173" i="39"/>
  <c r="AB173" i="39"/>
  <c r="AD173" i="39" s="1"/>
  <c r="AC173" i="39"/>
  <c r="AA174" i="39"/>
  <c r="AB174" i="39"/>
  <c r="AC174" i="39"/>
  <c r="AD174" i="39"/>
  <c r="AA175" i="39"/>
  <c r="AB175" i="39"/>
  <c r="AD175" i="39" s="1"/>
  <c r="AC175" i="39"/>
  <c r="AA176" i="39"/>
  <c r="AB176" i="39"/>
  <c r="AC176" i="39"/>
  <c r="AD176" i="39"/>
  <c r="AA177" i="39"/>
  <c r="AB177" i="39"/>
  <c r="AD177" i="39" s="1"/>
  <c r="AC177" i="39"/>
  <c r="AA178" i="39"/>
  <c r="AB178" i="39"/>
  <c r="AC178" i="39"/>
  <c r="AD178" i="39"/>
  <c r="AA179" i="39"/>
  <c r="AB179" i="39"/>
  <c r="AD179" i="39" s="1"/>
  <c r="AF179" i="39" s="1"/>
  <c r="AC179" i="39"/>
  <c r="AA180" i="39"/>
  <c r="AB180" i="39"/>
  <c r="AC180" i="39"/>
  <c r="AD180" i="39"/>
  <c r="AA181" i="39"/>
  <c r="AB181" i="39"/>
  <c r="AD181" i="39" s="1"/>
  <c r="AC181" i="39"/>
  <c r="AA182" i="39"/>
  <c r="AB182" i="39"/>
  <c r="AC182" i="39"/>
  <c r="AD182" i="39"/>
  <c r="AA183" i="39"/>
  <c r="AB183" i="39"/>
  <c r="AD183" i="39" s="1"/>
  <c r="AC183" i="39"/>
  <c r="AA184" i="39"/>
  <c r="AB184" i="39"/>
  <c r="AC184" i="39"/>
  <c r="AD184" i="39"/>
  <c r="AA185" i="39"/>
  <c r="AB185" i="39"/>
  <c r="AD185" i="39" s="1"/>
  <c r="AC185" i="39"/>
  <c r="AA186" i="39"/>
  <c r="AB186" i="39"/>
  <c r="AC186" i="39"/>
  <c r="AD186" i="39"/>
  <c r="AA187" i="39"/>
  <c r="AB187" i="39"/>
  <c r="AD187" i="39" s="1"/>
  <c r="AC187" i="39"/>
  <c r="AA188" i="39"/>
  <c r="AB188" i="39"/>
  <c r="AC188" i="39"/>
  <c r="AD188" i="39"/>
  <c r="AA189" i="39"/>
  <c r="AB189" i="39"/>
  <c r="AD189" i="39" s="1"/>
  <c r="AC189" i="39"/>
  <c r="AA190" i="39"/>
  <c r="AB190" i="39"/>
  <c r="AC190" i="39"/>
  <c r="AD190" i="39"/>
  <c r="AA191" i="39"/>
  <c r="AB191" i="39"/>
  <c r="AD191" i="39" s="1"/>
  <c r="AC191" i="39"/>
  <c r="AA192" i="39"/>
  <c r="AB192" i="39"/>
  <c r="AC192" i="39"/>
  <c r="AD192" i="39"/>
  <c r="AA193" i="39"/>
  <c r="AB193" i="39"/>
  <c r="AD193" i="39" s="1"/>
  <c r="AC193" i="39"/>
  <c r="AA194" i="39"/>
  <c r="AB194" i="39"/>
  <c r="AC194" i="39"/>
  <c r="AD194" i="39"/>
  <c r="AA195" i="39"/>
  <c r="AB195" i="39"/>
  <c r="AC195" i="39"/>
  <c r="AD195" i="39"/>
  <c r="AA196" i="39"/>
  <c r="AB196" i="39"/>
  <c r="AC196" i="39"/>
  <c r="AD196" i="39"/>
  <c r="AA197" i="39"/>
  <c r="AB197" i="39"/>
  <c r="AD197" i="39" s="1"/>
  <c r="AC197" i="39"/>
  <c r="AA198" i="39"/>
  <c r="AB198" i="39"/>
  <c r="AD198" i="39" s="1"/>
  <c r="AC198" i="39"/>
  <c r="AA199" i="39"/>
  <c r="AB199" i="39"/>
  <c r="AC199" i="39"/>
  <c r="AD199" i="39"/>
  <c r="AA200" i="39"/>
  <c r="AB200" i="39"/>
  <c r="AC200" i="39"/>
  <c r="AD200" i="39"/>
  <c r="AA201" i="39"/>
  <c r="AB201" i="39"/>
  <c r="AD201" i="39" s="1"/>
  <c r="AC201" i="39"/>
  <c r="AA202" i="39"/>
  <c r="AB202" i="39"/>
  <c r="AD202" i="39" s="1"/>
  <c r="AC202" i="39"/>
  <c r="AA203" i="39"/>
  <c r="AB203" i="39"/>
  <c r="AC203" i="39"/>
  <c r="AD203" i="39"/>
  <c r="AB24" i="39"/>
  <c r="AC24" i="39"/>
  <c r="AD24" i="39"/>
  <c r="Z24" i="39"/>
  <c r="AA24" i="39"/>
  <c r="Z25" i="39"/>
  <c r="Z26" i="39"/>
  <c r="Z27" i="39"/>
  <c r="Z28" i="39"/>
  <c r="AD23" i="39"/>
  <c r="AN14" i="39"/>
  <c r="AN15" i="39"/>
  <c r="AN13" i="39"/>
  <c r="AP14" i="39"/>
  <c r="AP15" i="39"/>
  <c r="AP13" i="39"/>
  <c r="U43" i="39" s="1"/>
  <c r="U44" i="39" s="1"/>
  <c r="U45" i="39" s="1"/>
  <c r="Q9" i="9"/>
  <c r="Q10" i="9"/>
  <c r="Q11" i="9"/>
  <c r="Q12" i="9"/>
  <c r="Q13" i="9"/>
  <c r="Q14" i="9"/>
  <c r="Q15" i="9"/>
  <c r="Q8" i="9"/>
  <c r="D16" i="31"/>
  <c r="D13" i="31" s="1"/>
  <c r="L46" i="11"/>
  <c r="G18" i="18"/>
  <c r="H27" i="11"/>
  <c r="I27" i="11"/>
  <c r="J27" i="11"/>
  <c r="K27" i="11"/>
  <c r="M59" i="11"/>
  <c r="G89" i="9"/>
  <c r="H75" i="9"/>
  <c r="N7" i="9"/>
  <c r="O7" i="9"/>
  <c r="P7" i="9"/>
  <c r="N8" i="9"/>
  <c r="O8" i="9"/>
  <c r="P8" i="9"/>
  <c r="N9" i="9"/>
  <c r="O9" i="9"/>
  <c r="P9" i="9"/>
  <c r="N10" i="9"/>
  <c r="O10" i="9"/>
  <c r="P10" i="9"/>
  <c r="N11" i="9"/>
  <c r="O11" i="9"/>
  <c r="P11" i="9"/>
  <c r="N12" i="9"/>
  <c r="O12" i="9"/>
  <c r="P12" i="9"/>
  <c r="N13" i="9"/>
  <c r="O13" i="9"/>
  <c r="P13" i="9"/>
  <c r="N14" i="9"/>
  <c r="O14" i="9"/>
  <c r="P14" i="9"/>
  <c r="AC41" i="24"/>
  <c r="AG8" i="24"/>
  <c r="AF8" i="24"/>
  <c r="G190" i="47"/>
  <c r="F190" i="47"/>
  <c r="G189" i="47"/>
  <c r="F189" i="47"/>
  <c r="G188" i="47"/>
  <c r="F188" i="47"/>
  <c r="G187" i="47"/>
  <c r="F187" i="47"/>
  <c r="G186" i="47"/>
  <c r="F186" i="47"/>
  <c r="G185" i="47"/>
  <c r="F185" i="47"/>
  <c r="G184" i="47"/>
  <c r="F184" i="47"/>
  <c r="G183" i="47"/>
  <c r="F183" i="47"/>
  <c r="G182" i="47"/>
  <c r="F182" i="47"/>
  <c r="G181" i="47"/>
  <c r="F181" i="47"/>
  <c r="G180" i="47"/>
  <c r="F180" i="47"/>
  <c r="G179" i="47"/>
  <c r="F179" i="47"/>
  <c r="G178" i="47"/>
  <c r="F178" i="47"/>
  <c r="G177" i="47"/>
  <c r="F177" i="47"/>
  <c r="G176" i="47"/>
  <c r="F176" i="47"/>
  <c r="G175" i="47"/>
  <c r="F175" i="47"/>
  <c r="G174" i="47"/>
  <c r="F174" i="47"/>
  <c r="G173" i="47"/>
  <c r="F173" i="47"/>
  <c r="G172" i="47"/>
  <c r="F172" i="47"/>
  <c r="G171" i="47"/>
  <c r="F171" i="47"/>
  <c r="G170" i="47"/>
  <c r="F170" i="47"/>
  <c r="G169" i="47"/>
  <c r="F169" i="47"/>
  <c r="G168" i="47"/>
  <c r="F168" i="47"/>
  <c r="G167" i="47"/>
  <c r="F167" i="47"/>
  <c r="E194" i="47"/>
  <c r="E201" i="47"/>
  <c r="E204" i="47"/>
  <c r="E203" i="47"/>
  <c r="E199" i="47"/>
  <c r="E198" i="47"/>
  <c r="E197" i="47"/>
  <c r="E192" i="47"/>
  <c r="E196" i="47"/>
  <c r="E193" i="47"/>
  <c r="E195" i="47"/>
  <c r="E202" i="47"/>
  <c r="H16" i="43"/>
  <c r="H15" i="43"/>
  <c r="H14" i="43"/>
  <c r="H10" i="43"/>
  <c r="H9" i="43"/>
  <c r="H8" i="43"/>
  <c r="Z203" i="39"/>
  <c r="Z202" i="39"/>
  <c r="Z201" i="39"/>
  <c r="Z200" i="39"/>
  <c r="Z199" i="39"/>
  <c r="Z198" i="39"/>
  <c r="Z197" i="39"/>
  <c r="Z196" i="39"/>
  <c r="Z195" i="39"/>
  <c r="Z194" i="39"/>
  <c r="Z193" i="39"/>
  <c r="Z192" i="39"/>
  <c r="Z191" i="39"/>
  <c r="Z190" i="39"/>
  <c r="Z189" i="39"/>
  <c r="Z188" i="39"/>
  <c r="Z187" i="39"/>
  <c r="Z186" i="39"/>
  <c r="Z185" i="39"/>
  <c r="Z184" i="39"/>
  <c r="Z183" i="39"/>
  <c r="Z182" i="39"/>
  <c r="Z181" i="39"/>
  <c r="Z180" i="39"/>
  <c r="Z179" i="39"/>
  <c r="Z178" i="39"/>
  <c r="Z177" i="39"/>
  <c r="Z176" i="39"/>
  <c r="Z175" i="39"/>
  <c r="Z174" i="39"/>
  <c r="Z173" i="39"/>
  <c r="Z172" i="39"/>
  <c r="Z171" i="39"/>
  <c r="Z170" i="39"/>
  <c r="Z169" i="39"/>
  <c r="Z168" i="39"/>
  <c r="Z167" i="39"/>
  <c r="Z166" i="39"/>
  <c r="Z165" i="39"/>
  <c r="Z164" i="39"/>
  <c r="Z163" i="39"/>
  <c r="Z162" i="39"/>
  <c r="Z161" i="39"/>
  <c r="Z160" i="39"/>
  <c r="Z159" i="39"/>
  <c r="Z158" i="39"/>
  <c r="Z157" i="39"/>
  <c r="Z156" i="39"/>
  <c r="Z155" i="39"/>
  <c r="Z154" i="39"/>
  <c r="Z153" i="39"/>
  <c r="Z152" i="39"/>
  <c r="Z151" i="39"/>
  <c r="Z150" i="39"/>
  <c r="Z149" i="39"/>
  <c r="Z148" i="39"/>
  <c r="Z147" i="39"/>
  <c r="Z146" i="39"/>
  <c r="Z145" i="39"/>
  <c r="Z144" i="39"/>
  <c r="Z143" i="39"/>
  <c r="Z142" i="39"/>
  <c r="Z141" i="39"/>
  <c r="Z140" i="39"/>
  <c r="Z139" i="39"/>
  <c r="Z138" i="39"/>
  <c r="Z137" i="39"/>
  <c r="Z136" i="39"/>
  <c r="Z135" i="39"/>
  <c r="Z134" i="39"/>
  <c r="Z133" i="39"/>
  <c r="Z132" i="39"/>
  <c r="Z131" i="39"/>
  <c r="Z130" i="39"/>
  <c r="Z129" i="39"/>
  <c r="Z128" i="39"/>
  <c r="Z127" i="39"/>
  <c r="Z126" i="39"/>
  <c r="Z125" i="39"/>
  <c r="Z124" i="39"/>
  <c r="Z123" i="39"/>
  <c r="Z122" i="39"/>
  <c r="Z121" i="39"/>
  <c r="Z120" i="39"/>
  <c r="Z119" i="39"/>
  <c r="Z118" i="39"/>
  <c r="Z117" i="39"/>
  <c r="Z116" i="39"/>
  <c r="Z115" i="39"/>
  <c r="Z114" i="39"/>
  <c r="Z113" i="39"/>
  <c r="Z112" i="39"/>
  <c r="Z111" i="39"/>
  <c r="Z110" i="39"/>
  <c r="Z109" i="39"/>
  <c r="Z108" i="39"/>
  <c r="Z107" i="39"/>
  <c r="Z106" i="39"/>
  <c r="Z105" i="39"/>
  <c r="Z104" i="39"/>
  <c r="Z103" i="39"/>
  <c r="Z102" i="39"/>
  <c r="Z101" i="39"/>
  <c r="Z100" i="39"/>
  <c r="Z99" i="39"/>
  <c r="Z98" i="39"/>
  <c r="Z97" i="39"/>
  <c r="Z96" i="39"/>
  <c r="Z95" i="39"/>
  <c r="Z94" i="39"/>
  <c r="Z93" i="39"/>
  <c r="Z92" i="39"/>
  <c r="Z91" i="39"/>
  <c r="Z90" i="39"/>
  <c r="Z89" i="39"/>
  <c r="Z88" i="39"/>
  <c r="Z87" i="39"/>
  <c r="Z86" i="39"/>
  <c r="Z85" i="39"/>
  <c r="Z84" i="39"/>
  <c r="Z83" i="39"/>
  <c r="Z82" i="39"/>
  <c r="Z81" i="39"/>
  <c r="Z80" i="39"/>
  <c r="Z79" i="39"/>
  <c r="Z78" i="39"/>
  <c r="Z77" i="39"/>
  <c r="Z76" i="39"/>
  <c r="Z75" i="39"/>
  <c r="Z74" i="39"/>
  <c r="Z73" i="39"/>
  <c r="Z72" i="39"/>
  <c r="Z71" i="39"/>
  <c r="Z70" i="39"/>
  <c r="Z69" i="39"/>
  <c r="Z68" i="39"/>
  <c r="Z67" i="39"/>
  <c r="Z66" i="39"/>
  <c r="Z65" i="39"/>
  <c r="Z64" i="39"/>
  <c r="Z63" i="39"/>
  <c r="Z62" i="39"/>
  <c r="Z61" i="39"/>
  <c r="Z60" i="39"/>
  <c r="Z59" i="39"/>
  <c r="Z58" i="39"/>
  <c r="Z57" i="39"/>
  <c r="Z56" i="39"/>
  <c r="Z55" i="39"/>
  <c r="Z54" i="39"/>
  <c r="Z53" i="39"/>
  <c r="Z52" i="39"/>
  <c r="Z51" i="39"/>
  <c r="Z50" i="39"/>
  <c r="Z49" i="39"/>
  <c r="Z48" i="39"/>
  <c r="Z47" i="39"/>
  <c r="Z46" i="39"/>
  <c r="Z45" i="39"/>
  <c r="Z44" i="39"/>
  <c r="Z43" i="39"/>
  <c r="Z42" i="39"/>
  <c r="Z41" i="39"/>
  <c r="Z40" i="39"/>
  <c r="Z39" i="39"/>
  <c r="Z38" i="39"/>
  <c r="Z37" i="39"/>
  <c r="Z36" i="39"/>
  <c r="Z35" i="39"/>
  <c r="Z34" i="39"/>
  <c r="Z33" i="39"/>
  <c r="Z32" i="39"/>
  <c r="Z31" i="39"/>
  <c r="Z30" i="39"/>
  <c r="Z29" i="39"/>
  <c r="AA23" i="39"/>
  <c r="Z23" i="39"/>
  <c r="AC23" i="39" s="1"/>
  <c r="L3" i="33"/>
  <c r="J3" i="33"/>
  <c r="M38" i="33"/>
  <c r="N38" i="33"/>
  <c r="N37" i="33"/>
  <c r="M37" i="33"/>
  <c r="M36" i="33"/>
  <c r="N36" i="33"/>
  <c r="M35" i="33"/>
  <c r="M34" i="33"/>
  <c r="M33" i="33"/>
  <c r="M32" i="33"/>
  <c r="M31" i="33"/>
  <c r="M30" i="33"/>
  <c r="M29" i="33"/>
  <c r="M28" i="33"/>
  <c r="M27" i="33"/>
  <c r="M26" i="33"/>
  <c r="N26" i="33"/>
  <c r="N25" i="33"/>
  <c r="M25" i="33"/>
  <c r="M24" i="33"/>
  <c r="N24" i="33"/>
  <c r="N23" i="33"/>
  <c r="M23" i="33"/>
  <c r="M22" i="33"/>
  <c r="N22" i="33"/>
  <c r="N21" i="33"/>
  <c r="M21" i="33"/>
  <c r="M20" i="33"/>
  <c r="N20" i="33"/>
  <c r="N19" i="33"/>
  <c r="M19" i="33"/>
  <c r="M18" i="33"/>
  <c r="N18" i="33"/>
  <c r="N17" i="33"/>
  <c r="M17" i="33"/>
  <c r="M16" i="33"/>
  <c r="N16" i="33"/>
  <c r="N15" i="33"/>
  <c r="M15" i="33"/>
  <c r="M14" i="33"/>
  <c r="N14" i="33"/>
  <c r="N13" i="33"/>
  <c r="M13" i="33"/>
  <c r="M12" i="33"/>
  <c r="N12" i="33"/>
  <c r="N11" i="33"/>
  <c r="M11" i="33"/>
  <c r="M10" i="33"/>
  <c r="N10" i="33"/>
  <c r="N9" i="33"/>
  <c r="M9" i="33"/>
  <c r="M8" i="33"/>
  <c r="N8" i="33"/>
  <c r="N7" i="33"/>
  <c r="M7" i="33"/>
  <c r="M6" i="33"/>
  <c r="N6" i="33"/>
  <c r="N5" i="33"/>
  <c r="M5" i="33"/>
  <c r="M4" i="33"/>
  <c r="N4" i="33"/>
  <c r="N3" i="33"/>
  <c r="M3" i="33"/>
  <c r="L38" i="33"/>
  <c r="L37" i="33"/>
  <c r="L36" i="33"/>
  <c r="L26" i="33"/>
  <c r="L25" i="33"/>
  <c r="L24" i="33"/>
  <c r="L23" i="33"/>
  <c r="L22" i="33"/>
  <c r="L21" i="33"/>
  <c r="L20" i="33"/>
  <c r="L19" i="33"/>
  <c r="L18" i="33"/>
  <c r="L17" i="33"/>
  <c r="L16" i="33"/>
  <c r="L15" i="33"/>
  <c r="L14" i="33"/>
  <c r="L13" i="33"/>
  <c r="L12" i="33"/>
  <c r="L11" i="33"/>
  <c r="L10" i="33"/>
  <c r="L9" i="33"/>
  <c r="L8" i="33"/>
  <c r="L7" i="33"/>
  <c r="L6" i="33"/>
  <c r="L5" i="33"/>
  <c r="L4" i="33"/>
  <c r="J38" i="33"/>
  <c r="J37" i="33"/>
  <c r="J36" i="33"/>
  <c r="J35" i="33"/>
  <c r="N35" i="33"/>
  <c r="J34" i="33"/>
  <c r="N34" i="33"/>
  <c r="J33" i="33"/>
  <c r="N33" i="33"/>
  <c r="J32" i="33"/>
  <c r="N32" i="33"/>
  <c r="J31" i="33"/>
  <c r="N31" i="33"/>
  <c r="J30" i="33"/>
  <c r="N30" i="33"/>
  <c r="J29" i="33"/>
  <c r="N29" i="33"/>
  <c r="J28" i="33"/>
  <c r="N28" i="33"/>
  <c r="J27" i="33"/>
  <c r="N27" i="33"/>
  <c r="J26" i="33"/>
  <c r="J25" i="33"/>
  <c r="J24" i="33"/>
  <c r="J23" i="33"/>
  <c r="J22" i="33"/>
  <c r="J21" i="33"/>
  <c r="J20" i="33"/>
  <c r="J19" i="33"/>
  <c r="J18" i="33"/>
  <c r="J17" i="33"/>
  <c r="J16" i="33"/>
  <c r="J15" i="33"/>
  <c r="J14" i="33"/>
  <c r="J13" i="33"/>
  <c r="J12" i="33"/>
  <c r="J11" i="33"/>
  <c r="J10" i="33"/>
  <c r="J9" i="33"/>
  <c r="J8" i="33"/>
  <c r="J7" i="33"/>
  <c r="J6" i="33"/>
  <c r="J5" i="33"/>
  <c r="J4" i="33"/>
  <c r="K38" i="33"/>
  <c r="K37" i="33"/>
  <c r="K36" i="33"/>
  <c r="K35" i="33"/>
  <c r="L35" i="33"/>
  <c r="K34" i="33"/>
  <c r="L34" i="33"/>
  <c r="K33" i="33"/>
  <c r="L33" i="33"/>
  <c r="K32" i="33"/>
  <c r="L32" i="33"/>
  <c r="K31" i="33"/>
  <c r="L31" i="33"/>
  <c r="K30" i="33"/>
  <c r="L30" i="33"/>
  <c r="K29" i="33"/>
  <c r="L29" i="33"/>
  <c r="K28" i="33"/>
  <c r="L28" i="33"/>
  <c r="K27" i="33"/>
  <c r="L27" i="33"/>
  <c r="K26" i="33"/>
  <c r="K25" i="33"/>
  <c r="K24" i="33"/>
  <c r="K23" i="33"/>
  <c r="K22" i="33"/>
  <c r="K21" i="33"/>
  <c r="K20" i="33"/>
  <c r="K19" i="33"/>
  <c r="K18" i="33"/>
  <c r="K17" i="33"/>
  <c r="K16" i="33"/>
  <c r="K15" i="33"/>
  <c r="K14" i="33"/>
  <c r="K13" i="33"/>
  <c r="K12" i="33"/>
  <c r="K11" i="33"/>
  <c r="K10" i="33"/>
  <c r="K9" i="33"/>
  <c r="K8" i="33"/>
  <c r="K7" i="33"/>
  <c r="K6" i="33"/>
  <c r="K5" i="33"/>
  <c r="K4" i="33"/>
  <c r="K3" i="33"/>
  <c r="G27" i="11"/>
  <c r="K37" i="11"/>
  <c r="J37" i="11"/>
  <c r="I37" i="11"/>
  <c r="H37" i="11"/>
  <c r="K32" i="11"/>
  <c r="J32" i="11"/>
  <c r="I32" i="11"/>
  <c r="H32" i="11"/>
  <c r="B12" i="18"/>
  <c r="H22" i="11"/>
  <c r="B15" i="18"/>
  <c r="K22" i="11"/>
  <c r="B14" i="18"/>
  <c r="E14" i="18"/>
  <c r="J56" i="11"/>
  <c r="B13" i="18"/>
  <c r="I22" i="11"/>
  <c r="C27" i="18"/>
  <c r="D27" i="18"/>
  <c r="C28" i="18"/>
  <c r="D28" i="18"/>
  <c r="C29" i="18"/>
  <c r="D29" i="18"/>
  <c r="L59" i="11"/>
  <c r="K59" i="11"/>
  <c r="J59" i="11"/>
  <c r="I59" i="11"/>
  <c r="H59" i="11"/>
  <c r="J41" i="11"/>
  <c r="I41" i="11"/>
  <c r="J36" i="11"/>
  <c r="I36" i="11"/>
  <c r="J31" i="11"/>
  <c r="I31" i="11"/>
  <c r="I21" i="11"/>
  <c r="J17" i="11"/>
  <c r="I17" i="11"/>
  <c r="J13" i="11"/>
  <c r="I13" i="11"/>
  <c r="K46" i="11"/>
  <c r="J46" i="11"/>
  <c r="I46" i="11"/>
  <c r="H46" i="11"/>
  <c r="K45" i="11"/>
  <c r="J45" i="11"/>
  <c r="I45" i="11"/>
  <c r="H45" i="11"/>
  <c r="H41" i="11"/>
  <c r="H36" i="11"/>
  <c r="H31" i="11"/>
  <c r="H21" i="11"/>
  <c r="H17" i="11"/>
  <c r="H13" i="11"/>
  <c r="D33" i="17"/>
  <c r="H33" i="9"/>
  <c r="J15" i="9"/>
  <c r="P15" i="9"/>
  <c r="G13" i="9"/>
  <c r="H55" i="11"/>
  <c r="G14" i="9"/>
  <c r="I8" i="11"/>
  <c r="G12" i="9"/>
  <c r="G8" i="11"/>
  <c r="B26" i="18"/>
  <c r="C7" i="31"/>
  <c r="AF15" i="24"/>
  <c r="AG15" i="24"/>
  <c r="AF16" i="24"/>
  <c r="AG16" i="24"/>
  <c r="AF17" i="24"/>
  <c r="AG17" i="24"/>
  <c r="AF18" i="24"/>
  <c r="AG18" i="24"/>
  <c r="AF19" i="24"/>
  <c r="AG19" i="24"/>
  <c r="AF13" i="24"/>
  <c r="AG13" i="24"/>
  <c r="AG14" i="24"/>
  <c r="AF14" i="24"/>
  <c r="AG12" i="24"/>
  <c r="AF9" i="24"/>
  <c r="AG9" i="24"/>
  <c r="AF10" i="24"/>
  <c r="AG10" i="24"/>
  <c r="AF11" i="24"/>
  <c r="AG11" i="24"/>
  <c r="AF12" i="24"/>
  <c r="Z41" i="24"/>
  <c r="AA41" i="24"/>
  <c r="AB41" i="24"/>
  <c r="AD41" i="24"/>
  <c r="Z21" i="24"/>
  <c r="AA21" i="24"/>
  <c r="AB21" i="24"/>
  <c r="AC21" i="24"/>
  <c r="AD21" i="24"/>
  <c r="G90" i="9"/>
  <c r="H90" i="9" s="1"/>
  <c r="G18" i="32"/>
  <c r="F18" i="32"/>
  <c r="G16" i="32"/>
  <c r="F16" i="32"/>
  <c r="G14" i="32"/>
  <c r="F14" i="32"/>
  <c r="G12" i="32"/>
  <c r="F12" i="32"/>
  <c r="G10" i="32"/>
  <c r="F10" i="32"/>
  <c r="G8" i="32"/>
  <c r="F8" i="32"/>
  <c r="O42" i="29"/>
  <c r="G6" i="32"/>
  <c r="G24" i="32"/>
  <c r="F6" i="32"/>
  <c r="F24" i="32"/>
  <c r="Y8" i="29"/>
  <c r="Y19" i="29"/>
  <c r="N25" i="11"/>
  <c r="N59" i="11"/>
  <c r="M25" i="11"/>
  <c r="I75" i="9"/>
  <c r="I89" i="9"/>
  <c r="J75" i="9"/>
  <c r="J33" i="9"/>
  <c r="F37" i="11"/>
  <c r="E37" i="11"/>
  <c r="D37" i="11"/>
  <c r="D23" i="18"/>
  <c r="F32" i="11"/>
  <c r="C32" i="11"/>
  <c r="E32" i="11"/>
  <c r="C22" i="11"/>
  <c r="C26" i="11"/>
  <c r="C60" i="11"/>
  <c r="F21" i="11"/>
  <c r="J31" i="9"/>
  <c r="J30" i="9"/>
  <c r="J43" i="9"/>
  <c r="C21" i="11"/>
  <c r="J29" i="9"/>
  <c r="G41" i="11"/>
  <c r="E41" i="11"/>
  <c r="E50" i="11" s="1"/>
  <c r="E65" i="11" s="1"/>
  <c r="L33" i="9"/>
  <c r="L32" i="9"/>
  <c r="E36" i="11"/>
  <c r="D36" i="11"/>
  <c r="E31" i="11"/>
  <c r="D31" i="11"/>
  <c r="I31" i="9"/>
  <c r="D17" i="11"/>
  <c r="C17" i="11"/>
  <c r="G13" i="11"/>
  <c r="C13" i="11"/>
  <c r="G59" i="11"/>
  <c r="F59" i="11"/>
  <c r="E59" i="11"/>
  <c r="D59" i="11"/>
  <c r="C59" i="11"/>
  <c r="B59" i="11"/>
  <c r="D52" i="29"/>
  <c r="C53" i="29"/>
  <c r="D51" i="29"/>
  <c r="D50" i="29"/>
  <c r="D27" i="11"/>
  <c r="B16" i="11"/>
  <c r="B17" i="11"/>
  <c r="E5" i="18"/>
  <c r="F12" i="11"/>
  <c r="E27" i="11"/>
  <c r="G7" i="9"/>
  <c r="B55" i="11" s="1"/>
  <c r="B22" i="11"/>
  <c r="E35" i="11"/>
  <c r="B40" i="11"/>
  <c r="E25" i="17"/>
  <c r="G16" i="11"/>
  <c r="G30" i="11"/>
  <c r="B31" i="17"/>
  <c r="F27" i="11"/>
  <c r="F40" i="11"/>
  <c r="H31" i="9"/>
  <c r="G29" i="17"/>
  <c r="E16" i="11"/>
  <c r="E49" i="11" s="1"/>
  <c r="E64" i="11" s="1"/>
  <c r="D30" i="11"/>
  <c r="H8" i="17"/>
  <c r="C54" i="11"/>
  <c r="D26" i="17"/>
  <c r="B30" i="11"/>
  <c r="B37" i="11"/>
  <c r="B51" i="11"/>
  <c r="B36" i="11"/>
  <c r="G25" i="17"/>
  <c r="C27" i="11"/>
  <c r="C61" i="11"/>
  <c r="C43" i="11"/>
  <c r="B32" i="11"/>
  <c r="B27" i="11"/>
  <c r="B61" i="11"/>
  <c r="D46" i="11"/>
  <c r="C30" i="11"/>
  <c r="W21" i="24"/>
  <c r="Y7" i="29"/>
  <c r="Z7" i="29"/>
  <c r="AA7" i="29"/>
  <c r="AB7" i="29"/>
  <c r="AC7" i="29"/>
  <c r="AD7" i="29"/>
  <c r="AE7" i="29"/>
  <c r="X7" i="29"/>
  <c r="X6" i="29"/>
  <c r="Y6" i="29"/>
  <c r="Z6" i="29"/>
  <c r="AB6" i="29"/>
  <c r="AC6" i="29"/>
  <c r="AD6" i="29"/>
  <c r="AE6" i="29"/>
  <c r="W6" i="29"/>
  <c r="W5" i="29"/>
  <c r="X5" i="29"/>
  <c r="Y5" i="29"/>
  <c r="Z5" i="29"/>
  <c r="AA5" i="29"/>
  <c r="AB5" i="29"/>
  <c r="AC5" i="29"/>
  <c r="AD5" i="29"/>
  <c r="AE5" i="29"/>
  <c r="V5" i="29"/>
  <c r="V4" i="29"/>
  <c r="W4" i="29"/>
  <c r="X4" i="29"/>
  <c r="Y4" i="29"/>
  <c r="Z4" i="29"/>
  <c r="AB4" i="29"/>
  <c r="AC4" i="29"/>
  <c r="AD4" i="29"/>
  <c r="AE4" i="29"/>
  <c r="U4" i="29"/>
  <c r="U3" i="29"/>
  <c r="V3" i="29"/>
  <c r="W3" i="29"/>
  <c r="X3" i="29"/>
  <c r="Y3" i="29"/>
  <c r="Z3" i="29"/>
  <c r="AA3" i="29"/>
  <c r="AB3" i="29"/>
  <c r="AC3" i="29"/>
  <c r="AD3" i="29"/>
  <c r="AE3" i="29"/>
  <c r="T3" i="29"/>
  <c r="L29" i="29"/>
  <c r="L28" i="29"/>
  <c r="K28" i="29"/>
  <c r="V41" i="24"/>
  <c r="Y41" i="24"/>
  <c r="V21" i="24"/>
  <c r="X21" i="24"/>
  <c r="D10" i="28"/>
  <c r="D9" i="28"/>
  <c r="O44" i="29"/>
  <c r="O43" i="29"/>
  <c r="AE13" i="29"/>
  <c r="N43" i="29"/>
  <c r="AD12" i="29"/>
  <c r="L39" i="29"/>
  <c r="K39" i="29"/>
  <c r="J39" i="29"/>
  <c r="I39" i="29"/>
  <c r="AC11" i="29"/>
  <c r="AC9" i="29"/>
  <c r="AD8" i="29"/>
  <c r="K31" i="29"/>
  <c r="J31" i="29"/>
  <c r="I31" i="29"/>
  <c r="M29" i="29"/>
  <c r="M28" i="29"/>
  <c r="M27" i="29"/>
  <c r="O20" i="29"/>
  <c r="N20" i="29"/>
  <c r="M20" i="29"/>
  <c r="L20" i="29"/>
  <c r="K20" i="29"/>
  <c r="J20" i="29"/>
  <c r="I20" i="29"/>
  <c r="H20" i="29"/>
  <c r="G20" i="29"/>
  <c r="F20" i="29"/>
  <c r="E20" i="29"/>
  <c r="D20" i="29"/>
  <c r="X19" i="29"/>
  <c r="X22" i="29"/>
  <c r="W19" i="29"/>
  <c r="W22" i="29"/>
  <c r="V19" i="29"/>
  <c r="U19" i="29"/>
  <c r="T19" i="29"/>
  <c r="O19" i="29"/>
  <c r="N19" i="29"/>
  <c r="N21" i="29"/>
  <c r="M19" i="29"/>
  <c r="L19" i="29"/>
  <c r="L21" i="29"/>
  <c r="K19" i="29"/>
  <c r="AA6" i="29"/>
  <c r="J19" i="29"/>
  <c r="J21" i="29"/>
  <c r="I19" i="29"/>
  <c r="H19" i="29"/>
  <c r="H21" i="29"/>
  <c r="G19" i="29"/>
  <c r="F19" i="29"/>
  <c r="F21" i="29"/>
  <c r="E19" i="29"/>
  <c r="D19" i="29"/>
  <c r="D21" i="29"/>
  <c r="Y18" i="29"/>
  <c r="X18" i="29"/>
  <c r="X20" i="29"/>
  <c r="W18" i="29"/>
  <c r="V18" i="29"/>
  <c r="O18" i="29"/>
  <c r="N18" i="29"/>
  <c r="M18" i="29"/>
  <c r="L18" i="29"/>
  <c r="K18" i="29"/>
  <c r="J18" i="29"/>
  <c r="I18" i="29"/>
  <c r="H18" i="29"/>
  <c r="G18" i="29"/>
  <c r="F18" i="29"/>
  <c r="E18" i="29"/>
  <c r="D18" i="29"/>
  <c r="O17" i="29"/>
  <c r="N17" i="29"/>
  <c r="M17" i="29"/>
  <c r="L17" i="29"/>
  <c r="K17" i="29"/>
  <c r="AA4" i="29"/>
  <c r="J17" i="29"/>
  <c r="I17" i="29"/>
  <c r="H17" i="29"/>
  <c r="G17" i="29"/>
  <c r="F17" i="29"/>
  <c r="E17" i="29"/>
  <c r="D17" i="29"/>
  <c r="O16" i="29"/>
  <c r="O21" i="29"/>
  <c r="N16" i="29"/>
  <c r="M16" i="29"/>
  <c r="M21" i="29"/>
  <c r="L16" i="29"/>
  <c r="K16" i="29"/>
  <c r="J16" i="29"/>
  <c r="I16" i="29"/>
  <c r="I21" i="29"/>
  <c r="H16" i="29"/>
  <c r="G16" i="29"/>
  <c r="G21" i="29"/>
  <c r="F16" i="29"/>
  <c r="E16" i="29"/>
  <c r="E21" i="29"/>
  <c r="D16" i="29"/>
  <c r="X15" i="29"/>
  <c r="W15" i="29"/>
  <c r="V15" i="29"/>
  <c r="U15" i="29"/>
  <c r="AE14" i="29"/>
  <c r="AE22" i="29"/>
  <c r="AD13" i="29"/>
  <c r="AD22" i="29"/>
  <c r="AB11" i="29"/>
  <c r="AB19" i="29"/>
  <c r="AB22" i="29"/>
  <c r="AC10" i="29"/>
  <c r="AB10" i="29"/>
  <c r="AA10" i="29"/>
  <c r="AA19" i="29"/>
  <c r="Z10" i="29"/>
  <c r="O10" i="29"/>
  <c r="N10" i="29"/>
  <c r="M10" i="29"/>
  <c r="L10" i="29"/>
  <c r="K10" i="29"/>
  <c r="J10" i="29"/>
  <c r="I10" i="29"/>
  <c r="H10" i="29"/>
  <c r="G10" i="29"/>
  <c r="F10" i="29"/>
  <c r="E10" i="29"/>
  <c r="D10" i="29"/>
  <c r="AE9" i="29"/>
  <c r="AD9" i="29"/>
  <c r="AB9" i="29"/>
  <c r="AA9" i="29"/>
  <c r="AA18" i="29"/>
  <c r="Z9" i="29"/>
  <c r="Z19" i="29"/>
  <c r="Y9" i="29"/>
  <c r="Y15" i="29"/>
  <c r="AC8" i="29"/>
  <c r="AB8" i="29"/>
  <c r="AA8" i="29"/>
  <c r="Z8" i="29"/>
  <c r="Z18" i="29"/>
  <c r="M30" i="29"/>
  <c r="AC12" i="29"/>
  <c r="AC19" i="29"/>
  <c r="L31" i="29"/>
  <c r="B150" i="26"/>
  <c r="B151" i="26"/>
  <c r="B152" i="26"/>
  <c r="B153" i="26"/>
  <c r="B154" i="26"/>
  <c r="B155" i="26"/>
  <c r="B156" i="26"/>
  <c r="B157" i="26"/>
  <c r="B158" i="26"/>
  <c r="B159" i="26"/>
  <c r="B160" i="26"/>
  <c r="B149" i="26"/>
  <c r="B138" i="26"/>
  <c r="B139" i="26"/>
  <c r="B140" i="26"/>
  <c r="B141" i="26"/>
  <c r="B142" i="26"/>
  <c r="B143" i="26"/>
  <c r="B144" i="26"/>
  <c r="B145" i="26"/>
  <c r="B146" i="26"/>
  <c r="B147" i="26"/>
  <c r="B148" i="26"/>
  <c r="B137" i="26"/>
  <c r="B126" i="26"/>
  <c r="B127" i="26"/>
  <c r="B128" i="26"/>
  <c r="B129" i="26"/>
  <c r="B130" i="26"/>
  <c r="B131" i="26"/>
  <c r="B132" i="26"/>
  <c r="B133" i="26"/>
  <c r="B134" i="26"/>
  <c r="B135" i="26"/>
  <c r="B136" i="26"/>
  <c r="B125" i="26"/>
  <c r="B114" i="26"/>
  <c r="B115" i="26"/>
  <c r="B116" i="26"/>
  <c r="B117" i="26"/>
  <c r="B118" i="26"/>
  <c r="B119" i="26"/>
  <c r="B120" i="26"/>
  <c r="B121" i="26"/>
  <c r="B122" i="26"/>
  <c r="B123" i="26"/>
  <c r="B124" i="26"/>
  <c r="B113" i="26"/>
  <c r="B102" i="26"/>
  <c r="B103" i="26"/>
  <c r="B104" i="26"/>
  <c r="B105" i="26"/>
  <c r="B106" i="26"/>
  <c r="B107" i="26"/>
  <c r="B108" i="26"/>
  <c r="B109" i="26"/>
  <c r="B110" i="26"/>
  <c r="B111" i="26"/>
  <c r="B112" i="26"/>
  <c r="B101" i="26"/>
  <c r="B90" i="26"/>
  <c r="B91" i="26"/>
  <c r="B92" i="26"/>
  <c r="B93" i="26"/>
  <c r="B94" i="26"/>
  <c r="B95" i="26"/>
  <c r="B96" i="26"/>
  <c r="B97" i="26"/>
  <c r="B98" i="26"/>
  <c r="B99" i="26"/>
  <c r="B100" i="26"/>
  <c r="B89" i="26"/>
  <c r="B78" i="26"/>
  <c r="B79" i="26"/>
  <c r="B80" i="26"/>
  <c r="B81" i="26"/>
  <c r="B82" i="26"/>
  <c r="B83" i="26"/>
  <c r="B84" i="26"/>
  <c r="B85" i="26"/>
  <c r="B86" i="26"/>
  <c r="B87" i="26"/>
  <c r="B88" i="26"/>
  <c r="B77" i="26"/>
  <c r="B66" i="26"/>
  <c r="B67" i="26"/>
  <c r="B68" i="26"/>
  <c r="B69" i="26"/>
  <c r="B70" i="26"/>
  <c r="B71" i="26"/>
  <c r="B72" i="26"/>
  <c r="B73" i="26"/>
  <c r="B74" i="26"/>
  <c r="B75" i="26"/>
  <c r="B76" i="26"/>
  <c r="B65" i="26"/>
  <c r="B54" i="26"/>
  <c r="B55" i="26"/>
  <c r="B56" i="26"/>
  <c r="B57" i="26"/>
  <c r="B58" i="26"/>
  <c r="B59" i="26"/>
  <c r="B60" i="26"/>
  <c r="B61" i="26"/>
  <c r="B62" i="26"/>
  <c r="B63" i="26"/>
  <c r="B64" i="26"/>
  <c r="B53" i="26"/>
  <c r="C53" i="26"/>
  <c r="C41" i="26"/>
  <c r="B41" i="26"/>
  <c r="C40" i="26"/>
  <c r="G5" i="26"/>
  <c r="G4" i="26"/>
  <c r="G3" i="26"/>
  <c r="F3" i="26"/>
  <c r="D28" i="26"/>
  <c r="C17" i="26"/>
  <c r="B18" i="26"/>
  <c r="B19" i="26"/>
  <c r="B20" i="26"/>
  <c r="B21" i="26"/>
  <c r="B22" i="26"/>
  <c r="B23" i="26"/>
  <c r="B24" i="26"/>
  <c r="B25" i="26"/>
  <c r="B26" i="26"/>
  <c r="B27" i="26"/>
  <c r="B28" i="26"/>
  <c r="B17" i="26"/>
  <c r="H3" i="26"/>
  <c r="E5" i="26"/>
  <c r="E6" i="26"/>
  <c r="E8" i="26"/>
  <c r="E9" i="26"/>
  <c r="E13" i="26"/>
  <c r="E14" i="26"/>
  <c r="D4" i="26"/>
  <c r="E4" i="26"/>
  <c r="H4" i="26"/>
  <c r="C29" i="26"/>
  <c r="B29" i="26"/>
  <c r="D5" i="26"/>
  <c r="D6" i="26"/>
  <c r="D7" i="26"/>
  <c r="E7" i="26"/>
  <c r="D8" i="26"/>
  <c r="D9" i="26"/>
  <c r="D10" i="26"/>
  <c r="E10" i="26"/>
  <c r="D11" i="26"/>
  <c r="E11" i="26"/>
  <c r="D12" i="26"/>
  <c r="E12" i="26"/>
  <c r="D13" i="26"/>
  <c r="D14" i="26"/>
  <c r="D3" i="26"/>
  <c r="E3" i="26"/>
  <c r="A31" i="9"/>
  <c r="A28" i="9"/>
  <c r="A29" i="11"/>
  <c r="E2" i="17"/>
  <c r="C1" i="18" s="1"/>
  <c r="A15" i="11"/>
  <c r="A11" i="11"/>
  <c r="C2" i="17"/>
  <c r="D2" i="17"/>
  <c r="B1" i="18" s="1"/>
  <c r="F2" i="17"/>
  <c r="D1" i="18"/>
  <c r="G2" i="17"/>
  <c r="B2" i="17"/>
  <c r="A39" i="11"/>
  <c r="A34" i="11"/>
  <c r="A19" i="11"/>
  <c r="B42" i="26"/>
  <c r="B43" i="26"/>
  <c r="B44" i="26"/>
  <c r="B45" i="26"/>
  <c r="B46" i="26"/>
  <c r="B47" i="26"/>
  <c r="B48" i="26"/>
  <c r="B49" i="26"/>
  <c r="B50" i="26"/>
  <c r="B51" i="26"/>
  <c r="B52" i="26"/>
  <c r="B30" i="26"/>
  <c r="B31" i="26"/>
  <c r="B32" i="26"/>
  <c r="B33" i="26"/>
  <c r="B34" i="26"/>
  <c r="B35" i="26"/>
  <c r="B36" i="26"/>
  <c r="B37" i="26"/>
  <c r="B38" i="26"/>
  <c r="B39" i="26"/>
  <c r="B40" i="26"/>
  <c r="C52" i="26"/>
  <c r="D40" i="26"/>
  <c r="C28" i="26"/>
  <c r="H5" i="26"/>
  <c r="F4" i="26"/>
  <c r="D52" i="26"/>
  <c r="F5" i="26"/>
  <c r="G6" i="26"/>
  <c r="H6" i="26"/>
  <c r="C64" i="26"/>
  <c r="D64" i="26"/>
  <c r="F6" i="26"/>
  <c r="G7" i="26"/>
  <c r="H7" i="26"/>
  <c r="C65" i="26"/>
  <c r="C76" i="26"/>
  <c r="D76" i="26"/>
  <c r="F7" i="26"/>
  <c r="G8" i="26"/>
  <c r="H8" i="26"/>
  <c r="C77" i="26"/>
  <c r="D88" i="26"/>
  <c r="F8" i="26"/>
  <c r="G9" i="26"/>
  <c r="H9" i="26"/>
  <c r="C89" i="26"/>
  <c r="C88" i="26"/>
  <c r="C100" i="26"/>
  <c r="D100" i="26"/>
  <c r="F9" i="26"/>
  <c r="G10" i="26"/>
  <c r="H10" i="26"/>
  <c r="C101" i="26"/>
  <c r="D112" i="26"/>
  <c r="F10" i="26"/>
  <c r="G11" i="26"/>
  <c r="H11" i="26"/>
  <c r="C113" i="26"/>
  <c r="C112" i="26"/>
  <c r="D124" i="26"/>
  <c r="F11" i="26"/>
  <c r="G12" i="26"/>
  <c r="H12" i="26"/>
  <c r="C125" i="26"/>
  <c r="C124" i="26"/>
  <c r="C136" i="26"/>
  <c r="D136" i="26"/>
  <c r="F12" i="26"/>
  <c r="G13" i="26"/>
  <c r="H13" i="26"/>
  <c r="C137" i="26"/>
  <c r="C148" i="26"/>
  <c r="D148" i="26"/>
  <c r="F13" i="26"/>
  <c r="G14" i="26"/>
  <c r="H14" i="26"/>
  <c r="C149" i="26"/>
  <c r="D160" i="26"/>
  <c r="F14" i="26"/>
  <c r="C160" i="26"/>
  <c r="V22" i="29"/>
  <c r="X21" i="29"/>
  <c r="X23" i="29"/>
  <c r="U23" i="29"/>
  <c r="U22" i="29"/>
  <c r="V20" i="29"/>
  <c r="V21" i="29"/>
  <c r="V23" i="29"/>
  <c r="U20" i="29"/>
  <c r="U21" i="29" s="1"/>
  <c r="M31" i="29"/>
  <c r="W41" i="24"/>
  <c r="Y21" i="24"/>
  <c r="X41" i="24"/>
  <c r="C12" i="11"/>
  <c r="E45" i="11"/>
  <c r="E60" i="11"/>
  <c r="D45" i="11"/>
  <c r="F45" i="11"/>
  <c r="B26" i="11"/>
  <c r="C40" i="11"/>
  <c r="D26" i="11"/>
  <c r="E26" i="11"/>
  <c r="F26" i="11"/>
  <c r="B31" i="11"/>
  <c r="T22" i="29"/>
  <c r="T23" i="29"/>
  <c r="W23" i="29"/>
  <c r="W20" i="29"/>
  <c r="W21" i="29"/>
  <c r="T20" i="29"/>
  <c r="T21" i="29"/>
  <c r="C24" i="18"/>
  <c r="B21" i="11"/>
  <c r="K77" i="9"/>
  <c r="M77" i="9"/>
  <c r="H77" i="9"/>
  <c r="AC22" i="29"/>
  <c r="D8" i="28"/>
  <c r="AE12" i="29"/>
  <c r="K76" i="9"/>
  <c r="L76" i="9"/>
  <c r="K21" i="29"/>
  <c r="D7" i="28"/>
  <c r="M39" i="29"/>
  <c r="AC15" i="29"/>
  <c r="AD10" i="29"/>
  <c r="AE10" i="29"/>
  <c r="AB18" i="29"/>
  <c r="AB15" i="29"/>
  <c r="AC18" i="29"/>
  <c r="N39" i="29"/>
  <c r="AE8" i="29"/>
  <c r="AB23" i="29"/>
  <c r="AB20" i="29"/>
  <c r="AA15" i="29"/>
  <c r="AC20" i="29"/>
  <c r="AC21" i="29"/>
  <c r="AC23" i="29"/>
  <c r="AD11" i="29"/>
  <c r="AB21" i="29"/>
  <c r="AD18" i="29"/>
  <c r="AE11" i="29"/>
  <c r="O39" i="29"/>
  <c r="AE18" i="29"/>
  <c r="AD23" i="29"/>
  <c r="AD20" i="29"/>
  <c r="AD21" i="29"/>
  <c r="AE23" i="29"/>
  <c r="AE20" i="29"/>
  <c r="AE21" i="29"/>
  <c r="L77" i="9"/>
  <c r="C23" i="17"/>
  <c r="Z15" i="29"/>
  <c r="AA20" i="29"/>
  <c r="AA21" i="29"/>
  <c r="AA22" i="29"/>
  <c r="AA23" i="29"/>
  <c r="D6" i="28"/>
  <c r="Z20" i="29"/>
  <c r="Z21" i="29"/>
  <c r="Z22" i="29"/>
  <c r="Z23" i="29"/>
  <c r="D5" i="28"/>
  <c r="Y22" i="29"/>
  <c r="Y23" i="29"/>
  <c r="Y20" i="29"/>
  <c r="Y21" i="29"/>
  <c r="D4" i="28"/>
  <c r="H32" i="9"/>
  <c r="E20" i="11"/>
  <c r="B21" i="18"/>
  <c r="D24" i="18"/>
  <c r="D35" i="11"/>
  <c r="I29" i="9"/>
  <c r="C36" i="11"/>
  <c r="G32" i="11"/>
  <c r="L31" i="9"/>
  <c r="L44" i="9" s="1"/>
  <c r="D22" i="11"/>
  <c r="G46" i="11"/>
  <c r="G61" i="11"/>
  <c r="F17" i="11"/>
  <c r="E9" i="18"/>
  <c r="E56" i="11"/>
  <c r="E46" i="11"/>
  <c r="B41" i="11"/>
  <c r="B50" i="11" s="1"/>
  <c r="M28" i="9"/>
  <c r="B27" i="17"/>
  <c r="I30" i="9"/>
  <c r="C41" i="11"/>
  <c r="C50" i="11" s="1"/>
  <c r="J32" i="9"/>
  <c r="J45" i="9" s="1"/>
  <c r="D20" i="11"/>
  <c r="G35" i="11"/>
  <c r="F24" i="17"/>
  <c r="F23" i="17"/>
  <c r="B26" i="17"/>
  <c r="D13" i="11"/>
  <c r="E28" i="17"/>
  <c r="C29" i="17"/>
  <c r="B30" i="17"/>
  <c r="E3" i="18"/>
  <c r="K29" i="9"/>
  <c r="K43" i="9" s="1"/>
  <c r="C31" i="11"/>
  <c r="B20" i="11"/>
  <c r="E13" i="11"/>
  <c r="J28" i="9"/>
  <c r="J42" i="9" s="1"/>
  <c r="M29" i="9"/>
  <c r="E22" i="11"/>
  <c r="B35" i="11"/>
  <c r="C20" i="11"/>
  <c r="C49" i="11" s="1"/>
  <c r="C64" i="11" s="1"/>
  <c r="D27" i="17"/>
  <c r="C31" i="17"/>
  <c r="D16" i="11"/>
  <c r="B24" i="18"/>
  <c r="C5" i="31" s="1"/>
  <c r="C21" i="18"/>
  <c r="D32" i="11"/>
  <c r="D51" i="11" s="1"/>
  <c r="D66" i="11" s="1"/>
  <c r="D28" i="17"/>
  <c r="F41" i="11"/>
  <c r="G8" i="9"/>
  <c r="C55" i="11" s="1"/>
  <c r="B22" i="18"/>
  <c r="C3" i="31" s="1"/>
  <c r="G45" i="11"/>
  <c r="D12" i="11"/>
  <c r="D25" i="17"/>
  <c r="M30" i="9"/>
  <c r="D41" i="11"/>
  <c r="G12" i="11"/>
  <c r="D25" i="18"/>
  <c r="F36" i="11"/>
  <c r="M76" i="9"/>
  <c r="L28" i="9"/>
  <c r="E27" i="17"/>
  <c r="E30" i="17"/>
  <c r="E8" i="18"/>
  <c r="D56" i="11"/>
  <c r="H6" i="17"/>
  <c r="G17" i="11"/>
  <c r="G36" i="11"/>
  <c r="D21" i="11"/>
  <c r="B28" i="17"/>
  <c r="B29" i="17"/>
  <c r="D40" i="11"/>
  <c r="G28" i="17"/>
  <c r="E4" i="18"/>
  <c r="D29" i="17"/>
  <c r="K31" i="9"/>
  <c r="K45" i="9" s="1"/>
  <c r="F46" i="11"/>
  <c r="E10" i="18"/>
  <c r="F56" i="11"/>
  <c r="B12" i="11"/>
  <c r="B49" i="11" s="1"/>
  <c r="B64" i="11" s="1"/>
  <c r="H28" i="9"/>
  <c r="H7" i="17"/>
  <c r="B54" i="11"/>
  <c r="F35" i="11"/>
  <c r="F31" i="17"/>
  <c r="H4" i="17"/>
  <c r="C26" i="17"/>
  <c r="E17" i="11"/>
  <c r="G10" i="9"/>
  <c r="E8" i="11"/>
  <c r="C16" i="11"/>
  <c r="M33" i="9"/>
  <c r="H29" i="9"/>
  <c r="D26" i="18"/>
  <c r="G37" i="11"/>
  <c r="D24" i="17"/>
  <c r="F20" i="11"/>
  <c r="D30" i="17"/>
  <c r="E2" i="18"/>
  <c r="E24" i="17"/>
  <c r="I28" i="9"/>
  <c r="B25" i="18"/>
  <c r="C27" i="17"/>
  <c r="B24" i="17"/>
  <c r="B23" i="18"/>
  <c r="C4" i="31"/>
  <c r="H12" i="17"/>
  <c r="G54" i="11"/>
  <c r="K30" i="9"/>
  <c r="G27" i="17"/>
  <c r="H10" i="17"/>
  <c r="E54" i="11"/>
  <c r="G30" i="17"/>
  <c r="E40" i="11"/>
  <c r="K33" i="9"/>
  <c r="K46" i="9" s="1"/>
  <c r="M32" i="9"/>
  <c r="C23" i="18"/>
  <c r="C37" i="11"/>
  <c r="D22" i="18"/>
  <c r="C24" i="17"/>
  <c r="D31" i="17"/>
  <c r="G20" i="11"/>
  <c r="C28" i="17"/>
  <c r="F30" i="17"/>
  <c r="H11" i="17"/>
  <c r="F54" i="11"/>
  <c r="G26" i="17"/>
  <c r="B23" i="17"/>
  <c r="G9" i="9"/>
  <c r="D8" i="11" s="1"/>
  <c r="C22" i="18"/>
  <c r="L30" i="9"/>
  <c r="L43" i="9" s="1"/>
  <c r="C35" i="11"/>
  <c r="F27" i="17"/>
  <c r="E26" i="17"/>
  <c r="F16" i="11"/>
  <c r="F49" i="11" s="1"/>
  <c r="F64" i="11" s="1"/>
  <c r="C30" i="17"/>
  <c r="B25" i="17"/>
  <c r="H5" i="17"/>
  <c r="H3" i="17"/>
  <c r="F28" i="17"/>
  <c r="H30" i="9"/>
  <c r="H44" i="9" s="1"/>
  <c r="C25" i="18"/>
  <c r="F31" i="11"/>
  <c r="F50" i="11" s="1"/>
  <c r="E12" i="11"/>
  <c r="G22" i="11"/>
  <c r="E11" i="18"/>
  <c r="G56" i="11"/>
  <c r="D23" i="17"/>
  <c r="F22" i="11"/>
  <c r="F25" i="17"/>
  <c r="G21" i="11"/>
  <c r="G23" i="17"/>
  <c r="C25" i="17"/>
  <c r="G24" i="17"/>
  <c r="E30" i="11"/>
  <c r="E29" i="17"/>
  <c r="F30" i="11"/>
  <c r="E31" i="17"/>
  <c r="G31" i="17"/>
  <c r="G40" i="11"/>
  <c r="F29" i="17"/>
  <c r="K32" i="9"/>
  <c r="H9" i="17"/>
  <c r="D54" i="11"/>
  <c r="E21" i="11"/>
  <c r="M31" i="9"/>
  <c r="E6" i="18"/>
  <c r="B56" i="11"/>
  <c r="E7" i="18"/>
  <c r="C56" i="11"/>
  <c r="I33" i="9"/>
  <c r="I46" i="9" s="1"/>
  <c r="D21" i="18"/>
  <c r="D61" i="11"/>
  <c r="G31" i="11"/>
  <c r="C26" i="18"/>
  <c r="K28" i="9"/>
  <c r="F26" i="17"/>
  <c r="B13" i="11"/>
  <c r="F13" i="11"/>
  <c r="G11" i="9"/>
  <c r="F8" i="11" s="1"/>
  <c r="I32" i="9"/>
  <c r="I45" i="9" s="1"/>
  <c r="L29" i="9"/>
  <c r="B60" i="11"/>
  <c r="F60" i="11"/>
  <c r="F61" i="11"/>
  <c r="H76" i="9"/>
  <c r="H89" i="9"/>
  <c r="H92" i="9" s="1"/>
  <c r="J89" i="9"/>
  <c r="D60" i="11"/>
  <c r="E61" i="11"/>
  <c r="E12" i="18"/>
  <c r="H56" i="11"/>
  <c r="J21" i="11"/>
  <c r="B8" i="11"/>
  <c r="J77" i="9"/>
  <c r="J76" i="9"/>
  <c r="B27" i="18"/>
  <c r="C8" i="31" s="1"/>
  <c r="O15" i="9"/>
  <c r="H45" i="9"/>
  <c r="G55" i="11"/>
  <c r="A30" i="9"/>
  <c r="B29" i="18"/>
  <c r="C10" i="31" s="1"/>
  <c r="A29" i="9"/>
  <c r="N15" i="9"/>
  <c r="I55" i="11"/>
  <c r="H46" i="9"/>
  <c r="G15" i="9"/>
  <c r="J8" i="11"/>
  <c r="E15" i="18"/>
  <c r="K56" i="11"/>
  <c r="I36" i="9"/>
  <c r="J22" i="11"/>
  <c r="G51" i="11"/>
  <c r="G66" i="11" s="1"/>
  <c r="B28" i="18"/>
  <c r="C9" i="31" s="1"/>
  <c r="E13" i="18"/>
  <c r="I56" i="11"/>
  <c r="B66" i="11"/>
  <c r="C51" i="11"/>
  <c r="C66" i="11" s="1"/>
  <c r="E55" i="11"/>
  <c r="C8" i="11"/>
  <c r="I77" i="9"/>
  <c r="E51" i="11"/>
  <c r="E66" i="11" s="1"/>
  <c r="H43" i="9"/>
  <c r="C6" i="31"/>
  <c r="I44" i="9"/>
  <c r="N75" i="9"/>
  <c r="N77" i="9"/>
  <c r="J55" i="11"/>
  <c r="D55" i="11"/>
  <c r="M43" i="9"/>
  <c r="M42" i="9"/>
  <c r="G49" i="11"/>
  <c r="G64" i="11" s="1"/>
  <c r="J44" i="9"/>
  <c r="F51" i="11"/>
  <c r="F66" i="11" s="1"/>
  <c r="I76" i="9"/>
  <c r="N76" i="9" s="1"/>
  <c r="D50" i="11"/>
  <c r="D65" i="11" s="1"/>
  <c r="M44" i="9"/>
  <c r="I42" i="9"/>
  <c r="H42" i="9"/>
  <c r="D49" i="11"/>
  <c r="D64" i="11" s="1"/>
  <c r="G26" i="11"/>
  <c r="H8" i="11"/>
  <c r="M46" i="9"/>
  <c r="J46" i="9"/>
  <c r="L46" i="9"/>
  <c r="M45" i="9"/>
  <c r="I43" i="9"/>
  <c r="L42" i="9"/>
  <c r="AB23" i="39"/>
  <c r="E200" i="47"/>
  <c r="L5" i="11"/>
  <c r="D4" i="11"/>
  <c r="M5" i="11"/>
  <c r="B14" i="9"/>
  <c r="B8" i="9"/>
  <c r="B17" i="9"/>
  <c r="K4" i="11"/>
  <c r="G5" i="11"/>
  <c r="B5" i="11"/>
  <c r="H4" i="11"/>
  <c r="C14" i="9"/>
  <c r="C12" i="9"/>
  <c r="C10" i="9"/>
  <c r="G4" i="11"/>
  <c r="B4" i="11"/>
  <c r="E4" i="11"/>
  <c r="K5" i="11"/>
  <c r="C18" i="9"/>
  <c r="C7" i="9"/>
  <c r="B12" i="9"/>
  <c r="F4" i="11"/>
  <c r="C5" i="11"/>
  <c r="C4" i="11"/>
  <c r="E5" i="11"/>
  <c r="C9" i="9"/>
  <c r="C11" i="9"/>
  <c r="C16" i="9"/>
  <c r="B15" i="9"/>
  <c r="D5" i="11"/>
  <c r="N5" i="11"/>
  <c r="I4" i="11"/>
  <c r="B7" i="9"/>
  <c r="B11" i="9"/>
  <c r="C19" i="9"/>
  <c r="C17" i="9"/>
  <c r="I5" i="11"/>
  <c r="F5" i="11"/>
  <c r="H5" i="11"/>
  <c r="C8" i="9"/>
  <c r="C15" i="9"/>
  <c r="C13" i="9"/>
  <c r="B16" i="9"/>
  <c r="J5" i="11"/>
  <c r="L4" i="11"/>
  <c r="J4" i="11"/>
  <c r="B13" i="9"/>
  <c r="B9" i="9"/>
  <c r="B10" i="9"/>
  <c r="H26" i="11" l="1"/>
  <c r="K26" i="11"/>
  <c r="J26" i="11"/>
  <c r="I26" i="11"/>
  <c r="L32" i="11"/>
  <c r="K61" i="11"/>
  <c r="L13" i="11"/>
  <c r="J61" i="11"/>
  <c r="L17" i="11"/>
  <c r="L31" i="11"/>
  <c r="L36" i="11"/>
  <c r="L21" i="11"/>
  <c r="I61" i="11"/>
  <c r="L37" i="11"/>
  <c r="K17" i="11"/>
  <c r="I92" i="9"/>
  <c r="K44" i="9"/>
  <c r="F55" i="11"/>
  <c r="F65" i="11" s="1"/>
  <c r="I90" i="9"/>
  <c r="J90" i="9"/>
  <c r="J92" i="9" s="1"/>
  <c r="L45" i="9"/>
  <c r="C65" i="11"/>
  <c r="B65" i="11"/>
  <c r="K42" i="9"/>
  <c r="H61" i="11"/>
  <c r="H51" i="11"/>
  <c r="B24" i="30"/>
  <c r="B25" i="30" s="1"/>
  <c r="N27" i="11" s="1"/>
  <c r="L26" i="11"/>
  <c r="E24" i="30"/>
  <c r="B31" i="18"/>
  <c r="G60" i="11"/>
  <c r="G50" i="11"/>
  <c r="G65" i="11" s="1"/>
  <c r="L27" i="11"/>
  <c r="D31" i="18"/>
  <c r="L45" i="11"/>
  <c r="H130" i="47"/>
  <c r="H130" i="53"/>
  <c r="O130" i="53" s="1"/>
  <c r="P130" i="53" s="1"/>
  <c r="H82" i="47"/>
  <c r="H82" i="53"/>
  <c r="O82" i="53" s="1"/>
  <c r="P82" i="53" s="1"/>
  <c r="H106" i="47"/>
  <c r="H106" i="53"/>
  <c r="O106" i="53" s="1"/>
  <c r="P106" i="53" s="1"/>
  <c r="H58" i="47"/>
  <c r="H58" i="53"/>
  <c r="O58" i="53" s="1"/>
  <c r="P58" i="53" s="1"/>
  <c r="H35" i="9"/>
  <c r="K60" i="11"/>
  <c r="K31" i="11"/>
  <c r="J16" i="11"/>
  <c r="K35" i="11"/>
  <c r="I35" i="9"/>
  <c r="J30" i="11"/>
  <c r="D30" i="18"/>
  <c r="J35" i="9"/>
  <c r="L36" i="9"/>
  <c r="K41" i="11"/>
  <c r="H16" i="11"/>
  <c r="M36" i="9"/>
  <c r="K21" i="11"/>
  <c r="D32" i="17"/>
  <c r="L35" i="9"/>
  <c r="K12" i="11"/>
  <c r="E32" i="17"/>
  <c r="I40" i="11"/>
  <c r="F32" i="17"/>
  <c r="J12" i="11"/>
  <c r="K30" i="11"/>
  <c r="K20" i="11"/>
  <c r="K38" i="9"/>
  <c r="L35" i="11"/>
  <c r="L40" i="11"/>
  <c r="L12" i="11"/>
  <c r="G36" i="17"/>
  <c r="F18" i="17"/>
  <c r="F36" i="17"/>
  <c r="E4" i="28"/>
  <c r="H4" i="28"/>
  <c r="E6" i="28"/>
  <c r="H6" i="28"/>
  <c r="E8" i="28"/>
  <c r="H8" i="28"/>
  <c r="E10" i="28"/>
  <c r="H10" i="28"/>
  <c r="E5" i="28"/>
  <c r="H5" i="28"/>
  <c r="E7" i="28"/>
  <c r="H7" i="28"/>
  <c r="E9" i="28"/>
  <c r="H9" i="28"/>
  <c r="L38" i="9"/>
  <c r="I12" i="11"/>
  <c r="I37" i="9"/>
  <c r="J40" i="11"/>
  <c r="AE228" i="39"/>
  <c r="AD212" i="39"/>
  <c r="AD208" i="39"/>
  <c r="AD204" i="39"/>
  <c r="AE223" i="39"/>
  <c r="AE222" i="39"/>
  <c r="AF191" i="39"/>
  <c r="AF143" i="39"/>
  <c r="AD215" i="39"/>
  <c r="AF215" i="39" s="1"/>
  <c r="AD211" i="39"/>
  <c r="AD207" i="39"/>
  <c r="AE236" i="39"/>
  <c r="AE221" i="39"/>
  <c r="AF47" i="39"/>
  <c r="AE220" i="39"/>
  <c r="AD214" i="39"/>
  <c r="AD210" i="39"/>
  <c r="AD206" i="39"/>
  <c r="AE227" i="39"/>
  <c r="AE219" i="39"/>
  <c r="AE226" i="39"/>
  <c r="AE218" i="39"/>
  <c r="AD213" i="39"/>
  <c r="AD209" i="39"/>
  <c r="AD205" i="39"/>
  <c r="AE225" i="39"/>
  <c r="AE217" i="39"/>
  <c r="AE224" i="39"/>
  <c r="AE216" i="39"/>
  <c r="AF203" i="39"/>
  <c r="AF71" i="39"/>
  <c r="AF72" i="39" s="1"/>
  <c r="AF73" i="39" s="1"/>
  <c r="AF74" i="39" s="1"/>
  <c r="AF75" i="39" s="1"/>
  <c r="AF76" i="39" s="1"/>
  <c r="AF77" i="39" s="1"/>
  <c r="AF78" i="39" s="1"/>
  <c r="AF79" i="39" s="1"/>
  <c r="AF80" i="39" s="1"/>
  <c r="AF81" i="39" s="1"/>
  <c r="AF82" i="39" s="1"/>
  <c r="AD226" i="39"/>
  <c r="AD222" i="39"/>
  <c r="AE229" i="39"/>
  <c r="AD225" i="39"/>
  <c r="AD221" i="39"/>
  <c r="AF95" i="39"/>
  <c r="AD216" i="39"/>
  <c r="AE233" i="39"/>
  <c r="AE232" i="39"/>
  <c r="AD227" i="39"/>
  <c r="AF227" i="39" s="1"/>
  <c r="AD223" i="39"/>
  <c r="AE239" i="39"/>
  <c r="AF167" i="39"/>
  <c r="AF119" i="39"/>
  <c r="AE238" i="39"/>
  <c r="G34" i="17"/>
  <c r="D35" i="17"/>
  <c r="M35" i="9"/>
  <c r="K34" i="9"/>
  <c r="C35" i="17"/>
  <c r="K16" i="11"/>
  <c r="J34" i="9"/>
  <c r="M37" i="9"/>
  <c r="G33" i="17"/>
  <c r="H20" i="11"/>
  <c r="L22" i="11"/>
  <c r="K36" i="9"/>
  <c r="E16" i="18"/>
  <c r="L56" i="11" s="1"/>
  <c r="L30" i="11"/>
  <c r="F35" i="17"/>
  <c r="C31" i="18"/>
  <c r="J37" i="9"/>
  <c r="J35" i="11"/>
  <c r="H38" i="9"/>
  <c r="B30" i="18"/>
  <c r="I20" i="11"/>
  <c r="B36" i="17"/>
  <c r="H35" i="11"/>
  <c r="H30" i="11"/>
  <c r="L61" i="11"/>
  <c r="B35" i="17"/>
  <c r="F34" i="17"/>
  <c r="F33" i="17"/>
  <c r="B33" i="17"/>
  <c r="B34" i="17"/>
  <c r="L34" i="9"/>
  <c r="D13" i="9"/>
  <c r="E13" i="9" s="1"/>
  <c r="F10" i="9"/>
  <c r="D14" i="9"/>
  <c r="E14" i="9" s="1"/>
  <c r="F6" i="11"/>
  <c r="F8" i="9"/>
  <c r="F12" i="9"/>
  <c r="D12" i="9"/>
  <c r="E12" i="9" s="1"/>
  <c r="D10" i="9"/>
  <c r="E10" i="9" s="1"/>
  <c r="D6" i="11"/>
  <c r="D11" i="9"/>
  <c r="E11" i="9" s="1"/>
  <c r="H6" i="11"/>
  <c r="L6" i="11"/>
  <c r="C6" i="11"/>
  <c r="D8" i="9"/>
  <c r="E8" i="9" s="1"/>
  <c r="D17" i="9"/>
  <c r="E17" i="9" s="1"/>
  <c r="D15" i="9"/>
  <c r="E15" i="9" s="1"/>
  <c r="F9" i="9"/>
  <c r="D7" i="9"/>
  <c r="E7" i="9" s="1"/>
  <c r="K6" i="11"/>
  <c r="E6" i="11"/>
  <c r="B6" i="11"/>
  <c r="F11" i="9"/>
  <c r="D16" i="9"/>
  <c r="E16" i="9" s="1"/>
  <c r="F7" i="9"/>
  <c r="J6" i="11"/>
  <c r="F14" i="9"/>
  <c r="F15" i="9"/>
  <c r="F13" i="9"/>
  <c r="I6" i="11"/>
  <c r="D9" i="9"/>
  <c r="E9" i="9" s="1"/>
  <c r="G6" i="11"/>
  <c r="G35" i="17"/>
  <c r="H36" i="9"/>
  <c r="J51" i="11"/>
  <c r="C34" i="17"/>
  <c r="G32" i="17"/>
  <c r="C30" i="18"/>
  <c r="C33" i="18" s="1"/>
  <c r="B16" i="31"/>
  <c r="B13" i="31" s="1"/>
  <c r="M46" i="11" s="1"/>
  <c r="I16" i="11"/>
  <c r="H40" i="11"/>
  <c r="Q17" i="9"/>
  <c r="M34" i="9"/>
  <c r="H14" i="17"/>
  <c r="G16" i="9"/>
  <c r="K40" i="11"/>
  <c r="I49" i="9"/>
  <c r="I35" i="11"/>
  <c r="H12" i="11"/>
  <c r="H16" i="17"/>
  <c r="H50" i="11"/>
  <c r="H60" i="11"/>
  <c r="I60" i="11"/>
  <c r="I50" i="11"/>
  <c r="D36" i="17"/>
  <c r="M38" i="9"/>
  <c r="L37" i="9"/>
  <c r="H66" i="11"/>
  <c r="K37" i="9"/>
  <c r="AC239" i="39"/>
  <c r="AC238" i="39"/>
  <c r="AC237" i="39"/>
  <c r="AC236" i="39"/>
  <c r="AC235" i="39"/>
  <c r="AC234" i="39"/>
  <c r="AC233" i="39"/>
  <c r="AC232" i="39"/>
  <c r="AC231" i="39"/>
  <c r="AC230" i="39"/>
  <c r="AC229" i="39"/>
  <c r="AC228" i="39"/>
  <c r="AC227" i="39"/>
  <c r="AC226" i="39"/>
  <c r="AC225" i="39"/>
  <c r="AC224" i="39"/>
  <c r="AC223" i="39"/>
  <c r="AC222" i="39"/>
  <c r="AC221" i="39"/>
  <c r="AC220" i="39"/>
  <c r="AC219" i="39"/>
  <c r="AC218" i="39"/>
  <c r="AC217" i="39"/>
  <c r="AC216" i="39"/>
  <c r="AC215" i="39"/>
  <c r="AC214" i="39"/>
  <c r="AC213" i="39"/>
  <c r="AC212" i="39"/>
  <c r="AC211" i="39"/>
  <c r="AC210" i="39"/>
  <c r="AC209" i="39"/>
  <c r="AC208" i="39"/>
  <c r="AC207" i="39"/>
  <c r="AC206" i="39"/>
  <c r="AC205" i="39"/>
  <c r="AC204" i="39"/>
  <c r="AF192" i="39"/>
  <c r="H143" i="53" s="1"/>
  <c r="O143" i="53" s="1"/>
  <c r="AF144" i="39"/>
  <c r="H95" i="53" s="1"/>
  <c r="O95" i="53" s="1"/>
  <c r="AF48" i="39"/>
  <c r="AF49" i="39" s="1"/>
  <c r="AF50" i="39" s="1"/>
  <c r="AF51" i="39" s="1"/>
  <c r="AF52" i="39" s="1"/>
  <c r="AF53" i="39" s="1"/>
  <c r="AF54" i="39" s="1"/>
  <c r="AF55" i="39" s="1"/>
  <c r="AF56" i="39" s="1"/>
  <c r="AF57" i="39" s="1"/>
  <c r="AF58" i="39" s="1"/>
  <c r="AF180" i="39"/>
  <c r="H131" i="53" s="1"/>
  <c r="O131" i="53" s="1"/>
  <c r="AF156" i="39"/>
  <c r="H107" i="53" s="1"/>
  <c r="O107" i="53" s="1"/>
  <c r="AF132" i="39"/>
  <c r="H83" i="53" s="1"/>
  <c r="O83" i="53" s="1"/>
  <c r="AF108" i="39"/>
  <c r="H59" i="53" s="1"/>
  <c r="O59" i="53" s="1"/>
  <c r="AF84" i="39"/>
  <c r="H35" i="53" s="1"/>
  <c r="O35" i="53" s="1"/>
  <c r="AF60" i="39"/>
  <c r="AF61" i="39" s="1"/>
  <c r="AF62" i="39" s="1"/>
  <c r="AF63" i="39" s="1"/>
  <c r="AF64" i="39" s="1"/>
  <c r="AF65" i="39" s="1"/>
  <c r="AF66" i="39" s="1"/>
  <c r="AF67" i="39" s="1"/>
  <c r="AF68" i="39" s="1"/>
  <c r="AF69" i="39" s="1"/>
  <c r="AF70" i="39" s="1"/>
  <c r="AF36" i="39"/>
  <c r="AF37" i="39" s="1"/>
  <c r="AF38" i="39" s="1"/>
  <c r="AF39" i="39" s="1"/>
  <c r="AF40" i="39" s="1"/>
  <c r="AF41" i="39" s="1"/>
  <c r="AF42" i="39" s="1"/>
  <c r="AF43" i="39" s="1"/>
  <c r="AF44" i="39" s="1"/>
  <c r="AF45" i="39" s="1"/>
  <c r="AF46" i="39" s="1"/>
  <c r="AF23" i="39"/>
  <c r="AF24" i="39" s="1"/>
  <c r="AF25" i="39" s="1"/>
  <c r="AF26" i="39" s="1"/>
  <c r="AF27" i="39" s="1"/>
  <c r="AF28" i="39" s="1"/>
  <c r="AF29" i="39" s="1"/>
  <c r="AF30" i="39" s="1"/>
  <c r="AF31" i="39" s="1"/>
  <c r="AF32" i="39" s="1"/>
  <c r="AF33" i="39" s="1"/>
  <c r="AF34" i="39" s="1"/>
  <c r="J60" i="11"/>
  <c r="J50" i="11"/>
  <c r="M45" i="11"/>
  <c r="D14" i="31"/>
  <c r="N45" i="11" s="1"/>
  <c r="M26" i="11"/>
  <c r="N17" i="9"/>
  <c r="C32" i="17"/>
  <c r="C33" i="17"/>
  <c r="H15" i="17"/>
  <c r="E36" i="17"/>
  <c r="D34" i="17"/>
  <c r="I51" i="11"/>
  <c r="I66" i="11" s="1"/>
  <c r="L16" i="11"/>
  <c r="L20" i="11"/>
  <c r="E35" i="17"/>
  <c r="C36" i="17"/>
  <c r="H37" i="9"/>
  <c r="I34" i="9"/>
  <c r="K35" i="9"/>
  <c r="J20" i="11"/>
  <c r="K36" i="11"/>
  <c r="J38" i="9"/>
  <c r="L41" i="11"/>
  <c r="Q16" i="9"/>
  <c r="H17" i="17"/>
  <c r="P17" i="9"/>
  <c r="P16" i="9"/>
  <c r="H13" i="17"/>
  <c r="I38" i="9"/>
  <c r="K51" i="11"/>
  <c r="K66" i="11" s="1"/>
  <c r="J36" i="9"/>
  <c r="H34" i="9"/>
  <c r="I30" i="11"/>
  <c r="G17" i="9"/>
  <c r="E34" i="17"/>
  <c r="O17" i="9"/>
  <c r="N16" i="9"/>
  <c r="B32" i="17"/>
  <c r="E33" i="17"/>
  <c r="K13" i="11"/>
  <c r="O16" i="9"/>
  <c r="J66" i="11" l="1"/>
  <c r="E25" i="30"/>
  <c r="H70" i="11"/>
  <c r="L71" i="11"/>
  <c r="I50" i="9"/>
  <c r="K70" i="11"/>
  <c r="L47" i="9"/>
  <c r="K71" i="11"/>
  <c r="L70" i="11"/>
  <c r="J47" i="9"/>
  <c r="J70" i="11"/>
  <c r="I70" i="11"/>
  <c r="C12" i="31"/>
  <c r="K47" i="9"/>
  <c r="I47" i="9"/>
  <c r="L72" i="11"/>
  <c r="M49" i="9"/>
  <c r="J48" i="9"/>
  <c r="D33" i="18"/>
  <c r="M50" i="9"/>
  <c r="B35" i="18"/>
  <c r="L60" i="11"/>
  <c r="M27" i="11"/>
  <c r="L49" i="9"/>
  <c r="L51" i="11"/>
  <c r="L66" i="11" s="1"/>
  <c r="D35" i="18"/>
  <c r="P35" i="53"/>
  <c r="B93" i="28"/>
  <c r="C93" i="28"/>
  <c r="C81" i="28"/>
  <c r="B81" i="28"/>
  <c r="P59" i="53"/>
  <c r="H178" i="47"/>
  <c r="O178" i="47" s="1"/>
  <c r="P178" i="47" s="1"/>
  <c r="H178" i="53"/>
  <c r="O178" i="53" s="1"/>
  <c r="P178" i="53" s="1"/>
  <c r="P143" i="53"/>
  <c r="P83" i="53"/>
  <c r="C69" i="28"/>
  <c r="B69" i="28"/>
  <c r="C57" i="28"/>
  <c r="B57" i="28"/>
  <c r="P107" i="53"/>
  <c r="H166" i="47"/>
  <c r="H166" i="53"/>
  <c r="O166" i="53" s="1"/>
  <c r="P166" i="53" s="1"/>
  <c r="P131" i="53"/>
  <c r="H94" i="47"/>
  <c r="H94" i="53"/>
  <c r="O94" i="53" s="1"/>
  <c r="P94" i="53" s="1"/>
  <c r="C45" i="28"/>
  <c r="B45" i="28"/>
  <c r="B33" i="28"/>
  <c r="C33" i="28"/>
  <c r="H70" i="47"/>
  <c r="H70" i="53"/>
  <c r="O70" i="53" s="1"/>
  <c r="P70" i="53" s="1"/>
  <c r="H46" i="47"/>
  <c r="H46" i="53"/>
  <c r="O46" i="53" s="1"/>
  <c r="P46" i="53" s="1"/>
  <c r="H142" i="47"/>
  <c r="H142" i="53"/>
  <c r="O142" i="53" s="1"/>
  <c r="P142" i="53" s="1"/>
  <c r="P95" i="53"/>
  <c r="H118" i="47"/>
  <c r="H118" i="53"/>
  <c r="O118" i="53" s="1"/>
  <c r="P118" i="53" s="1"/>
  <c r="AE234" i="39"/>
  <c r="H154" i="47"/>
  <c r="H154" i="53"/>
  <c r="O154" i="53" s="1"/>
  <c r="P154" i="53" s="1"/>
  <c r="C105" i="28"/>
  <c r="B105" i="28"/>
  <c r="K55" i="11"/>
  <c r="L50" i="11"/>
  <c r="I54" i="11"/>
  <c r="K54" i="11"/>
  <c r="L50" i="9"/>
  <c r="H49" i="11"/>
  <c r="H49" i="9"/>
  <c r="H54" i="11"/>
  <c r="J54" i="11"/>
  <c r="M51" i="9"/>
  <c r="F19" i="17"/>
  <c r="L54" i="11"/>
  <c r="F41" i="17"/>
  <c r="D41" i="17"/>
  <c r="K48" i="9"/>
  <c r="C11" i="31"/>
  <c r="B41" i="17"/>
  <c r="AD220" i="39"/>
  <c r="AE235" i="39"/>
  <c r="AD219" i="39"/>
  <c r="AD224" i="39"/>
  <c r="AD217" i="39"/>
  <c r="AD229" i="39"/>
  <c r="AE237" i="39"/>
  <c r="AE231" i="39"/>
  <c r="AD218" i="39"/>
  <c r="AE230" i="39"/>
  <c r="AF168" i="39"/>
  <c r="AF120" i="39"/>
  <c r="AF216" i="39"/>
  <c r="AF204" i="39"/>
  <c r="AF109" i="39"/>
  <c r="H60" i="53" s="1"/>
  <c r="O60" i="53" s="1"/>
  <c r="P60" i="53" s="1"/>
  <c r="H59" i="47"/>
  <c r="AF145" i="39"/>
  <c r="H96" i="53" s="1"/>
  <c r="O96" i="53" s="1"/>
  <c r="P96" i="53" s="1"/>
  <c r="H95" i="47"/>
  <c r="AF85" i="39"/>
  <c r="H36" i="53" s="1"/>
  <c r="O36" i="53" s="1"/>
  <c r="P36" i="53" s="1"/>
  <c r="H35" i="47"/>
  <c r="O35" i="47" s="1"/>
  <c r="AF133" i="39"/>
  <c r="H84" i="53" s="1"/>
  <c r="O84" i="53" s="1"/>
  <c r="P84" i="53" s="1"/>
  <c r="H83" i="47"/>
  <c r="AF157" i="39"/>
  <c r="H108" i="53" s="1"/>
  <c r="O108" i="53" s="1"/>
  <c r="P108" i="53" s="1"/>
  <c r="H107" i="47"/>
  <c r="AF181" i="39"/>
  <c r="H132" i="53" s="1"/>
  <c r="O132" i="53" s="1"/>
  <c r="P132" i="53" s="1"/>
  <c r="H131" i="47"/>
  <c r="AF193" i="39"/>
  <c r="H144" i="53" s="1"/>
  <c r="O144" i="53" s="1"/>
  <c r="P144" i="53" s="1"/>
  <c r="H143" i="47"/>
  <c r="AF96" i="39"/>
  <c r="H47" i="53" s="1"/>
  <c r="O47" i="53" s="1"/>
  <c r="K49" i="11"/>
  <c r="K50" i="9"/>
  <c r="I49" i="11"/>
  <c r="G41" i="17"/>
  <c r="J49" i="11"/>
  <c r="B33" i="18"/>
  <c r="I65" i="11"/>
  <c r="J65" i="11"/>
  <c r="L51" i="9"/>
  <c r="K8" i="11"/>
  <c r="L48" i="9"/>
  <c r="F16" i="9"/>
  <c r="H65" i="11"/>
  <c r="H50" i="9"/>
  <c r="C35" i="18"/>
  <c r="M48" i="9"/>
  <c r="M47" i="9"/>
  <c r="B14" i="31"/>
  <c r="N46" i="11" s="1"/>
  <c r="N61" i="11" s="1"/>
  <c r="M60" i="11"/>
  <c r="H51" i="9"/>
  <c r="K51" i="9"/>
  <c r="K49" i="9"/>
  <c r="J51" i="9"/>
  <c r="I51" i="9"/>
  <c r="K50" i="11"/>
  <c r="I48" i="9"/>
  <c r="L49" i="11"/>
  <c r="C41" i="17"/>
  <c r="L55" i="11"/>
  <c r="L8" i="11"/>
  <c r="F17" i="9"/>
  <c r="H47" i="9"/>
  <c r="H48" i="9"/>
  <c r="E41" i="17"/>
  <c r="J50" i="9"/>
  <c r="J49" i="9"/>
  <c r="H64" i="11" l="1"/>
  <c r="N26" i="11"/>
  <c r="K65" i="11"/>
  <c r="K64" i="11"/>
  <c r="M61" i="11"/>
  <c r="L65" i="11"/>
  <c r="D39" i="17"/>
  <c r="D18" i="17" s="1"/>
  <c r="D19" i="17" s="1"/>
  <c r="G39" i="17"/>
  <c r="G18" i="17" s="1"/>
  <c r="M40" i="11" s="1"/>
  <c r="E39" i="17"/>
  <c r="E18" i="17" s="1"/>
  <c r="C39" i="17"/>
  <c r="C18" i="17" s="1"/>
  <c r="B39" i="17"/>
  <c r="B18" i="17" s="1"/>
  <c r="B19" i="17" s="1"/>
  <c r="N12" i="11" s="1"/>
  <c r="H119" i="47"/>
  <c r="O119" i="47" s="1"/>
  <c r="H119" i="53"/>
  <c r="O119" i="53" s="1"/>
  <c r="B70" i="28"/>
  <c r="E69" i="28"/>
  <c r="B82" i="28"/>
  <c r="E81" i="28"/>
  <c r="B106" i="28"/>
  <c r="E105" i="28"/>
  <c r="B34" i="28"/>
  <c r="E33" i="28"/>
  <c r="O166" i="47"/>
  <c r="P166" i="47" s="1"/>
  <c r="B46" i="28"/>
  <c r="E45" i="28"/>
  <c r="O142" i="47"/>
  <c r="P142" i="47" s="1"/>
  <c r="B94" i="28"/>
  <c r="E93" i="28"/>
  <c r="H155" i="47"/>
  <c r="H155" i="53"/>
  <c r="O155" i="53" s="1"/>
  <c r="H167" i="47"/>
  <c r="O167" i="47" s="1"/>
  <c r="P167" i="47" s="1"/>
  <c r="H167" i="53"/>
  <c r="O167" i="53" s="1"/>
  <c r="O154" i="47"/>
  <c r="P154" i="47" s="1"/>
  <c r="B58" i="28"/>
  <c r="E57" i="28"/>
  <c r="P47" i="53"/>
  <c r="AF121" i="39"/>
  <c r="H72" i="53" s="1"/>
  <c r="O72" i="53" s="1"/>
  <c r="P72" i="53" s="1"/>
  <c r="H71" i="53"/>
  <c r="O71" i="53" s="1"/>
  <c r="J64" i="11"/>
  <c r="I64" i="11"/>
  <c r="L64" i="11"/>
  <c r="O59" i="47"/>
  <c r="O107" i="47"/>
  <c r="AD230" i="39"/>
  <c r="AD237" i="39"/>
  <c r="AF169" i="39"/>
  <c r="H120" i="53" s="1"/>
  <c r="O120" i="53" s="1"/>
  <c r="P120" i="53" s="1"/>
  <c r="AD239" i="39"/>
  <c r="AF239" i="39" s="1"/>
  <c r="AD233" i="39"/>
  <c r="AD236" i="39"/>
  <c r="AD238" i="39"/>
  <c r="AD231" i="39"/>
  <c r="AD235" i="39"/>
  <c r="AF217" i="39"/>
  <c r="AG217" i="39" s="1"/>
  <c r="AD234" i="39"/>
  <c r="AG216" i="39"/>
  <c r="AD232" i="39"/>
  <c r="AD228" i="39"/>
  <c r="AF228" i="39" s="1"/>
  <c r="AG204" i="39"/>
  <c r="H71" i="47"/>
  <c r="AF205" i="39"/>
  <c r="O155" i="47"/>
  <c r="P155" i="47" s="1"/>
  <c r="O143" i="47"/>
  <c r="O95" i="47"/>
  <c r="AF194" i="39"/>
  <c r="H145" i="53" s="1"/>
  <c r="O145" i="53" s="1"/>
  <c r="P145" i="53" s="1"/>
  <c r="H144" i="47"/>
  <c r="AF146" i="39"/>
  <c r="H97" i="53" s="1"/>
  <c r="O97" i="53" s="1"/>
  <c r="H96" i="47"/>
  <c r="AF182" i="39"/>
  <c r="H133" i="53" s="1"/>
  <c r="O133" i="53" s="1"/>
  <c r="P133" i="53" s="1"/>
  <c r="H132" i="47"/>
  <c r="AF110" i="39"/>
  <c r="H61" i="53" s="1"/>
  <c r="O61" i="53" s="1"/>
  <c r="P61" i="53" s="1"/>
  <c r="H60" i="47"/>
  <c r="AF86" i="39"/>
  <c r="H37" i="53" s="1"/>
  <c r="O37" i="53" s="1"/>
  <c r="P37" i="53" s="1"/>
  <c r="H36" i="47"/>
  <c r="O83" i="47"/>
  <c r="O71" i="47"/>
  <c r="O131" i="47"/>
  <c r="AF97" i="39"/>
  <c r="H48" i="53" s="1"/>
  <c r="O48" i="53" s="1"/>
  <c r="P48" i="53" s="1"/>
  <c r="H47" i="47"/>
  <c r="AF158" i="39"/>
  <c r="H109" i="53" s="1"/>
  <c r="O109" i="53" s="1"/>
  <c r="P109" i="53" s="1"/>
  <c r="H108" i="47"/>
  <c r="AF134" i="39"/>
  <c r="H85" i="53" s="1"/>
  <c r="O85" i="53" s="1"/>
  <c r="P85" i="53" s="1"/>
  <c r="H84" i="47"/>
  <c r="F23" i="9"/>
  <c r="AG24" i="39"/>
  <c r="AG180" i="39"/>
  <c r="AG168" i="39"/>
  <c r="AG108" i="39"/>
  <c r="AG144" i="39"/>
  <c r="AG120" i="39"/>
  <c r="AG48" i="39"/>
  <c r="AG132" i="39"/>
  <c r="AG36" i="39"/>
  <c r="AG156" i="39"/>
  <c r="AG192" i="39"/>
  <c r="AG60" i="39"/>
  <c r="AG72" i="39"/>
  <c r="AG84" i="39"/>
  <c r="AG96" i="39"/>
  <c r="M16" i="11"/>
  <c r="C19" i="17"/>
  <c r="G19" i="17" l="1"/>
  <c r="H120" i="47"/>
  <c r="AF170" i="39"/>
  <c r="H121" i="53" s="1"/>
  <c r="O121" i="53" s="1"/>
  <c r="P121" i="53" s="1"/>
  <c r="M20" i="11"/>
  <c r="M70" i="11" s="1"/>
  <c r="N60" i="11"/>
  <c r="G19" i="9"/>
  <c r="G64" i="9" s="1"/>
  <c r="M12" i="11"/>
  <c r="M49" i="11" s="1"/>
  <c r="M30" i="11"/>
  <c r="E19" i="17"/>
  <c r="N30" i="11" s="1"/>
  <c r="H18" i="17"/>
  <c r="M54" i="11" s="1"/>
  <c r="I54" i="9"/>
  <c r="H54" i="9"/>
  <c r="K54" i="9"/>
  <c r="L54" i="9"/>
  <c r="J54" i="9"/>
  <c r="M54" i="9"/>
  <c r="H168" i="47"/>
  <c r="O168" i="47" s="1"/>
  <c r="P168" i="47" s="1"/>
  <c r="H168" i="53"/>
  <c r="O168" i="53" s="1"/>
  <c r="P168" i="53" s="1"/>
  <c r="B47" i="28"/>
  <c r="E46" i="28"/>
  <c r="B35" i="28"/>
  <c r="E34" i="28"/>
  <c r="H156" i="47"/>
  <c r="H156" i="53"/>
  <c r="O156" i="53" s="1"/>
  <c r="P156" i="53" s="1"/>
  <c r="P97" i="53"/>
  <c r="E58" i="28"/>
  <c r="B59" i="28"/>
  <c r="P155" i="53"/>
  <c r="B107" i="28"/>
  <c r="E106" i="28"/>
  <c r="H179" i="47"/>
  <c r="O179" i="47" s="1"/>
  <c r="P179" i="47" s="1"/>
  <c r="H179" i="53"/>
  <c r="O179" i="53" s="1"/>
  <c r="P71" i="53"/>
  <c r="B71" i="28"/>
  <c r="E70" i="28"/>
  <c r="AF218" i="39"/>
  <c r="H190" i="47"/>
  <c r="O190" i="47" s="1"/>
  <c r="H190" i="53"/>
  <c r="B83" i="28"/>
  <c r="E82" i="28"/>
  <c r="P119" i="53"/>
  <c r="H72" i="47"/>
  <c r="AF122" i="39"/>
  <c r="H73" i="53" s="1"/>
  <c r="O73" i="53" s="1"/>
  <c r="P73" i="53" s="1"/>
  <c r="P167" i="53"/>
  <c r="E94" i="28"/>
  <c r="B95" i="28"/>
  <c r="N16" i="11"/>
  <c r="N20" i="11"/>
  <c r="N40" i="11"/>
  <c r="O84" i="47"/>
  <c r="P84" i="47" s="1"/>
  <c r="O60" i="47"/>
  <c r="P60" i="47" s="1"/>
  <c r="AG228" i="39"/>
  <c r="AF229" i="39"/>
  <c r="AF206" i="39"/>
  <c r="AG205" i="39"/>
  <c r="AG229" i="39"/>
  <c r="O47" i="47"/>
  <c r="P71" i="47"/>
  <c r="P35" i="47"/>
  <c r="O96" i="47"/>
  <c r="P96" i="47" s="1"/>
  <c r="P95" i="47"/>
  <c r="AF147" i="39"/>
  <c r="H98" i="53" s="1"/>
  <c r="O98" i="53" s="1"/>
  <c r="P98" i="53" s="1"/>
  <c r="H97" i="47"/>
  <c r="O72" i="47"/>
  <c r="P72" i="47" s="1"/>
  <c r="P83" i="47"/>
  <c r="P119" i="47"/>
  <c r="P143" i="47"/>
  <c r="O108" i="47"/>
  <c r="P108" i="47" s="1"/>
  <c r="AF159" i="39"/>
  <c r="H110" i="53" s="1"/>
  <c r="O110" i="53" s="1"/>
  <c r="P110" i="53" s="1"/>
  <c r="H109" i="47"/>
  <c r="AF111" i="39"/>
  <c r="H62" i="53" s="1"/>
  <c r="O62" i="53" s="1"/>
  <c r="P62" i="53" s="1"/>
  <c r="H61" i="47"/>
  <c r="AF98" i="39"/>
  <c r="H49" i="53" s="1"/>
  <c r="O49" i="53" s="1"/>
  <c r="P49" i="53" s="1"/>
  <c r="H48" i="47"/>
  <c r="AF123" i="39"/>
  <c r="H74" i="53" s="1"/>
  <c r="O74" i="53" s="1"/>
  <c r="P74" i="53" s="1"/>
  <c r="AF87" i="39"/>
  <c r="H38" i="53" s="1"/>
  <c r="O38" i="53" s="1"/>
  <c r="H37" i="47"/>
  <c r="P59" i="47"/>
  <c r="P107" i="47"/>
  <c r="O120" i="47"/>
  <c r="P120" i="47" s="1"/>
  <c r="O132" i="47"/>
  <c r="P132" i="47" s="1"/>
  <c r="P131" i="47"/>
  <c r="O144" i="47"/>
  <c r="P144" i="47" s="1"/>
  <c r="AF195" i="39"/>
  <c r="H146" i="53" s="1"/>
  <c r="O146" i="53" s="1"/>
  <c r="P146" i="53" s="1"/>
  <c r="H145" i="47"/>
  <c r="AF135" i="39"/>
  <c r="H86" i="53" s="1"/>
  <c r="O86" i="53" s="1"/>
  <c r="P86" i="53" s="1"/>
  <c r="H85" i="47"/>
  <c r="H121" i="47"/>
  <c r="AF183" i="39"/>
  <c r="H134" i="53" s="1"/>
  <c r="O134" i="53" s="1"/>
  <c r="P134" i="53" s="1"/>
  <c r="H133" i="47"/>
  <c r="G18" i="9"/>
  <c r="H19" i="17"/>
  <c r="AF219" i="39"/>
  <c r="AG218" i="39"/>
  <c r="AG145" i="39"/>
  <c r="AG49" i="39"/>
  <c r="AG181" i="39"/>
  <c r="AG61" i="39"/>
  <c r="AG25" i="39"/>
  <c r="AG37" i="39"/>
  <c r="AG193" i="39"/>
  <c r="AG133" i="39"/>
  <c r="AG121" i="39"/>
  <c r="AG157" i="39"/>
  <c r="AG97" i="39"/>
  <c r="AG109" i="39"/>
  <c r="AG85" i="39"/>
  <c r="AG73" i="39"/>
  <c r="AG169" i="39"/>
  <c r="P190" i="47" l="1"/>
  <c r="Q190" i="53"/>
  <c r="O190" i="53"/>
  <c r="P190" i="53" s="1"/>
  <c r="AF171" i="39"/>
  <c r="H122" i="53" s="1"/>
  <c r="O122" i="53" s="1"/>
  <c r="P122" i="53" s="1"/>
  <c r="I39" i="9"/>
  <c r="I40" i="9" s="1"/>
  <c r="H39" i="9"/>
  <c r="H40" i="9" s="1"/>
  <c r="M39" i="9"/>
  <c r="G85" i="9"/>
  <c r="N8" i="11" s="1"/>
  <c r="N9" i="11" s="1"/>
  <c r="J39" i="9"/>
  <c r="J59" i="9" s="1"/>
  <c r="J67" i="9" s="1"/>
  <c r="L39" i="9"/>
  <c r="K39" i="9"/>
  <c r="K40" i="9" s="1"/>
  <c r="N70" i="11"/>
  <c r="B84" i="28"/>
  <c r="E83" i="28"/>
  <c r="B108" i="28"/>
  <c r="E107" i="28"/>
  <c r="H157" i="47"/>
  <c r="H157" i="53"/>
  <c r="O157" i="53" s="1"/>
  <c r="O156" i="47"/>
  <c r="P156" i="47" s="1"/>
  <c r="E35" i="28"/>
  <c r="B36" i="28"/>
  <c r="H170" i="47"/>
  <c r="H170" i="53"/>
  <c r="O170" i="53" s="1"/>
  <c r="P170" i="53" s="1"/>
  <c r="P38" i="53"/>
  <c r="H73" i="47"/>
  <c r="O73" i="47" s="1"/>
  <c r="P73" i="47" s="1"/>
  <c r="H180" i="47"/>
  <c r="O180" i="47" s="1"/>
  <c r="P180" i="47" s="1"/>
  <c r="H180" i="53"/>
  <c r="O180" i="53" s="1"/>
  <c r="P180" i="53" s="1"/>
  <c r="B96" i="28"/>
  <c r="E95" i="28"/>
  <c r="B72" i="28"/>
  <c r="E71" i="28"/>
  <c r="B48" i="28"/>
  <c r="E47" i="28"/>
  <c r="B60" i="28"/>
  <c r="E59" i="28"/>
  <c r="H169" i="47"/>
  <c r="O169" i="47" s="1"/>
  <c r="H169" i="53"/>
  <c r="O169" i="53" s="1"/>
  <c r="P179" i="53"/>
  <c r="G63" i="9"/>
  <c r="N54" i="11"/>
  <c r="N49" i="11"/>
  <c r="M64" i="11"/>
  <c r="O121" i="47"/>
  <c r="O85" i="47"/>
  <c r="O97" i="47"/>
  <c r="AG206" i="39"/>
  <c r="AF230" i="39"/>
  <c r="H181" i="53" s="1"/>
  <c r="O181" i="53" s="1"/>
  <c r="P181" i="53" s="1"/>
  <c r="AF207" i="39"/>
  <c r="P169" i="47"/>
  <c r="AF172" i="39"/>
  <c r="H123" i="53" s="1"/>
  <c r="O123" i="53" s="1"/>
  <c r="P123" i="53" s="1"/>
  <c r="H122" i="47"/>
  <c r="O48" i="47"/>
  <c r="P48" i="47" s="1"/>
  <c r="AF124" i="39"/>
  <c r="H75" i="53" s="1"/>
  <c r="O75" i="53" s="1"/>
  <c r="P75" i="53" s="1"/>
  <c r="H74" i="47"/>
  <c r="AF136" i="39"/>
  <c r="H87" i="53" s="1"/>
  <c r="O87" i="53" s="1"/>
  <c r="P87" i="53" s="1"/>
  <c r="H86" i="47"/>
  <c r="AF99" i="39"/>
  <c r="H50" i="53" s="1"/>
  <c r="O50" i="53" s="1"/>
  <c r="P50" i="53" s="1"/>
  <c r="H49" i="47"/>
  <c r="AF148" i="39"/>
  <c r="H99" i="53" s="1"/>
  <c r="O99" i="53" s="1"/>
  <c r="P99" i="53" s="1"/>
  <c r="H98" i="47"/>
  <c r="P47" i="47"/>
  <c r="O145" i="47"/>
  <c r="P145" i="47" s="1"/>
  <c r="O61" i="47"/>
  <c r="O170" i="47"/>
  <c r="P170" i="47" s="1"/>
  <c r="AF196" i="39"/>
  <c r="H147" i="53" s="1"/>
  <c r="O147" i="53" s="1"/>
  <c r="P147" i="53" s="1"/>
  <c r="H146" i="47"/>
  <c r="AF112" i="39"/>
  <c r="H63" i="53" s="1"/>
  <c r="O63" i="53" s="1"/>
  <c r="P63" i="53" s="1"/>
  <c r="H62" i="47"/>
  <c r="O133" i="47"/>
  <c r="O109" i="47"/>
  <c r="AF184" i="39"/>
  <c r="H135" i="53" s="1"/>
  <c r="O135" i="53" s="1"/>
  <c r="P135" i="53" s="1"/>
  <c r="H134" i="47"/>
  <c r="AF88" i="39"/>
  <c r="H39" i="53" s="1"/>
  <c r="O39" i="53" s="1"/>
  <c r="P39" i="53" s="1"/>
  <c r="H38" i="47"/>
  <c r="AF160" i="39"/>
  <c r="H111" i="53" s="1"/>
  <c r="O111" i="53" s="1"/>
  <c r="P111" i="53" s="1"/>
  <c r="H110" i="47"/>
  <c r="AF220" i="39"/>
  <c r="AG219" i="39"/>
  <c r="AG134" i="39"/>
  <c r="AG170" i="39"/>
  <c r="AG62" i="39"/>
  <c r="AG110" i="39"/>
  <c r="AG38" i="39"/>
  <c r="AG146" i="39"/>
  <c r="AG74" i="39"/>
  <c r="AG158" i="39"/>
  <c r="AG50" i="39"/>
  <c r="AG194" i="39"/>
  <c r="AG122" i="39"/>
  <c r="AG86" i="39"/>
  <c r="AG98" i="39"/>
  <c r="AG26" i="39"/>
  <c r="AG182" i="39"/>
  <c r="J40" i="9" l="1"/>
  <c r="J60" i="9" s="1"/>
  <c r="H59" i="9"/>
  <c r="H67" i="9" s="1"/>
  <c r="I59" i="9"/>
  <c r="I67" i="9" s="1"/>
  <c r="N55" i="11"/>
  <c r="K59" i="9"/>
  <c r="K67" i="9" s="1"/>
  <c r="M40" i="9"/>
  <c r="M60" i="9" s="1"/>
  <c r="L59" i="9"/>
  <c r="L67" i="9" s="1"/>
  <c r="L40" i="9"/>
  <c r="L60" i="9" s="1"/>
  <c r="M59" i="9"/>
  <c r="M67" i="9" s="1"/>
  <c r="G84" i="9"/>
  <c r="M8" i="11" s="1"/>
  <c r="M9" i="11" s="1"/>
  <c r="H60" i="9"/>
  <c r="I60" i="9"/>
  <c r="K60" i="9"/>
  <c r="N64" i="11"/>
  <c r="E72" i="28"/>
  <c r="B73" i="28"/>
  <c r="E36" i="28"/>
  <c r="B37" i="28"/>
  <c r="P169" i="53"/>
  <c r="E84" i="28"/>
  <c r="B85" i="28"/>
  <c r="B49" i="28"/>
  <c r="E48" i="28"/>
  <c r="H158" i="47"/>
  <c r="O158" i="47" s="1"/>
  <c r="P158" i="47" s="1"/>
  <c r="H158" i="53"/>
  <c r="O158" i="53" s="1"/>
  <c r="P158" i="53" s="1"/>
  <c r="E108" i="28"/>
  <c r="B109" i="28"/>
  <c r="H171" i="47"/>
  <c r="O171" i="47" s="1"/>
  <c r="H171" i="53"/>
  <c r="O171" i="53" s="1"/>
  <c r="P171" i="53" s="1"/>
  <c r="B61" i="28"/>
  <c r="E60" i="28"/>
  <c r="B97" i="28"/>
  <c r="E96" i="28"/>
  <c r="P157" i="53"/>
  <c r="O157" i="47"/>
  <c r="P157" i="47" s="1"/>
  <c r="O86" i="47"/>
  <c r="P86" i="47" s="1"/>
  <c r="O110" i="47"/>
  <c r="P110" i="47" s="1"/>
  <c r="O62" i="47"/>
  <c r="P62" i="47" s="1"/>
  <c r="O122" i="47"/>
  <c r="P122" i="47" s="1"/>
  <c r="O98" i="47"/>
  <c r="P98" i="47" s="1"/>
  <c r="O74" i="47"/>
  <c r="P74" i="47" s="1"/>
  <c r="AG207" i="39"/>
  <c r="AF208" i="39"/>
  <c r="H181" i="47"/>
  <c r="AF231" i="39"/>
  <c r="H182" i="53" s="1"/>
  <c r="O182" i="53" s="1"/>
  <c r="AG230" i="39"/>
  <c r="AF113" i="39"/>
  <c r="H64" i="53" s="1"/>
  <c r="O64" i="53" s="1"/>
  <c r="P64" i="53" s="1"/>
  <c r="H63" i="47"/>
  <c r="P85" i="47"/>
  <c r="P109" i="47"/>
  <c r="O146" i="47"/>
  <c r="AF149" i="39"/>
  <c r="H100" i="53" s="1"/>
  <c r="O100" i="53" s="1"/>
  <c r="P100" i="53" s="1"/>
  <c r="H99" i="47"/>
  <c r="AF197" i="39"/>
  <c r="H148" i="53" s="1"/>
  <c r="O148" i="53" s="1"/>
  <c r="P148" i="53" s="1"/>
  <c r="H147" i="47"/>
  <c r="O49" i="47"/>
  <c r="P121" i="47"/>
  <c r="AF185" i="39"/>
  <c r="H136" i="53" s="1"/>
  <c r="O136" i="53" s="1"/>
  <c r="P136" i="53" s="1"/>
  <c r="H135" i="47"/>
  <c r="AF100" i="39"/>
  <c r="H51" i="53" s="1"/>
  <c r="O51" i="53" s="1"/>
  <c r="P51" i="53" s="1"/>
  <c r="H50" i="47"/>
  <c r="AF125" i="39"/>
  <c r="H76" i="53" s="1"/>
  <c r="O76" i="53" s="1"/>
  <c r="P76" i="53" s="1"/>
  <c r="H75" i="47"/>
  <c r="AF173" i="39"/>
  <c r="H124" i="53" s="1"/>
  <c r="O124" i="53" s="1"/>
  <c r="P124" i="53" s="1"/>
  <c r="H123" i="47"/>
  <c r="AF137" i="39"/>
  <c r="H88" i="53" s="1"/>
  <c r="O88" i="53" s="1"/>
  <c r="P88" i="53" s="1"/>
  <c r="H87" i="47"/>
  <c r="P97" i="47"/>
  <c r="AF161" i="39"/>
  <c r="H112" i="53" s="1"/>
  <c r="O112" i="53" s="1"/>
  <c r="P112" i="53" s="1"/>
  <c r="H111" i="47"/>
  <c r="P133" i="47"/>
  <c r="AF89" i="39"/>
  <c r="H40" i="53" s="1"/>
  <c r="O40" i="53" s="1"/>
  <c r="P40" i="53" s="1"/>
  <c r="H39" i="47"/>
  <c r="O134" i="47"/>
  <c r="P134" i="47" s="1"/>
  <c r="P61" i="47"/>
  <c r="AF221" i="39"/>
  <c r="AG220" i="39"/>
  <c r="AG195" i="39"/>
  <c r="AG75" i="39"/>
  <c r="AG87" i="39"/>
  <c r="AG111" i="39"/>
  <c r="AG27" i="39"/>
  <c r="AG51" i="39"/>
  <c r="AG135" i="39"/>
  <c r="AG123" i="39"/>
  <c r="AG159" i="39"/>
  <c r="AG63" i="39"/>
  <c r="AG183" i="39"/>
  <c r="AG171" i="39"/>
  <c r="AG147" i="39"/>
  <c r="AG99" i="39"/>
  <c r="AG39" i="39"/>
  <c r="N67" i="9" l="1"/>
  <c r="M55" i="11"/>
  <c r="G59" i="9"/>
  <c r="H68" i="9"/>
  <c r="K68" i="9"/>
  <c r="I68" i="9"/>
  <c r="G60" i="9"/>
  <c r="L68" i="9"/>
  <c r="M68" i="9"/>
  <c r="J68" i="9"/>
  <c r="E85" i="28"/>
  <c r="B86" i="28"/>
  <c r="B74" i="28"/>
  <c r="E73" i="28"/>
  <c r="H159" i="47"/>
  <c r="O159" i="47" s="1"/>
  <c r="P159" i="47" s="1"/>
  <c r="H159" i="53"/>
  <c r="O159" i="53" s="1"/>
  <c r="B98" i="28"/>
  <c r="E97" i="28"/>
  <c r="E109" i="28"/>
  <c r="B110" i="28"/>
  <c r="H172" i="47"/>
  <c r="H172" i="53"/>
  <c r="O172" i="53" s="1"/>
  <c r="P172" i="53" s="1"/>
  <c r="P182" i="53"/>
  <c r="B62" i="28"/>
  <c r="E61" i="28"/>
  <c r="B50" i="28"/>
  <c r="E49" i="28"/>
  <c r="E37" i="28"/>
  <c r="B38" i="28"/>
  <c r="O99" i="47"/>
  <c r="O63" i="47"/>
  <c r="AG208" i="39"/>
  <c r="AF209" i="39"/>
  <c r="AF210" i="39" s="1"/>
  <c r="H182" i="47"/>
  <c r="AF232" i="39"/>
  <c r="H183" i="53" s="1"/>
  <c r="O183" i="53" s="1"/>
  <c r="P183" i="53" s="1"/>
  <c r="AG231" i="39"/>
  <c r="O181" i="47"/>
  <c r="P181" i="47" s="1"/>
  <c r="AF90" i="39"/>
  <c r="H41" i="53" s="1"/>
  <c r="O41" i="53" s="1"/>
  <c r="P41" i="53" s="1"/>
  <c r="H40" i="47"/>
  <c r="AF162" i="39"/>
  <c r="H113" i="53" s="1"/>
  <c r="O113" i="53" s="1"/>
  <c r="P113" i="53" s="1"/>
  <c r="H112" i="47"/>
  <c r="AF174" i="39"/>
  <c r="H125" i="53" s="1"/>
  <c r="O125" i="53" s="1"/>
  <c r="H124" i="47"/>
  <c r="AF198" i="39"/>
  <c r="H149" i="53" s="1"/>
  <c r="O149" i="53" s="1"/>
  <c r="P149" i="53" s="1"/>
  <c r="H148" i="47"/>
  <c r="O111" i="47"/>
  <c r="O123" i="47"/>
  <c r="O75" i="47"/>
  <c r="AF126" i="39"/>
  <c r="H77" i="53" s="1"/>
  <c r="O77" i="53" s="1"/>
  <c r="P77" i="53" s="1"/>
  <c r="H76" i="47"/>
  <c r="AF150" i="39"/>
  <c r="H101" i="53" s="1"/>
  <c r="O101" i="53" s="1"/>
  <c r="P101" i="53" s="1"/>
  <c r="H100" i="47"/>
  <c r="O147" i="47"/>
  <c r="P147" i="47" s="1"/>
  <c r="O50" i="47"/>
  <c r="P50" i="47" s="1"/>
  <c r="P146" i="47"/>
  <c r="O172" i="47"/>
  <c r="P172" i="47" s="1"/>
  <c r="AF101" i="39"/>
  <c r="H52" i="53" s="1"/>
  <c r="O52" i="53" s="1"/>
  <c r="H51" i="47"/>
  <c r="AF114" i="39"/>
  <c r="H65" i="53" s="1"/>
  <c r="O65" i="53" s="1"/>
  <c r="P65" i="53" s="1"/>
  <c r="H64" i="47"/>
  <c r="O135" i="47"/>
  <c r="P49" i="47"/>
  <c r="P171" i="47"/>
  <c r="O87" i="47"/>
  <c r="AF138" i="39"/>
  <c r="H89" i="53" s="1"/>
  <c r="O89" i="53" s="1"/>
  <c r="P89" i="53" s="1"/>
  <c r="H88" i="47"/>
  <c r="AF186" i="39"/>
  <c r="H137" i="53" s="1"/>
  <c r="O137" i="53" s="1"/>
  <c r="P137" i="53" s="1"/>
  <c r="H136" i="47"/>
  <c r="AF222" i="39"/>
  <c r="AG221" i="39"/>
  <c r="AG64" i="39"/>
  <c r="AG40" i="39"/>
  <c r="AG172" i="39"/>
  <c r="AG76" i="39"/>
  <c r="AG112" i="39"/>
  <c r="AG52" i="39"/>
  <c r="AG100" i="39"/>
  <c r="AG184" i="39"/>
  <c r="AG148" i="39"/>
  <c r="AG136" i="39"/>
  <c r="AG160" i="39"/>
  <c r="AG196" i="39"/>
  <c r="AG88" i="39"/>
  <c r="AG124" i="39"/>
  <c r="AG28" i="39"/>
  <c r="G67" i="9" l="1"/>
  <c r="N68" i="9"/>
  <c r="G68" i="9"/>
  <c r="P125" i="53"/>
  <c r="P52" i="53"/>
  <c r="H160" i="47"/>
  <c r="H160" i="53"/>
  <c r="O160" i="53" s="1"/>
  <c r="P160" i="53" s="1"/>
  <c r="H161" i="47"/>
  <c r="O161" i="47" s="1"/>
  <c r="H161" i="53"/>
  <c r="O161" i="53" s="1"/>
  <c r="P161" i="53" s="1"/>
  <c r="P159" i="53"/>
  <c r="H173" i="47"/>
  <c r="H173" i="53"/>
  <c r="O173" i="53" s="1"/>
  <c r="P173" i="53" s="1"/>
  <c r="B39" i="28"/>
  <c r="E38" i="28"/>
  <c r="B63" i="28"/>
  <c r="E62" i="28"/>
  <c r="B111" i="28"/>
  <c r="E110" i="28"/>
  <c r="E50" i="28"/>
  <c r="B51" i="28"/>
  <c r="B75" i="28"/>
  <c r="E74" i="28"/>
  <c r="E98" i="28"/>
  <c r="B99" i="28"/>
  <c r="B87" i="28"/>
  <c r="E86" i="28"/>
  <c r="O124" i="47"/>
  <c r="P124" i="47" s="1"/>
  <c r="O76" i="47"/>
  <c r="P76" i="47" s="1"/>
  <c r="E22" i="28"/>
  <c r="O36" i="47" s="1"/>
  <c r="P36" i="47" s="1"/>
  <c r="AG209" i="39"/>
  <c r="O182" i="47"/>
  <c r="P182" i="47" s="1"/>
  <c r="H183" i="47"/>
  <c r="AG232" i="39"/>
  <c r="AF233" i="39"/>
  <c r="H184" i="53" s="1"/>
  <c r="O184" i="53" s="1"/>
  <c r="P184" i="53" s="1"/>
  <c r="P75" i="47"/>
  <c r="O148" i="47"/>
  <c r="AF115" i="39"/>
  <c r="H66" i="53" s="1"/>
  <c r="O66" i="53" s="1"/>
  <c r="P66" i="53" s="1"/>
  <c r="H65" i="47"/>
  <c r="AF199" i="39"/>
  <c r="H150" i="53" s="1"/>
  <c r="O150" i="53" s="1"/>
  <c r="P150" i="53" s="1"/>
  <c r="H149" i="47"/>
  <c r="O51" i="47"/>
  <c r="P63" i="47"/>
  <c r="O100" i="47"/>
  <c r="P100" i="47" s="1"/>
  <c r="P123" i="47"/>
  <c r="O173" i="47"/>
  <c r="O64" i="47"/>
  <c r="P64" i="47" s="1"/>
  <c r="O136" i="47"/>
  <c r="P136" i="47" s="1"/>
  <c r="AF187" i="39"/>
  <c r="H138" i="53" s="1"/>
  <c r="O138" i="53" s="1"/>
  <c r="P138" i="53" s="1"/>
  <c r="H137" i="47"/>
  <c r="AF102" i="39"/>
  <c r="H53" i="53" s="1"/>
  <c r="O53" i="53" s="1"/>
  <c r="P53" i="53" s="1"/>
  <c r="H52" i="47"/>
  <c r="AF151" i="39"/>
  <c r="H102" i="53" s="1"/>
  <c r="O102" i="53" s="1"/>
  <c r="P102" i="53" s="1"/>
  <c r="H101" i="47"/>
  <c r="AF175" i="39"/>
  <c r="H126" i="53" s="1"/>
  <c r="O126" i="53" s="1"/>
  <c r="P126" i="53" s="1"/>
  <c r="H125" i="47"/>
  <c r="P111" i="47"/>
  <c r="O112" i="47"/>
  <c r="P112" i="47" s="1"/>
  <c r="AF139" i="39"/>
  <c r="H90" i="53" s="1"/>
  <c r="O90" i="53" s="1"/>
  <c r="P90" i="53" s="1"/>
  <c r="H89" i="47"/>
  <c r="AF127" i="39"/>
  <c r="H78" i="53" s="1"/>
  <c r="O78" i="53" s="1"/>
  <c r="P78" i="53" s="1"/>
  <c r="H77" i="47"/>
  <c r="AF163" i="39"/>
  <c r="H114" i="53" s="1"/>
  <c r="O114" i="53" s="1"/>
  <c r="P114" i="53" s="1"/>
  <c r="H113" i="47"/>
  <c r="P87" i="47"/>
  <c r="O88" i="47"/>
  <c r="P88" i="47" s="1"/>
  <c r="P135" i="47"/>
  <c r="P99" i="47"/>
  <c r="AF91" i="39"/>
  <c r="H42" i="53" s="1"/>
  <c r="O42" i="53" s="1"/>
  <c r="P42" i="53" s="1"/>
  <c r="H41" i="47"/>
  <c r="AF211" i="39"/>
  <c r="AG210" i="39"/>
  <c r="AF223" i="39"/>
  <c r="AG222" i="39"/>
  <c r="AG125" i="39"/>
  <c r="AG53" i="39"/>
  <c r="AG173" i="39"/>
  <c r="AG185" i="39"/>
  <c r="AG113" i="39"/>
  <c r="AG89" i="39"/>
  <c r="AG29" i="39"/>
  <c r="AG137" i="39"/>
  <c r="AG101" i="39"/>
  <c r="AG41" i="39"/>
  <c r="AG77" i="39"/>
  <c r="AG197" i="39"/>
  <c r="AG161" i="39"/>
  <c r="AG149" i="39"/>
  <c r="AG65" i="39"/>
  <c r="H71" i="9" l="1"/>
  <c r="K71" i="9"/>
  <c r="K63" i="9" s="1"/>
  <c r="I71" i="9"/>
  <c r="J71" i="9"/>
  <c r="L71" i="9"/>
  <c r="L63" i="9" s="1"/>
  <c r="M71" i="9"/>
  <c r="M63" i="9" s="1"/>
  <c r="H72" i="9"/>
  <c r="M72" i="9"/>
  <c r="M64" i="9" s="1"/>
  <c r="J72" i="9"/>
  <c r="I72" i="9"/>
  <c r="L72" i="9"/>
  <c r="L64" i="9" s="1"/>
  <c r="K72" i="9"/>
  <c r="K64" i="9" s="1"/>
  <c r="B40" i="28"/>
  <c r="E39" i="28"/>
  <c r="O160" i="47"/>
  <c r="P160" i="47" s="1"/>
  <c r="B88" i="28"/>
  <c r="E87" i="28"/>
  <c r="B76" i="28"/>
  <c r="E75" i="28"/>
  <c r="E111" i="28"/>
  <c r="B112" i="28"/>
  <c r="H162" i="47"/>
  <c r="O162" i="47" s="1"/>
  <c r="P162" i="47" s="1"/>
  <c r="H162" i="53"/>
  <c r="O162" i="53" s="1"/>
  <c r="E63" i="28"/>
  <c r="B64" i="28"/>
  <c r="B100" i="28"/>
  <c r="E99" i="28"/>
  <c r="H174" i="47"/>
  <c r="H174" i="53"/>
  <c r="O174" i="53" s="1"/>
  <c r="E51" i="28"/>
  <c r="B52" i="28"/>
  <c r="O113" i="47"/>
  <c r="O77" i="47"/>
  <c r="P77" i="47" s="1"/>
  <c r="O125" i="47"/>
  <c r="O65" i="47"/>
  <c r="O89" i="47"/>
  <c r="P89" i="47" s="1"/>
  <c r="O101" i="47"/>
  <c r="E23" i="28"/>
  <c r="O37" i="47" s="1"/>
  <c r="P37" i="47" s="1"/>
  <c r="H184" i="47"/>
  <c r="AG233" i="39"/>
  <c r="AF234" i="39"/>
  <c r="H185" i="53" s="1"/>
  <c r="O185" i="53" s="1"/>
  <c r="O183" i="47"/>
  <c r="P183" i="47" s="1"/>
  <c r="O52" i="47"/>
  <c r="P52" i="47" s="1"/>
  <c r="P148" i="47"/>
  <c r="AF92" i="39"/>
  <c r="H43" i="53" s="1"/>
  <c r="O43" i="53" s="1"/>
  <c r="P43" i="53" s="1"/>
  <c r="H42" i="47"/>
  <c r="AF164" i="39"/>
  <c r="H115" i="53" s="1"/>
  <c r="O115" i="53" s="1"/>
  <c r="P115" i="53" s="1"/>
  <c r="H114" i="47"/>
  <c r="AF103" i="39"/>
  <c r="H54" i="53" s="1"/>
  <c r="O54" i="53" s="1"/>
  <c r="P54" i="53" s="1"/>
  <c r="H53" i="47"/>
  <c r="O137" i="47"/>
  <c r="P173" i="47"/>
  <c r="P161" i="47"/>
  <c r="P51" i="47"/>
  <c r="O174" i="47"/>
  <c r="P174" i="47" s="1"/>
  <c r="AF128" i="39"/>
  <c r="H79" i="53" s="1"/>
  <c r="O79" i="53" s="1"/>
  <c r="P79" i="53" s="1"/>
  <c r="H78" i="47"/>
  <c r="AF188" i="39"/>
  <c r="H139" i="53" s="1"/>
  <c r="O139" i="53" s="1"/>
  <c r="P139" i="53" s="1"/>
  <c r="H138" i="47"/>
  <c r="O149" i="47"/>
  <c r="P149" i="47" s="1"/>
  <c r="AF140" i="39"/>
  <c r="H91" i="53" s="1"/>
  <c r="O91" i="53" s="1"/>
  <c r="P91" i="53" s="1"/>
  <c r="H90" i="47"/>
  <c r="AF176" i="39"/>
  <c r="H127" i="53" s="1"/>
  <c r="O127" i="53" s="1"/>
  <c r="P127" i="53" s="1"/>
  <c r="H126" i="47"/>
  <c r="AF200" i="39"/>
  <c r="H151" i="53" s="1"/>
  <c r="O151" i="53" s="1"/>
  <c r="P151" i="53" s="1"/>
  <c r="H150" i="47"/>
  <c r="AF152" i="39"/>
  <c r="H103" i="53" s="1"/>
  <c r="O103" i="53" s="1"/>
  <c r="P103" i="53" s="1"/>
  <c r="H102" i="47"/>
  <c r="AF116" i="39"/>
  <c r="H67" i="53" s="1"/>
  <c r="O67" i="53" s="1"/>
  <c r="P67" i="53" s="1"/>
  <c r="H66" i="47"/>
  <c r="AF224" i="39"/>
  <c r="AG223" i="39"/>
  <c r="AF212" i="39"/>
  <c r="AG211" i="39"/>
  <c r="AG162" i="39"/>
  <c r="AG138" i="39"/>
  <c r="AG30" i="39"/>
  <c r="AG150" i="39"/>
  <c r="AG102" i="39"/>
  <c r="AG78" i="39"/>
  <c r="AG126" i="39"/>
  <c r="AG90" i="39"/>
  <c r="AG42" i="39"/>
  <c r="AG114" i="39"/>
  <c r="AG66" i="39"/>
  <c r="AG54" i="39"/>
  <c r="AG186" i="39"/>
  <c r="AG198" i="39"/>
  <c r="AG174" i="39"/>
  <c r="M84" i="9" l="1"/>
  <c r="L84" i="9"/>
  <c r="J63" i="9"/>
  <c r="I63" i="9"/>
  <c r="K84" i="9"/>
  <c r="H63" i="9"/>
  <c r="N71" i="9"/>
  <c r="M85" i="9"/>
  <c r="K85" i="9"/>
  <c r="L85" i="9"/>
  <c r="I64" i="9"/>
  <c r="J64" i="9"/>
  <c r="H64" i="9"/>
  <c r="N72" i="9"/>
  <c r="P185" i="53"/>
  <c r="B113" i="28"/>
  <c r="E112" i="28"/>
  <c r="H175" i="47"/>
  <c r="H175" i="53"/>
  <c r="O175" i="53" s="1"/>
  <c r="P175" i="53" s="1"/>
  <c r="B101" i="28"/>
  <c r="E100" i="28"/>
  <c r="P162" i="53"/>
  <c r="B53" i="28"/>
  <c r="E52" i="28"/>
  <c r="E76" i="28"/>
  <c r="B77" i="28"/>
  <c r="B65" i="28"/>
  <c r="E64" i="28"/>
  <c r="B89" i="28"/>
  <c r="E88" i="28"/>
  <c r="B41" i="28"/>
  <c r="E40" i="28"/>
  <c r="H163" i="47"/>
  <c r="H163" i="53"/>
  <c r="O163" i="53" s="1"/>
  <c r="P163" i="53" s="1"/>
  <c r="P174" i="53"/>
  <c r="O90" i="47"/>
  <c r="P90" i="47" s="1"/>
  <c r="O78" i="47"/>
  <c r="P78" i="47" s="1"/>
  <c r="O66" i="47"/>
  <c r="P66" i="47" s="1"/>
  <c r="O114" i="47"/>
  <c r="P114" i="47" s="1"/>
  <c r="E24" i="28"/>
  <c r="O38" i="47" s="1"/>
  <c r="P38" i="47" s="1"/>
  <c r="H185" i="47"/>
  <c r="AG234" i="39"/>
  <c r="AF235" i="39"/>
  <c r="H186" i="53" s="1"/>
  <c r="O186" i="53" s="1"/>
  <c r="P186" i="53" s="1"/>
  <c r="O184" i="47"/>
  <c r="P184" i="47" s="1"/>
  <c r="O138" i="47"/>
  <c r="P138" i="47" s="1"/>
  <c r="P113" i="47"/>
  <c r="AF165" i="39"/>
  <c r="H116" i="53" s="1"/>
  <c r="O116" i="53" s="1"/>
  <c r="P116" i="53" s="1"/>
  <c r="H115" i="47"/>
  <c r="AF141" i="39"/>
  <c r="H92" i="53" s="1"/>
  <c r="O92" i="53" s="1"/>
  <c r="P92" i="53" s="1"/>
  <c r="H91" i="47"/>
  <c r="AF117" i="39"/>
  <c r="H68" i="53" s="1"/>
  <c r="O68" i="53" s="1"/>
  <c r="P68" i="53" s="1"/>
  <c r="H67" i="47"/>
  <c r="O102" i="47"/>
  <c r="P102" i="47" s="1"/>
  <c r="O163" i="47"/>
  <c r="P163" i="47" s="1"/>
  <c r="AF153" i="39"/>
  <c r="H104" i="53" s="1"/>
  <c r="O104" i="53" s="1"/>
  <c r="P104" i="53" s="1"/>
  <c r="H103" i="47"/>
  <c r="O150" i="47"/>
  <c r="P150" i="47" s="1"/>
  <c r="P125" i="47"/>
  <c r="AF93" i="39"/>
  <c r="H44" i="53" s="1"/>
  <c r="O44" i="53" s="1"/>
  <c r="P44" i="53" s="1"/>
  <c r="H43" i="47"/>
  <c r="P137" i="47"/>
  <c r="AF201" i="39"/>
  <c r="H152" i="53" s="1"/>
  <c r="O152" i="53" s="1"/>
  <c r="P152" i="53" s="1"/>
  <c r="H151" i="47"/>
  <c r="O126" i="47"/>
  <c r="P126" i="47" s="1"/>
  <c r="AF189" i="39"/>
  <c r="H140" i="53" s="1"/>
  <c r="O140" i="53" s="1"/>
  <c r="P140" i="53" s="1"/>
  <c r="H139" i="47"/>
  <c r="P65" i="47"/>
  <c r="AF177" i="39"/>
  <c r="H128" i="53" s="1"/>
  <c r="O128" i="53" s="1"/>
  <c r="P128" i="53" s="1"/>
  <c r="H127" i="47"/>
  <c r="O175" i="47"/>
  <c r="P175" i="47" s="1"/>
  <c r="AF129" i="39"/>
  <c r="H80" i="53" s="1"/>
  <c r="O80" i="53" s="1"/>
  <c r="P80" i="53" s="1"/>
  <c r="H79" i="47"/>
  <c r="O53" i="47"/>
  <c r="P101" i="47"/>
  <c r="AF104" i="39"/>
  <c r="H55" i="53" s="1"/>
  <c r="O55" i="53" s="1"/>
  <c r="P55" i="53" s="1"/>
  <c r="H54" i="47"/>
  <c r="AF213" i="39"/>
  <c r="AG212" i="39"/>
  <c r="AG224" i="39"/>
  <c r="AF225" i="39"/>
  <c r="AG163" i="39"/>
  <c r="AG79" i="39"/>
  <c r="AG67" i="39"/>
  <c r="AG91" i="39"/>
  <c r="AG151" i="39"/>
  <c r="AG199" i="39"/>
  <c r="AG43" i="39"/>
  <c r="AG187" i="39"/>
  <c r="AG103" i="39"/>
  <c r="AG139" i="39"/>
  <c r="AG175" i="39"/>
  <c r="AG127" i="39"/>
  <c r="AG115" i="39"/>
  <c r="AG55" i="39"/>
  <c r="AG31" i="39"/>
  <c r="H84" i="9" l="1"/>
  <c r="N63" i="9"/>
  <c r="I84" i="9"/>
  <c r="J84" i="9"/>
  <c r="M41" i="11"/>
  <c r="M36" i="11"/>
  <c r="D17" i="18"/>
  <c r="C17" i="18"/>
  <c r="M31" i="11"/>
  <c r="D18" i="18"/>
  <c r="N41" i="11"/>
  <c r="N36" i="11"/>
  <c r="N31" i="11"/>
  <c r="I85" i="9"/>
  <c r="J85" i="9"/>
  <c r="C18" i="18"/>
  <c r="N64" i="9"/>
  <c r="H85" i="9"/>
  <c r="B78" i="28"/>
  <c r="E77" i="28"/>
  <c r="H164" i="47"/>
  <c r="H164" i="53"/>
  <c r="O164" i="53" s="1"/>
  <c r="B42" i="28"/>
  <c r="E41" i="28"/>
  <c r="E89" i="28"/>
  <c r="B90" i="28"/>
  <c r="E101" i="28"/>
  <c r="B102" i="28"/>
  <c r="H176" i="47"/>
  <c r="O176" i="47" s="1"/>
  <c r="P176" i="47" s="1"/>
  <c r="H176" i="53"/>
  <c r="O176" i="53" s="1"/>
  <c r="P176" i="53" s="1"/>
  <c r="E113" i="28"/>
  <c r="B114" i="28"/>
  <c r="B66" i="28"/>
  <c r="E65" i="28"/>
  <c r="E53" i="28"/>
  <c r="B54" i="28"/>
  <c r="O91" i="47"/>
  <c r="P91" i="47" s="1"/>
  <c r="O67" i="47"/>
  <c r="E25" i="28"/>
  <c r="O39" i="47" s="1"/>
  <c r="P39" i="47" s="1"/>
  <c r="H186" i="47"/>
  <c r="AG235" i="39"/>
  <c r="AF236" i="39"/>
  <c r="H187" i="53" s="1"/>
  <c r="O187" i="53" s="1"/>
  <c r="O185" i="47"/>
  <c r="P185" i="47" s="1"/>
  <c r="O79" i="47"/>
  <c r="P79" i="47" s="1"/>
  <c r="O115" i="47"/>
  <c r="P115" i="47" s="1"/>
  <c r="AF105" i="39"/>
  <c r="H56" i="53" s="1"/>
  <c r="O56" i="53" s="1"/>
  <c r="P56" i="53" s="1"/>
  <c r="H55" i="47"/>
  <c r="AF178" i="39"/>
  <c r="H128" i="47"/>
  <c r="AF94" i="39"/>
  <c r="H44" i="47"/>
  <c r="AF154" i="39"/>
  <c r="H104" i="47"/>
  <c r="AF166" i="39"/>
  <c r="H116" i="47"/>
  <c r="O151" i="47"/>
  <c r="P151" i="47" s="1"/>
  <c r="AF130" i="39"/>
  <c r="H80" i="47"/>
  <c r="O127" i="47"/>
  <c r="P127" i="47" s="1"/>
  <c r="O103" i="47"/>
  <c r="AF202" i="39"/>
  <c r="H152" i="47"/>
  <c r="AF118" i="39"/>
  <c r="H68" i="47"/>
  <c r="O54" i="47"/>
  <c r="P54" i="47" s="1"/>
  <c r="O139" i="47"/>
  <c r="O164" i="47"/>
  <c r="P164" i="47" s="1"/>
  <c r="P53" i="47"/>
  <c r="AF190" i="39"/>
  <c r="H140" i="47"/>
  <c r="AF142" i="39"/>
  <c r="H92" i="47"/>
  <c r="AF214" i="39"/>
  <c r="AG213" i="39"/>
  <c r="AF226" i="39"/>
  <c r="AG225" i="39"/>
  <c r="AG128" i="39"/>
  <c r="AG92" i="39"/>
  <c r="AG104" i="39"/>
  <c r="AG164" i="39"/>
  <c r="AG176" i="39"/>
  <c r="AG44" i="39"/>
  <c r="AG56" i="39"/>
  <c r="AG200" i="39"/>
  <c r="AG68" i="39"/>
  <c r="AG188" i="39"/>
  <c r="AG152" i="39"/>
  <c r="AG140" i="39"/>
  <c r="AG80" i="39"/>
  <c r="AG32" i="39"/>
  <c r="AG116" i="39"/>
  <c r="M37" i="11" l="1"/>
  <c r="M17" i="11"/>
  <c r="M32" i="11"/>
  <c r="M13" i="11"/>
  <c r="N84" i="9"/>
  <c r="M21" i="11"/>
  <c r="B17" i="18"/>
  <c r="N17" i="11"/>
  <c r="B18" i="18"/>
  <c r="N32" i="11"/>
  <c r="N21" i="11"/>
  <c r="N37" i="11"/>
  <c r="N85" i="9"/>
  <c r="N13" i="11"/>
  <c r="H177" i="47"/>
  <c r="O177" i="47" s="1"/>
  <c r="P177" i="47" s="1"/>
  <c r="H177" i="53"/>
  <c r="O177" i="53" s="1"/>
  <c r="P177" i="53" s="1"/>
  <c r="H105" i="47"/>
  <c r="H105" i="53"/>
  <c r="O105" i="53" s="1"/>
  <c r="P105" i="53" s="1"/>
  <c r="H153" i="47"/>
  <c r="H153" i="53"/>
  <c r="O153" i="53" s="1"/>
  <c r="P153" i="53" s="1"/>
  <c r="B115" i="28"/>
  <c r="E114" i="28"/>
  <c r="B91" i="28"/>
  <c r="E90" i="28"/>
  <c r="H45" i="47"/>
  <c r="H45" i="53"/>
  <c r="O45" i="53" s="1"/>
  <c r="P45" i="53" s="1"/>
  <c r="P187" i="53"/>
  <c r="B55" i="28"/>
  <c r="E54" i="28"/>
  <c r="P164" i="53"/>
  <c r="P202" i="53"/>
  <c r="H81" i="47"/>
  <c r="H81" i="53"/>
  <c r="O81" i="53" s="1"/>
  <c r="P81" i="53" s="1"/>
  <c r="H165" i="47"/>
  <c r="H165" i="53"/>
  <c r="O165" i="53" s="1"/>
  <c r="P165" i="53" s="1"/>
  <c r="H93" i="47"/>
  <c r="H93" i="53"/>
  <c r="O93" i="53" s="1"/>
  <c r="P93" i="53" s="1"/>
  <c r="H129" i="47"/>
  <c r="H129" i="53"/>
  <c r="O129" i="53" s="1"/>
  <c r="P129" i="53" s="1"/>
  <c r="H69" i="47"/>
  <c r="H69" i="53"/>
  <c r="O69" i="53" s="1"/>
  <c r="P69" i="53" s="1"/>
  <c r="B67" i="28"/>
  <c r="E66" i="28"/>
  <c r="B79" i="28"/>
  <c r="E78" i="28"/>
  <c r="B43" i="28"/>
  <c r="E42" i="28"/>
  <c r="H141" i="47"/>
  <c r="H141" i="53"/>
  <c r="O141" i="53" s="1"/>
  <c r="P141" i="53" s="1"/>
  <c r="H117" i="47"/>
  <c r="H117" i="53"/>
  <c r="O117" i="53" s="1"/>
  <c r="P117" i="53" s="1"/>
  <c r="B103" i="28"/>
  <c r="E102" i="28"/>
  <c r="O104" i="47"/>
  <c r="P104" i="47" s="1"/>
  <c r="O128" i="47"/>
  <c r="P128" i="47" s="1"/>
  <c r="O80" i="47"/>
  <c r="P80" i="47" s="1"/>
  <c r="O68" i="47"/>
  <c r="P68" i="47" s="1"/>
  <c r="O116" i="47"/>
  <c r="P116" i="47" s="1"/>
  <c r="E26" i="28"/>
  <c r="O40" i="47" s="1"/>
  <c r="P40" i="47" s="1"/>
  <c r="H187" i="47"/>
  <c r="AF237" i="39"/>
  <c r="H188" i="53" s="1"/>
  <c r="O188" i="53" s="1"/>
  <c r="P188" i="53" s="1"/>
  <c r="AG236" i="39"/>
  <c r="O186" i="47"/>
  <c r="P186" i="47" s="1"/>
  <c r="O141" i="47"/>
  <c r="P141" i="47" s="1"/>
  <c r="P139" i="47"/>
  <c r="O152" i="47"/>
  <c r="P152" i="47" s="1"/>
  <c r="O153" i="47"/>
  <c r="P153" i="47" s="1"/>
  <c r="O55" i="47"/>
  <c r="AF106" i="39"/>
  <c r="H56" i="47"/>
  <c r="O140" i="47"/>
  <c r="P140" i="47" s="1"/>
  <c r="P67" i="47"/>
  <c r="P103" i="47"/>
  <c r="O92" i="47"/>
  <c r="P92" i="47" s="1"/>
  <c r="AG214" i="39"/>
  <c r="AG215" i="39"/>
  <c r="AG226" i="39"/>
  <c r="AG227" i="39"/>
  <c r="AG201" i="39"/>
  <c r="AG57" i="39"/>
  <c r="AG141" i="39"/>
  <c r="AG129" i="39"/>
  <c r="AG33" i="39"/>
  <c r="AG69" i="39"/>
  <c r="AG177" i="39"/>
  <c r="AG189" i="39"/>
  <c r="AG93" i="39"/>
  <c r="AG117" i="39"/>
  <c r="AG165" i="39"/>
  <c r="AG45" i="39"/>
  <c r="AG81" i="39"/>
  <c r="AG153" i="39"/>
  <c r="AG105" i="39"/>
  <c r="M71" i="11" l="1"/>
  <c r="E17" i="18"/>
  <c r="M56" i="11" s="1"/>
  <c r="M22" i="11"/>
  <c r="M50" i="11"/>
  <c r="M65" i="11" s="1"/>
  <c r="N22" i="11"/>
  <c r="N50" i="11"/>
  <c r="N65" i="11" s="1"/>
  <c r="N71" i="11"/>
  <c r="E18" i="18"/>
  <c r="N56" i="11" s="1"/>
  <c r="B116" i="28"/>
  <c r="E115" i="28"/>
  <c r="H57" i="47"/>
  <c r="H57" i="53"/>
  <c r="O57" i="53" s="1"/>
  <c r="P57" i="53" s="1"/>
  <c r="B104" i="28"/>
  <c r="E103" i="28"/>
  <c r="B44" i="28"/>
  <c r="E43" i="28"/>
  <c r="B68" i="28"/>
  <c r="E67" i="28"/>
  <c r="B80" i="28"/>
  <c r="E79" i="28"/>
  <c r="B92" i="28"/>
  <c r="E91" i="28"/>
  <c r="O165" i="47"/>
  <c r="P165" i="47" s="1"/>
  <c r="B56" i="28"/>
  <c r="E55" i="28"/>
  <c r="O129" i="47"/>
  <c r="P129" i="47" s="1"/>
  <c r="O93" i="47"/>
  <c r="P93" i="47" s="1"/>
  <c r="O105" i="47"/>
  <c r="P105" i="47" s="1"/>
  <c r="O81" i="47"/>
  <c r="P81" i="47" s="1"/>
  <c r="O117" i="47"/>
  <c r="P117" i="47" s="1"/>
  <c r="O69" i="47"/>
  <c r="P69" i="47" s="1"/>
  <c r="O57" i="47"/>
  <c r="P57" i="47" s="1"/>
  <c r="E27" i="28"/>
  <c r="O41" i="47" s="1"/>
  <c r="P41" i="47" s="1"/>
  <c r="P200" i="47"/>
  <c r="H188" i="47"/>
  <c r="AF238" i="39"/>
  <c r="H189" i="53" s="1"/>
  <c r="O189" i="53" s="1"/>
  <c r="AG237" i="39"/>
  <c r="O187" i="47"/>
  <c r="P55" i="47"/>
  <c r="P201" i="47"/>
  <c r="P202" i="47"/>
  <c r="P203" i="47"/>
  <c r="O56" i="47"/>
  <c r="P56" i="47" s="1"/>
  <c r="AG82" i="39"/>
  <c r="AG83" i="39"/>
  <c r="AG118" i="39"/>
  <c r="AG119" i="39"/>
  <c r="AG106" i="39"/>
  <c r="AG107" i="39"/>
  <c r="AG130" i="39"/>
  <c r="AG131" i="39"/>
  <c r="AG70" i="39"/>
  <c r="AG71" i="39"/>
  <c r="AG94" i="39"/>
  <c r="AG95" i="39"/>
  <c r="AG142" i="39"/>
  <c r="AG143" i="39"/>
  <c r="AG154" i="39"/>
  <c r="AG155" i="39"/>
  <c r="AG190" i="39"/>
  <c r="AG191" i="39"/>
  <c r="AG34" i="39"/>
  <c r="AG35" i="39"/>
  <c r="AG178" i="39"/>
  <c r="AG179" i="39"/>
  <c r="AG46" i="39"/>
  <c r="AG47" i="39"/>
  <c r="AG58" i="39"/>
  <c r="AG59" i="39"/>
  <c r="AG202" i="39"/>
  <c r="AG203" i="39"/>
  <c r="AG166" i="39"/>
  <c r="AG167" i="39"/>
  <c r="N72" i="11" l="1"/>
  <c r="N51" i="11"/>
  <c r="N66" i="11" s="1"/>
  <c r="M72" i="11"/>
  <c r="M51" i="11"/>
  <c r="M66" i="11" s="1"/>
  <c r="E104" i="28"/>
  <c r="C104" i="28"/>
  <c r="E68" i="28"/>
  <c r="C68" i="28"/>
  <c r="E56" i="28"/>
  <c r="C56" i="28"/>
  <c r="E92" i="28"/>
  <c r="C92" i="28"/>
  <c r="P189" i="53"/>
  <c r="P201" i="53"/>
  <c r="P196" i="53"/>
  <c r="P200" i="53"/>
  <c r="P194" i="53"/>
  <c r="P198" i="53"/>
  <c r="P197" i="53"/>
  <c r="P192" i="53"/>
  <c r="P193" i="53"/>
  <c r="P195" i="53"/>
  <c r="P199" i="53"/>
  <c r="P203" i="53"/>
  <c r="P204" i="53"/>
  <c r="E80" i="28"/>
  <c r="C80" i="28"/>
  <c r="E44" i="28"/>
  <c r="C44" i="28"/>
  <c r="E116" i="28"/>
  <c r="C116" i="28"/>
  <c r="O82" i="47"/>
  <c r="O106" i="47"/>
  <c r="O58" i="47"/>
  <c r="P58" i="47" s="1"/>
  <c r="O70" i="47"/>
  <c r="O94" i="47"/>
  <c r="O118" i="47"/>
  <c r="O130" i="47"/>
  <c r="E28" i="28"/>
  <c r="O42" i="47" s="1"/>
  <c r="P187" i="47"/>
  <c r="H189" i="47"/>
  <c r="AG239" i="39"/>
  <c r="AG238" i="39"/>
  <c r="O188" i="47"/>
  <c r="P188" i="47" s="1"/>
  <c r="P193" i="47" l="1"/>
  <c r="P70" i="47"/>
  <c r="P194" i="47"/>
  <c r="P42" i="47"/>
  <c r="P106" i="47"/>
  <c r="P197" i="47"/>
  <c r="P130" i="47"/>
  <c r="P199" i="47"/>
  <c r="P118" i="47"/>
  <c r="P198" i="47"/>
  <c r="P94" i="47"/>
  <c r="P196" i="47"/>
  <c r="P82" i="47"/>
  <c r="P195" i="47"/>
  <c r="E29" i="28"/>
  <c r="O43" i="47" s="1"/>
  <c r="P43" i="47" s="1"/>
  <c r="O189" i="47"/>
  <c r="E30" i="28" l="1"/>
  <c r="O44" i="47" s="1"/>
  <c r="P44" i="47" s="1"/>
  <c r="P189" i="47"/>
  <c r="P204" i="47"/>
  <c r="E31" i="28" l="1"/>
  <c r="O45" i="47" s="1"/>
  <c r="P45" i="47" l="1"/>
  <c r="F3" i="28"/>
  <c r="G4" i="28" s="1"/>
  <c r="E32" i="28"/>
  <c r="O46" i="47" s="1"/>
  <c r="P46" i="47" s="1"/>
  <c r="C32" i="28"/>
  <c r="P192" i="47" l="1"/>
  <c r="F4" i="28"/>
  <c r="G5" i="28" s="1"/>
  <c r="F5" i="28" l="1"/>
  <c r="G6" i="28" s="1"/>
  <c r="F6" i="28" l="1"/>
  <c r="G7" i="28" s="1"/>
  <c r="F7" i="28" l="1"/>
  <c r="G8" i="28" s="1"/>
  <c r="F8" i="28" l="1"/>
  <c r="G9" i="28" s="1"/>
  <c r="F9" i="28" l="1"/>
  <c r="G10" i="28" s="1"/>
  <c r="F10" i="28" l="1"/>
  <c r="G11" i="28" s="1"/>
</calcChain>
</file>

<file path=xl/comments1.xml><?xml version="1.0" encoding="utf-8"?>
<comments xmlns="http://schemas.openxmlformats.org/spreadsheetml/2006/main">
  <authors>
    <author>Oana Stefan</author>
  </authors>
  <commentList>
    <comment ref="C11" authorId="0">
      <text>
        <r>
          <rPr>
            <b/>
            <sz val="9"/>
            <color indexed="81"/>
            <rFont val="Tahoma"/>
            <family val="2"/>
          </rPr>
          <t>Oana Stefan:</t>
        </r>
        <r>
          <rPr>
            <sz val="9"/>
            <color indexed="81"/>
            <rFont val="Tahoma"/>
            <family val="2"/>
          </rPr>
          <t xml:space="preserve">
Pleaceholder to be updated in August with 2014 CDM Report from IESO
</t>
        </r>
      </text>
    </comment>
  </commentList>
</comments>
</file>

<file path=xl/comments2.xml><?xml version="1.0" encoding="utf-8"?>
<comments xmlns="http://schemas.openxmlformats.org/spreadsheetml/2006/main">
  <authors>
    <author>User</author>
  </authors>
  <commentList>
    <comment ref="M35" authorId="0">
      <text>
        <r>
          <rPr>
            <b/>
            <sz val="9"/>
            <color indexed="81"/>
            <rFont val="Tahoma"/>
            <family val="2"/>
          </rPr>
          <t>User:</t>
        </r>
        <r>
          <rPr>
            <sz val="9"/>
            <color indexed="81"/>
            <rFont val="Tahoma"/>
            <family val="2"/>
          </rPr>
          <t xml:space="preserve">
revised number of connections</t>
        </r>
      </text>
    </comment>
    <comment ref="N35" authorId="0">
      <text>
        <r>
          <rPr>
            <b/>
            <sz val="9"/>
            <color indexed="81"/>
            <rFont val="Tahoma"/>
            <family val="2"/>
          </rPr>
          <t>User:</t>
        </r>
        <r>
          <rPr>
            <sz val="9"/>
            <color indexed="81"/>
            <rFont val="Tahoma"/>
            <family val="2"/>
          </rPr>
          <t xml:space="preserve">
revised number of connections x Geomean</t>
        </r>
      </text>
    </comment>
  </commentList>
</comments>
</file>

<file path=xl/comments3.xml><?xml version="1.0" encoding="utf-8"?>
<comments xmlns="http://schemas.openxmlformats.org/spreadsheetml/2006/main">
  <authors>
    <author>Oana Stefan</author>
  </authors>
  <commentList>
    <comment ref="C25" authorId="0">
      <text>
        <r>
          <rPr>
            <b/>
            <sz val="9"/>
            <color indexed="81"/>
            <rFont val="Tahoma"/>
            <family val="2"/>
          </rPr>
          <t>Oana Stefan:</t>
        </r>
        <r>
          <rPr>
            <sz val="9"/>
            <color indexed="81"/>
            <rFont val="Tahoma"/>
            <family val="2"/>
          </rPr>
          <t xml:space="preserve">
confirmed E+ is being billed for 2 connection points from BL6700 as of 2021 Q1.</t>
        </r>
      </text>
    </comment>
  </commentList>
</comments>
</file>

<file path=xl/comments4.xml><?xml version="1.0" encoding="utf-8"?>
<comments xmlns="http://schemas.openxmlformats.org/spreadsheetml/2006/main">
  <authors>
    <author>User</author>
  </authors>
  <commentList>
    <comment ref="H75" authorId="0">
      <text>
        <r>
          <rPr>
            <b/>
            <sz val="9"/>
            <color indexed="81"/>
            <rFont val="Tahoma"/>
            <family val="2"/>
          </rPr>
          <t>User:</t>
        </r>
        <r>
          <rPr>
            <sz val="9"/>
            <color indexed="81"/>
            <rFont val="Tahoma"/>
            <family val="2"/>
          </rPr>
          <t xml:space="preserve">
allocations on the basis of net kWh savings per class for 2014 programs. Heavy weighting towards GS&gt;50 appears to be consistent with BPI's CDM Plan for 2015-2021</t>
        </r>
      </text>
    </comment>
  </commentList>
</comments>
</file>

<file path=xl/comments5.xml><?xml version="1.0" encoding="utf-8"?>
<comments xmlns="http://schemas.openxmlformats.org/spreadsheetml/2006/main">
  <authors>
    <author>User</author>
  </authors>
  <commentList>
    <comment ref="W13" authorId="0">
      <text>
        <r>
          <rPr>
            <b/>
            <sz val="9"/>
            <color indexed="81"/>
            <rFont val="Tahoma"/>
            <family val="2"/>
          </rPr>
          <t>User:</t>
        </r>
        <r>
          <rPr>
            <sz val="9"/>
            <color indexed="81"/>
            <rFont val="Tahoma"/>
            <family val="2"/>
          </rPr>
          <t xml:space="preserve">
transition mth from Pearson A to toronto Intl stations</t>
        </r>
      </text>
    </comment>
  </commentList>
</comments>
</file>

<file path=xl/comments6.xml><?xml version="1.0" encoding="utf-8"?>
<comments xmlns="http://schemas.openxmlformats.org/spreadsheetml/2006/main">
  <authors>
    <author>Oana Stefan</author>
    <author>User</author>
  </authors>
  <commentList>
    <comment ref="AE19" authorId="0">
      <text>
        <r>
          <rPr>
            <b/>
            <sz val="9"/>
            <color indexed="81"/>
            <rFont val="Tahoma"/>
            <family val="2"/>
          </rPr>
          <t>Oana Stefan:</t>
        </r>
        <r>
          <rPr>
            <sz val="9"/>
            <color indexed="81"/>
            <rFont val="Tahoma"/>
            <family val="2"/>
          </rPr>
          <t xml:space="preserve">
To be done as manual adjustment
</t>
        </r>
      </text>
    </comment>
    <comment ref="L38" authorId="1">
      <text>
        <r>
          <rPr>
            <b/>
            <sz val="9"/>
            <color indexed="81"/>
            <rFont val="Tahoma"/>
            <family val="2"/>
          </rPr>
          <t>User:</t>
        </r>
        <r>
          <rPr>
            <sz val="9"/>
            <color indexed="81"/>
            <rFont val="Tahoma"/>
            <family val="2"/>
          </rPr>
          <t xml:space="preserve">
exclusive of adjustments made through IESO letter. Includes other adjsutments to prior year's results included with original IESO report
</t>
        </r>
      </text>
    </comment>
    <comment ref="C53" authorId="1">
      <text>
        <r>
          <rPr>
            <b/>
            <sz val="9"/>
            <color indexed="81"/>
            <rFont val="Tahoma"/>
            <family val="2"/>
          </rPr>
          <t>User:</t>
        </r>
        <r>
          <rPr>
            <sz val="9"/>
            <color indexed="81"/>
            <rFont val="Tahoma"/>
            <family val="2"/>
          </rPr>
          <t xml:space="preserve">
matches 2014 in 2014 results from IESO report (prior to IESO letter adjusting); less adjustments to prior years' results </t>
        </r>
      </text>
    </comment>
  </commentList>
</comments>
</file>

<file path=xl/comments7.xml><?xml version="1.0" encoding="utf-8"?>
<comments xmlns="http://schemas.openxmlformats.org/spreadsheetml/2006/main">
  <authors>
    <author>User</author>
  </authors>
  <commentList>
    <comment ref="D7" authorId="0">
      <text>
        <r>
          <rPr>
            <b/>
            <sz val="9"/>
            <color indexed="81"/>
            <rFont val="Tahoma"/>
            <family val="2"/>
          </rPr>
          <t>User:</t>
        </r>
        <r>
          <rPr>
            <sz val="9"/>
            <color indexed="81"/>
            <rFont val="Tahoma"/>
            <family val="2"/>
          </rPr>
          <t xml:space="preserve">
actual consumption 
</t>
        </r>
      </text>
    </comment>
  </commentList>
</comments>
</file>

<file path=xl/sharedStrings.xml><?xml version="1.0" encoding="utf-8"?>
<sst xmlns="http://schemas.openxmlformats.org/spreadsheetml/2006/main" count="772" uniqueCount="335">
  <si>
    <t>Purchased</t>
  </si>
  <si>
    <t>Loss Factor</t>
  </si>
  <si>
    <t>Total Billed</t>
  </si>
  <si>
    <t>Heating Degree Days</t>
  </si>
  <si>
    <t>Cooling Degree Days</t>
  </si>
  <si>
    <t>Number of Days in Month</t>
  </si>
  <si>
    <t>Ontario Real GDP Monthly %</t>
  </si>
  <si>
    <t>Purchases</t>
  </si>
  <si>
    <t>Modeled Purchases</t>
  </si>
  <si>
    <t>% Difference</t>
  </si>
  <si>
    <t>Total</t>
  </si>
  <si>
    <t>Average</t>
  </si>
  <si>
    <t xml:space="preserve">Geomean </t>
  </si>
  <si>
    <t>Usage Per Customer</t>
  </si>
  <si>
    <t xml:space="preserve">Total </t>
  </si>
  <si>
    <t xml:space="preserve">Used </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</si>
  <si>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</si>
  <si>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</si>
  <si>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</si>
  <si>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</si>
  <si>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</si>
  <si>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</si>
  <si>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</si>
  <si>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</si>
  <si>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</si>
  <si>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</si>
  <si>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</si>
  <si>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</si>
  <si>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</si>
  <si>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</si>
  <si>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</si>
  <si>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</si>
  <si>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</si>
  <si>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</si>
  <si>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</si>
  <si>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</si>
  <si>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</si>
  <si>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</si>
  <si>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</si>
  <si>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</si>
  <si>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</si>
  <si>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</si>
  <si>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</si>
  <si>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</si>
  <si>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</si>
  <si>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</si>
  <si>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</si>
  <si>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</si>
  <si>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</si>
  <si>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</si>
  <si>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</si>
  <si>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</si>
  <si>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</si>
  <si>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</si>
  <si>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Billed kWh</t>
  </si>
  <si>
    <t>Used</t>
  </si>
  <si>
    <t>kW/kWh</t>
  </si>
  <si>
    <t>Residential</t>
  </si>
  <si>
    <t>GS&lt;50</t>
  </si>
  <si>
    <t>USL</t>
  </si>
  <si>
    <t>Streetlights</t>
  </si>
  <si>
    <t xml:space="preserve">  Connections</t>
  </si>
  <si>
    <t>Total of Above</t>
  </si>
  <si>
    <t>Check should all be zero</t>
  </si>
  <si>
    <t>Sentinels</t>
  </si>
  <si>
    <t xml:space="preserve">2010 Actual </t>
  </si>
  <si>
    <t>May want to be consistent with proposed loss factor</t>
  </si>
  <si>
    <t xml:space="preserve">2011 Actual </t>
  </si>
  <si>
    <t xml:space="preserve">2015 Actual </t>
  </si>
  <si>
    <t>2014 Actual</t>
  </si>
  <si>
    <t>2013 Actual</t>
  </si>
  <si>
    <t xml:space="preserve">2012 Actual </t>
  </si>
  <si>
    <t xml:space="preserve">Allocation of CDM Amount </t>
  </si>
  <si>
    <t>CDM Adjusted Weather Corrected Forecast</t>
  </si>
  <si>
    <t>(to be entered as negaitve)</t>
  </si>
  <si>
    <t>Summary of Degree Day Information</t>
  </si>
  <si>
    <t>Station Name</t>
  </si>
  <si>
    <t>TORONTO LESTER B. PEARSON INT'L A</t>
  </si>
  <si>
    <t>Summary of All Heating Degree Days</t>
  </si>
  <si>
    <t>Month</t>
  </si>
  <si>
    <t>20 Year Trend</t>
  </si>
  <si>
    <t>January</t>
  </si>
  <si>
    <t>February</t>
  </si>
  <si>
    <t>March</t>
  </si>
  <si>
    <t>April</t>
  </si>
  <si>
    <t>May</t>
  </si>
  <si>
    <t>June</t>
  </si>
  <si>
    <t>July</t>
  </si>
  <si>
    <t>August</t>
  </si>
  <si>
    <t>September</t>
  </si>
  <si>
    <t>October</t>
  </si>
  <si>
    <t>November</t>
  </si>
  <si>
    <t>December</t>
  </si>
  <si>
    <t>Summary of All Cooling Degree Days</t>
  </si>
  <si>
    <t>Check</t>
  </si>
  <si>
    <t>Jan</t>
  </si>
  <si>
    <t>Feb</t>
  </si>
  <si>
    <t>Mar</t>
  </si>
  <si>
    <t>Apr</t>
  </si>
  <si>
    <t>Jun</t>
  </si>
  <si>
    <t>Jul</t>
  </si>
  <si>
    <t>Aug</t>
  </si>
  <si>
    <t>Sep</t>
  </si>
  <si>
    <t>Oct</t>
  </si>
  <si>
    <t>Nov</t>
  </si>
  <si>
    <t>Dec</t>
  </si>
  <si>
    <t>#</t>
  </si>
  <si>
    <t>Program Year</t>
  </si>
  <si>
    <t>Results Status</t>
  </si>
  <si>
    <t>2006 Programs</t>
  </si>
  <si>
    <t>Final</t>
  </si>
  <si>
    <t>2007 Programs</t>
  </si>
  <si>
    <t>2008 Programs</t>
  </si>
  <si>
    <t>2009 Programs</t>
  </si>
  <si>
    <t>2010 Programs</t>
  </si>
  <si>
    <t>2011 Programs</t>
  </si>
  <si>
    <t>2012 Programs</t>
  </si>
  <si>
    <t xml:space="preserve">Estimated </t>
  </si>
  <si>
    <t>2013 Programs</t>
  </si>
  <si>
    <t>2014 Programs</t>
  </si>
  <si>
    <t xml:space="preserve">Net Persistent CDM Impact </t>
  </si>
  <si>
    <t>kWh</t>
  </si>
  <si>
    <t xml:space="preserve">Half-Year New Net Savings </t>
  </si>
  <si>
    <t>Persistence+Half Year new Savings</t>
  </si>
  <si>
    <t xml:space="preserve">Net New CDM Savings in Year </t>
  </si>
  <si>
    <t xml:space="preserve">Increase over previous year </t>
  </si>
  <si>
    <t xml:space="preserve">Monthly Increase </t>
  </si>
  <si>
    <t>December Savings * 12</t>
  </si>
  <si>
    <t>( 1993- July 12, 2013)</t>
  </si>
  <si>
    <t>TORONTO INTL A</t>
  </si>
  <si>
    <t>(June 13, 2013- present)</t>
  </si>
  <si>
    <t>Mo.</t>
  </si>
  <si>
    <t>Table 1: 2006-2010 Programs - MWh</t>
  </si>
  <si>
    <t xml:space="preserve">Results Year </t>
  </si>
  <si>
    <t>Net Energy Savings (MWh)</t>
  </si>
  <si>
    <t xml:space="preserve">Program Year </t>
  </si>
  <si>
    <t>Table 1A: 2006-2010 Programs kWh</t>
  </si>
  <si>
    <t>Net Energy Savings (kWh)</t>
  </si>
  <si>
    <t xml:space="preserve">Persistence Results </t>
  </si>
  <si>
    <t>check</t>
  </si>
  <si>
    <t xml:space="preserve">Half of new results </t>
  </si>
  <si>
    <t>Table 2: 2011-2014 Programs: kWh</t>
  </si>
  <si>
    <t xml:space="preserve">NIV variable </t>
  </si>
  <si>
    <t xml:space="preserve">2014 Cumulative kWh Target: </t>
  </si>
  <si>
    <t>Final -pers. Est.</t>
  </si>
  <si>
    <t>Totals</t>
  </si>
  <si>
    <t xml:space="preserve">Table 2A: 2011-2014 Programs -- Estimated persistence </t>
  </si>
  <si>
    <t xml:space="preserve">Table 3: Expected 2015-2017 Program results </t>
  </si>
  <si>
    <t xml:space="preserve">Historic Load </t>
  </si>
  <si>
    <t>Description:</t>
  </si>
  <si>
    <t xml:space="preserve">Brantford Power Embedded Distributor is billed directly by the IESO for electricity consumption, global adjustment, and other charges. </t>
  </si>
  <si>
    <t xml:space="preserve">Brantford Power bills its Embedded Distributor for distribution and transmission charges only. </t>
  </si>
  <si>
    <t xml:space="preserve">kW </t>
  </si>
  <si>
    <t xml:space="preserve">Number of connections </t>
  </si>
  <si>
    <t xml:space="preserve">Embedded Distributor </t>
  </si>
  <si>
    <t xml:space="preserve">apr </t>
  </si>
  <si>
    <t xml:space="preserve">may </t>
  </si>
  <si>
    <t xml:space="preserve">Predicted Purchases </t>
  </si>
  <si>
    <t xml:space="preserve">Est. kWh </t>
  </si>
  <si>
    <t>kW-kWH ratio (GS&gt;50)</t>
  </si>
  <si>
    <t>GS&gt;50 kWh to kW</t>
  </si>
  <si>
    <t xml:space="preserve">Table: </t>
  </si>
  <si>
    <t xml:space="preserve">2014 Results in 2014 per draft 6 of Burman Report </t>
  </si>
  <si>
    <t xml:space="preserve">Total Residential Net Energy Savings </t>
  </si>
  <si>
    <t xml:space="preserve">Total GS&lt;50 Net Energy Savings </t>
  </si>
  <si>
    <t xml:space="preserve">Total GS&gt;50 Net Energy Savings </t>
  </si>
  <si>
    <t xml:space="preserve">Wholesale Market Participants </t>
  </si>
  <si>
    <t>Less: Total from Model</t>
  </si>
  <si>
    <t xml:space="preserve">Less: Embedded +WMP </t>
  </si>
  <si>
    <t>GS&gt;50 (excl. WMP)</t>
  </si>
  <si>
    <t xml:space="preserve">Adjust Sentinel Light Consumption </t>
  </si>
  <si>
    <t>Forecast Years are based on the following assumptions :</t>
  </si>
  <si>
    <t>New Results (excl. 2016 and 2017)</t>
  </si>
  <si>
    <t>Update for YTD June 2016 purchases</t>
  </si>
  <si>
    <t>Update for 2015 Verified CDM</t>
  </si>
  <si>
    <t>1-Staff-1</t>
  </si>
  <si>
    <t>3-VECC-21</t>
  </si>
  <si>
    <t>10 Year Average</t>
  </si>
  <si>
    <t>Updated for CDM Persistence (Burman)</t>
  </si>
  <si>
    <t>3-VECC-22</t>
  </si>
  <si>
    <t>Updated for 2011 and 2012 CDM did not get updated in VECC 22 and 23</t>
  </si>
  <si>
    <t>3-VECC-58 (TCQ)</t>
  </si>
  <si>
    <t>Updated to most current GDP</t>
  </si>
  <si>
    <t>3-EP-TCQ 2 b)</t>
  </si>
  <si>
    <t>Manual Adj't for 2016/2017</t>
  </si>
  <si>
    <t>3-VECC-54 (TCQ)</t>
  </si>
  <si>
    <t>Updated for HDD/CDD</t>
  </si>
  <si>
    <t>Purchased kWh's as per application</t>
  </si>
  <si>
    <t>Updated Purchase Forecast</t>
  </si>
  <si>
    <t>LRAMVA</t>
  </si>
  <si>
    <t>5 Year Average</t>
  </si>
  <si>
    <t>2021-Forecast</t>
  </si>
  <si>
    <t>2016 Actual</t>
  </si>
  <si>
    <t>2017 Actual</t>
  </si>
  <si>
    <t>2018 Actual</t>
  </si>
  <si>
    <t>2019 Actual</t>
  </si>
  <si>
    <t>2021 Weather Normal, CDM Adjusted</t>
  </si>
  <si>
    <t>2020 Actual</t>
  </si>
  <si>
    <t>2022 Weather Normal, CDM Adjusted</t>
  </si>
  <si>
    <t xml:space="preserve">*detail from the YoY RRR summary </t>
  </si>
  <si>
    <t xml:space="preserve">Trend Variable </t>
  </si>
  <si>
    <t>Brantford Power Weather Normal Load Forecast for 2022 Rate Application</t>
  </si>
  <si>
    <t>* from RRR data</t>
  </si>
  <si>
    <t>Change from 2019</t>
  </si>
  <si>
    <t xml:space="preserve">2022-Forecast </t>
  </si>
  <si>
    <t>Weather Normalizing Monthly Data</t>
  </si>
  <si>
    <t>Predicted Purchases at weather normal</t>
  </si>
  <si>
    <t>Predicted Purchases excluding HDD</t>
  </si>
  <si>
    <t>% Impact of HDD</t>
  </si>
  <si>
    <t>Predicted Purchases excluding CDD</t>
  </si>
  <si>
    <t>% Impact of CDD</t>
  </si>
  <si>
    <t xml:space="preserve">Step 5 from Process tab in: </t>
  </si>
  <si>
    <t>R:\2022 Cost of Service\Exhibits\Exhibit 7- Cost Allocation\Load Profiles\2009-2019 HDD and CDD for Load Profile v1.xlsx</t>
  </si>
  <si>
    <t>Historical GDP Data from:</t>
  </si>
  <si>
    <t>Ontario Economic Accounts</t>
  </si>
  <si>
    <t>(Accessed on Jan 19, 2021)</t>
  </si>
  <si>
    <t>YYYY-MMM</t>
  </si>
  <si>
    <t>Year</t>
  </si>
  <si>
    <t xml:space="preserve">Based on the above, BPI does not have - or reuire- kWh billing data for its embedded distritbutor. </t>
  </si>
  <si>
    <t>Lookup Next</t>
  </si>
  <si>
    <t>Lookup Past</t>
  </si>
  <si>
    <t>GDP Next</t>
  </si>
  <si>
    <t>GDP Past</t>
  </si>
  <si>
    <t>Est. Monthly Real GDP</t>
  </si>
  <si>
    <t>TD Bank</t>
  </si>
  <si>
    <t>Sum of 1.   Final consumption expenditure on goods and services</t>
  </si>
  <si>
    <t>Data</t>
  </si>
  <si>
    <t>Count of 1.   Final consumption expenditure on goods and services2</t>
  </si>
  <si>
    <t>Population:</t>
  </si>
  <si>
    <t>Ontario’s Long-Term Report on the Economy, "Chapter 1: Demographic Trends and Projections" June 2020, (Access Date Jun 20, 2020)</t>
  </si>
  <si>
    <t>Real GDP:</t>
  </si>
  <si>
    <t>Ontario’s Long-Term Report on the Economy, "Chapter 2: Economic Trends and Projections" June 2020, (Access Date Jun 20, 2020)</t>
  </si>
  <si>
    <t>TD, Provincial Economic Forecast,  Dec 15, 2020 (Access date Jan 20, 2020)</t>
  </si>
  <si>
    <t>Royal Bank</t>
  </si>
  <si>
    <t>Real GDP Growth</t>
  </si>
  <si>
    <t>Royal Bank, Provincial Outlook - December 2020, (Access date Jan 20, 20200</t>
  </si>
  <si>
    <t>http://www.rbc.com/economics/economic-reports/provincial-economic-forecasts.html</t>
  </si>
  <si>
    <t>National Bank of Canada Financial Markets, Monthly Economic Monitor, Jan 2021, (Access Date Jan 21, 2020)</t>
  </si>
  <si>
    <t>Desjardins Economic Studies, December 18, 2020 (Access date Jan 21, 2020)</t>
  </si>
  <si>
    <t>Real GDP Growth Forecasts</t>
  </si>
  <si>
    <t>National Bank</t>
  </si>
  <si>
    <t>Desjardins</t>
  </si>
  <si>
    <t>(Dec 15, 2020)</t>
  </si>
  <si>
    <t>(Jan 2021)</t>
  </si>
  <si>
    <t>(Dec 18, 2020)</t>
  </si>
  <si>
    <t>Unemployment Forecasts</t>
  </si>
  <si>
    <t>(Dec 15 2020)</t>
  </si>
  <si>
    <t>Step 1: Get historical GDP data. (See sheet GDP Q)</t>
  </si>
  <si>
    <t>Step 2: Aggregate Quarterly GDP by year to get annual GDP data.</t>
  </si>
  <si>
    <t>Historical GDP annual to monthly</t>
  </si>
  <si>
    <t>MMM-YYYY</t>
  </si>
  <si>
    <t>Count of Purchased</t>
  </si>
  <si>
    <t xml:space="preserve">Sum of Predicted Purchases </t>
  </si>
  <si>
    <t>Sum of Purchased2</t>
  </si>
  <si>
    <t>Ontario Real GDP Monthly (Indexed)</t>
  </si>
  <si>
    <t>&lt;-Forecast</t>
  </si>
  <si>
    <t>Predicted Less Acturals</t>
  </si>
  <si>
    <t>Sum of Predicted Less Acturals</t>
  </si>
  <si>
    <t>Sum of Heating Degree Days</t>
  </si>
  <si>
    <t>Sum of Cooling Degree Days</t>
  </si>
  <si>
    <t>&lt;-Forecast (GDP still an est.)</t>
  </si>
  <si>
    <t>National Bank of Canada Financial Markets, Monthly Economic Monitor, Feb 2021, (Access Date Feb 22, 2020)</t>
  </si>
  <si>
    <t>Adjustments to streetlights</t>
  </si>
  <si>
    <t>average number of customers opening and closing average change 2016-2020</t>
  </si>
  <si>
    <t>Used in</t>
  </si>
  <si>
    <t>1. Copy data to---&gt;</t>
  </si>
  <si>
    <t>2. Add forecast GDP---&gt;</t>
  </si>
  <si>
    <t>Total OPA Annual CDM Results 2006 to 2010 programs</t>
  </si>
  <si>
    <t>Total IESO Annual CDM Results 2011 to 2014 programs</t>
  </si>
  <si>
    <t>Total IESO Annual CDM Results 2015 programs</t>
  </si>
  <si>
    <t>Total IESO Annual CDM Results 2016 programs</t>
  </si>
  <si>
    <t>Total IESO Annual CDM Results 2017 programs</t>
  </si>
  <si>
    <t>Total IESO Annual CDM Results 2018 programs</t>
  </si>
  <si>
    <t>Total Annual CDM Results 2019 programs</t>
  </si>
  <si>
    <t>Total Annual CDM Results 2020 programs</t>
  </si>
  <si>
    <t>Total Annual CDM Results 2020 programs delayed to 2021</t>
  </si>
  <si>
    <t>Total Annual CDM Results</t>
  </si>
  <si>
    <t>Increase over previous year</t>
  </si>
  <si>
    <t>Monthly Addition</t>
  </si>
  <si>
    <t>Increase over previous year - Not Persistent</t>
  </si>
  <si>
    <t>Half Year Rule</t>
  </si>
  <si>
    <t>Increase over PY - Half Rule</t>
  </si>
  <si>
    <t>Monthly Addition - Half Rule</t>
  </si>
  <si>
    <t>Check - Full</t>
  </si>
  <si>
    <t>Check - Half Rule</t>
  </si>
  <si>
    <t>CDM Activity Variable</t>
  </si>
  <si>
    <t>Persistent Amount</t>
  </si>
  <si>
    <t>CDM Activity Variable - Half Year</t>
  </si>
  <si>
    <t>2006-2014 Persistance kW</t>
  </si>
  <si>
    <t xml:space="preserve">                       -  </t>
  </si>
  <si>
    <t xml:space="preserve">                         -  </t>
  </si>
  <si>
    <t>2006-2014 Persistance kWh</t>
  </si>
  <si>
    <t>2015-2019  Persistance kWh</t>
  </si>
  <si>
    <t>2015-2019  Persistance kW</t>
  </si>
  <si>
    <t>Subtotal:  2015 Verified 2015 Results</t>
  </si>
  <si>
    <t>Subtotal:  2016 Verified 2015 Results Adjustments</t>
  </si>
  <si>
    <t>Subtotal:  2017 Verified 2015 Results Adjustments</t>
  </si>
  <si>
    <t>2015 Verified 2015 Results and Adjustments</t>
  </si>
  <si>
    <t>2016 Verified 2016 Results</t>
  </si>
  <si>
    <t>Subtotal:  2017 Verified 2016 Results Adjustments</t>
  </si>
  <si>
    <t>2016 Verified 2016 Results and Adjustments</t>
  </si>
  <si>
    <t>Subtotal:  2017 Verified 2017 Results</t>
  </si>
  <si>
    <t>2017 Verified 2017</t>
  </si>
  <si>
    <t>Table 5-d.  2018 Lost Revenues Work Form</t>
  </si>
  <si>
    <t>Table 5-e.  2019 Lost Revenues Work Form</t>
  </si>
  <si>
    <t>Table 5-f.  2020 Lost Revenues Work Form</t>
  </si>
  <si>
    <t>From: Final Verified Annual LDC CDM Program Results_Brantford Power Inc._Report_20180629</t>
  </si>
  <si>
    <t>From: 2021 Generic LRAMVA Workform</t>
  </si>
  <si>
    <t>Sub Total 2006-2014 Persistance kWh</t>
  </si>
  <si>
    <t>Sub Total 2015-2019  Persistance kWh</t>
  </si>
  <si>
    <t>New Results</t>
  </si>
  <si>
    <t>Est. Additional Persistence</t>
  </si>
  <si>
    <t>Row Labels</t>
  </si>
  <si>
    <t>Grand Total</t>
  </si>
  <si>
    <t>Sum of Purchased</t>
  </si>
  <si>
    <t>Total Persistent</t>
  </si>
  <si>
    <t>Trend Var.</t>
  </si>
  <si>
    <t>SUMMARY OUTPUT (Trend)</t>
  </si>
  <si>
    <t>SUMMARY OUTPUT (Persistent)</t>
  </si>
  <si>
    <t>with shap</t>
  </si>
  <si>
    <t>Flat</t>
  </si>
  <si>
    <t>Method to allocate Persistence:</t>
  </si>
  <si>
    <t>SUMMARY OUTPUT (Persistent -flat)</t>
  </si>
  <si>
    <t>Trend</t>
  </si>
  <si>
    <t>Ontario Real GDP  (Indexed)</t>
  </si>
  <si>
    <t>Ontario Real GDP (Indexed)</t>
  </si>
  <si>
    <t>Total:</t>
  </si>
  <si>
    <t>YoY %Change</t>
  </si>
  <si>
    <t>Last application Averages</t>
  </si>
  <si>
    <t>10 Year Avg</t>
  </si>
  <si>
    <t>Difference from 2017</t>
  </si>
  <si>
    <t>Different from 2020</t>
  </si>
  <si>
    <t>1% growth annually</t>
  </si>
  <si>
    <t>GS&gt;50 with WMP</t>
  </si>
  <si>
    <t>(June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</si>
</sst>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_(* #,##0_);_(* \(#,##0\);_(* &quot;-&quot;??_);_(@_)"/>
    <numFmt numFmtId="171" formatCode="0.0"/>
    <numFmt numFmtId="172" formatCode="_(* #,##0.0000_);_(* \(#,##0.0000\);_(* &quot;-&quot;??_);_(@_)"/>
    <numFmt numFmtId="173" formatCode="yyyy\-mmm"/>
    <numFmt numFmtId="174" formatCode="mmm\-yyyy"/>
    <numFmt numFmtId="175" formatCode="_-* #,##0_-;\-* #,##0_-;_-* &quot;-&quot;??_-;_-@_-"/>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b/>
      <sz val="10"/>
      <color indexed="10"/>
      <name val="Arial"/>
      <family val="2"/>
    </font>
    <font>
      <sz val="8"/>
      <name val="Arial"/>
      <family val="2"/>
    </font>
    <font>
      <sz val="10"/>
      <name val="Times New Roman"/>
      <family val="1"/>
    </font>
    <font>
      <i/>
      <sz val="8"/>
      <name val="Arial"/>
      <family val="2"/>
    </font>
    <font>
      <b/>
      <u/>
      <sz val="8"/>
      <name val="Arial"/>
      <family val="2"/>
    </font>
    <font>
      <b/>
      <sz val="8"/>
      <name val="Arial"/>
      <family val="2"/>
    </font>
    <font>
      <sz val="10"/>
      <color indexed="9"/>
      <name val="Arial"/>
      <family val="2"/>
    </font>
    <font>
      <sz val="9"/>
      <color indexed="81"/>
      <name val="Tahoma"/>
      <family val="2"/>
    </font>
    <font>
      <b/>
      <sz val="9"/>
      <color indexed="81"/>
      <name val="Tahoma"/>
      <family val="2"/>
    </font>
    <font>
      <b/>
      <u/>
      <sz val="10"/>
      <name val="Arial"/>
      <family val="2"/>
    </font>
    <font>
      <i/>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FF0000"/>
      <name val="Arial"/>
      <family val="2"/>
    </font>
    <font>
      <b/>
      <u/>
      <sz val="11"/>
      <color theme="1"/>
      <name val="Calibri"/>
      <family val="2"/>
      <scheme val="minor"/>
    </font>
    <font>
      <sz val="10"/>
      <color theme="0"/>
      <name val="Arial"/>
      <family val="2"/>
    </font>
    <font>
      <sz val="20"/>
      <color theme="0" tint="-4.9989318521683403E-2"/>
      <name val="Arial"/>
      <family val="2"/>
    </font>
    <font>
      <b/>
      <sz val="20"/>
      <color theme="0"/>
      <name val="Arial"/>
      <family val="2"/>
    </font>
    <font>
      <b/>
      <sz val="16"/>
      <color theme="0"/>
      <name val="Calibri"/>
      <family val="2"/>
      <scheme val="minor"/>
    </font>
    <font>
      <b/>
      <sz val="14"/>
      <color rgb="FFC00000"/>
      <name val="Arial"/>
      <family val="2"/>
    </font>
    <font>
      <b/>
      <sz val="12"/>
      <color theme="0"/>
      <name val="Arial"/>
      <family val="2"/>
    </font>
    <font>
      <b/>
      <sz val="14"/>
      <color theme="0"/>
      <name val="Calibri"/>
      <family val="2"/>
      <scheme val="minor"/>
    </font>
    <font>
      <sz val="12"/>
      <name val="Arial"/>
      <family val="2"/>
    </font>
    <font>
      <b/>
      <sz val="10"/>
      <color theme="0"/>
      <name val="Arial"/>
      <family val="2"/>
    </font>
  </fonts>
  <fills count="59">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22"/>
        <bgColor indexed="64"/>
      </patternFill>
    </fill>
    <fill>
      <patternFill patternType="solid">
        <fgColor indexed="3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2"/>
        <bgColor indexed="64"/>
      </patternFill>
    </fill>
    <fill>
      <patternFill patternType="solid">
        <fgColor theme="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rgb="FF00FF00"/>
        <bgColor indexed="64"/>
      </patternFill>
    </fill>
    <fill>
      <patternFill patternType="solid">
        <fgColor theme="3" tint="0.39997558519241921"/>
        <bgColor indexed="64"/>
      </patternFill>
    </fill>
    <fill>
      <patternFill patternType="solid">
        <fgColor indexed="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5"/>
      </left>
      <right/>
      <top style="thin">
        <color indexed="8"/>
      </top>
      <bottom/>
      <diagonal/>
    </border>
    <border>
      <left/>
      <right/>
      <top style="thin">
        <color indexed="8"/>
      </top>
      <bottom/>
      <diagonal/>
    </border>
    <border>
      <left/>
      <right/>
      <top/>
      <bottom style="thin">
        <color indexed="8"/>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s>
  <cellStyleXfs count="146">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9" fillId="31" borderId="0" applyNumberFormat="0" applyBorder="0" applyAlignment="0" applyProtection="0"/>
    <xf numFmtId="0" fontId="30" fillId="32" borderId="44" applyNumberFormat="0" applyAlignment="0" applyProtection="0"/>
    <xf numFmtId="0" fontId="31" fillId="33" borderId="45" applyNumberFormat="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27"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5" fontId="6" fillId="0" borderId="0" applyFont="0" applyFill="0" applyBorder="0" applyAlignment="0" applyProtection="0"/>
    <xf numFmtId="5" fontId="6" fillId="0" borderId="0" applyFont="0" applyFill="0" applyBorder="0" applyAlignment="0" applyProtection="0"/>
    <xf numFmtId="5" fontId="5" fillId="0" borderId="0" applyFont="0" applyFill="0" applyBorder="0" applyAlignment="0" applyProtection="0"/>
    <xf numFmtId="5" fontId="5" fillId="0" borderId="0" applyFont="0" applyFill="0" applyBorder="0" applyAlignment="0" applyProtection="0"/>
    <xf numFmtId="14" fontId="6" fillId="0" borderId="0" applyFont="0" applyFill="0" applyBorder="0" applyAlignment="0" applyProtection="0"/>
    <xf numFmtId="14" fontId="6"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0" fontId="32" fillId="0" borderId="0" applyNumberForma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3" fillId="34" borderId="0" applyNumberFormat="0" applyBorder="0" applyAlignment="0" applyProtection="0"/>
    <xf numFmtId="0" fontId="34" fillId="0" borderId="46" applyNumberFormat="0" applyFill="0" applyAlignment="0" applyProtection="0"/>
    <xf numFmtId="0" fontId="35" fillId="0" borderId="47" applyNumberFormat="0" applyFill="0" applyAlignment="0" applyProtection="0"/>
    <xf numFmtId="0" fontId="36" fillId="0" borderId="48"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35" borderId="44" applyNumberFormat="0" applyAlignment="0" applyProtection="0"/>
    <xf numFmtId="0" fontId="40" fillId="0" borderId="49" applyNumberFormat="0" applyFill="0" applyAlignment="0" applyProtection="0"/>
    <xf numFmtId="0" fontId="41" fillId="36" borderId="0" applyNumberFormat="0" applyBorder="0" applyAlignment="0" applyProtection="0"/>
    <xf numFmtId="0" fontId="6" fillId="0" borderId="0"/>
    <xf numFmtId="0" fontId="12" fillId="0" borderId="0"/>
    <xf numFmtId="0" fontId="5" fillId="0" borderId="0"/>
    <xf numFmtId="0" fontId="27" fillId="0" borderId="0"/>
    <xf numFmtId="0" fontId="6" fillId="0" borderId="0"/>
    <xf numFmtId="0" fontId="5" fillId="0" borderId="0"/>
    <xf numFmtId="0" fontId="5" fillId="0" borderId="0"/>
    <xf numFmtId="0" fontId="6" fillId="0" borderId="0"/>
    <xf numFmtId="0" fontId="5" fillId="0" borderId="0"/>
    <xf numFmtId="0" fontId="6" fillId="0" borderId="0"/>
    <xf numFmtId="0" fontId="5" fillId="0" borderId="0"/>
    <xf numFmtId="0" fontId="5" fillId="0" borderId="0"/>
    <xf numFmtId="0" fontId="5" fillId="0" borderId="0"/>
    <xf numFmtId="0" fontId="27" fillId="37" borderId="50" applyNumberFormat="0" applyFont="0" applyAlignment="0" applyProtection="0"/>
    <xf numFmtId="0" fontId="4" fillId="37" borderId="50" applyNumberFormat="0" applyFont="0" applyAlignment="0" applyProtection="0"/>
    <xf numFmtId="0" fontId="42" fillId="32" borderId="51" applyNumberFormat="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3" fillId="0" borderId="0" applyNumberFormat="0" applyFill="0" applyBorder="0" applyAlignment="0" applyProtection="0"/>
    <xf numFmtId="0" fontId="44" fillId="0" borderId="52" applyNumberFormat="0" applyFill="0" applyAlignment="0" applyProtection="0"/>
    <xf numFmtId="0" fontId="45" fillId="0" borderId="0" applyNumberForma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3" fillId="0" borderId="0" applyFont="0" applyFill="0" applyBorder="0" applyAlignment="0" applyProtection="0"/>
    <xf numFmtId="0" fontId="5" fillId="58" borderId="1" applyNumberFormat="0" applyProtection="0">
      <alignment horizontal="left" vertical="center"/>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43" fontId="3" fillId="0" borderId="0" applyFont="0" applyFill="0" applyBorder="0" applyAlignment="0" applyProtection="0"/>
    <xf numFmtId="0" fontId="3" fillId="0" borderId="0"/>
    <xf numFmtId="0" fontId="3" fillId="37" borderId="50" applyNumberFormat="0" applyFont="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43" fontId="2" fillId="0" borderId="0" applyFont="0" applyFill="0" applyBorder="0" applyAlignment="0" applyProtection="0"/>
    <xf numFmtId="0" fontId="2" fillId="0" borderId="0"/>
    <xf numFmtId="0" fontId="2" fillId="37" borderId="50" applyNumberFormat="0" applyFont="0" applyAlignment="0" applyProtection="0"/>
    <xf numFmtId="0" fontId="1" fillId="0" borderId="0"/>
  </cellStyleXfs>
  <cellXfs count="502">
    <xf numFmtId="0" fontId="0" fillId="0" borderId="0" xfId="0"/>
    <xf numFmtId="0" fontId="0" fillId="0" borderId="0" xfId="0" applyAlignment="1">
      <alignment horizontal="center"/>
    </xf>
    <xf numFmtId="0" fontId="7"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7" fillId="0" borderId="0" xfId="0" applyNumberFormat="1" applyFont="1" applyAlignment="1">
      <alignment horizontal="center"/>
    </xf>
    <xf numFmtId="3" fontId="6" fillId="0" borderId="0" xfId="0" applyNumberFormat="1" applyFont="1" applyAlignment="1">
      <alignment horizontal="center" wrapText="1"/>
    </xf>
    <xf numFmtId="3" fontId="7" fillId="0" borderId="0" xfId="0" applyNumberFormat="1" applyFont="1" applyAlignment="1">
      <alignment horizontal="center" wrapText="1"/>
    </xf>
    <xf numFmtId="3" fontId="6" fillId="0" borderId="0" xfId="0" applyNumberFormat="1" applyFont="1" applyAlignment="1">
      <alignment horizontal="center"/>
    </xf>
    <xf numFmtId="0" fontId="7" fillId="0" borderId="0" xfId="0" applyFont="1" applyAlignment="1">
      <alignment horizontal="center" wrapText="1"/>
    </xf>
    <xf numFmtId="3" fontId="5" fillId="0" borderId="0" xfId="28" applyNumberFormat="1" applyAlignment="1">
      <alignment horizontal="center"/>
    </xf>
    <xf numFmtId="0" fontId="6" fillId="0" borderId="0" xfId="0" applyFont="1"/>
    <xf numFmtId="10" fontId="0" fillId="0" borderId="0" xfId="0" applyNumberFormat="1" applyAlignment="1">
      <alignment horizontal="center"/>
    </xf>
    <xf numFmtId="0" fontId="0" fillId="2" borderId="0" xfId="0" applyFill="1" applyAlignment="1">
      <alignment horizontal="center"/>
    </xf>
    <xf numFmtId="0" fontId="8" fillId="0" borderId="0" xfId="0" applyFont="1"/>
    <xf numFmtId="0" fontId="8" fillId="0" borderId="0" xfId="0" applyFont="1" applyAlignment="1"/>
    <xf numFmtId="3" fontId="0" fillId="2" borderId="0" xfId="0" applyNumberFormat="1" applyFill="1" applyAlignment="1">
      <alignment horizontal="center"/>
    </xf>
    <xf numFmtId="17" fontId="8"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0" fontId="0" fillId="0" borderId="1" xfId="0" applyBorder="1" applyAlignment="1">
      <alignment horizontal="right"/>
    </xf>
    <xf numFmtId="3" fontId="6" fillId="2" borderId="1" xfId="0" applyNumberFormat="1" applyFont="1" applyFill="1" applyBorder="1" applyAlignment="1">
      <alignment horizontal="center"/>
    </xf>
    <xf numFmtId="0" fontId="0" fillId="0" borderId="0" xfId="0" applyFill="1"/>
    <xf numFmtId="4" fontId="7" fillId="0" borderId="0" xfId="0" applyNumberFormat="1" applyFont="1" applyAlignment="1">
      <alignment horizontal="center" wrapText="1"/>
    </xf>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6" fillId="3" borderId="0" xfId="0" applyNumberFormat="1" applyFont="1" applyFill="1" applyAlignment="1">
      <alignment horizontal="center"/>
    </xf>
    <xf numFmtId="0" fontId="0" fillId="0" borderId="0" xfId="0" applyAlignment="1">
      <alignment horizontal="left"/>
    </xf>
    <xf numFmtId="0" fontId="0" fillId="0" borderId="0" xfId="0" applyAlignment="1">
      <alignment horizontal="center" wrapText="1"/>
    </xf>
    <xf numFmtId="3" fontId="0" fillId="3" borderId="1" xfId="0" applyNumberFormat="1" applyFill="1" applyBorder="1" applyAlignment="1">
      <alignment horizontal="center"/>
    </xf>
    <xf numFmtId="3" fontId="6" fillId="3" borderId="1" xfId="0" applyNumberFormat="1" applyFont="1" applyFill="1" applyBorder="1" applyAlignment="1">
      <alignment horizontal="center"/>
    </xf>
    <xf numFmtId="3" fontId="7" fillId="3" borderId="0" xfId="0" applyNumberFormat="1" applyFont="1" applyFill="1" applyAlignment="1">
      <alignment horizontal="center"/>
    </xf>
    <xf numFmtId="3" fontId="6" fillId="3" borderId="0" xfId="0" applyNumberFormat="1" applyFont="1" applyFill="1" applyAlignment="1">
      <alignment horizontal="center" wrapText="1"/>
    </xf>
    <xf numFmtId="3" fontId="7" fillId="3" borderId="0" xfId="0" applyNumberFormat="1" applyFont="1" applyFill="1" applyAlignment="1">
      <alignment horizontal="center" wrapText="1"/>
    </xf>
    <xf numFmtId="0" fontId="5" fillId="0" borderId="0" xfId="0" applyFont="1" applyFill="1"/>
    <xf numFmtId="167" fontId="0" fillId="4" borderId="0" xfId="0" applyNumberFormat="1" applyFill="1" applyAlignment="1">
      <alignment horizontal="center"/>
    </xf>
    <xf numFmtId="167" fontId="0" fillId="0" borderId="0" xfId="0" applyNumberFormat="1" applyFill="1" applyAlignment="1">
      <alignment horizontal="center"/>
    </xf>
    <xf numFmtId="3" fontId="5" fillId="3" borderId="0" xfId="0" applyNumberFormat="1" applyFont="1" applyFill="1" applyAlignment="1">
      <alignment horizontal="center"/>
    </xf>
    <xf numFmtId="166" fontId="0" fillId="2" borderId="0" xfId="0" applyNumberFormat="1" applyFill="1" applyAlignment="1">
      <alignment horizontal="center"/>
    </xf>
    <xf numFmtId="10" fontId="0" fillId="3" borderId="0" xfId="0" applyNumberForma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17" fontId="0" fillId="0" borderId="2" xfId="0" applyNumberFormat="1" applyBorder="1"/>
    <xf numFmtId="37" fontId="6" fillId="0" borderId="3" xfId="0" applyNumberFormat="1" applyFont="1" applyBorder="1" applyAlignment="1">
      <alignment horizontal="center"/>
    </xf>
    <xf numFmtId="0" fontId="0" fillId="0" borderId="3" xfId="0" applyBorder="1"/>
    <xf numFmtId="17" fontId="0" fillId="0" borderId="4" xfId="0" applyNumberFormat="1" applyBorder="1"/>
    <xf numFmtId="37" fontId="6" fillId="0" borderId="0" xfId="0" applyNumberFormat="1" applyFont="1" applyBorder="1" applyAlignment="1">
      <alignment horizontal="center"/>
    </xf>
    <xf numFmtId="0" fontId="0" fillId="0" borderId="0" xfId="0" applyBorder="1"/>
    <xf numFmtId="17" fontId="0" fillId="0" borderId="5" xfId="0" applyNumberFormat="1" applyBorder="1"/>
    <xf numFmtId="37" fontId="6" fillId="0" borderId="6" xfId="0" applyNumberFormat="1" applyFont="1" applyBorder="1" applyAlignment="1">
      <alignment horizontal="center"/>
    </xf>
    <xf numFmtId="0" fontId="0" fillId="0" borderId="6" xfId="0" applyBorder="1"/>
    <xf numFmtId="166" fontId="0" fillId="0" borderId="0" xfId="0" applyNumberFormat="1" applyFill="1" applyAlignment="1">
      <alignment horizontal="center"/>
    </xf>
    <xf numFmtId="0" fontId="0" fillId="0" borderId="0" xfId="0" applyNumberFormat="1" applyFill="1" applyBorder="1"/>
    <xf numFmtId="3" fontId="0" fillId="38" borderId="0" xfId="0" applyNumberFormat="1" applyFill="1" applyAlignment="1">
      <alignment horizontal="center"/>
    </xf>
    <xf numFmtId="9" fontId="5" fillId="39" borderId="0" xfId="93" applyFont="1" applyFill="1" applyAlignment="1">
      <alignment horizontal="center"/>
    </xf>
    <xf numFmtId="166" fontId="6" fillId="0" borderId="0" xfId="0" applyNumberFormat="1" applyFont="1" applyFill="1" applyAlignment="1">
      <alignment horizontal="center"/>
    </xf>
    <xf numFmtId="0" fontId="0" fillId="39" borderId="0" xfId="0" applyFill="1"/>
    <xf numFmtId="0" fontId="0" fillId="0" borderId="0" xfId="0" applyFill="1" applyAlignment="1">
      <alignment horizontal="right"/>
    </xf>
    <xf numFmtId="43" fontId="11" fillId="0" borderId="0" xfId="48" applyFont="1"/>
    <xf numFmtId="43" fontId="15" fillId="0" borderId="0" xfId="48" applyFont="1" applyAlignment="1">
      <alignment horizontal="right"/>
    </xf>
    <xf numFmtId="4" fontId="11" fillId="2" borderId="0" xfId="77" applyNumberFormat="1" applyFont="1" applyFill="1"/>
    <xf numFmtId="0" fontId="0" fillId="40" borderId="0" xfId="0" applyFill="1"/>
    <xf numFmtId="0" fontId="0" fillId="0" borderId="0" xfId="0" applyAlignment="1">
      <alignment wrapText="1"/>
    </xf>
    <xf numFmtId="0" fontId="0" fillId="0" borderId="1" xfId="0" applyBorder="1" applyAlignment="1">
      <alignment horizontal="center"/>
    </xf>
    <xf numFmtId="0" fontId="27" fillId="0" borderId="0" xfId="80"/>
    <xf numFmtId="0" fontId="44" fillId="0" borderId="0" xfId="80" applyFont="1"/>
    <xf numFmtId="3" fontId="6" fillId="41" borderId="7" xfId="77" applyNumberFormat="1" applyFill="1" applyBorder="1" applyAlignment="1">
      <alignment horizontal="center"/>
    </xf>
    <xf numFmtId="3" fontId="6" fillId="0" borderId="8" xfId="77" applyNumberFormat="1" applyBorder="1"/>
    <xf numFmtId="3" fontId="6" fillId="0" borderId="7" xfId="77" applyNumberFormat="1" applyBorder="1" applyAlignment="1">
      <alignment horizontal="center"/>
    </xf>
    <xf numFmtId="3" fontId="6" fillId="0" borderId="9" xfId="77" applyNumberFormat="1" applyBorder="1" applyAlignment="1">
      <alignment horizontal="center"/>
    </xf>
    <xf numFmtId="0" fontId="6" fillId="0" borderId="10" xfId="77" applyBorder="1" applyAlignment="1">
      <alignment horizontal="center"/>
    </xf>
    <xf numFmtId="0" fontId="6" fillId="0" borderId="11" xfId="77" applyBorder="1" applyAlignment="1">
      <alignment horizontal="center"/>
    </xf>
    <xf numFmtId="0" fontId="6" fillId="0" borderId="12" xfId="77" applyBorder="1" applyAlignment="1">
      <alignment horizontal="center"/>
    </xf>
    <xf numFmtId="0" fontId="27" fillId="0" borderId="7" xfId="80" applyBorder="1"/>
    <xf numFmtId="0" fontId="27" fillId="0" borderId="9" xfId="80" applyBorder="1"/>
    <xf numFmtId="0" fontId="27" fillId="0" borderId="13" xfId="80" applyBorder="1"/>
    <xf numFmtId="0" fontId="27" fillId="0" borderId="14" xfId="80" applyBorder="1"/>
    <xf numFmtId="43" fontId="7" fillId="0" borderId="0" xfId="28" applyFont="1" applyAlignment="1">
      <alignment horizontal="center"/>
    </xf>
    <xf numFmtId="43" fontId="0" fillId="0" borderId="0" xfId="28" applyFont="1" applyBorder="1" applyAlignment="1">
      <alignment horizontal="center"/>
    </xf>
    <xf numFmtId="0" fontId="8" fillId="0" borderId="0" xfId="88" applyFont="1"/>
    <xf numFmtId="0" fontId="5" fillId="0" borderId="0" xfId="88"/>
    <xf numFmtId="0" fontId="5" fillId="0" borderId="0" xfId="88" applyFill="1"/>
    <xf numFmtId="0" fontId="13" fillId="0" borderId="0" xfId="88" applyFont="1"/>
    <xf numFmtId="0" fontId="14" fillId="0" borderId="0" xfId="88" applyFont="1"/>
    <xf numFmtId="0" fontId="11" fillId="0" borderId="0" xfId="88" applyFont="1"/>
    <xf numFmtId="0" fontId="15" fillId="0" borderId="6" xfId="88" applyFont="1" applyBorder="1" applyAlignment="1">
      <alignment horizontal="right"/>
    </xf>
    <xf numFmtId="0" fontId="15" fillId="0" borderId="6" xfId="88" applyFont="1" applyFill="1" applyBorder="1" applyAlignment="1">
      <alignment horizontal="right"/>
    </xf>
    <xf numFmtId="0" fontId="15" fillId="42" borderId="6" xfId="88" applyFont="1" applyFill="1" applyBorder="1" applyAlignment="1">
      <alignment horizontal="right"/>
    </xf>
    <xf numFmtId="0" fontId="15" fillId="42" borderId="0" xfId="88" applyFont="1" applyFill="1" applyBorder="1" applyAlignment="1">
      <alignment horizontal="right"/>
    </xf>
    <xf numFmtId="0" fontId="15" fillId="0" borderId="0" xfId="88" applyFont="1" applyFill="1" applyBorder="1" applyAlignment="1">
      <alignment horizontal="right"/>
    </xf>
    <xf numFmtId="0" fontId="15" fillId="2" borderId="0" xfId="88" applyFont="1" applyFill="1"/>
    <xf numFmtId="0" fontId="5" fillId="42" borderId="0" xfId="88" applyFill="1"/>
    <xf numFmtId="0" fontId="11" fillId="0" borderId="0" xfId="88" applyFont="1" applyAlignment="1">
      <alignment horizontal="right"/>
    </xf>
    <xf numFmtId="43" fontId="11" fillId="0" borderId="0" xfId="88" applyNumberFormat="1" applyFont="1" applyAlignment="1">
      <alignment horizontal="right"/>
    </xf>
    <xf numFmtId="43" fontId="11" fillId="0" borderId="0" xfId="88" applyNumberFormat="1" applyFont="1" applyFill="1" applyAlignment="1">
      <alignment horizontal="right"/>
    </xf>
    <xf numFmtId="43" fontId="11" fillId="42" borderId="0" xfId="88" applyNumberFormat="1" applyFont="1" applyFill="1" applyAlignment="1">
      <alignment horizontal="right"/>
    </xf>
    <xf numFmtId="2" fontId="11" fillId="2" borderId="0" xfId="88" applyNumberFormat="1" applyFont="1" applyFill="1"/>
    <xf numFmtId="43" fontId="11" fillId="43" borderId="0" xfId="88" applyNumberFormat="1" applyFont="1" applyFill="1" applyAlignment="1">
      <alignment horizontal="right"/>
    </xf>
    <xf numFmtId="0" fontId="11" fillId="42" borderId="0" xfId="88" applyFont="1" applyFill="1" applyAlignment="1">
      <alignment horizontal="right"/>
    </xf>
    <xf numFmtId="0" fontId="11" fillId="0" borderId="0" xfId="88" applyFont="1" applyFill="1" applyAlignment="1">
      <alignment horizontal="right"/>
    </xf>
    <xf numFmtId="0" fontId="46" fillId="2" borderId="0" xfId="88" applyFont="1" applyFill="1"/>
    <xf numFmtId="0" fontId="19" fillId="0" borderId="0" xfId="0" applyFont="1" applyBorder="1"/>
    <xf numFmtId="0" fontId="27" fillId="0" borderId="0" xfId="80" applyBorder="1"/>
    <xf numFmtId="3" fontId="27" fillId="0" borderId="0" xfId="80" applyNumberFormat="1" applyBorder="1"/>
    <xf numFmtId="170" fontId="27" fillId="0" borderId="0" xfId="80" applyNumberFormat="1" applyBorder="1"/>
    <xf numFmtId="0" fontId="0" fillId="0" borderId="0" xfId="0" applyBorder="1" applyAlignment="1">
      <alignment wrapText="1"/>
    </xf>
    <xf numFmtId="0" fontId="9" fillId="0" borderId="0" xfId="0" applyFont="1" applyFill="1" applyBorder="1" applyAlignment="1">
      <alignment vertical="top"/>
    </xf>
    <xf numFmtId="0" fontId="8" fillId="0" borderId="0" xfId="0" applyFont="1" applyFill="1" applyBorder="1" applyAlignment="1">
      <alignment vertical="top"/>
    </xf>
    <xf numFmtId="0" fontId="8" fillId="5" borderId="1" xfId="0" applyFont="1" applyFill="1" applyBorder="1" applyAlignment="1">
      <alignment vertical="top" wrapText="1"/>
    </xf>
    <xf numFmtId="0" fontId="8" fillId="5" borderId="1" xfId="0" applyFont="1" applyFill="1" applyBorder="1" applyAlignment="1">
      <alignment vertical="top"/>
    </xf>
    <xf numFmtId="0" fontId="0" fillId="0" borderId="0" xfId="0" applyFill="1" applyBorder="1" applyAlignment="1">
      <alignment vertical="top"/>
    </xf>
    <xf numFmtId="0" fontId="8" fillId="0" borderId="0" xfId="0" applyFont="1" applyFill="1" applyBorder="1" applyAlignment="1">
      <alignment vertical="top" wrapText="1"/>
    </xf>
    <xf numFmtId="3" fontId="0" fillId="0" borderId="0" xfId="0" applyNumberFormat="1" applyFill="1" applyBorder="1" applyAlignment="1">
      <alignment vertical="top"/>
    </xf>
    <xf numFmtId="0" fontId="16" fillId="0" borderId="0" xfId="0" applyNumberFormat="1" applyFont="1" applyFill="1" applyBorder="1" applyAlignment="1">
      <alignment vertical="top"/>
    </xf>
    <xf numFmtId="0" fontId="0" fillId="0" borderId="15" xfId="0" applyFill="1" applyBorder="1" applyAlignment="1">
      <alignment vertical="top"/>
    </xf>
    <xf numFmtId="0" fontId="0" fillId="0" borderId="16" xfId="0" applyFill="1" applyBorder="1" applyAlignment="1">
      <alignment vertical="top"/>
    </xf>
    <xf numFmtId="0" fontId="6" fillId="0" borderId="17" xfId="0" applyFont="1" applyFill="1" applyBorder="1" applyAlignment="1">
      <alignment vertical="top"/>
    </xf>
    <xf numFmtId="3" fontId="0" fillId="0" borderId="16" xfId="0" applyNumberFormat="1" applyFill="1" applyBorder="1" applyAlignment="1">
      <alignment vertical="top"/>
    </xf>
    <xf numFmtId="0" fontId="0" fillId="6" borderId="18" xfId="0" applyFill="1" applyBorder="1" applyAlignment="1">
      <alignment vertical="top"/>
    </xf>
    <xf numFmtId="0" fontId="0" fillId="6" borderId="19" xfId="0" applyFill="1" applyBorder="1" applyAlignment="1">
      <alignment vertical="top"/>
    </xf>
    <xf numFmtId="0" fontId="6" fillId="6" borderId="20" xfId="0" applyFont="1" applyFill="1" applyBorder="1" applyAlignment="1">
      <alignment vertical="top"/>
    </xf>
    <xf numFmtId="3" fontId="0" fillId="6" borderId="19" xfId="0" applyNumberFormat="1"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xf>
    <xf numFmtId="0" fontId="6" fillId="0" borderId="20" xfId="0" applyFont="1" applyFill="1" applyBorder="1" applyAlignment="1">
      <alignment vertical="top"/>
    </xf>
    <xf numFmtId="3" fontId="0" fillId="0" borderId="19" xfId="0" applyNumberFormat="1" applyFill="1" applyBorder="1" applyAlignment="1">
      <alignment vertical="top"/>
    </xf>
    <xf numFmtId="0" fontId="8" fillId="5" borderId="13" xfId="0" applyFont="1" applyFill="1" applyBorder="1" applyAlignment="1">
      <alignment vertical="top"/>
    </xf>
    <xf numFmtId="0" fontId="8" fillId="5" borderId="21" xfId="0" applyFont="1" applyFill="1" applyBorder="1" applyAlignment="1">
      <alignment vertical="top"/>
    </xf>
    <xf numFmtId="0" fontId="8" fillId="5" borderId="22" xfId="0" applyFont="1" applyFill="1" applyBorder="1" applyAlignment="1">
      <alignment vertical="top"/>
    </xf>
    <xf numFmtId="3" fontId="8" fillId="5" borderId="1" xfId="0" applyNumberFormat="1" applyFont="1" applyFill="1" applyBorder="1" applyAlignment="1">
      <alignment vertical="top"/>
    </xf>
    <xf numFmtId="0" fontId="27" fillId="0" borderId="0" xfId="80" applyBorder="1" applyAlignment="1">
      <alignment wrapText="1"/>
    </xf>
    <xf numFmtId="3" fontId="27" fillId="0" borderId="0" xfId="80" applyNumberFormat="1" applyFont="1" applyBorder="1"/>
    <xf numFmtId="49" fontId="27" fillId="0" borderId="0" xfId="29" applyNumberFormat="1" applyFont="1" applyBorder="1"/>
    <xf numFmtId="170" fontId="27" fillId="0" borderId="0" xfId="29" applyNumberFormat="1" applyFont="1" applyBorder="1"/>
    <xf numFmtId="0" fontId="6" fillId="0" borderId="0" xfId="0" applyFont="1" applyFill="1" applyBorder="1" applyAlignment="1">
      <alignment vertical="top" wrapText="1"/>
    </xf>
    <xf numFmtId="0" fontId="0" fillId="0" borderId="0" xfId="0" applyFill="1" applyBorder="1" applyAlignment="1">
      <alignment vertical="top" wrapText="1"/>
    </xf>
    <xf numFmtId="3" fontId="0" fillId="0" borderId="0" xfId="0" applyNumberFormat="1" applyFill="1" applyBorder="1" applyAlignment="1">
      <alignment horizontal="center" vertical="top"/>
    </xf>
    <xf numFmtId="0" fontId="20" fillId="0" borderId="0" xfId="0" applyFont="1" applyFill="1" applyBorder="1" applyAlignment="1">
      <alignment vertical="top" wrapText="1"/>
    </xf>
    <xf numFmtId="0" fontId="6" fillId="0" borderId="0" xfId="0" applyFont="1" applyBorder="1" applyAlignment="1">
      <alignment wrapText="1"/>
    </xf>
    <xf numFmtId="0" fontId="6" fillId="0" borderId="0" xfId="0" applyFont="1" applyBorder="1"/>
    <xf numFmtId="43" fontId="0" fillId="0" borderId="0" xfId="29" applyFont="1" applyBorder="1"/>
    <xf numFmtId="0" fontId="44" fillId="0" borderId="23" xfId="80" applyFont="1" applyBorder="1"/>
    <xf numFmtId="0" fontId="44" fillId="0" borderId="24" xfId="80" applyFont="1" applyBorder="1"/>
    <xf numFmtId="0" fontId="27" fillId="0" borderId="25" xfId="80" applyBorder="1"/>
    <xf numFmtId="0" fontId="27" fillId="0" borderId="26" xfId="80" applyBorder="1"/>
    <xf numFmtId="3" fontId="6" fillId="41" borderId="25" xfId="77" applyNumberFormat="1" applyFill="1" applyBorder="1" applyAlignment="1">
      <alignment horizontal="center"/>
    </xf>
    <xf numFmtId="3" fontId="6" fillId="41" borderId="27" xfId="77" applyNumberFormat="1" applyFill="1" applyBorder="1" applyAlignment="1">
      <alignment horizontal="center"/>
    </xf>
    <xf numFmtId="3" fontId="6" fillId="0" borderId="28" xfId="77" applyNumberFormat="1" applyBorder="1"/>
    <xf numFmtId="0" fontId="27" fillId="39" borderId="13" xfId="80" applyFill="1" applyBorder="1"/>
    <xf numFmtId="3" fontId="6" fillId="39" borderId="1" xfId="77" applyNumberFormat="1" applyFill="1" applyBorder="1" applyAlignment="1">
      <alignment horizontal="center"/>
    </xf>
    <xf numFmtId="3" fontId="6" fillId="0" borderId="1" xfId="77" applyNumberFormat="1" applyFill="1" applyBorder="1" applyAlignment="1">
      <alignment horizontal="center"/>
    </xf>
    <xf numFmtId="3" fontId="6" fillId="0" borderId="29" xfId="77" applyNumberFormat="1" applyBorder="1" applyAlignment="1">
      <alignment horizontal="center"/>
    </xf>
    <xf numFmtId="0" fontId="47" fillId="0" borderId="0" xfId="80" applyFont="1"/>
    <xf numFmtId="3" fontId="6" fillId="39" borderId="27" xfId="77" applyNumberFormat="1" applyFill="1" applyBorder="1" applyAlignment="1">
      <alignment horizontal="center"/>
    </xf>
    <xf numFmtId="0" fontId="19" fillId="0" borderId="0" xfId="0" applyFont="1"/>
    <xf numFmtId="0" fontId="6" fillId="0" borderId="1" xfId="0" applyFont="1" applyBorder="1" applyAlignment="1">
      <alignment wrapText="1"/>
    </xf>
    <xf numFmtId="0" fontId="0" fillId="0" borderId="1" xfId="0" applyBorder="1"/>
    <xf numFmtId="170" fontId="0" fillId="0" borderId="1" xfId="29" applyNumberFormat="1" applyFont="1" applyBorder="1"/>
    <xf numFmtId="170" fontId="0" fillId="39" borderId="1" xfId="0" applyNumberFormat="1" applyFill="1" applyBorder="1"/>
    <xf numFmtId="43" fontId="0" fillId="0" borderId="0" xfId="28" applyFont="1"/>
    <xf numFmtId="10" fontId="5" fillId="3" borderId="0" xfId="0" applyNumberFormat="1" applyFont="1" applyFill="1" applyAlignment="1">
      <alignment horizontal="center"/>
    </xf>
    <xf numFmtId="0" fontId="9" fillId="0" borderId="0" xfId="0" applyFont="1" applyAlignment="1">
      <alignment wrapText="1"/>
    </xf>
    <xf numFmtId="0" fontId="8" fillId="0" borderId="0" xfId="0" applyFont="1" applyAlignment="1">
      <alignment wrapText="1"/>
    </xf>
    <xf numFmtId="0" fontId="0" fillId="0" borderId="0" xfId="0" applyFill="1" applyAlignment="1">
      <alignment horizontal="left" wrapText="1"/>
    </xf>
    <xf numFmtId="0" fontId="0" fillId="0" borderId="0" xfId="0" applyFill="1" applyAlignment="1">
      <alignment wrapText="1"/>
    </xf>
    <xf numFmtId="3" fontId="8" fillId="0" borderId="0" xfId="0" applyNumberFormat="1" applyFont="1" applyAlignment="1">
      <alignment wrapText="1"/>
    </xf>
    <xf numFmtId="3" fontId="0" fillId="0" borderId="0" xfId="0" applyNumberFormat="1" applyAlignment="1">
      <alignment wrapText="1"/>
    </xf>
    <xf numFmtId="3" fontId="5" fillId="39" borderId="0" xfId="0" applyNumberFormat="1" applyFont="1" applyFill="1" applyAlignment="1">
      <alignment horizontal="center" wrapText="1"/>
    </xf>
    <xf numFmtId="170" fontId="0" fillId="0" borderId="0" xfId="28" applyNumberFormat="1" applyFont="1" applyAlignment="1">
      <alignment wrapText="1"/>
    </xf>
    <xf numFmtId="43" fontId="0" fillId="0" borderId="0" xfId="0" applyNumberFormat="1"/>
    <xf numFmtId="43" fontId="0" fillId="43" borderId="0" xfId="0" applyNumberFormat="1" applyFill="1"/>
    <xf numFmtId="0" fontId="5" fillId="0" borderId="0" xfId="0" applyFont="1"/>
    <xf numFmtId="43" fontId="0" fillId="0" borderId="0" xfId="0" applyNumberFormat="1" applyAlignment="1">
      <alignment wrapText="1"/>
    </xf>
    <xf numFmtId="0" fontId="5" fillId="0" borderId="0" xfId="0" applyFont="1" applyFill="1" applyAlignment="1">
      <alignment horizontal="center" wrapText="1"/>
    </xf>
    <xf numFmtId="0" fontId="5" fillId="0" borderId="0" xfId="88" applyFont="1"/>
    <xf numFmtId="3" fontId="6" fillId="41" borderId="1" xfId="77" applyNumberFormat="1" applyFill="1" applyBorder="1" applyAlignment="1">
      <alignment horizontal="center"/>
    </xf>
    <xf numFmtId="0" fontId="5" fillId="44" borderId="0" xfId="0" applyFont="1" applyFill="1" applyBorder="1" applyAlignment="1">
      <alignment vertical="top"/>
    </xf>
    <xf numFmtId="3" fontId="5" fillId="44" borderId="0" xfId="0" applyNumberFormat="1" applyFont="1" applyFill="1" applyBorder="1" applyAlignment="1">
      <alignment vertical="top"/>
    </xf>
    <xf numFmtId="0" fontId="0" fillId="45" borderId="0" xfId="0" applyFill="1" applyBorder="1" applyAlignment="1">
      <alignment vertical="top"/>
    </xf>
    <xf numFmtId="3" fontId="0" fillId="45" borderId="0" xfId="0" applyNumberFormat="1" applyFill="1" applyBorder="1" applyAlignment="1">
      <alignment vertical="top"/>
    </xf>
    <xf numFmtId="3" fontId="0" fillId="45" borderId="0" xfId="0" applyNumberFormat="1" applyFill="1" applyBorder="1"/>
    <xf numFmtId="0" fontId="0" fillId="46" borderId="0" xfId="0" applyFill="1" applyBorder="1" applyAlignment="1">
      <alignment vertical="top"/>
    </xf>
    <xf numFmtId="170" fontId="0" fillId="46" borderId="0" xfId="0" applyNumberFormat="1" applyFill="1" applyBorder="1"/>
    <xf numFmtId="170" fontId="0" fillId="46" borderId="0" xfId="0" applyNumberFormat="1" applyFill="1" applyBorder="1" applyAlignment="1">
      <alignment vertical="top"/>
    </xf>
    <xf numFmtId="170" fontId="0" fillId="0" borderId="0" xfId="28" applyNumberFormat="1" applyFont="1"/>
    <xf numFmtId="170" fontId="21" fillId="39" borderId="0" xfId="28" applyNumberFormat="1" applyFont="1" applyFill="1"/>
    <xf numFmtId="170" fontId="0" fillId="0" borderId="3" xfId="28" applyNumberFormat="1" applyFont="1" applyBorder="1"/>
    <xf numFmtId="170" fontId="0" fillId="0" borderId="0" xfId="28" applyNumberFormat="1" applyFont="1" applyBorder="1"/>
    <xf numFmtId="170" fontId="0" fillId="0" borderId="6" xfId="28" applyNumberFormat="1" applyFont="1" applyBorder="1"/>
    <xf numFmtId="43" fontId="0" fillId="0" borderId="0" xfId="0" applyNumberFormat="1" applyBorder="1"/>
    <xf numFmtId="3" fontId="48" fillId="0" borderId="0" xfId="0" applyNumberFormat="1" applyFont="1" applyFill="1" applyAlignment="1">
      <alignment horizontal="center" wrapText="1"/>
    </xf>
    <xf numFmtId="0" fontId="5" fillId="0" borderId="0" xfId="0" applyFont="1" applyAlignment="1">
      <alignment wrapText="1"/>
    </xf>
    <xf numFmtId="170" fontId="5" fillId="0" borderId="0" xfId="28" applyNumberFormat="1" applyFont="1"/>
    <xf numFmtId="169" fontId="5" fillId="0" borderId="0" xfId="93" applyNumberFormat="1" applyFont="1"/>
    <xf numFmtId="170" fontId="0" fillId="47" borderId="0" xfId="0" applyNumberFormat="1" applyFill="1"/>
    <xf numFmtId="170" fontId="5" fillId="47" borderId="0" xfId="28" applyNumberFormat="1" applyFont="1" applyFill="1"/>
    <xf numFmtId="0" fontId="0" fillId="48" borderId="0" xfId="0" applyFill="1"/>
    <xf numFmtId="43" fontId="0" fillId="48" borderId="0" xfId="0" applyNumberFormat="1" applyFill="1"/>
    <xf numFmtId="0" fontId="0" fillId="43" borderId="0" xfId="0" applyFill="1"/>
    <xf numFmtId="10" fontId="0" fillId="0" borderId="0" xfId="93" applyNumberFormat="1" applyFont="1" applyAlignment="1">
      <alignment horizontal="center"/>
    </xf>
    <xf numFmtId="9" fontId="0" fillId="0" borderId="0" xfId="93" applyFont="1"/>
    <xf numFmtId="165" fontId="0" fillId="0" borderId="0" xfId="93" applyNumberFormat="1" applyFont="1"/>
    <xf numFmtId="9" fontId="5" fillId="0" borderId="0" xfId="93" applyFont="1" applyFill="1" applyAlignment="1">
      <alignment horizontal="center"/>
    </xf>
    <xf numFmtId="170" fontId="27" fillId="0" borderId="0" xfId="39" applyNumberFormat="1" applyFont="1"/>
    <xf numFmtId="0" fontId="0" fillId="0" borderId="0" xfId="0" applyFill="1" applyBorder="1" applyAlignment="1"/>
    <xf numFmtId="0" fontId="0" fillId="0" borderId="30" xfId="0" applyFill="1" applyBorder="1" applyAlignment="1"/>
    <xf numFmtId="0" fontId="20" fillId="0" borderId="31" xfId="0" applyFont="1" applyFill="1" applyBorder="1" applyAlignment="1">
      <alignment horizontal="center"/>
    </xf>
    <xf numFmtId="0" fontId="20" fillId="0" borderId="31" xfId="0" applyFont="1" applyFill="1" applyBorder="1" applyAlignment="1">
      <alignment horizontal="centerContinuous"/>
    </xf>
    <xf numFmtId="3" fontId="5" fillId="0" borderId="0" xfId="0" applyNumberFormat="1" applyFont="1" applyFill="1" applyAlignment="1">
      <alignment horizontal="center" wrapText="1"/>
    </xf>
    <xf numFmtId="170" fontId="0" fillId="0" borderId="0" xfId="0" applyNumberFormat="1"/>
    <xf numFmtId="0" fontId="8" fillId="45" borderId="0" xfId="0" applyFont="1" applyFill="1" applyAlignment="1">
      <alignment horizontal="center" wrapText="1"/>
    </xf>
    <xf numFmtId="170" fontId="22" fillId="45" borderId="0" xfId="28" applyNumberFormat="1" applyFont="1" applyFill="1" applyAlignment="1">
      <alignment wrapText="1"/>
    </xf>
    <xf numFmtId="0" fontId="8" fillId="49" borderId="0" xfId="0" applyFont="1" applyFill="1" applyAlignment="1">
      <alignment horizontal="center" wrapText="1"/>
    </xf>
    <xf numFmtId="170" fontId="22" fillId="49" borderId="0" xfId="28" applyNumberFormat="1" applyFont="1" applyFill="1" applyAlignment="1">
      <alignment wrapText="1"/>
    </xf>
    <xf numFmtId="170" fontId="23" fillId="49" borderId="0" xfId="28" applyNumberFormat="1" applyFont="1" applyFill="1" applyAlignment="1">
      <alignment horizontal="center" wrapText="1"/>
    </xf>
    <xf numFmtId="170" fontId="23" fillId="45" borderId="0" xfId="28" applyNumberFormat="1" applyFont="1" applyFill="1" applyAlignment="1">
      <alignment horizontal="center" wrapText="1"/>
    </xf>
    <xf numFmtId="170" fontId="22" fillId="49" borderId="0" xfId="28" applyNumberFormat="1" applyFont="1" applyFill="1" applyAlignment="1">
      <alignment horizontal="center" wrapText="1"/>
    </xf>
    <xf numFmtId="170" fontId="10" fillId="45" borderId="0" xfId="28" applyNumberFormat="1" applyFont="1" applyFill="1" applyAlignment="1">
      <alignment horizontal="center" wrapText="1"/>
    </xf>
    <xf numFmtId="170" fontId="8" fillId="49" borderId="0" xfId="28" applyNumberFormat="1" applyFont="1" applyFill="1" applyAlignment="1">
      <alignment wrapText="1"/>
    </xf>
    <xf numFmtId="170" fontId="8" fillId="45" borderId="0" xfId="28" applyNumberFormat="1" applyFont="1" applyFill="1" applyAlignment="1">
      <alignment wrapText="1"/>
    </xf>
    <xf numFmtId="170" fontId="23" fillId="49" borderId="0" xfId="28" applyNumberFormat="1" applyFont="1" applyFill="1" applyAlignment="1">
      <alignment wrapText="1"/>
    </xf>
    <xf numFmtId="170" fontId="23" fillId="45" borderId="0" xfId="28" applyNumberFormat="1" applyFont="1" applyFill="1" applyAlignment="1">
      <alignment wrapText="1"/>
    </xf>
    <xf numFmtId="0" fontId="0" fillId="0" borderId="1" xfId="0" applyFill="1" applyBorder="1" applyAlignment="1">
      <alignment horizontal="right"/>
    </xf>
    <xf numFmtId="10" fontId="22" fillId="49" borderId="0" xfId="93" applyNumberFormat="1" applyFont="1" applyFill="1" applyAlignment="1">
      <alignment horizontal="center" wrapText="1"/>
    </xf>
    <xf numFmtId="10" fontId="22" fillId="45" borderId="0" xfId="93" applyNumberFormat="1" applyFont="1" applyFill="1" applyAlignment="1">
      <alignment horizontal="center" wrapText="1"/>
    </xf>
    <xf numFmtId="2" fontId="0" fillId="0" borderId="0" xfId="0" applyNumberFormat="1" applyAlignment="1">
      <alignment wrapText="1"/>
    </xf>
    <xf numFmtId="10" fontId="0" fillId="0" borderId="0" xfId="93" applyNumberFormat="1" applyFont="1" applyAlignment="1">
      <alignment wrapText="1"/>
    </xf>
    <xf numFmtId="10" fontId="0" fillId="0" borderId="0" xfId="93" applyNumberFormat="1" applyFont="1" applyFill="1" applyAlignment="1">
      <alignment horizontal="left" wrapText="1"/>
    </xf>
    <xf numFmtId="10" fontId="0" fillId="0" borderId="0" xfId="93" applyNumberFormat="1" applyFont="1" applyFill="1" applyAlignment="1">
      <alignment wrapText="1"/>
    </xf>
    <xf numFmtId="43" fontId="0" fillId="0" borderId="0" xfId="0" applyNumberFormat="1" applyFill="1"/>
    <xf numFmtId="43" fontId="5" fillId="43" borderId="0" xfId="0" applyNumberFormat="1" applyFont="1" applyFill="1"/>
    <xf numFmtId="3" fontId="5" fillId="0" borderId="0" xfId="0" applyNumberFormat="1" applyFont="1" applyAlignment="1">
      <alignment horizontal="center" wrapText="1"/>
    </xf>
    <xf numFmtId="170" fontId="24" fillId="49" borderId="3" xfId="28" applyNumberFormat="1" applyFont="1" applyFill="1" applyBorder="1"/>
    <xf numFmtId="170" fontId="24" fillId="49" borderId="0" xfId="28" applyNumberFormat="1" applyFont="1" applyFill="1" applyBorder="1"/>
    <xf numFmtId="170" fontId="8" fillId="0" borderId="0" xfId="28" applyNumberFormat="1" applyFont="1"/>
    <xf numFmtId="3" fontId="8" fillId="0" borderId="0" xfId="0" applyNumberFormat="1" applyFont="1" applyBorder="1"/>
    <xf numFmtId="0" fontId="5" fillId="0" borderId="0" xfId="0" applyFont="1" applyFill="1" applyBorder="1" applyAlignment="1">
      <alignment vertical="top" wrapText="1"/>
    </xf>
    <xf numFmtId="0" fontId="8" fillId="0" borderId="0" xfId="0" applyFont="1" applyFill="1" applyAlignment="1">
      <alignment horizontal="center" wrapText="1"/>
    </xf>
    <xf numFmtId="165" fontId="0" fillId="0" borderId="0" xfId="0" applyNumberFormat="1" applyFill="1" applyAlignment="1">
      <alignment horizontal="center" wrapText="1"/>
    </xf>
    <xf numFmtId="3" fontId="8" fillId="0" borderId="0" xfId="0" applyNumberFormat="1" applyFont="1" applyFill="1" applyAlignment="1">
      <alignment wrapText="1"/>
    </xf>
    <xf numFmtId="3" fontId="0" fillId="0" borderId="0" xfId="0" applyNumberFormat="1" applyFill="1" applyAlignment="1">
      <alignment wrapText="1"/>
    </xf>
    <xf numFmtId="43" fontId="0" fillId="0" borderId="0" xfId="0" applyNumberFormat="1" applyFill="1" applyAlignment="1">
      <alignment wrapText="1"/>
    </xf>
    <xf numFmtId="170" fontId="0" fillId="0" borderId="0" xfId="28" applyNumberFormat="1" applyFont="1" applyFill="1" applyAlignment="1">
      <alignment wrapText="1"/>
    </xf>
    <xf numFmtId="43" fontId="0" fillId="0" borderId="0" xfId="0" applyNumberFormat="1" applyFill="1" applyAlignment="1">
      <alignment horizontal="center" wrapText="1"/>
    </xf>
    <xf numFmtId="10" fontId="5" fillId="0" borderId="0" xfId="93" applyNumberFormat="1" applyFont="1" applyAlignment="1">
      <alignment wrapText="1"/>
    </xf>
    <xf numFmtId="165" fontId="0" fillId="0" borderId="0" xfId="0" applyNumberFormat="1" applyFill="1" applyAlignment="1">
      <alignment horizontal="center"/>
    </xf>
    <xf numFmtId="3" fontId="5" fillId="0" borderId="0" xfId="0" applyNumberFormat="1" applyFont="1" applyFill="1" applyAlignment="1">
      <alignment horizontal="center"/>
    </xf>
    <xf numFmtId="169" fontId="0" fillId="0" borderId="0" xfId="0" applyNumberFormat="1" applyFill="1" applyAlignment="1">
      <alignment horizontal="center"/>
    </xf>
    <xf numFmtId="170" fontId="0" fillId="0" borderId="0" xfId="28" applyNumberFormat="1" applyFont="1" applyBorder="1" applyAlignment="1">
      <alignment horizontal="center"/>
    </xf>
    <xf numFmtId="0" fontId="8" fillId="0" borderId="0" xfId="0" applyFont="1" applyAlignment="1">
      <alignment horizontal="center"/>
    </xf>
    <xf numFmtId="170" fontId="5" fillId="44" borderId="0" xfId="28" applyNumberFormat="1" applyFont="1" applyFill="1" applyBorder="1" applyAlignment="1">
      <alignment vertical="top"/>
    </xf>
    <xf numFmtId="3" fontId="0" fillId="39" borderId="19" xfId="0" applyNumberFormat="1" applyFill="1" applyBorder="1" applyAlignment="1">
      <alignment vertical="top"/>
    </xf>
    <xf numFmtId="170" fontId="0" fillId="0" borderId="0" xfId="93" applyNumberFormat="1" applyFont="1" applyAlignment="1">
      <alignment wrapText="1"/>
    </xf>
    <xf numFmtId="3" fontId="6" fillId="50" borderId="25" xfId="77" applyNumberFormat="1" applyFill="1" applyBorder="1" applyAlignment="1">
      <alignment horizontal="center"/>
    </xf>
    <xf numFmtId="3" fontId="6" fillId="50" borderId="7" xfId="77" applyNumberFormat="1" applyFill="1" applyBorder="1" applyAlignment="1">
      <alignment horizontal="center"/>
    </xf>
    <xf numFmtId="171" fontId="0" fillId="39" borderId="0" xfId="0" applyNumberFormat="1" applyFill="1" applyAlignment="1">
      <alignment horizontal="center"/>
    </xf>
    <xf numFmtId="2" fontId="11" fillId="47" borderId="0" xfId="88" applyNumberFormat="1" applyFont="1" applyFill="1"/>
    <xf numFmtId="4" fontId="11" fillId="47" borderId="0" xfId="77" applyNumberFormat="1" applyFont="1" applyFill="1"/>
    <xf numFmtId="170" fontId="8" fillId="0" borderId="0" xfId="0" applyNumberFormat="1" applyFont="1"/>
    <xf numFmtId="0" fontId="5" fillId="0" borderId="0" xfId="0" applyFont="1" applyAlignment="1">
      <alignment horizontal="center"/>
    </xf>
    <xf numFmtId="170" fontId="23" fillId="51" borderId="0" xfId="28" applyNumberFormat="1" applyFont="1" applyFill="1" applyAlignment="1">
      <alignment horizontal="center" wrapText="1"/>
    </xf>
    <xf numFmtId="166" fontId="0" fillId="51" borderId="0" xfId="0" applyNumberFormat="1" applyFill="1" applyAlignment="1">
      <alignment horizontal="center"/>
    </xf>
    <xf numFmtId="170" fontId="5" fillId="0" borderId="0" xfId="28" applyNumberFormat="1" applyFont="1" applyFill="1"/>
    <xf numFmtId="170" fontId="22" fillId="0" borderId="0" xfId="28" applyNumberFormat="1" applyFont="1" applyFill="1"/>
    <xf numFmtId="171" fontId="8" fillId="39" borderId="6" xfId="0" applyNumberFormat="1" applyFont="1" applyFill="1" applyBorder="1" applyAlignment="1">
      <alignment horizontal="center"/>
    </xf>
    <xf numFmtId="170" fontId="0" fillId="0" borderId="6" xfId="28" applyNumberFormat="1" applyFont="1" applyBorder="1" applyAlignment="1">
      <alignment horizontal="center"/>
    </xf>
    <xf numFmtId="170" fontId="0" fillId="0" borderId="3" xfId="28" applyNumberFormat="1" applyFont="1" applyBorder="1" applyAlignment="1">
      <alignment horizontal="center"/>
    </xf>
    <xf numFmtId="43" fontId="11" fillId="42" borderId="6" xfId="88" applyNumberFormat="1" applyFont="1" applyFill="1" applyBorder="1" applyAlignment="1">
      <alignment horizontal="right"/>
    </xf>
    <xf numFmtId="171" fontId="5" fillId="39" borderId="0" xfId="0" applyNumberFormat="1" applyFont="1" applyFill="1" applyAlignment="1">
      <alignment horizontal="center"/>
    </xf>
    <xf numFmtId="43" fontId="0" fillId="0" borderId="0" xfId="28" applyFont="1" applyFill="1" applyBorder="1" applyAlignment="1"/>
    <xf numFmtId="43" fontId="0" fillId="0" borderId="30" xfId="28" applyFont="1" applyFill="1" applyBorder="1" applyAlignment="1"/>
    <xf numFmtId="172" fontId="0" fillId="0" borderId="0" xfId="28" applyNumberFormat="1" applyFont="1" applyFill="1" applyBorder="1" applyAlignment="1"/>
    <xf numFmtId="0" fontId="0" fillId="0" borderId="0" xfId="0" applyBorder="1" applyAlignment="1">
      <alignment horizontal="right"/>
    </xf>
    <xf numFmtId="3" fontId="0" fillId="50" borderId="0" xfId="0" applyNumberFormat="1" applyFill="1" applyAlignment="1">
      <alignment horizontal="center"/>
    </xf>
    <xf numFmtId="43" fontId="0" fillId="0" borderId="0" xfId="28" applyFont="1" applyFill="1" applyAlignment="1">
      <alignment horizontal="center" wrapText="1"/>
    </xf>
    <xf numFmtId="10" fontId="27" fillId="0" borderId="0" xfId="93" applyNumberFormat="1" applyFont="1"/>
    <xf numFmtId="0" fontId="37" fillId="0" borderId="0" xfId="72"/>
    <xf numFmtId="173" fontId="5" fillId="0" borderId="0" xfId="0" applyNumberFormat="1" applyFont="1" applyAlignment="1">
      <alignment horizontal="center"/>
    </xf>
    <xf numFmtId="1" fontId="5" fillId="0" borderId="0" xfId="0" applyNumberFormat="1" applyFont="1" applyAlignment="1">
      <alignment horizontal="center"/>
    </xf>
    <xf numFmtId="0" fontId="5" fillId="52" borderId="0" xfId="0" applyFont="1" applyFill="1" applyAlignment="1">
      <alignment horizontal="center"/>
    </xf>
    <xf numFmtId="0" fontId="0" fillId="53" borderId="0" xfId="0" applyFill="1"/>
    <xf numFmtId="2" fontId="0" fillId="0" borderId="0" xfId="0" applyNumberFormat="1"/>
    <xf numFmtId="2" fontId="5" fillId="54" borderId="0" xfId="0" applyNumberFormat="1" applyFont="1" applyFill="1" applyAlignment="1">
      <alignment horizontal="center" wrapText="1"/>
    </xf>
    <xf numFmtId="2" fontId="0" fillId="54" borderId="0" xfId="0" applyNumberFormat="1" applyFill="1" applyAlignment="1">
      <alignment horizontal="center" wrapText="1"/>
    </xf>
    <xf numFmtId="0" fontId="0" fillId="55" borderId="0" xfId="0" applyFill="1"/>
    <xf numFmtId="0" fontId="49" fillId="53" borderId="0" xfId="0" applyFont="1" applyFill="1"/>
    <xf numFmtId="10" fontId="0" fillId="0" borderId="0" xfId="0" applyNumberFormat="1"/>
    <xf numFmtId="173" fontId="8" fillId="0" borderId="0" xfId="0" applyNumberFormat="1" applyFont="1" applyAlignment="1">
      <alignment horizontal="center"/>
    </xf>
    <xf numFmtId="1" fontId="8" fillId="0" borderId="0" xfId="0" applyNumberFormat="1" applyFont="1" applyAlignment="1">
      <alignment horizontal="center"/>
    </xf>
    <xf numFmtId="10" fontId="26" fillId="54" borderId="0" xfId="93" applyNumberFormat="1" applyFont="1" applyFill="1" applyAlignment="1">
      <alignment horizontal="center"/>
    </xf>
    <xf numFmtId="2" fontId="5" fillId="52" borderId="0" xfId="0" applyNumberFormat="1" applyFont="1" applyFill="1" applyAlignment="1">
      <alignment horizontal="center"/>
    </xf>
    <xf numFmtId="2" fontId="0" fillId="52" borderId="0" xfId="0" applyNumberFormat="1" applyFill="1" applyAlignment="1">
      <alignment horizontal="center"/>
    </xf>
    <xf numFmtId="0" fontId="0" fillId="0" borderId="32" xfId="0" applyBorder="1"/>
    <xf numFmtId="0" fontId="0" fillId="0" borderId="33" xfId="0" applyBorder="1"/>
    <xf numFmtId="0" fontId="0" fillId="0" borderId="32" xfId="0" pivotButton="1" applyBorder="1"/>
    <xf numFmtId="1" fontId="0" fillId="0" borderId="32" xfId="0" applyNumberFormat="1" applyBorder="1"/>
    <xf numFmtId="1" fontId="0" fillId="0" borderId="34" xfId="0" applyNumberFormat="1" applyBorder="1"/>
    <xf numFmtId="0" fontId="0" fillId="0" borderId="32" xfId="0" applyNumberFormat="1" applyBorder="1"/>
    <xf numFmtId="0" fontId="0" fillId="0" borderId="34" xfId="0" applyNumberFormat="1" applyBorder="1"/>
    <xf numFmtId="0" fontId="0" fillId="0" borderId="35" xfId="0" applyBorder="1" applyAlignment="1">
      <alignment wrapText="1"/>
    </xf>
    <xf numFmtId="0" fontId="0" fillId="0" borderId="35" xfId="0" applyNumberFormat="1" applyBorder="1" applyAlignment="1">
      <alignment wrapText="1"/>
    </xf>
    <xf numFmtId="0" fontId="0" fillId="0" borderId="36" xfId="0" applyNumberFormat="1" applyBorder="1" applyAlignment="1">
      <alignment wrapText="1"/>
    </xf>
    <xf numFmtId="0" fontId="0" fillId="0" borderId="32" xfId="0" applyBorder="1" applyAlignment="1">
      <alignment wrapText="1"/>
    </xf>
    <xf numFmtId="1" fontId="0" fillId="0" borderId="37" xfId="0" applyNumberFormat="1" applyBorder="1"/>
    <xf numFmtId="0" fontId="0" fillId="0" borderId="37" xfId="0" applyNumberFormat="1" applyBorder="1"/>
    <xf numFmtId="0" fontId="0" fillId="0" borderId="38" xfId="0" applyNumberFormat="1" applyBorder="1" applyAlignment="1">
      <alignment wrapText="1"/>
    </xf>
    <xf numFmtId="10" fontId="0" fillId="0" borderId="0" xfId="93" applyNumberFormat="1" applyFont="1" applyBorder="1"/>
    <xf numFmtId="1" fontId="0" fillId="52" borderId="0" xfId="0" applyNumberFormat="1" applyFill="1" applyAlignment="1">
      <alignment horizontal="center"/>
    </xf>
    <xf numFmtId="9" fontId="0" fillId="0" borderId="0" xfId="0" applyNumberFormat="1"/>
    <xf numFmtId="0" fontId="50" fillId="55" borderId="0" xfId="0" applyFont="1" applyFill="1"/>
    <xf numFmtId="0" fontId="27" fillId="0" borderId="0" xfId="80" applyAlignment="1">
      <alignment horizontal="center"/>
    </xf>
    <xf numFmtId="10" fontId="27" fillId="0" borderId="0" xfId="80" applyNumberFormat="1" applyAlignment="1">
      <alignment horizontal="center"/>
    </xf>
    <xf numFmtId="43" fontId="11" fillId="42" borderId="0" xfId="88" applyNumberFormat="1" applyFont="1" applyFill="1" applyBorder="1" applyAlignment="1">
      <alignment horizontal="right"/>
    </xf>
    <xf numFmtId="0" fontId="27" fillId="53" borderId="0" xfId="80" applyFill="1" applyAlignment="1">
      <alignment horizontal="center"/>
    </xf>
    <xf numFmtId="0" fontId="51" fillId="53" borderId="0" xfId="80" applyFont="1" applyFill="1"/>
    <xf numFmtId="0" fontId="0" fillId="0" borderId="0" xfId="0" applyBorder="1" applyAlignment="1">
      <alignment horizontal="center"/>
    </xf>
    <xf numFmtId="17" fontId="0" fillId="0" borderId="0" xfId="0" applyNumberFormat="1" applyBorder="1"/>
    <xf numFmtId="10" fontId="5" fillId="0" borderId="0" xfId="89" applyNumberFormat="1" applyAlignment="1">
      <alignment horizontal="center"/>
    </xf>
    <xf numFmtId="43" fontId="11" fillId="56" borderId="0" xfId="88" applyNumberFormat="1" applyFont="1" applyFill="1" applyBorder="1" applyAlignment="1">
      <alignment horizontal="right"/>
    </xf>
    <xf numFmtId="0" fontId="28" fillId="53" borderId="0" xfId="80" applyFont="1" applyFill="1" applyAlignment="1">
      <alignment horizontal="center"/>
    </xf>
    <xf numFmtId="0" fontId="31" fillId="53" borderId="0" xfId="80" applyFont="1" applyFill="1"/>
    <xf numFmtId="0" fontId="31" fillId="53" borderId="0" xfId="80" applyFont="1" applyFill="1" applyAlignment="1">
      <alignment horizontal="center"/>
    </xf>
    <xf numFmtId="0" fontId="27" fillId="53" borderId="0" xfId="80" applyFill="1"/>
    <xf numFmtId="10" fontId="31" fillId="57" borderId="0" xfId="80" applyNumberFormat="1" applyFont="1" applyFill="1" applyAlignment="1">
      <alignment horizontal="center"/>
    </xf>
    <xf numFmtId="0" fontId="31" fillId="57" borderId="0" xfId="80" applyFont="1" applyFill="1" applyAlignment="1">
      <alignment horizontal="center"/>
    </xf>
    <xf numFmtId="4" fontId="0" fillId="0" borderId="0" xfId="0" applyNumberFormat="1" applyBorder="1" applyAlignment="1">
      <alignment horizontal="center"/>
    </xf>
    <xf numFmtId="3" fontId="0" fillId="0" borderId="0" xfId="0" applyNumberFormat="1" applyBorder="1" applyAlignment="1">
      <alignment horizontal="center"/>
    </xf>
    <xf numFmtId="43" fontId="11" fillId="43" borderId="0" xfId="88" applyNumberFormat="1" applyFont="1" applyFill="1" applyBorder="1" applyAlignment="1">
      <alignment horizontal="right"/>
    </xf>
    <xf numFmtId="10" fontId="0" fillId="0" borderId="0" xfId="93" applyNumberFormat="1" applyFont="1" applyFill="1" applyBorder="1"/>
    <xf numFmtId="0" fontId="0" fillId="0" borderId="0" xfId="0" applyFill="1" applyBorder="1"/>
    <xf numFmtId="1" fontId="0" fillId="0" borderId="0" xfId="0" applyNumberFormat="1" applyBorder="1"/>
    <xf numFmtId="0" fontId="0" fillId="0" borderId="0" xfId="0" applyFill="1" applyBorder="1" applyAlignment="1">
      <alignment horizontal="center"/>
    </xf>
    <xf numFmtId="3" fontId="0" fillId="0" borderId="0" xfId="0" applyNumberFormat="1" applyFill="1" applyBorder="1" applyAlignment="1">
      <alignment horizontal="center"/>
    </xf>
    <xf numFmtId="43" fontId="0" fillId="0" borderId="0" xfId="0" applyNumberFormat="1" applyFill="1" applyBorder="1"/>
    <xf numFmtId="37" fontId="24" fillId="49" borderId="0" xfId="28" applyNumberFormat="1" applyFont="1" applyFill="1" applyBorder="1" applyAlignment="1">
      <alignment horizontal="center"/>
    </xf>
    <xf numFmtId="17" fontId="0" fillId="0" borderId="0" xfId="0" applyNumberFormat="1" applyBorder="1" applyAlignment="1">
      <alignment horizontal="center"/>
    </xf>
    <xf numFmtId="38" fontId="27" fillId="0" borderId="0" xfId="39" applyNumberFormat="1" applyFont="1" applyBorder="1" applyAlignment="1">
      <alignment horizontal="center"/>
    </xf>
    <xf numFmtId="0" fontId="52" fillId="39" borderId="0" xfId="0" applyFont="1" applyFill="1" applyBorder="1"/>
    <xf numFmtId="0" fontId="15" fillId="0" borderId="0" xfId="88" applyFont="1" applyBorder="1" applyAlignment="1">
      <alignment horizontal="right"/>
    </xf>
    <xf numFmtId="0" fontId="5" fillId="0" borderId="0" xfId="88" applyBorder="1"/>
    <xf numFmtId="43" fontId="11" fillId="0" borderId="0" xfId="88" applyNumberFormat="1" applyFont="1" applyBorder="1" applyAlignment="1">
      <alignment horizontal="left"/>
    </xf>
    <xf numFmtId="43" fontId="11" fillId="0" borderId="0" xfId="88" applyNumberFormat="1" applyFont="1" applyBorder="1" applyAlignment="1">
      <alignment horizontal="right"/>
    </xf>
    <xf numFmtId="0" fontId="53" fillId="55" borderId="0" xfId="0" applyFont="1" applyFill="1" applyBorder="1" applyAlignment="1">
      <alignment horizontal="center" wrapText="1"/>
    </xf>
    <xf numFmtId="4" fontId="53" fillId="55" borderId="0" xfId="0" applyNumberFormat="1" applyFont="1" applyFill="1" applyBorder="1" applyAlignment="1">
      <alignment horizontal="center" wrapText="1"/>
    </xf>
    <xf numFmtId="3" fontId="53" fillId="55" borderId="0" xfId="0" applyNumberFormat="1" applyFont="1" applyFill="1" applyBorder="1" applyAlignment="1">
      <alignment horizontal="center" wrapText="1"/>
    </xf>
    <xf numFmtId="9" fontId="0" fillId="0" borderId="0" xfId="93" applyFont="1" applyFill="1" applyAlignment="1">
      <alignment horizontal="center"/>
    </xf>
    <xf numFmtId="174" fontId="0" fillId="0" borderId="0" xfId="0" applyNumberFormat="1" applyBorder="1" applyAlignment="1">
      <alignment horizontal="center"/>
    </xf>
    <xf numFmtId="4" fontId="0" fillId="43" borderId="0" xfId="0" applyNumberFormat="1" applyFill="1"/>
    <xf numFmtId="0" fontId="5" fillId="39" borderId="0" xfId="0" applyFont="1" applyFill="1"/>
    <xf numFmtId="0" fontId="0" fillId="39" borderId="0" xfId="0" applyFill="1" applyAlignment="1">
      <alignment horizontal="center"/>
    </xf>
    <xf numFmtId="0" fontId="8" fillId="39" borderId="0" xfId="0" applyFont="1" applyFill="1"/>
    <xf numFmtId="0" fontId="5" fillId="39" borderId="0" xfId="0" applyFont="1" applyFill="1" applyAlignment="1">
      <alignment horizontal="center"/>
    </xf>
    <xf numFmtId="0" fontId="48" fillId="0" borderId="0" xfId="0" applyFont="1" applyFill="1" applyAlignment="1">
      <alignment horizontal="center" wrapText="1"/>
    </xf>
    <xf numFmtId="0" fontId="0" fillId="39" borderId="0" xfId="0" applyFill="1" applyBorder="1" applyAlignment="1">
      <alignment horizontal="center"/>
    </xf>
    <xf numFmtId="3" fontId="0" fillId="39" borderId="0" xfId="0" applyNumberFormat="1" applyFill="1" applyBorder="1" applyAlignment="1">
      <alignment horizontal="center"/>
    </xf>
    <xf numFmtId="0" fontId="0" fillId="39" borderId="0" xfId="0" applyFill="1" applyBorder="1"/>
    <xf numFmtId="3" fontId="5" fillId="0" borderId="0" xfId="0" applyNumberFormat="1" applyFont="1" applyFill="1" applyAlignment="1">
      <alignment horizontal="left"/>
    </xf>
    <xf numFmtId="169" fontId="25" fillId="0" borderId="0" xfId="93" applyNumberFormat="1" applyFont="1" applyFill="1" applyBorder="1" applyAlignment="1">
      <alignment horizontal="center"/>
    </xf>
    <xf numFmtId="168" fontId="0" fillId="39" borderId="0" xfId="0" applyNumberFormat="1" applyFill="1" applyAlignment="1">
      <alignment horizontal="center"/>
    </xf>
    <xf numFmtId="16" fontId="0" fillId="0" borderId="0" xfId="0" applyNumberFormat="1" applyBorder="1" applyAlignment="1">
      <alignment horizontal="center"/>
    </xf>
    <xf numFmtId="3" fontId="0" fillId="39" borderId="0" xfId="0" applyNumberFormat="1" applyFill="1" applyAlignment="1">
      <alignment horizontal="center"/>
    </xf>
    <xf numFmtId="38" fontId="0" fillId="0" borderId="0" xfId="0" applyNumberFormat="1" applyBorder="1" applyAlignment="1">
      <alignment horizontal="center"/>
    </xf>
    <xf numFmtId="4" fontId="0" fillId="0" borderId="0" xfId="0" applyNumberFormat="1" applyAlignment="1">
      <alignment horizontal="center"/>
    </xf>
    <xf numFmtId="0" fontId="54" fillId="53" borderId="0" xfId="80" applyFont="1" applyFill="1" applyAlignment="1">
      <alignment horizontal="center"/>
    </xf>
    <xf numFmtId="38" fontId="27" fillId="39" borderId="0" xfId="39" applyNumberFormat="1" applyFont="1" applyFill="1" applyBorder="1" applyAlignment="1">
      <alignment horizontal="center"/>
    </xf>
    <xf numFmtId="4" fontId="0" fillId="39" borderId="0" xfId="0" applyNumberFormat="1" applyFill="1" applyBorder="1" applyAlignment="1">
      <alignment horizontal="center"/>
    </xf>
    <xf numFmtId="2" fontId="0" fillId="0" borderId="0" xfId="0" applyNumberFormat="1" applyBorder="1" applyAlignment="1">
      <alignment horizontal="center"/>
    </xf>
    <xf numFmtId="0" fontId="0" fillId="39" borderId="0" xfId="0" applyFill="1" applyAlignment="1">
      <alignment horizontal="right"/>
    </xf>
    <xf numFmtId="0" fontId="5" fillId="39" borderId="0" xfId="0" applyFont="1" applyFill="1" applyAlignment="1">
      <alignment horizontal="right"/>
    </xf>
    <xf numFmtId="0" fontId="0" fillId="0" borderId="54" xfId="0" applyBorder="1"/>
    <xf numFmtId="0" fontId="0" fillId="0" borderId="53" xfId="0" applyBorder="1"/>
    <xf numFmtId="0" fontId="0" fillId="0" borderId="55" xfId="0" applyBorder="1"/>
    <xf numFmtId="0" fontId="0" fillId="0" borderId="56" xfId="0" applyBorder="1"/>
    <xf numFmtId="0" fontId="0" fillId="0" borderId="57" xfId="0" applyBorder="1"/>
    <xf numFmtId="1" fontId="0" fillId="0" borderId="56" xfId="0" applyNumberFormat="1" applyBorder="1"/>
    <xf numFmtId="0" fontId="0" fillId="0" borderId="57" xfId="0" applyBorder="1" applyAlignment="1">
      <alignment wrapText="1"/>
    </xf>
    <xf numFmtId="2" fontId="0" fillId="0" borderId="0" xfId="0" applyNumberFormat="1" applyBorder="1"/>
    <xf numFmtId="2" fontId="0" fillId="0" borderId="57" xfId="0" applyNumberFormat="1" applyBorder="1"/>
    <xf numFmtId="2" fontId="0" fillId="39" borderId="57" xfId="0" applyNumberFormat="1" applyFill="1" applyBorder="1"/>
    <xf numFmtId="0" fontId="0" fillId="0" borderId="58" xfId="0" applyBorder="1"/>
    <xf numFmtId="0" fontId="0" fillId="0" borderId="30" xfId="0" applyBorder="1"/>
    <xf numFmtId="0" fontId="0" fillId="0" borderId="59" xfId="0" applyBorder="1"/>
    <xf numFmtId="37" fontId="0" fillId="0" borderId="0" xfId="0" applyNumberFormat="1" applyBorder="1"/>
    <xf numFmtId="0" fontId="55" fillId="0" borderId="32" xfId="0" applyFont="1" applyBorder="1"/>
    <xf numFmtId="0" fontId="55" fillId="0" borderId="32" xfId="0" pivotButton="1" applyFont="1" applyBorder="1"/>
    <xf numFmtId="0" fontId="55" fillId="0" borderId="39" xfId="0" applyFont="1" applyBorder="1"/>
    <xf numFmtId="0" fontId="55" fillId="0" borderId="33" xfId="0" applyFont="1" applyBorder="1"/>
    <xf numFmtId="0" fontId="55" fillId="0" borderId="40" xfId="0" applyFont="1" applyBorder="1"/>
    <xf numFmtId="0" fontId="55" fillId="0" borderId="35" xfId="0" applyFont="1" applyBorder="1"/>
    <xf numFmtId="0" fontId="55" fillId="0" borderId="32" xfId="0" applyNumberFormat="1" applyFont="1" applyBorder="1"/>
    <xf numFmtId="3" fontId="55" fillId="0" borderId="40" xfId="0" applyNumberFormat="1" applyFont="1" applyBorder="1"/>
    <xf numFmtId="0" fontId="55" fillId="0" borderId="35" xfId="0" applyNumberFormat="1" applyFont="1" applyBorder="1"/>
    <xf numFmtId="0" fontId="55" fillId="0" borderId="34" xfId="0" applyFont="1" applyBorder="1"/>
    <xf numFmtId="0" fontId="55" fillId="0" borderId="34" xfId="0" applyNumberFormat="1" applyFont="1" applyBorder="1"/>
    <xf numFmtId="3" fontId="55" fillId="0" borderId="0" xfId="0" applyNumberFormat="1" applyFont="1"/>
    <xf numFmtId="0" fontId="55" fillId="0" borderId="36" xfId="0" applyNumberFormat="1" applyFont="1" applyBorder="1"/>
    <xf numFmtId="0" fontId="55" fillId="0" borderId="37" xfId="0" applyFont="1" applyBorder="1"/>
    <xf numFmtId="0" fontId="55" fillId="0" borderId="37" xfId="0" applyNumberFormat="1" applyFont="1" applyBorder="1"/>
    <xf numFmtId="3" fontId="55" fillId="0" borderId="41" xfId="0" applyNumberFormat="1" applyFont="1" applyBorder="1"/>
    <xf numFmtId="0" fontId="55" fillId="0" borderId="38" xfId="0" applyNumberFormat="1" applyFont="1" applyBorder="1"/>
    <xf numFmtId="0" fontId="55" fillId="0" borderId="40" xfId="0" applyNumberFormat="1" applyFont="1" applyBorder="1"/>
    <xf numFmtId="0" fontId="55" fillId="0" borderId="0" xfId="0" applyNumberFormat="1" applyFont="1"/>
    <xf numFmtId="0" fontId="55" fillId="0" borderId="41" xfId="0" applyNumberFormat="1" applyFont="1" applyBorder="1"/>
    <xf numFmtId="3" fontId="0" fillId="0" borderId="0" xfId="0" applyNumberFormat="1"/>
    <xf numFmtId="9" fontId="0" fillId="0" borderId="0" xfId="93" applyFont="1" applyBorder="1" applyAlignment="1">
      <alignment horizontal="center"/>
    </xf>
    <xf numFmtId="0" fontId="9" fillId="0" borderId="0" xfId="79" applyFont="1"/>
    <xf numFmtId="0" fontId="5" fillId="0" borderId="0" xfId="79"/>
    <xf numFmtId="0" fontId="5" fillId="0" borderId="0" xfId="79" applyAlignment="1">
      <alignment wrapText="1"/>
    </xf>
    <xf numFmtId="0" fontId="5" fillId="0" borderId="0" xfId="79" applyFont="1" applyAlignment="1">
      <alignment wrapText="1"/>
    </xf>
    <xf numFmtId="0" fontId="5" fillId="0" borderId="0" xfId="79" applyAlignment="1">
      <alignment horizontal="center" wrapText="1"/>
    </xf>
    <xf numFmtId="0" fontId="5" fillId="0" borderId="13" xfId="79" applyBorder="1" applyAlignment="1">
      <alignment horizontal="center" wrapText="1"/>
    </xf>
    <xf numFmtId="0" fontId="5" fillId="0" borderId="22" xfId="79" applyBorder="1" applyAlignment="1">
      <alignment horizontal="center" wrapText="1"/>
    </xf>
    <xf numFmtId="0" fontId="5" fillId="0" borderId="21" xfId="79" applyBorder="1" applyAlignment="1">
      <alignment horizontal="center" wrapText="1"/>
    </xf>
    <xf numFmtId="0" fontId="5" fillId="0" borderId="0" xfId="79" applyFont="1"/>
    <xf numFmtId="175" fontId="5" fillId="0" borderId="4" xfId="111" applyNumberFormat="1" applyBorder="1"/>
    <xf numFmtId="175" fontId="5" fillId="0" borderId="60" xfId="111" applyNumberFormat="1" applyBorder="1"/>
    <xf numFmtId="175" fontId="5" fillId="0" borderId="0" xfId="111" applyNumberFormat="1" applyBorder="1"/>
    <xf numFmtId="0" fontId="5" fillId="0" borderId="0" xfId="79" applyAlignment="1"/>
    <xf numFmtId="0" fontId="5" fillId="0" borderId="0" xfId="79" applyAlignment="1">
      <alignment horizontal="center"/>
    </xf>
    <xf numFmtId="0" fontId="5" fillId="0" borderId="1" xfId="79" applyBorder="1" applyAlignment="1">
      <alignment horizontal="center"/>
    </xf>
    <xf numFmtId="170" fontId="0" fillId="0" borderId="0" xfId="28" applyNumberFormat="1" applyFont="1" applyFill="1" applyBorder="1" applyAlignment="1">
      <alignment vertical="top"/>
    </xf>
    <xf numFmtId="170" fontId="5" fillId="0" borderId="0" xfId="28" applyNumberFormat="1" applyFont="1" applyFill="1" applyBorder="1" applyAlignment="1">
      <alignment vertical="top"/>
    </xf>
    <xf numFmtId="175" fontId="5" fillId="0" borderId="0" xfId="111" applyNumberFormat="1" applyFont="1"/>
    <xf numFmtId="175" fontId="5" fillId="0" borderId="0" xfId="111" applyNumberFormat="1"/>
    <xf numFmtId="170" fontId="5" fillId="0" borderId="60" xfId="111" applyNumberFormat="1" applyBorder="1"/>
    <xf numFmtId="170" fontId="5" fillId="0" borderId="0" xfId="111" applyNumberFormat="1" applyBorder="1"/>
    <xf numFmtId="175" fontId="5" fillId="0" borderId="0" xfId="79" applyNumberFormat="1"/>
    <xf numFmtId="3" fontId="5" fillId="0" borderId="0" xfId="79" applyNumberFormat="1" applyFill="1"/>
    <xf numFmtId="3" fontId="5" fillId="0" borderId="0" xfId="79" applyNumberFormat="1"/>
    <xf numFmtId="0" fontId="5" fillId="0" borderId="0" xfId="79" applyFill="1"/>
    <xf numFmtId="43" fontId="5" fillId="0" borderId="0" xfId="79" applyNumberFormat="1"/>
    <xf numFmtId="175" fontId="5" fillId="0" borderId="0" xfId="111" applyNumberFormat="1" applyFont="1" applyFill="1"/>
    <xf numFmtId="175" fontId="5" fillId="0" borderId="5" xfId="111" applyNumberFormat="1" applyBorder="1"/>
    <xf numFmtId="175" fontId="5" fillId="0" borderId="61" xfId="111" applyNumberFormat="1" applyBorder="1"/>
    <xf numFmtId="175" fontId="5" fillId="0" borderId="6" xfId="111" applyNumberFormat="1" applyBorder="1"/>
    <xf numFmtId="0" fontId="5" fillId="0" borderId="0" xfId="79" applyBorder="1" applyAlignment="1">
      <alignment horizontal="center"/>
    </xf>
    <xf numFmtId="0" fontId="5" fillId="0" borderId="0" xfId="79" applyFont="1" applyAlignment="1">
      <alignment horizontal="center" wrapText="1"/>
    </xf>
    <xf numFmtId="175" fontId="5" fillId="0" borderId="0" xfId="111" applyNumberFormat="1" applyAlignment="1">
      <alignment horizontal="center" wrapText="1"/>
    </xf>
    <xf numFmtId="17" fontId="5" fillId="0" borderId="0" xfId="79" applyNumberFormat="1"/>
    <xf numFmtId="17" fontId="5" fillId="0" borderId="0" xfId="79" applyNumberFormat="1" applyFont="1"/>
    <xf numFmtId="170" fontId="5" fillId="0" borderId="0" xfId="28" applyNumberFormat="1"/>
    <xf numFmtId="0" fontId="5" fillId="0" borderId="0" xfId="79" applyAlignment="1">
      <alignment horizontal="right"/>
    </xf>
    <xf numFmtId="175" fontId="5" fillId="0" borderId="0" xfId="28" applyNumberFormat="1"/>
    <xf numFmtId="3" fontId="5" fillId="0" borderId="0" xfId="79" applyNumberFormat="1" applyAlignment="1">
      <alignment horizontal="center"/>
    </xf>
    <xf numFmtId="164" fontId="5" fillId="0" borderId="0" xfId="111" applyNumberFormat="1"/>
    <xf numFmtId="4" fontId="0" fillId="0" borderId="0" xfId="0" applyNumberFormat="1"/>
    <xf numFmtId="0" fontId="0" fillId="0" borderId="0" xfId="0" applyAlignment="1">
      <alignment horizontal="left" indent="1"/>
    </xf>
    <xf numFmtId="3" fontId="0" fillId="39" borderId="0" xfId="0" applyNumberFormat="1" applyFill="1"/>
    <xf numFmtId="0" fontId="5" fillId="0" borderId="0" xfId="0" applyFont="1" applyAlignment="1">
      <alignment horizontal="right"/>
    </xf>
    <xf numFmtId="3" fontId="46" fillId="39" borderId="0" xfId="0" applyNumberFormat="1" applyFont="1" applyFill="1"/>
    <xf numFmtId="3" fontId="0" fillId="0" borderId="0" xfId="0" applyNumberFormat="1" applyFill="1" applyBorder="1" applyAlignment="1">
      <alignment horizontal="right" vertical="top"/>
    </xf>
    <xf numFmtId="43" fontId="0" fillId="0" borderId="0" xfId="28" applyNumberFormat="1" applyFont="1"/>
    <xf numFmtId="170" fontId="0" fillId="39" borderId="55" xfId="28" applyNumberFormat="1" applyFont="1" applyFill="1" applyBorder="1"/>
    <xf numFmtId="0" fontId="5" fillId="0" borderId="30" xfId="0" applyFont="1" applyBorder="1"/>
    <xf numFmtId="170" fontId="0" fillId="0" borderId="57" xfId="28" applyNumberFormat="1" applyFont="1" applyBorder="1"/>
    <xf numFmtId="170" fontId="8" fillId="0" borderId="53" xfId="28" applyNumberFormat="1" applyFont="1" applyBorder="1" applyAlignment="1">
      <alignment horizontal="right"/>
    </xf>
    <xf numFmtId="170" fontId="0" fillId="0" borderId="58" xfId="28" applyNumberFormat="1" applyFont="1" applyBorder="1"/>
    <xf numFmtId="170" fontId="0" fillId="0" borderId="56" xfId="28" applyNumberFormat="1" applyFont="1" applyBorder="1"/>
    <xf numFmtId="170" fontId="5" fillId="0" borderId="54" xfId="28" applyNumberFormat="1" applyFont="1" applyBorder="1"/>
    <xf numFmtId="0" fontId="56" fillId="51" borderId="0" xfId="0" applyFont="1" applyFill="1"/>
    <xf numFmtId="0" fontId="5" fillId="0" borderId="30" xfId="0" applyFont="1" applyFill="1" applyBorder="1" applyAlignment="1"/>
    <xf numFmtId="168" fontId="0" fillId="0" borderId="30" xfId="0" applyNumberFormat="1" applyFill="1" applyBorder="1" applyAlignment="1"/>
    <xf numFmtId="168" fontId="0" fillId="0" borderId="0" xfId="0" applyNumberFormat="1" applyFill="1" applyBorder="1" applyAlignment="1"/>
    <xf numFmtId="3" fontId="0" fillId="0" borderId="30" xfId="0" applyNumberFormat="1" applyFill="1" applyBorder="1" applyAlignment="1"/>
    <xf numFmtId="3" fontId="0" fillId="0" borderId="0" xfId="0" applyNumberFormat="1" applyFill="1" applyBorder="1" applyAlignment="1"/>
    <xf numFmtId="4" fontId="0" fillId="0" borderId="0" xfId="0" applyNumberFormat="1" applyFill="1" applyBorder="1" applyAlignment="1"/>
    <xf numFmtId="0" fontId="0" fillId="0" borderId="0" xfId="0" applyNumberFormat="1"/>
    <xf numFmtId="0" fontId="0" fillId="0" borderId="0" xfId="0" pivotButton="1"/>
    <xf numFmtId="43" fontId="0" fillId="0" borderId="3" xfId="0" applyNumberFormat="1" applyBorder="1"/>
    <xf numFmtId="0" fontId="5" fillId="0" borderId="1" xfId="112" applyBorder="1" applyAlignment="1">
      <alignment horizontal="center"/>
    </xf>
    <xf numFmtId="170" fontId="5" fillId="0" borderId="0" xfId="28" applyNumberFormat="1" applyFont="1"/>
    <xf numFmtId="170" fontId="5" fillId="0" borderId="0" xfId="28" applyNumberFormat="1" applyFont="1" applyBorder="1"/>
    <xf numFmtId="170" fontId="8" fillId="0" borderId="0" xfId="28" applyNumberFormat="1" applyFont="1"/>
    <xf numFmtId="4" fontId="5" fillId="0" borderId="30" xfId="0" applyNumberFormat="1" applyFont="1" applyFill="1" applyBorder="1" applyAlignment="1"/>
    <xf numFmtId="4" fontId="0" fillId="0" borderId="30" xfId="0" applyNumberFormat="1" applyFill="1" applyBorder="1" applyAlignment="1"/>
    <xf numFmtId="4" fontId="5" fillId="0" borderId="0" xfId="0" applyNumberFormat="1" applyFont="1" applyFill="1" applyBorder="1" applyAlignment="1"/>
    <xf numFmtId="43" fontId="5" fillId="0" borderId="0" xfId="88" applyNumberFormat="1"/>
    <xf numFmtId="9" fontId="5" fillId="0" borderId="0" xfId="93"/>
    <xf numFmtId="9" fontId="5" fillId="39" borderId="0" xfId="93" applyFill="1"/>
    <xf numFmtId="0" fontId="46" fillId="39" borderId="0" xfId="88" applyFont="1" applyFill="1"/>
    <xf numFmtId="4" fontId="11" fillId="39" borderId="0" xfId="112" applyNumberFormat="1" applyFont="1" applyFill="1"/>
    <xf numFmtId="2" fontId="11" fillId="39" borderId="0" xfId="88" applyNumberFormat="1" applyFont="1" applyFill="1"/>
    <xf numFmtId="0" fontId="5" fillId="39" borderId="0" xfId="88" applyFill="1"/>
    <xf numFmtId="0" fontId="15" fillId="39" borderId="0" xfId="88" applyFont="1" applyFill="1"/>
    <xf numFmtId="0" fontId="5" fillId="0" borderId="0" xfId="88" applyFill="1"/>
    <xf numFmtId="43" fontId="11" fillId="42" borderId="0" xfId="88" applyNumberFormat="1" applyFont="1" applyFill="1" applyAlignment="1">
      <alignment horizontal="right"/>
    </xf>
    <xf numFmtId="2" fontId="0" fillId="39" borderId="0" xfId="0" applyNumberFormat="1" applyFill="1" applyBorder="1"/>
    <xf numFmtId="0" fontId="8" fillId="0" borderId="0" xfId="88" applyFont="1" applyAlignment="1">
      <alignment horizontal="center"/>
    </xf>
    <xf numFmtId="0" fontId="19" fillId="0" borderId="0" xfId="0" applyFont="1" applyBorder="1" applyAlignment="1">
      <alignment horizontal="center"/>
    </xf>
    <xf numFmtId="0" fontId="19" fillId="0" borderId="0" xfId="0" applyFont="1" applyFill="1" applyBorder="1" applyAlignment="1">
      <alignment horizontal="center" vertical="center" wrapText="1"/>
    </xf>
    <xf numFmtId="0" fontId="8" fillId="0" borderId="42" xfId="77" applyFont="1" applyBorder="1" applyAlignment="1">
      <alignment horizontal="center"/>
    </xf>
    <xf numFmtId="0" fontId="8" fillId="0" borderId="31" xfId="77" applyFont="1" applyBorder="1" applyAlignment="1">
      <alignment horizontal="center"/>
    </xf>
    <xf numFmtId="0" fontId="8" fillId="0" borderId="43" xfId="77" applyFont="1" applyBorder="1" applyAlignment="1">
      <alignment horizontal="center"/>
    </xf>
    <xf numFmtId="0" fontId="5" fillId="0" borderId="0" xfId="79" applyAlignment="1">
      <alignment horizontal="center" wrapText="1"/>
    </xf>
    <xf numFmtId="0" fontId="5" fillId="0" borderId="0" xfId="79" applyAlignment="1">
      <alignment horizontal="center"/>
    </xf>
  </cellXfs>
  <cellStyles count="146">
    <cellStyle name="20% - Accent1 2" xfId="1"/>
    <cellStyle name="20% - Accent1 2 2" xfId="115"/>
    <cellStyle name="20% - Accent1 2 3" xfId="130"/>
    <cellStyle name="20% - Accent2 2" xfId="2"/>
    <cellStyle name="20% - Accent2 2 2" xfId="116"/>
    <cellStyle name="20% - Accent2 2 3" xfId="131"/>
    <cellStyle name="20% - Accent3 2" xfId="3"/>
    <cellStyle name="20% - Accent3 2 2" xfId="117"/>
    <cellStyle name="20% - Accent3 2 3" xfId="132"/>
    <cellStyle name="20% - Accent4 2" xfId="4"/>
    <cellStyle name="20% - Accent4 2 2" xfId="118"/>
    <cellStyle name="20% - Accent4 2 3" xfId="133"/>
    <cellStyle name="20% - Accent5" xfId="5" builtinId="46" customBuiltin="1"/>
    <cellStyle name="20% - Accent5 2" xfId="119"/>
    <cellStyle name="20% - Accent5 3" xfId="134"/>
    <cellStyle name="20% - Accent6" xfId="6" builtinId="50" customBuiltin="1"/>
    <cellStyle name="20% - Accent6 2" xfId="120"/>
    <cellStyle name="20% - Accent6 3" xfId="135"/>
    <cellStyle name="40% - Accent1" xfId="7" builtinId="31" customBuiltin="1"/>
    <cellStyle name="40% - Accent1 2" xfId="121"/>
    <cellStyle name="40% - Accent1 3" xfId="136"/>
    <cellStyle name="40% - Accent2" xfId="8" builtinId="35" customBuiltin="1"/>
    <cellStyle name="40% - Accent2 2" xfId="122"/>
    <cellStyle name="40% - Accent2 3" xfId="137"/>
    <cellStyle name="40% - Accent3 2" xfId="9"/>
    <cellStyle name="40% - Accent3 2 2" xfId="123"/>
    <cellStyle name="40% - Accent3 2 3" xfId="138"/>
    <cellStyle name="40% - Accent4" xfId="10" builtinId="43" customBuiltin="1"/>
    <cellStyle name="40% - Accent4 2" xfId="124"/>
    <cellStyle name="40% - Accent4 3" xfId="139"/>
    <cellStyle name="40% - Accent5" xfId="11" builtinId="47" customBuiltin="1"/>
    <cellStyle name="40% - Accent5 2" xfId="125"/>
    <cellStyle name="40% - Accent5 3" xfId="140"/>
    <cellStyle name="40% - Accent6" xfId="12" builtinId="51" customBuiltin="1"/>
    <cellStyle name="40% - Accent6 2" xfId="126"/>
    <cellStyle name="40% - Accent6 3" xfId="141"/>
    <cellStyle name="60% - Accent1" xfId="13" builtinId="32" customBuiltin="1"/>
    <cellStyle name="60% - Accent2" xfId="14" builtinId="36" customBuiltin="1"/>
    <cellStyle name="60% - Accent3 2" xfId="15"/>
    <cellStyle name="60% - Accent4 2" xfId="16"/>
    <cellStyle name="60% - Accent5" xfId="17" builtinId="48" customBuiltin="1"/>
    <cellStyle name="60% - Accent6 2"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109"/>
    <cellStyle name="Comma 2" xfId="29"/>
    <cellStyle name="Comma 2 2" xfId="30"/>
    <cellStyle name="Comma 2 2 2" xfId="31"/>
    <cellStyle name="Comma 2 3" xfId="32"/>
    <cellStyle name="Comma 3" xfId="33"/>
    <cellStyle name="Comma 3 2" xfId="34"/>
    <cellStyle name="Comma 3 2 2" xfId="35"/>
    <cellStyle name="Comma 3 3" xfId="36"/>
    <cellStyle name="Comma 4" xfId="37"/>
    <cellStyle name="Comma 4 2" xfId="38"/>
    <cellStyle name="Comma 5" xfId="39"/>
    <cellStyle name="Comma 5 2" xfId="40"/>
    <cellStyle name="Comma 5 3" xfId="127"/>
    <cellStyle name="Comma 5 4" xfId="142"/>
    <cellStyle name="Comma 6" xfId="41"/>
    <cellStyle name="Comma 6 2" xfId="42"/>
    <cellStyle name="Comma 7" xfId="43"/>
    <cellStyle name="Comma 7 2" xfId="44"/>
    <cellStyle name="Comma 8" xfId="45"/>
    <cellStyle name="Comma 8 2" xfId="46"/>
    <cellStyle name="Comma 9" xfId="47"/>
    <cellStyle name="Comma_CDM monthly amounts 2" xfId="111"/>
    <cellStyle name="Comma_Horizon 2011 Load Forecast Model  June 25, 2010" xfId="48"/>
    <cellStyle name="Comma0" xfId="49"/>
    <cellStyle name="Comma0 2" xfId="50"/>
    <cellStyle name="Comma0 2 2" xfId="51"/>
    <cellStyle name="Comma0 3" xfId="52"/>
    <cellStyle name="Currency 2" xfId="53"/>
    <cellStyle name="Currency0" xfId="54"/>
    <cellStyle name="Currency0 2" xfId="55"/>
    <cellStyle name="Currency0 2 2" xfId="56"/>
    <cellStyle name="Currency0 3" xfId="57"/>
    <cellStyle name="Date" xfId="58"/>
    <cellStyle name="Date 2" xfId="59"/>
    <cellStyle name="Date 2 2" xfId="60"/>
    <cellStyle name="Date 3" xfId="61"/>
    <cellStyle name="Explanatory Text" xfId="62" builtinId="53" customBuiltin="1"/>
    <cellStyle name="Fixed" xfId="63"/>
    <cellStyle name="Fixed 2" xfId="64"/>
    <cellStyle name="Fixed 2 2" xfId="65"/>
    <cellStyle name="Fixed 3" xfId="66"/>
    <cellStyle name="Good" xfId="67" builtinId="26" customBuiltin="1"/>
    <cellStyle name="Heading 1" xfId="68" builtinId="16" customBuiltin="1"/>
    <cellStyle name="Heading 2" xfId="69" builtinId="17" customBuiltin="1"/>
    <cellStyle name="Heading 3" xfId="70" builtinId="18" customBuiltin="1"/>
    <cellStyle name="Heading 4" xfId="71" builtinId="19" customBuiltin="1"/>
    <cellStyle name="Hyperlink" xfId="72" builtinId="8"/>
    <cellStyle name="Hyperlink 2" xfId="73"/>
    <cellStyle name="Input" xfId="74" builtinId="20" customBuiltin="1"/>
    <cellStyle name="Linked Cell" xfId="75" builtinId="24" customBuiltin="1"/>
    <cellStyle name="Neutral" xfId="76" builtinId="28" customBuiltin="1"/>
    <cellStyle name="Normal" xfId="0" builtinId="0"/>
    <cellStyle name="Normal 11" xfId="145"/>
    <cellStyle name="Normal 2" xfId="77"/>
    <cellStyle name="Normal 2 2" xfId="78"/>
    <cellStyle name="Normal 2 2 2 2 2" xfId="112"/>
    <cellStyle name="Normal 2 3" xfId="79"/>
    <cellStyle name="Normal 3" xfId="80"/>
    <cellStyle name="Normal 3 2" xfId="81"/>
    <cellStyle name="Normal 3 2 2" xfId="82"/>
    <cellStyle name="Normal 3 3" xfId="83"/>
    <cellStyle name="Normal 3 4" xfId="128"/>
    <cellStyle name="Normal 3 5" xfId="143"/>
    <cellStyle name="Normal 4" xfId="84"/>
    <cellStyle name="Normal 4 2" xfId="85"/>
    <cellStyle name="Normal 5" xfId="86"/>
    <cellStyle name="Normal 5 2" xfId="87"/>
    <cellStyle name="Normal 6" xfId="88"/>
    <cellStyle name="Normal 7" xfId="89"/>
    <cellStyle name="Normal 8" xfId="108"/>
    <cellStyle name="Normal 9" xfId="110"/>
    <cellStyle name="Note 2" xfId="90"/>
    <cellStyle name="Note 2 2" xfId="91"/>
    <cellStyle name="Note 2 3" xfId="129"/>
    <cellStyle name="Note 2 4" xfId="144"/>
    <cellStyle name="Output" xfId="92" builtinId="21" customBuiltin="1"/>
    <cellStyle name="Percent" xfId="93" builtinId="5"/>
    <cellStyle name="Percent 12" xfId="113"/>
    <cellStyle name="Percent 2" xfId="94"/>
    <cellStyle name="Percent 2 2" xfId="95"/>
    <cellStyle name="Percent 3" xfId="96"/>
    <cellStyle name="Percent 3 2" xfId="97"/>
    <cellStyle name="Percent 4" xfId="98"/>
    <cellStyle name="Percent 4 2" xfId="99"/>
    <cellStyle name="Percent 5" xfId="100"/>
    <cellStyle name="Percent 5 2" xfId="101"/>
    <cellStyle name="Percent 6" xfId="102"/>
    <cellStyle name="Percent 6 2" xfId="103"/>
    <cellStyle name="Percent 7" xfId="104"/>
    <cellStyle name="Style 23" xfId="114"/>
    <cellStyle name="Title" xfId="105" builtinId="15" customBuiltin="1"/>
    <cellStyle name="Total" xfId="106" builtinId="25" customBuiltin="1"/>
    <cellStyle name="Warning Text" xfId="107" builtinId="11" customBuiltin="1"/>
  </cellStyles>
  <dxfs count="8">
    <dxf>
      <numFmt numFmtId="3" formatCode="#,##0"/>
    </dxf>
    <dxf>
      <numFmt numFmtId="3" formatCode="#,##0"/>
    </dxf>
    <dxf>
      <font>
        <sz val="12"/>
      </font>
    </dxf>
    <dxf>
      <numFmt numFmtId="4" formatCode="#,##0.00"/>
    </dxf>
    <dxf>
      <numFmt numFmtId="3" formatCode="#,##0"/>
    </dxf>
    <dxf>
      <numFmt numFmtId="3" formatCode="#,##0"/>
    </dxf>
    <dxf>
      <font>
        <sz val="12"/>
      </font>
    </dxf>
    <dxf>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2.xml"/><Relationship Id="rId30"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9</xdr:col>
      <xdr:colOff>457200</xdr:colOff>
      <xdr:row>0</xdr:row>
      <xdr:rowOff>445770</xdr:rowOff>
    </xdr:from>
    <xdr:to>
      <xdr:col>16</xdr:col>
      <xdr:colOff>19050</xdr:colOff>
      <xdr:row>18</xdr:row>
      <xdr:rowOff>62822</xdr:rowOff>
    </xdr:to>
    <xdr:sp macro="" textlink="">
      <xdr:nvSpPr>
        <xdr:cNvPr id="2" name="TextBox 1"/>
        <xdr:cNvSpPr txBox="1"/>
      </xdr:nvSpPr>
      <xdr:spPr>
        <a:xfrm>
          <a:off x="9010650" y="609600"/>
          <a:ext cx="3829050" cy="2209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For each year, the NIV grows monthly at an equal rate. The savings in each year equal the total of the OPA savings caculated.Total kWh savings for the year is calculated as total persistance kWh from previoius years plus a half-year of the new savings from programs in that year.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27</xdr:row>
      <xdr:rowOff>38100</xdr:rowOff>
    </xdr:from>
    <xdr:to>
      <xdr:col>2</xdr:col>
      <xdr:colOff>1219200</xdr:colOff>
      <xdr:row>29</xdr:row>
      <xdr:rowOff>82550</xdr:rowOff>
    </xdr:to>
    <xdr:pic>
      <xdr:nvPicPr>
        <xdr:cNvPr id="23666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6300" y="5562600"/>
          <a:ext cx="1123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6</xdr:col>
      <xdr:colOff>596900</xdr:colOff>
      <xdr:row>36</xdr:row>
      <xdr:rowOff>152400</xdr:rowOff>
    </xdr:to>
    <xdr:pic>
      <xdr:nvPicPr>
        <xdr:cNvPr id="2714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4121150"/>
          <a:ext cx="4400550" cy="237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43</xdr:row>
      <xdr:rowOff>95250</xdr:rowOff>
    </xdr:from>
    <xdr:to>
      <xdr:col>8</xdr:col>
      <xdr:colOff>558800</xdr:colOff>
      <xdr:row>69</xdr:row>
      <xdr:rowOff>88900</xdr:rowOff>
    </xdr:to>
    <xdr:pic>
      <xdr:nvPicPr>
        <xdr:cNvPr id="271426" name="Picture 2" descr="Chart 2.5: Economic Growth Projected to Slo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7708900"/>
          <a:ext cx="5467350" cy="412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43</xdr:row>
      <xdr:rowOff>0</xdr:rowOff>
    </xdr:from>
    <xdr:to>
      <xdr:col>26</xdr:col>
      <xdr:colOff>114300</xdr:colOff>
      <xdr:row>76</xdr:row>
      <xdr:rowOff>44450</xdr:rowOff>
    </xdr:to>
    <xdr:pic>
      <xdr:nvPicPr>
        <xdr:cNvPr id="27142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27950" y="7613650"/>
          <a:ext cx="9258300" cy="528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571500</xdr:colOff>
      <xdr:row>22</xdr:row>
      <xdr:rowOff>12700</xdr:rowOff>
    </xdr:from>
    <xdr:to>
      <xdr:col>17</xdr:col>
      <xdr:colOff>215900</xdr:colOff>
      <xdr:row>35</xdr:row>
      <xdr:rowOff>101600</xdr:rowOff>
    </xdr:to>
    <xdr:pic>
      <xdr:nvPicPr>
        <xdr:cNvPr id="271428"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0650" y="4133850"/>
          <a:ext cx="513080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82</xdr:row>
      <xdr:rowOff>0</xdr:rowOff>
    </xdr:from>
    <xdr:to>
      <xdr:col>5</xdr:col>
      <xdr:colOff>679450</xdr:colOff>
      <xdr:row>97</xdr:row>
      <xdr:rowOff>12700</xdr:rowOff>
    </xdr:to>
    <xdr:pic>
      <xdr:nvPicPr>
        <xdr:cNvPr id="271429"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13804900"/>
          <a:ext cx="3619500" cy="239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110</xdr:row>
      <xdr:rowOff>0</xdr:rowOff>
    </xdr:from>
    <xdr:to>
      <xdr:col>7</xdr:col>
      <xdr:colOff>76200</xdr:colOff>
      <xdr:row>142</xdr:row>
      <xdr:rowOff>152400</xdr:rowOff>
    </xdr:to>
    <xdr:pic>
      <xdr:nvPicPr>
        <xdr:cNvPr id="271430"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18249900"/>
          <a:ext cx="4756150" cy="523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147</xdr:row>
      <xdr:rowOff>0</xdr:rowOff>
    </xdr:from>
    <xdr:to>
      <xdr:col>11</xdr:col>
      <xdr:colOff>63500</xdr:colOff>
      <xdr:row>175</xdr:row>
      <xdr:rowOff>69850</xdr:rowOff>
    </xdr:to>
    <xdr:pic>
      <xdr:nvPicPr>
        <xdr:cNvPr id="271431" name="Picture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9600" y="24123650"/>
          <a:ext cx="7181850"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177</xdr:row>
      <xdr:rowOff>0</xdr:rowOff>
    </xdr:from>
    <xdr:to>
      <xdr:col>11</xdr:col>
      <xdr:colOff>298450</xdr:colOff>
      <xdr:row>195</xdr:row>
      <xdr:rowOff>63500</xdr:rowOff>
    </xdr:to>
    <xdr:pic>
      <xdr:nvPicPr>
        <xdr:cNvPr id="271432" name="Picture 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00" y="28886150"/>
          <a:ext cx="7416800" cy="292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184150</xdr:colOff>
      <xdr:row>100</xdr:row>
      <xdr:rowOff>12700</xdr:rowOff>
    </xdr:from>
    <xdr:to>
      <xdr:col>7</xdr:col>
      <xdr:colOff>228600</xdr:colOff>
      <xdr:row>106</xdr:row>
      <xdr:rowOff>127000</xdr:rowOff>
    </xdr:to>
    <xdr:pic>
      <xdr:nvPicPr>
        <xdr:cNvPr id="271433"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857500" y="16675100"/>
          <a:ext cx="26606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110</xdr:row>
      <xdr:rowOff>0</xdr:rowOff>
    </xdr:from>
    <xdr:to>
      <xdr:col>24</xdr:col>
      <xdr:colOff>114300</xdr:colOff>
      <xdr:row>130</xdr:row>
      <xdr:rowOff>88900</xdr:rowOff>
    </xdr:to>
    <xdr:pic>
      <xdr:nvPicPr>
        <xdr:cNvPr id="271434" name="Picture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727950" y="18249900"/>
          <a:ext cx="8039100" cy="326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3%20Rate%20Application%20Files%20-%20BLG\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James Crosbie" refreshedDate="44253.674290740739" createdVersion="4" refreshedVersion="4" minRefreshableVersion="3" recordCount="132">
  <cacheSource type="worksheet">
    <worksheetSource ref="B34:E166" sheet="Purch. Power Model "/>
  </cacheSource>
  <cacheFields count="4">
    <cacheField name="MMM-YYYY" numFmtId="174">
      <sharedItems containsSemiMixedTypes="0" containsNonDate="0" containsDate="1" containsString="0" minDate="2010-01-01T00:00:00" maxDate="2020-12-02T00:00:00"/>
    </cacheField>
    <cacheField name="Month" numFmtId="0">
      <sharedItems containsSemiMixedTypes="0" containsString="0" containsNumber="1" containsInteger="1" minValue="1" maxValue="12" count="12">
        <n v="1"/>
        <n v="2"/>
        <n v="3"/>
        <n v="4"/>
        <n v="5"/>
        <n v="6"/>
        <n v="7"/>
        <n v="8"/>
        <n v="9"/>
        <n v="10"/>
        <n v="11"/>
        <n v="12"/>
      </sharedItems>
    </cacheField>
    <cacheField name="Year" numFmtId="0">
      <sharedItems containsSemiMixedTypes="0" containsString="0" containsNumber="1" containsInteger="1" minValue="2010" maxValue="2020"/>
    </cacheField>
    <cacheField name="Purchased" numFmtId="38">
      <sharedItems containsSemiMixedTypes="0" containsString="0" containsNumber="1" minValue="66644954.449523814" maxValue="103947133.0460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ames Crosbie" refreshedDate="44274.480138888888" createdVersion="4" refreshedVersion="4" recordCount="156">
  <cacheSource type="worksheet">
    <worksheetSource ref="B34:P190" sheet="Purch. Power Model "/>
  </cacheSource>
  <cacheFields count="15">
    <cacheField name="MMM-YYYY" numFmtId="174">
      <sharedItems containsSemiMixedTypes="0" containsNonDate="0" containsDate="1" containsString="0" minDate="2010-01-01T00:00:00" maxDate="2022-12-02T00:00:00"/>
    </cacheField>
    <cacheField name="Month" numFmtId="0">
      <sharedItems containsSemiMixedTypes="0" containsString="0" containsNumber="1" containsInteger="1" minValue="1" maxValue="12"/>
    </cacheField>
    <cacheField name="Year" numFmtId="0">
      <sharedItems containsSemiMixedTypes="0" containsString="0" containsNumber="1" containsInteger="1" minValue="2010" maxValue="2022" count="13">
        <n v="2010"/>
        <n v="2011"/>
        <n v="2012"/>
        <n v="2013"/>
        <n v="2014"/>
        <n v="2015"/>
        <n v="2016"/>
        <n v="2017"/>
        <n v="2018"/>
        <n v="2019"/>
        <n v="2020"/>
        <n v="2021"/>
        <n v="2022"/>
      </sharedItems>
    </cacheField>
    <cacheField name="Purchased" numFmtId="38">
      <sharedItems containsString="0" containsBlank="1" containsNumber="1" minValue="66644954.449523814" maxValue="103947133.04603"/>
    </cacheField>
    <cacheField name="Heating Degree Days" numFmtId="43">
      <sharedItems containsSemiMixedTypes="0" containsString="0" containsNumber="1" minValue="0" maxValue="856.8"/>
    </cacheField>
    <cacheField name="Cooling Degree Days" numFmtId="43">
      <sharedItems containsSemiMixedTypes="0" containsString="0" containsNumber="1" minValue="0" maxValue="215.7"/>
    </cacheField>
    <cacheField name="Ontario Real GDP Monthly (Indexed)" numFmtId="2">
      <sharedItems containsSemiMixedTypes="0" containsString="0" containsNumber="1" minValue="128.72733605771626" maxValue="165.79248965885324"/>
    </cacheField>
    <cacheField name="Number of Days in Month" numFmtId="37">
      <sharedItems containsSemiMixedTypes="0" containsString="0" containsNumber="1" containsInteger="1" minValue="28" maxValue="31"/>
    </cacheField>
    <cacheField name="Mar" numFmtId="37">
      <sharedItems containsSemiMixedTypes="0" containsString="0" containsNumber="1" containsInteger="1" minValue="0" maxValue="1"/>
    </cacheField>
    <cacheField name="Apr" numFmtId="37">
      <sharedItems containsSemiMixedTypes="0" containsString="0" containsNumber="1" containsInteger="1" minValue="0" maxValue="1"/>
    </cacheField>
    <cacheField name="May" numFmtId="37">
      <sharedItems containsSemiMixedTypes="0" containsString="0" containsNumber="1" containsInteger="1" minValue="0" maxValue="1"/>
    </cacheField>
    <cacheField name="Oct" numFmtId="37">
      <sharedItems containsSemiMixedTypes="0" containsString="0" containsNumber="1" containsInteger="1" minValue="0" maxValue="1"/>
    </cacheField>
    <cacheField name="Total Persistent" numFmtId="37">
      <sharedItems containsSemiMixedTypes="0" containsString="0" containsNumber="1" containsInteger="1" minValue="1" maxValue="156"/>
    </cacheField>
    <cacheField name="Predicted Purchases " numFmtId="37">
      <sharedItems containsSemiMixedTypes="0" containsString="0" containsNumber="1" minValue="65327087.195326343" maxValue="97945854.838626042"/>
    </cacheField>
    <cacheField name="Predicted Less Acturals" numFmtId="37">
      <sharedItems containsSemiMixedTypes="0" containsString="0" containsNumber="1" minValue="-87985767.990403667" maxValue="8456811.7513599247"/>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James Crosbie" refreshedDate="44274.480977199077" createdVersion="4" refreshedVersion="4" minRefreshableVersion="3" recordCount="156">
  <cacheSource type="worksheet">
    <worksheetSource ref="B34:P190" sheet="Purch. Power Model (20yr Avg W)"/>
  </cacheSource>
  <cacheFields count="15">
    <cacheField name="MMM-YYYY" numFmtId="174">
      <sharedItems containsSemiMixedTypes="0" containsNonDate="0" containsDate="1" containsString="0" minDate="2010-01-01T00:00:00" maxDate="2022-12-02T00:00:00"/>
    </cacheField>
    <cacheField name="Month" numFmtId="0">
      <sharedItems containsSemiMixedTypes="0" containsString="0" containsNumber="1" containsInteger="1" minValue="1" maxValue="12"/>
    </cacheField>
    <cacheField name="Year" numFmtId="0">
      <sharedItems containsSemiMixedTypes="0" containsString="0" containsNumber="1" containsInteger="1" minValue="2010" maxValue="2022" count="13">
        <n v="2010"/>
        <n v="2011"/>
        <n v="2012"/>
        <n v="2013"/>
        <n v="2014"/>
        <n v="2015"/>
        <n v="2016"/>
        <n v="2017"/>
        <n v="2018"/>
        <n v="2019"/>
        <n v="2020"/>
        <n v="2021"/>
        <n v="2022"/>
      </sharedItems>
    </cacheField>
    <cacheField name="Purchased" numFmtId="38">
      <sharedItems containsString="0" containsBlank="1" containsNumber="1" minValue="66644954.449523814" maxValue="103947133.04603"/>
    </cacheField>
    <cacheField name="Heating Degree Days" numFmtId="43">
      <sharedItems containsSemiMixedTypes="0" containsString="0" containsNumber="1" minValue="0" maxValue="856.8"/>
    </cacheField>
    <cacheField name="Cooling Degree Days" numFmtId="43">
      <sharedItems containsSemiMixedTypes="0" containsString="0" containsNumber="1" minValue="0" maxValue="215.7"/>
    </cacheField>
    <cacheField name="Ontario Real GDP Monthly (Indexed)" numFmtId="2">
      <sharedItems containsSemiMixedTypes="0" containsString="0" containsNumber="1" minValue="128.72733605771626" maxValue="165.79248965885324"/>
    </cacheField>
    <cacheField name="Number of Days in Month" numFmtId="37">
      <sharedItems containsSemiMixedTypes="0" containsString="0" containsNumber="1" containsInteger="1" minValue="28" maxValue="31"/>
    </cacheField>
    <cacheField name="Mar" numFmtId="37">
      <sharedItems containsSemiMixedTypes="0" containsString="0" containsNumber="1" containsInteger="1" minValue="0" maxValue="1"/>
    </cacheField>
    <cacheField name="Apr" numFmtId="37">
      <sharedItems containsSemiMixedTypes="0" containsString="0" containsNumber="1" containsInteger="1" minValue="0" maxValue="1"/>
    </cacheField>
    <cacheField name="May" numFmtId="37">
      <sharedItems containsSemiMixedTypes="0" containsString="0" containsNumber="1" containsInteger="1" minValue="0" maxValue="1"/>
    </cacheField>
    <cacheField name="Oct" numFmtId="37">
      <sharedItems containsSemiMixedTypes="0" containsString="0" containsNumber="1" containsInteger="1" minValue="0" maxValue="1"/>
    </cacheField>
    <cacheField name="Total Persistent" numFmtId="37">
      <sharedItems containsSemiMixedTypes="0" containsString="0" containsNumber="1" containsInteger="1" minValue="1" maxValue="156"/>
    </cacheField>
    <cacheField name="Predicted Purchases " numFmtId="37">
      <sharedItems containsSemiMixedTypes="0" containsString="0" containsNumber="1" minValue="64957566.890166208" maxValue="97945854.838626042"/>
    </cacheField>
    <cacheField name="Predicted Less Acturals" numFmtId="37">
      <sharedItems containsSemiMixedTypes="0" containsString="0" containsNumber="1" minValue="-84161880.840011641" maxValue="8456811.751359924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2">
  <r>
    <d v="2010-01-01T00:00:00"/>
    <x v="0"/>
    <n v="2010"/>
    <n v="85740317.673846155"/>
  </r>
  <r>
    <d v="2010-02-01T00:00:00"/>
    <x v="1"/>
    <n v="2010"/>
    <n v="76200452.517692298"/>
  </r>
  <r>
    <d v="2010-03-01T00:00:00"/>
    <x v="2"/>
    <n v="2010"/>
    <n v="78025070.524615392"/>
  </r>
  <r>
    <d v="2010-04-01T00:00:00"/>
    <x v="3"/>
    <n v="2010"/>
    <n v="69790833.687692314"/>
  </r>
  <r>
    <d v="2010-05-01T00:00:00"/>
    <x v="4"/>
    <n v="2010"/>
    <n v="76066069.509230763"/>
  </r>
  <r>
    <d v="2010-06-01T00:00:00"/>
    <x v="5"/>
    <n v="2010"/>
    <n v="79225717.646153852"/>
  </r>
  <r>
    <d v="2010-07-01T00:00:00"/>
    <x v="6"/>
    <n v="2010"/>
    <n v="89977040.172307685"/>
  </r>
  <r>
    <d v="2010-08-01T00:00:00"/>
    <x v="7"/>
    <n v="2010"/>
    <n v="88856918.292384624"/>
  </r>
  <r>
    <d v="2010-09-01T00:00:00"/>
    <x v="8"/>
    <n v="2010"/>
    <n v="74349622.304615363"/>
  </r>
  <r>
    <d v="2010-10-01T00:00:00"/>
    <x v="9"/>
    <n v="2010"/>
    <n v="73264038.258461535"/>
  </r>
  <r>
    <d v="2010-11-01T00:00:00"/>
    <x v="10"/>
    <n v="2010"/>
    <n v="76397905.17076923"/>
  </r>
  <r>
    <d v="2010-12-01T00:00:00"/>
    <x v="11"/>
    <n v="2010"/>
    <n v="82865126.892307699"/>
  </r>
  <r>
    <d v="2011-01-01T00:00:00"/>
    <x v="0"/>
    <n v="2011"/>
    <n v="86054286.131538451"/>
  </r>
  <r>
    <d v="2011-02-01T00:00:00"/>
    <x v="1"/>
    <n v="2011"/>
    <n v="76331649.843846157"/>
  </r>
  <r>
    <d v="2011-03-01T00:00:00"/>
    <x v="2"/>
    <n v="2011"/>
    <n v="80293454.303076923"/>
  </r>
  <r>
    <d v="2011-04-01T00:00:00"/>
    <x v="3"/>
    <n v="2011"/>
    <n v="71266777.976153851"/>
  </r>
  <r>
    <d v="2011-05-01T00:00:00"/>
    <x v="4"/>
    <n v="2011"/>
    <n v="72652305.789999992"/>
  </r>
  <r>
    <d v="2011-06-01T00:00:00"/>
    <x v="5"/>
    <n v="2011"/>
    <n v="76886231.902307689"/>
  </r>
  <r>
    <d v="2011-07-01T00:00:00"/>
    <x v="6"/>
    <n v="2011"/>
    <n v="93432707.71615386"/>
  </r>
  <r>
    <d v="2011-08-01T00:00:00"/>
    <x v="7"/>
    <n v="2011"/>
    <n v="86792642.630769238"/>
  </r>
  <r>
    <d v="2011-09-01T00:00:00"/>
    <x v="8"/>
    <n v="2011"/>
    <n v="75561450.664615378"/>
  </r>
  <r>
    <d v="2011-10-01T00:00:00"/>
    <x v="9"/>
    <n v="2011"/>
    <n v="73210551.581538469"/>
  </r>
  <r>
    <d v="2011-11-01T00:00:00"/>
    <x v="10"/>
    <n v="2011"/>
    <n v="74362594.600769222"/>
  </r>
  <r>
    <d v="2011-12-01T00:00:00"/>
    <x v="11"/>
    <n v="2011"/>
    <n v="78058078.98307693"/>
  </r>
  <r>
    <d v="2012-01-01T00:00:00"/>
    <x v="0"/>
    <n v="2012"/>
    <n v="83475292.246923089"/>
  </r>
  <r>
    <d v="2012-02-01T00:00:00"/>
    <x v="1"/>
    <n v="2012"/>
    <n v="76561559.599230751"/>
  </r>
  <r>
    <d v="2012-03-01T00:00:00"/>
    <x v="2"/>
    <n v="2012"/>
    <n v="76020277.875384629"/>
  </r>
  <r>
    <d v="2012-04-01T00:00:00"/>
    <x v="3"/>
    <n v="2012"/>
    <n v="69885111.659999996"/>
  </r>
  <r>
    <d v="2012-05-01T00:00:00"/>
    <x v="4"/>
    <n v="2012"/>
    <n v="77152267.277272731"/>
  </r>
  <r>
    <d v="2012-06-01T00:00:00"/>
    <x v="5"/>
    <n v="2012"/>
    <n v="83683996.899090916"/>
  </r>
  <r>
    <d v="2012-07-01T00:00:00"/>
    <x v="6"/>
    <n v="2012"/>
    <n v="97430291.178181812"/>
  </r>
  <r>
    <d v="2012-08-01T00:00:00"/>
    <x v="7"/>
    <n v="2012"/>
    <n v="90717698.745454535"/>
  </r>
  <r>
    <d v="2012-09-01T00:00:00"/>
    <x v="8"/>
    <n v="2012"/>
    <n v="77862574.99090907"/>
  </r>
  <r>
    <d v="2012-10-01T00:00:00"/>
    <x v="9"/>
    <n v="2012"/>
    <n v="75966062.297272757"/>
  </r>
  <r>
    <d v="2012-11-01T00:00:00"/>
    <x v="10"/>
    <n v="2012"/>
    <n v="77579680.941818193"/>
  </r>
  <r>
    <d v="2012-12-01T00:00:00"/>
    <x v="11"/>
    <n v="2012"/>
    <n v="78044416.993636355"/>
  </r>
  <r>
    <d v="2013-01-01T00:00:00"/>
    <x v="0"/>
    <n v="2013"/>
    <n v="84721792.143333375"/>
  </r>
  <r>
    <d v="2013-02-01T00:00:00"/>
    <x v="1"/>
    <n v="2013"/>
    <n v="76515852.360000014"/>
  </r>
  <r>
    <d v="2013-03-01T00:00:00"/>
    <x v="2"/>
    <n v="2013"/>
    <n v="80320040.103333354"/>
  </r>
  <r>
    <d v="2013-04-01T00:00:00"/>
    <x v="3"/>
    <n v="2013"/>
    <n v="73854214.826666668"/>
  </r>
  <r>
    <d v="2013-05-01T00:00:00"/>
    <x v="4"/>
    <n v="2013"/>
    <n v="75766818.393333361"/>
  </r>
  <r>
    <d v="2013-06-01T00:00:00"/>
    <x v="5"/>
    <n v="2013"/>
    <n v="79605453.473333344"/>
  </r>
  <r>
    <d v="2013-07-01T00:00:00"/>
    <x v="6"/>
    <n v="2013"/>
    <n v="91347063.430000022"/>
  </r>
  <r>
    <d v="2013-08-01T00:00:00"/>
    <x v="7"/>
    <n v="2013"/>
    <n v="86194913.580000013"/>
  </r>
  <r>
    <d v="2013-09-01T00:00:00"/>
    <x v="8"/>
    <n v="2013"/>
    <n v="77473370.183333322"/>
  </r>
  <r>
    <d v="2013-10-01T00:00:00"/>
    <x v="9"/>
    <n v="2013"/>
    <n v="76800878.560000002"/>
  </r>
  <r>
    <d v="2013-11-01T00:00:00"/>
    <x v="10"/>
    <n v="2013"/>
    <n v="77253769.396666661"/>
  </r>
  <r>
    <d v="2013-12-01T00:00:00"/>
    <x v="11"/>
    <n v="2013"/>
    <n v="81481312.549999997"/>
  </r>
  <r>
    <d v="2014-01-01T00:00:00"/>
    <x v="0"/>
    <n v="2014"/>
    <n v="87110628.419999987"/>
  </r>
  <r>
    <d v="2014-02-01T00:00:00"/>
    <x v="1"/>
    <n v="2014"/>
    <n v="75310896.296666682"/>
  </r>
  <r>
    <d v="2014-03-01T00:00:00"/>
    <x v="2"/>
    <n v="2014"/>
    <n v="79598361.859999985"/>
  </r>
  <r>
    <d v="2014-04-01T00:00:00"/>
    <x v="3"/>
    <n v="2014"/>
    <n v="69107663.240000024"/>
  </r>
  <r>
    <d v="2014-05-01T00:00:00"/>
    <x v="4"/>
    <n v="2014"/>
    <n v="69871028.140769228"/>
  </r>
  <r>
    <d v="2014-06-01T00:00:00"/>
    <x v="5"/>
    <n v="2014"/>
    <n v="77517701.584615394"/>
  </r>
  <r>
    <d v="2014-07-01T00:00:00"/>
    <x v="6"/>
    <n v="2014"/>
    <n v="79980081.605384618"/>
  </r>
  <r>
    <d v="2014-08-01T00:00:00"/>
    <x v="7"/>
    <n v="2014"/>
    <n v="78148911.668461546"/>
  </r>
  <r>
    <d v="2014-09-01T00:00:00"/>
    <x v="8"/>
    <n v="2014"/>
    <n v="73189575.230769232"/>
  </r>
  <r>
    <d v="2014-10-01T00:00:00"/>
    <x v="9"/>
    <n v="2014"/>
    <n v="72005492.011538461"/>
  </r>
  <r>
    <d v="2014-11-01T00:00:00"/>
    <x v="10"/>
    <n v="2014"/>
    <n v="74401960.572307676"/>
  </r>
  <r>
    <d v="2014-12-01T00:00:00"/>
    <x v="11"/>
    <n v="2014"/>
    <n v="77304484.726153851"/>
  </r>
  <r>
    <d v="2015-01-01T00:00:00"/>
    <x v="0"/>
    <n v="2015"/>
    <n v="84626740.919999987"/>
  </r>
  <r>
    <d v="2015-02-01T00:00:00"/>
    <x v="1"/>
    <n v="2015"/>
    <n v="77436620.475384608"/>
  </r>
  <r>
    <d v="2015-03-01T00:00:00"/>
    <x v="2"/>
    <n v="2015"/>
    <n v="78097659.106923103"/>
  </r>
  <r>
    <d v="2015-04-01T00:00:00"/>
    <x v="3"/>
    <n v="2015"/>
    <n v="68989289.843076915"/>
  </r>
  <r>
    <d v="2015-05-01T00:00:00"/>
    <x v="4"/>
    <n v="2015"/>
    <n v="73375077.214615405"/>
  </r>
  <r>
    <d v="2015-06-01T00:00:00"/>
    <x v="5"/>
    <n v="2015"/>
    <n v="75340519.323076934"/>
  </r>
  <r>
    <d v="2015-07-01T00:00:00"/>
    <x v="6"/>
    <n v="2015"/>
    <n v="85365000.161538452"/>
  </r>
  <r>
    <d v="2015-08-01T00:00:00"/>
    <x v="7"/>
    <n v="2015"/>
    <n v="81751305.839230776"/>
  </r>
  <r>
    <d v="2015-09-01T00:00:00"/>
    <x v="8"/>
    <n v="2015"/>
    <n v="79343691.187692299"/>
  </r>
  <r>
    <d v="2015-10-01T00:00:00"/>
    <x v="9"/>
    <n v="2015"/>
    <n v="71236445.923076928"/>
  </r>
  <r>
    <d v="2015-11-01T00:00:00"/>
    <x v="10"/>
    <n v="2015"/>
    <n v="71636023.820769221"/>
  </r>
  <r>
    <d v="2015-12-01T00:00:00"/>
    <x v="11"/>
    <n v="2015"/>
    <n v="73291493.167692319"/>
  </r>
  <r>
    <d v="2016-01-01T00:00:00"/>
    <x v="0"/>
    <n v="2016"/>
    <n v="79986061.065384641"/>
  </r>
  <r>
    <d v="2016-02-01T00:00:00"/>
    <x v="1"/>
    <n v="2016"/>
    <n v="73679442.001538455"/>
  </r>
  <r>
    <d v="2016-03-01T00:00:00"/>
    <x v="2"/>
    <n v="2016"/>
    <n v="73829400.356153846"/>
  </r>
  <r>
    <d v="2016-04-01T00:00:00"/>
    <x v="3"/>
    <n v="2016"/>
    <n v="69308215.465384632"/>
  </r>
  <r>
    <d v="2016-05-01T00:00:00"/>
    <x v="4"/>
    <n v="2016"/>
    <n v="72726898.225384623"/>
  </r>
  <r>
    <d v="2016-06-01T00:00:00"/>
    <x v="5"/>
    <n v="2016"/>
    <n v="79069060.420000032"/>
  </r>
  <r>
    <d v="2016-07-01T00:00:00"/>
    <x v="6"/>
    <n v="2016"/>
    <n v="90249922.476153865"/>
  </r>
  <r>
    <d v="2016-08-01T00:00:00"/>
    <x v="7"/>
    <n v="2016"/>
    <n v="94016713.441538468"/>
  </r>
  <r>
    <d v="2016-09-01T00:00:00"/>
    <x v="8"/>
    <n v="2016"/>
    <n v="77678226.287692308"/>
  </r>
  <r>
    <d v="2016-10-01T00:00:00"/>
    <x v="9"/>
    <n v="2016"/>
    <n v="71025278.580769241"/>
  </r>
  <r>
    <d v="2016-11-01T00:00:00"/>
    <x v="10"/>
    <n v="2016"/>
    <n v="71123495.761538461"/>
  </r>
  <r>
    <d v="2016-12-01T00:00:00"/>
    <x v="11"/>
    <n v="2016"/>
    <n v="76024870.703076944"/>
  </r>
  <r>
    <d v="2017-01-01T00:00:00"/>
    <x v="0"/>
    <n v="2017"/>
    <n v="78997942.227619052"/>
  </r>
  <r>
    <d v="2017-02-01T00:00:00"/>
    <x v="1"/>
    <n v="2017"/>
    <n v="69829356.909999996"/>
  </r>
  <r>
    <d v="2017-03-01T00:00:00"/>
    <x v="2"/>
    <n v="2017"/>
    <n v="76565564.916190505"/>
  </r>
  <r>
    <d v="2017-04-01T00:00:00"/>
    <x v="3"/>
    <n v="2017"/>
    <n v="66644954.449523814"/>
  </r>
  <r>
    <d v="2017-05-01T00:00:00"/>
    <x v="4"/>
    <n v="2017"/>
    <n v="70677545.254761904"/>
  </r>
  <r>
    <d v="2017-06-01T00:00:00"/>
    <x v="5"/>
    <n v="2017"/>
    <n v="78699725.353333339"/>
  </r>
  <r>
    <d v="2017-07-01T00:00:00"/>
    <x v="6"/>
    <n v="2017"/>
    <n v="85577695.760000005"/>
  </r>
  <r>
    <d v="2017-08-01T00:00:00"/>
    <x v="7"/>
    <n v="2017"/>
    <n v="83019509.650000006"/>
  </r>
  <r>
    <d v="2017-09-01T00:00:00"/>
    <x v="8"/>
    <n v="2017"/>
    <n v="77334131.13666667"/>
  </r>
  <r>
    <d v="2017-10-01T00:00:00"/>
    <x v="9"/>
    <n v="2017"/>
    <n v="73469057.820000008"/>
  </r>
  <r>
    <d v="2017-11-01T00:00:00"/>
    <x v="10"/>
    <n v="2017"/>
    <n v="74459348.126666665"/>
  </r>
  <r>
    <d v="2017-12-01T00:00:00"/>
    <x v="11"/>
    <n v="2017"/>
    <n v="79667517.416666657"/>
  </r>
  <r>
    <d v="2018-01-01T00:00:00"/>
    <x v="0"/>
    <n v="2018"/>
    <n v="84752511.140000001"/>
  </r>
  <r>
    <d v="2018-02-01T00:00:00"/>
    <x v="1"/>
    <n v="2018"/>
    <n v="72631313.480000004"/>
  </r>
  <r>
    <d v="2018-03-01T00:00:00"/>
    <x v="2"/>
    <n v="2018"/>
    <n v="77931843.100000009"/>
  </r>
  <r>
    <d v="2018-04-01T00:00:00"/>
    <x v="3"/>
    <n v="2018"/>
    <n v="72888274.790000007"/>
  </r>
  <r>
    <d v="2018-05-01T00:00:00"/>
    <x v="4"/>
    <n v="2018"/>
    <n v="76624694.199999973"/>
  </r>
  <r>
    <d v="2018-06-01T00:00:00"/>
    <x v="5"/>
    <n v="2018"/>
    <n v="80769043.830000013"/>
  </r>
  <r>
    <d v="2018-07-01T00:00:00"/>
    <x v="6"/>
    <n v="2018"/>
    <n v="95230727.25999999"/>
  </r>
  <r>
    <d v="2018-08-01T00:00:00"/>
    <x v="7"/>
    <n v="2018"/>
    <n v="93580216.839999989"/>
  </r>
  <r>
    <d v="2018-09-01T00:00:00"/>
    <x v="8"/>
    <n v="2018"/>
    <n v="79916023.120000005"/>
  </r>
  <r>
    <d v="2018-10-01T00:00:00"/>
    <x v="9"/>
    <n v="2018"/>
    <n v="75870343.00999999"/>
  </r>
  <r>
    <d v="2018-11-01T00:00:00"/>
    <x v="10"/>
    <n v="2018"/>
    <n v="77972578.930000007"/>
  </r>
  <r>
    <d v="2018-12-01T00:00:00"/>
    <x v="11"/>
    <n v="2018"/>
    <n v="77716342.479999989"/>
  </r>
  <r>
    <d v="2019-01-01T00:00:00"/>
    <x v="0"/>
    <n v="2019"/>
    <n v="85029523.596500009"/>
  </r>
  <r>
    <d v="2019-02-01T00:00:00"/>
    <x v="1"/>
    <n v="2019"/>
    <n v="75571374.736000016"/>
  </r>
  <r>
    <d v="2019-03-01T00:00:00"/>
    <x v="2"/>
    <n v="2019"/>
    <n v="79381068.277800009"/>
  </r>
  <r>
    <d v="2019-04-01T00:00:00"/>
    <x v="3"/>
    <n v="2019"/>
    <n v="73998852.774599999"/>
  </r>
  <r>
    <d v="2019-05-01T00:00:00"/>
    <x v="4"/>
    <n v="2019"/>
    <n v="74079885.052200004"/>
  </r>
  <r>
    <d v="2019-06-01T00:00:00"/>
    <x v="5"/>
    <n v="2019"/>
    <n v="77200774.899399996"/>
  </r>
  <r>
    <d v="2019-07-01T00:00:00"/>
    <x v="6"/>
    <n v="2019"/>
    <n v="97266632.718700007"/>
  </r>
  <r>
    <d v="2019-08-01T00:00:00"/>
    <x v="7"/>
    <n v="2019"/>
    <n v="88226114.621299982"/>
  </r>
  <r>
    <d v="2019-09-01T00:00:00"/>
    <x v="8"/>
    <n v="2019"/>
    <n v="76664331.356100008"/>
  </r>
  <r>
    <d v="2019-10-01T00:00:00"/>
    <x v="9"/>
    <n v="2019"/>
    <n v="75138464.501400009"/>
  </r>
  <r>
    <d v="2019-11-01T00:00:00"/>
    <x v="10"/>
    <n v="2019"/>
    <n v="79324528.1259"/>
  </r>
  <r>
    <d v="2019-12-01T00:00:00"/>
    <x v="11"/>
    <n v="2019"/>
    <n v="77448670.109640002"/>
  </r>
  <r>
    <d v="2020-01-01T00:00:00"/>
    <x v="0"/>
    <n v="2020"/>
    <n v="81251440.013279989"/>
  </r>
  <r>
    <d v="2020-02-01T00:00:00"/>
    <x v="1"/>
    <n v="2020"/>
    <n v="75883614.011019975"/>
  </r>
  <r>
    <d v="2020-03-01T00:00:00"/>
    <x v="2"/>
    <n v="2020"/>
    <n v="75425735.247120008"/>
  </r>
  <r>
    <d v="2020-04-01T00:00:00"/>
    <x v="3"/>
    <n v="2020"/>
    <n v="68179453.099079981"/>
  </r>
  <r>
    <d v="2020-05-01T00:00:00"/>
    <x v="4"/>
    <n v="2020"/>
    <n v="72113730.421249986"/>
  </r>
  <r>
    <d v="2020-06-01T00:00:00"/>
    <x v="5"/>
    <n v="2020"/>
    <n v="86099647.89466998"/>
  </r>
  <r>
    <d v="2020-07-01T00:00:00"/>
    <x v="6"/>
    <n v="2020"/>
    <n v="103947133.04603"/>
  </r>
  <r>
    <d v="2020-08-01T00:00:00"/>
    <x v="7"/>
    <n v="2020"/>
    <n v="92534942.41407001"/>
  </r>
  <r>
    <d v="2020-09-01T00:00:00"/>
    <x v="8"/>
    <n v="2020"/>
    <n v="76554649.522059992"/>
  </r>
  <r>
    <d v="2020-10-01T00:00:00"/>
    <x v="9"/>
    <n v="2020"/>
    <n v="74574750.82904999"/>
  </r>
  <r>
    <d v="2020-11-01T00:00:00"/>
    <x v="10"/>
    <n v="2020"/>
    <n v="75524140.206439972"/>
  </r>
  <r>
    <d v="2020-12-01T00:00:00"/>
    <x v="11"/>
    <n v="2020"/>
    <n v="78942466.150570005"/>
  </r>
</pivotCacheRecords>
</file>

<file path=xl/pivotCache/pivotCacheRecords2.xml><?xml version="1.0" encoding="utf-8"?>
<pivotCacheRecords xmlns="http://schemas.openxmlformats.org/spreadsheetml/2006/main" xmlns:r="http://schemas.openxmlformats.org/officeDocument/2006/relationships" count="156">
  <r>
    <d v="2010-01-01T00:00:00"/>
    <n v="1"/>
    <x v="0"/>
    <n v="85740317.673846155"/>
    <n v="720"/>
    <n v="0"/>
    <n v="128.72733605771626"/>
    <n v="31"/>
    <n v="0"/>
    <n v="0"/>
    <n v="0"/>
    <n v="0"/>
    <n v="1"/>
    <n v="83457069.317182913"/>
    <n v="2283248.356663242"/>
  </r>
  <r>
    <d v="2010-02-01T00:00:00"/>
    <n v="2"/>
    <x v="0"/>
    <n v="76200452.517692298"/>
    <n v="598.29999999999995"/>
    <n v="0"/>
    <n v="129.07908855613877"/>
    <n v="28"/>
    <n v="0"/>
    <n v="0"/>
    <n v="0"/>
    <n v="0"/>
    <n v="2"/>
    <n v="75427607.282936379"/>
    <n v="772845.23475591838"/>
  </r>
  <r>
    <d v="2010-03-01T00:00:00"/>
    <n v="3"/>
    <x v="0"/>
    <n v="78025070.524615392"/>
    <n v="422.8"/>
    <n v="0"/>
    <n v="129.43180223206977"/>
    <n v="31"/>
    <n v="1"/>
    <n v="0"/>
    <n v="0"/>
    <n v="0"/>
    <n v="3"/>
    <n v="77571784.404356405"/>
    <n v="453286.12025898695"/>
  </r>
  <r>
    <d v="2010-04-01T00:00:00"/>
    <n v="4"/>
    <x v="0"/>
    <n v="69790833.687692314"/>
    <n v="225.1"/>
    <n v="0"/>
    <n v="129.78547971196454"/>
    <n v="30"/>
    <n v="0"/>
    <n v="1"/>
    <n v="0"/>
    <n v="0"/>
    <n v="4"/>
    <n v="70299810.701978222"/>
    <n v="-508977.01428590715"/>
  </r>
  <r>
    <d v="2010-05-01T00:00:00"/>
    <n v="5"/>
    <x v="0"/>
    <n v="76066069.509230763"/>
    <n v="107.9"/>
    <n v="45.7"/>
    <n v="130.14012362945522"/>
    <n v="31"/>
    <n v="0"/>
    <n v="0"/>
    <n v="1"/>
    <n v="0"/>
    <n v="5"/>
    <n v="77513453.868146166"/>
    <n v="-1447384.3589154035"/>
  </r>
  <r>
    <d v="2010-06-01T00:00:00"/>
    <n v="6"/>
    <x v="0"/>
    <n v="79225717.646153852"/>
    <n v="21.7"/>
    <n v="58.7"/>
    <n v="130.49573662537048"/>
    <n v="30"/>
    <n v="0"/>
    <n v="0"/>
    <n v="0"/>
    <n v="0"/>
    <n v="6"/>
    <n v="78983132.221128926"/>
    <n v="242585.42502492666"/>
  </r>
  <r>
    <d v="2010-07-01T00:00:00"/>
    <n v="7"/>
    <x v="0"/>
    <n v="89977040.172307685"/>
    <n v="1.8"/>
    <n v="164.9"/>
    <n v="130.85232134775515"/>
    <n v="31"/>
    <n v="0"/>
    <n v="0"/>
    <n v="0"/>
    <n v="0"/>
    <n v="7"/>
    <n v="94026468.061231479"/>
    <n v="-4049427.888923794"/>
  </r>
  <r>
    <d v="2010-08-01T00:00:00"/>
    <n v="8"/>
    <x v="0"/>
    <n v="88856918.292384624"/>
    <n v="2.1"/>
    <n v="138.80000000000001"/>
    <n v="131.20988045188997"/>
    <n v="31"/>
    <n v="0"/>
    <n v="0"/>
    <n v="0"/>
    <n v="0"/>
    <n v="8"/>
    <n v="90833094.326353624"/>
    <n v="-1976176.033969"/>
  </r>
  <r>
    <d v="2010-09-01T00:00:00"/>
    <n v="9"/>
    <x v="0"/>
    <n v="74349622.304615363"/>
    <n v="78.099999999999994"/>
    <n v="31.5"/>
    <n v="131.56841660031131"/>
    <n v="30"/>
    <n v="0"/>
    <n v="0"/>
    <n v="0"/>
    <n v="0"/>
    <n v="9"/>
    <n v="76518737.937287435"/>
    <n v="-2169115.6326720715"/>
  </r>
  <r>
    <d v="2010-10-01T00:00:00"/>
    <n v="10"/>
    <x v="0"/>
    <n v="73264038.258461535"/>
    <n v="241.6"/>
    <n v="0"/>
    <n v="131.92793246283102"/>
    <n v="31"/>
    <n v="0"/>
    <n v="0"/>
    <n v="0"/>
    <n v="1"/>
    <n v="10"/>
    <n v="75138539.535585403"/>
    <n v="-1874501.2771238685"/>
  </r>
  <r>
    <d v="2010-11-01T00:00:00"/>
    <n v="11"/>
    <x v="0"/>
    <n v="76397905.17076923"/>
    <n v="405.3"/>
    <n v="0"/>
    <n v="132.28843071655632"/>
    <n v="30"/>
    <n v="0"/>
    <n v="0"/>
    <n v="0"/>
    <n v="0"/>
    <n v="11"/>
    <n v="77291858.701484844"/>
    <n v="-893953.53071561456"/>
  </r>
  <r>
    <d v="2010-12-01T00:00:00"/>
    <n v="12"/>
    <x v="0"/>
    <n v="82865126.892307699"/>
    <n v="676.2"/>
    <n v="0"/>
    <n v="132.64991404590961"/>
    <n v="31"/>
    <n v="0"/>
    <n v="0"/>
    <n v="0"/>
    <n v="0"/>
    <n v="12"/>
    <n v="83258254.061488017"/>
    <n v="-393127.16918031871"/>
  </r>
  <r>
    <d v="2011-01-01T00:00:00"/>
    <n v="1"/>
    <x v="1"/>
    <n v="86054286.131538451"/>
    <n v="775.3"/>
    <n v="0"/>
    <n v="132.81780450021679"/>
    <n v="31"/>
    <n v="0"/>
    <n v="0"/>
    <n v="0"/>
    <n v="0"/>
    <n v="13"/>
    <n v="84591173.198384956"/>
    <n v="1463112.9331534952"/>
  </r>
  <r>
    <d v="2011-02-01T00:00:00"/>
    <n v="2"/>
    <x v="1"/>
    <n v="76331649.843846157"/>
    <n v="654.20000000000005"/>
    <n v="0"/>
    <n v="132.98590744772346"/>
    <n v="28"/>
    <n v="0"/>
    <n v="0"/>
    <n v="0"/>
    <n v="0"/>
    <n v="14"/>
    <n v="76474794.3106433"/>
    <n v="-143144.46679714322"/>
  </r>
  <r>
    <d v="2011-03-01T00:00:00"/>
    <n v="3"/>
    <x v="1"/>
    <n v="80293454.303076923"/>
    <n v="572.79999999999995"/>
    <n v="0"/>
    <n v="133.15422315737499"/>
    <n v="31"/>
    <n v="1"/>
    <n v="0"/>
    <n v="0"/>
    <n v="0"/>
    <n v="15"/>
    <n v="79845949.239899382"/>
    <n v="447505.0631775409"/>
  </r>
  <r>
    <d v="2011-04-01T00:00:00"/>
    <n v="4"/>
    <x v="1"/>
    <n v="71266777.976153851"/>
    <n v="332.3"/>
    <n v="0"/>
    <n v="133.32275189845711"/>
    <n v="30"/>
    <n v="0"/>
    <n v="1"/>
    <n v="0"/>
    <n v="0"/>
    <n v="16"/>
    <n v="71876227.97978878"/>
    <n v="-609450.00363492966"/>
  </r>
  <r>
    <d v="2011-05-01T00:00:00"/>
    <n v="5"/>
    <x v="1"/>
    <n v="72652305.789999992"/>
    <n v="134.1"/>
    <n v="13"/>
    <n v="133.49149394059646"/>
    <n v="31"/>
    <n v="0"/>
    <n v="0"/>
    <n v="1"/>
    <n v="0"/>
    <n v="17"/>
    <n v="73800492.718086153"/>
    <n v="-1148186.9280861616"/>
  </r>
  <r>
    <d v="2011-06-01T00:00:00"/>
    <n v="6"/>
    <x v="1"/>
    <n v="76886231.902307689"/>
    <n v="19"/>
    <n v="52.2"/>
    <n v="133.66044955376086"/>
    <n v="30"/>
    <n v="0"/>
    <n v="0"/>
    <n v="0"/>
    <n v="0"/>
    <n v="18"/>
    <n v="78015410.088323191"/>
    <n v="-1129178.1860155016"/>
  </r>
  <r>
    <d v="2011-07-01T00:00:00"/>
    <n v="7"/>
    <x v="1"/>
    <n v="93432707.71615386"/>
    <n v="0"/>
    <n v="198.5"/>
    <n v="133.82961900825984"/>
    <n v="31"/>
    <n v="0"/>
    <n v="0"/>
    <n v="0"/>
    <n v="0"/>
    <n v="19"/>
    <n v="97945854.838626042"/>
    <n v="-4513147.1224721819"/>
  </r>
  <r>
    <d v="2011-08-01T00:00:00"/>
    <n v="8"/>
    <x v="1"/>
    <n v="86792642.630769238"/>
    <n v="0"/>
    <n v="122.2"/>
    <n v="133.99900257474505"/>
    <n v="31"/>
    <n v="0"/>
    <n v="0"/>
    <n v="0"/>
    <n v="0"/>
    <n v="20"/>
    <n v="88426559.731883541"/>
    <n v="-1633917.1011143029"/>
  </r>
  <r>
    <d v="2011-09-01T00:00:00"/>
    <n v="9"/>
    <x v="1"/>
    <n v="75561450.664615378"/>
    <n v="48.2"/>
    <n v="39.700000000000003"/>
    <n v="134.16860052421072"/>
    <n v="30"/>
    <n v="0"/>
    <n v="0"/>
    <n v="0"/>
    <n v="0"/>
    <n v="21"/>
    <n v="76698142.52267994"/>
    <n v="-1136691.8580645621"/>
  </r>
  <r>
    <d v="2011-10-01T00:00:00"/>
    <n v="10"/>
    <x v="1"/>
    <n v="73210551.581538469"/>
    <n v="235.5"/>
    <n v="2.4"/>
    <n v="134.33841312799402"/>
    <n v="31"/>
    <n v="0"/>
    <n v="0"/>
    <n v="0"/>
    <n v="1"/>
    <n v="22"/>
    <n v="74834887.100784674"/>
    <n v="-1624335.5192462057"/>
  </r>
  <r>
    <d v="2011-11-01T00:00:00"/>
    <n v="11"/>
    <x v="1"/>
    <n v="74362594.600769222"/>
    <n v="342.1"/>
    <n v="0"/>
    <n v="134.50844065777559"/>
    <n v="30"/>
    <n v="0"/>
    <n v="0"/>
    <n v="0"/>
    <n v="0"/>
    <n v="23"/>
    <n v="75789125.578818455"/>
    <n v="-1426530.9780492336"/>
  </r>
  <r>
    <d v="2011-12-01T00:00:00"/>
    <n v="12"/>
    <x v="1"/>
    <n v="78058078.98307693"/>
    <n v="534"/>
    <n v="0"/>
    <n v="134.67868338557994"/>
    <n v="31"/>
    <n v="0"/>
    <n v="0"/>
    <n v="0"/>
    <n v="0"/>
    <n v="24"/>
    <n v="80545764.999926671"/>
    <n v="-2487686.0168497413"/>
  </r>
  <r>
    <d v="2012-01-01T00:00:00"/>
    <n v="1"/>
    <x v="2"/>
    <n v="83475292.246923089"/>
    <n v="610.80000000000007"/>
    <n v="0"/>
    <n v="134.80289547341587"/>
    <n v="31"/>
    <n v="0"/>
    <n v="0"/>
    <n v="0"/>
    <n v="0"/>
    <n v="25"/>
    <n v="81542546.283964381"/>
    <n v="1932745.9629587084"/>
  </r>
  <r>
    <d v="2012-02-01T00:00:00"/>
    <n v="2"/>
    <x v="2"/>
    <n v="76561559.599230751"/>
    <n v="532"/>
    <n v="0"/>
    <n v="134.92722212015877"/>
    <n v="29"/>
    <n v="0"/>
    <n v="0"/>
    <n v="0"/>
    <n v="0"/>
    <n v="26"/>
    <n v="76116084.233644649"/>
    <n v="445475.36558610201"/>
  </r>
  <r>
    <d v="2012-03-01T00:00:00"/>
    <n v="3"/>
    <x v="2"/>
    <n v="76020277.875384629"/>
    <n v="349.40000000000009"/>
    <n v="0.2"/>
    <n v="135.05166343146462"/>
    <n v="31"/>
    <n v="1"/>
    <n v="0"/>
    <n v="0"/>
    <n v="0"/>
    <n v="27"/>
    <n v="75948682.795785144"/>
    <n v="71595.079599484801"/>
  </r>
  <r>
    <d v="2012-04-01T00:00:00"/>
    <n v="4"/>
    <x v="2"/>
    <n v="69885111.659999996"/>
    <n v="321.70000000000005"/>
    <n v="0"/>
    <n v="135.17621951308675"/>
    <n v="30"/>
    <n v="0"/>
    <n v="1"/>
    <n v="0"/>
    <n v="0"/>
    <n v="28"/>
    <n v="70922558.435856849"/>
    <n v="-1037446.7758568525"/>
  </r>
  <r>
    <d v="2012-05-01T00:00:00"/>
    <n v="5"/>
    <x v="2"/>
    <n v="77152267.277272731"/>
    <n v="81.300000000000011"/>
    <n v="36.700000000000003"/>
    <n v="135.30089047087608"/>
    <n v="31"/>
    <n v="0"/>
    <n v="0"/>
    <n v="1"/>
    <n v="0"/>
    <n v="29"/>
    <n v="75169181.060763493"/>
    <n v="1983086.2165092379"/>
  </r>
  <r>
    <d v="2012-06-01T00:00:00"/>
    <n v="6"/>
    <x v="2"/>
    <n v="83683996.899090916"/>
    <n v="23.2"/>
    <n v="101.60000000000001"/>
    <n v="135.42567641078114"/>
    <n v="30"/>
    <n v="0"/>
    <n v="0"/>
    <n v="0"/>
    <n v="0"/>
    <n v="30"/>
    <n v="83348778.726111874"/>
    <n v="335218.17297904193"/>
  </r>
  <r>
    <d v="2012-07-01T00:00:00"/>
    <n v="7"/>
    <x v="2"/>
    <n v="97430291.178181812"/>
    <n v="0"/>
    <n v="190.09999999999997"/>
    <n v="135.55057743884817"/>
    <n v="31"/>
    <n v="0"/>
    <n v="0"/>
    <n v="0"/>
    <n v="0"/>
    <n v="31"/>
    <n v="96030918.779882506"/>
    <n v="1399372.3982993066"/>
  </r>
  <r>
    <d v="2012-08-01T00:00:00"/>
    <n v="8"/>
    <x v="2"/>
    <n v="90717698.745454535"/>
    <n v="2"/>
    <n v="112.10000000000001"/>
    <n v="135.67559366122123"/>
    <n v="31"/>
    <n v="0"/>
    <n v="0"/>
    <n v="0"/>
    <n v="0"/>
    <n v="32"/>
    <n v="86305928.144156024"/>
    <n v="4411770.601298511"/>
  </r>
  <r>
    <d v="2012-09-01T00:00:00"/>
    <n v="9"/>
    <x v="2"/>
    <n v="77862574.99090907"/>
    <n v="85"/>
    <n v="35.6"/>
    <n v="135.80072518414227"/>
    <n v="30"/>
    <n v="0"/>
    <n v="0"/>
    <n v="0"/>
    <n v="0"/>
    <n v="33"/>
    <n v="75787495.203339711"/>
    <n v="2075079.7875693589"/>
  </r>
  <r>
    <d v="2012-10-01T00:00:00"/>
    <n v="10"/>
    <x v="2"/>
    <n v="75966062.297272757"/>
    <n v="242.50000000000003"/>
    <n v="1.1000000000000001"/>
    <n v="135.92597211395122"/>
    <n v="31"/>
    <n v="0"/>
    <n v="0"/>
    <n v="0"/>
    <n v="1"/>
    <n v="34"/>
    <n v="73829373.038768142"/>
    <n v="2136689.2585046142"/>
  </r>
  <r>
    <d v="2012-11-01T00:00:00"/>
    <n v="11"/>
    <x v="2"/>
    <n v="77579680.941818193"/>
    <n v="433.99999999999994"/>
    <n v="0"/>
    <n v="136.05133455708605"/>
    <n v="30"/>
    <n v="0"/>
    <n v="0"/>
    <n v="0"/>
    <n v="0"/>
    <n v="35"/>
    <n v="76114998.099659368"/>
    <n v="1464682.8421588242"/>
  </r>
  <r>
    <d v="2012-12-01T00:00:00"/>
    <n v="12"/>
    <x v="2"/>
    <n v="78044416.993636355"/>
    <n v="533.50000000000011"/>
    <n v="0"/>
    <n v="136.17681262008293"/>
    <n v="31"/>
    <n v="0"/>
    <n v="0"/>
    <n v="0"/>
    <n v="0"/>
    <n v="36"/>
    <n v="79549574.646311119"/>
    <n v="-1505157.6526747644"/>
  </r>
  <r>
    <d v="2013-01-01T00:00:00"/>
    <n v="1"/>
    <x v="3"/>
    <n v="84721792.143333375"/>
    <n v="624.40000000000009"/>
    <n v="0"/>
    <n v="136.33254285243484"/>
    <n v="31"/>
    <n v="0"/>
    <n v="0"/>
    <n v="0"/>
    <n v="0"/>
    <n v="37"/>
    <n v="80760916.859124705"/>
    <n v="3960875.2842086703"/>
  </r>
  <r>
    <d v="2013-02-01T00:00:00"/>
    <n v="2"/>
    <x v="3"/>
    <n v="76515852.360000014"/>
    <n v="631.49999999999989"/>
    <n v="0"/>
    <n v="136.4884511760844"/>
    <n v="28"/>
    <n v="0"/>
    <n v="0"/>
    <n v="0"/>
    <n v="0"/>
    <n v="38"/>
    <n v="74440250.498076394"/>
    <n v="2075601.8619236201"/>
  </r>
  <r>
    <d v="2013-03-01T00:00:00"/>
    <n v="3"/>
    <x v="3"/>
    <n v="80320040.103333354"/>
    <n v="554.79999999999995"/>
    <n v="0"/>
    <n v="136.64453779469474"/>
    <n v="31"/>
    <n v="1"/>
    <n v="0"/>
    <n v="0"/>
    <n v="0"/>
    <n v="39"/>
    <n v="77871121.663812295"/>
    <n v="2448918.4395210594"/>
  </r>
  <r>
    <d v="2013-04-01T00:00:00"/>
    <n v="4"/>
    <x v="3"/>
    <n v="73854214.826666668"/>
    <n v="358.6"/>
    <n v="0"/>
    <n v="136.80080291216194"/>
    <n v="30"/>
    <n v="0"/>
    <n v="1"/>
    <n v="0"/>
    <n v="0"/>
    <n v="40"/>
    <n v="70517736.317661837"/>
    <n v="3336478.5090048313"/>
  </r>
  <r>
    <d v="2013-05-01T00:00:00"/>
    <n v="5"/>
    <x v="3"/>
    <n v="75766818.393333361"/>
    <n v="109.10000000000001"/>
    <n v="23.1"/>
    <n v="136.95724673261523"/>
    <n v="31"/>
    <n v="0"/>
    <n v="0"/>
    <n v="1"/>
    <n v="0"/>
    <n v="41"/>
    <n v="72966756.910483301"/>
    <n v="2800061.4828500599"/>
  </r>
  <r>
    <d v="2013-06-01T00:00:00"/>
    <n v="6"/>
    <x v="3"/>
    <n v="79605453.473333344"/>
    <n v="33"/>
    <n v="59.599999999999994"/>
    <n v="137.11386946041728"/>
    <n v="30"/>
    <n v="0"/>
    <n v="0"/>
    <n v="0"/>
    <n v="0"/>
    <n v="42"/>
    <n v="77388717.58126767"/>
    <n v="2216735.8920656741"/>
  </r>
  <r>
    <d v="2013-07-01T00:00:00"/>
    <n v="7"/>
    <x v="3"/>
    <n v="91347063.430000022"/>
    <n v="1.2999999999999998"/>
    <n v="120.80000000000003"/>
    <n v="137.27067130016448"/>
    <n v="31"/>
    <n v="0"/>
    <n v="0"/>
    <n v="0"/>
    <n v="0"/>
    <n v="43"/>
    <n v="86583173.234003916"/>
    <n v="4763890.1959961057"/>
  </r>
  <r>
    <d v="2013-08-01T00:00:00"/>
    <n v="8"/>
    <x v="3"/>
    <n v="86194913.580000013"/>
    <n v="4.4000000000000004"/>
    <n v="93.799999999999983"/>
    <n v="137.42765245668718"/>
    <n v="31"/>
    <n v="0"/>
    <n v="0"/>
    <n v="0"/>
    <n v="0"/>
    <n v="44"/>
    <n v="83213432.016844526"/>
    <n v="2981481.5631554872"/>
  </r>
  <r>
    <d v="2013-09-01T00:00:00"/>
    <n v="9"/>
    <x v="3"/>
    <n v="77473370.183333322"/>
    <n v="82.999999999999986"/>
    <n v="28.099999999999998"/>
    <n v="137.58481313504998"/>
    <n v="30"/>
    <n v="0"/>
    <n v="0"/>
    <n v="0"/>
    <n v="0"/>
    <n v="45"/>
    <n v="73988808.675118357"/>
    <n v="3484561.5082149655"/>
  </r>
  <r>
    <d v="2013-10-01T00:00:00"/>
    <n v="10"/>
    <x v="3"/>
    <n v="76800878.560000002"/>
    <n v="208.5"/>
    <n v="0.4"/>
    <n v="137.74215354055198"/>
    <n v="31"/>
    <n v="0"/>
    <n v="0"/>
    <n v="0"/>
    <n v="1"/>
    <n v="46"/>
    <n v="72440633.404899582"/>
    <n v="4360245.1551004201"/>
  </r>
  <r>
    <d v="2013-11-01T00:00:00"/>
    <n v="11"/>
    <x v="3"/>
    <n v="77253769.396666661"/>
    <n v="478.20000000000005"/>
    <n v="0"/>
    <n v="137.89967387872707"/>
    <n v="30"/>
    <n v="0"/>
    <n v="0"/>
    <n v="0"/>
    <n v="0"/>
    <n v="47"/>
    <n v="75928962.434670761"/>
    <n v="1324806.9619958997"/>
  </r>
  <r>
    <d v="2013-12-01T00:00:00"/>
    <n v="12"/>
    <x v="3"/>
    <n v="81481312.549999997"/>
    <n v="687.9"/>
    <n v="0"/>
    <n v="138.05737435534434"/>
    <n v="31"/>
    <n v="0"/>
    <n v="0"/>
    <n v="0"/>
    <n v="0"/>
    <n v="48"/>
    <n v="80929295.718067899"/>
    <n v="552016.83193209767"/>
  </r>
  <r>
    <d v="2014-01-01T00:00:00"/>
    <n v="1"/>
    <x v="4"/>
    <n v="87110628.419999987"/>
    <n v="825.90000000000009"/>
    <n v="0"/>
    <n v="138.29854859030914"/>
    <n v="31"/>
    <n v="0"/>
    <n v="0"/>
    <n v="0"/>
    <n v="0"/>
    <n v="49"/>
    <n v="82847061.811006233"/>
    <n v="4263566.6089937538"/>
  </r>
  <r>
    <d v="2014-02-01T00:00:00"/>
    <n v="2"/>
    <x v="4"/>
    <n v="75310896.296666682"/>
    <n v="737.09999999999991"/>
    <n v="0"/>
    <n v="138.54014413570292"/>
    <n v="28"/>
    <n v="0"/>
    <n v="0"/>
    <n v="0"/>
    <n v="0"/>
    <n v="50"/>
    <n v="75222865.362646416"/>
    <n v="88030.934020265937"/>
  </r>
  <r>
    <d v="2014-03-01T00:00:00"/>
    <n v="3"/>
    <x v="4"/>
    <n v="79598361.859999985"/>
    <n v="690.6"/>
    <n v="0"/>
    <n v="138.78216172751834"/>
    <n v="31"/>
    <n v="1"/>
    <n v="0"/>
    <n v="0"/>
    <n v="0"/>
    <n v="51"/>
    <n v="79122858.305154189"/>
    <n v="475503.55484579504"/>
  </r>
  <r>
    <d v="2014-04-01T00:00:00"/>
    <n v="4"/>
    <x v="4"/>
    <n v="69107663.240000024"/>
    <n v="356.90000000000003"/>
    <n v="0"/>
    <n v="139.02460210303386"/>
    <n v="30"/>
    <n v="0"/>
    <n v="1"/>
    <n v="0"/>
    <n v="0"/>
    <n v="52"/>
    <n v="69881445.642682672"/>
    <n v="-773782.40268264711"/>
  </r>
  <r>
    <d v="2014-05-01T00:00:00"/>
    <n v="5"/>
    <x v="4"/>
    <n v="69871028.140769228"/>
    <n v="132.10000000000005"/>
    <n v="11.9"/>
    <n v="139.26746600081583"/>
    <n v="31"/>
    <n v="0"/>
    <n v="0"/>
    <n v="1"/>
    <n v="0"/>
    <n v="53"/>
    <n v="71333908.820319191"/>
    <n v="-1462880.6795499623"/>
  </r>
  <r>
    <d v="2014-06-01T00:00:00"/>
    <n v="6"/>
    <x v="4"/>
    <n v="77517701.584615394"/>
    <n v="14.1"/>
    <n v="68.099999999999994"/>
    <n v="139.51075416072086"/>
    <n v="30"/>
    <n v="0"/>
    <n v="0"/>
    <n v="0"/>
    <n v="0"/>
    <n v="54"/>
    <n v="77654386.108740941"/>
    <n v="-136684.52412554622"/>
  </r>
  <r>
    <d v="2014-07-01T00:00:00"/>
    <n v="7"/>
    <x v="4"/>
    <n v="79980081.605384618"/>
    <n v="4"/>
    <n v="71"/>
    <n v="139.75446732389804"/>
    <n v="31"/>
    <n v="0"/>
    <n v="0"/>
    <n v="0"/>
    <n v="0"/>
    <n v="55"/>
    <n v="79969311.291898116"/>
    <n v="10770.313486501575"/>
  </r>
  <r>
    <d v="2014-08-01T00:00:00"/>
    <n v="8"/>
    <x v="4"/>
    <n v="78148911.668461546"/>
    <n v="8.7999999999999989"/>
    <n v="81.799999999999983"/>
    <n v="139.9986062327911"/>
    <n v="31"/>
    <n v="0"/>
    <n v="0"/>
    <n v="0"/>
    <n v="0"/>
    <n v="56"/>
    <n v="81355318.84685801"/>
    <n v="-3206407.1783964634"/>
  </r>
  <r>
    <d v="2014-09-01T00:00:00"/>
    <n v="9"/>
    <x v="4"/>
    <n v="73189575.230769232"/>
    <n v="69.700000000000017"/>
    <n v="30.099999999999998"/>
    <n v="140.24317163114083"/>
    <n v="30"/>
    <n v="0"/>
    <n v="0"/>
    <n v="0"/>
    <n v="0"/>
    <n v="57"/>
    <n v="73663053.79521738"/>
    <n v="-473478.56444814801"/>
  </r>
  <r>
    <d v="2014-10-01T00:00:00"/>
    <n v="10"/>
    <x v="4"/>
    <n v="72005492.011538461"/>
    <n v="224.30000000000004"/>
    <n v="1.3"/>
    <n v="140.48816426398724"/>
    <n v="31"/>
    <n v="0"/>
    <n v="0"/>
    <n v="0"/>
    <n v="1"/>
    <n v="58"/>
    <n v="72433049.267522842"/>
    <n v="-427557.25598438084"/>
  </r>
  <r>
    <d v="2014-11-01T00:00:00"/>
    <n v="11"/>
    <x v="4"/>
    <n v="74401960.572307676"/>
    <n v="482.1"/>
    <n v="0"/>
    <n v="140.73358487767186"/>
    <n v="30"/>
    <n v="0"/>
    <n v="0"/>
    <n v="0"/>
    <n v="0"/>
    <n v="59"/>
    <n v="75688157.940001056"/>
    <n v="-1286197.3676933795"/>
  </r>
  <r>
    <d v="2014-12-01T00:00:00"/>
    <n v="12"/>
    <x v="4"/>
    <n v="77304484.726153851"/>
    <n v="557.29999999999995"/>
    <n v="0"/>
    <n v="140.97943421984021"/>
    <n v="31"/>
    <n v="0"/>
    <n v="0"/>
    <n v="0"/>
    <n v="0"/>
    <n v="60"/>
    <n v="78843658.118787959"/>
    <n v="-1539173.3926341087"/>
  </r>
  <r>
    <d v="2015-01-01T00:00:00"/>
    <n v="1"/>
    <x v="5"/>
    <n v="84626740.919999987"/>
    <n v="792.39999999999975"/>
    <n v="0"/>
    <n v="141.3034903565966"/>
    <n v="31"/>
    <n v="0"/>
    <n v="0"/>
    <n v="0"/>
    <n v="0"/>
    <n v="61"/>
    <n v="82169343.111443505"/>
    <n v="2457397.8085564822"/>
  </r>
  <r>
    <d v="2015-02-01T00:00:00"/>
    <n v="2"/>
    <x v="5"/>
    <n v="77436620.475384608"/>
    <n v="856.8"/>
    <n v="0"/>
    <n v="141.62829137064909"/>
    <n v="28"/>
    <n v="0"/>
    <n v="0"/>
    <n v="0"/>
    <n v="0"/>
    <n v="62"/>
    <n v="76741803.501491502"/>
    <n v="694816.97389310598"/>
  </r>
  <r>
    <d v="2015-03-01T00:00:00"/>
    <n v="3"/>
    <x v="5"/>
    <n v="78097659.106923103"/>
    <n v="615.49999999999989"/>
    <n v="0"/>
    <n v="141.95383897417693"/>
    <n v="31"/>
    <n v="1"/>
    <n v="0"/>
    <n v="0"/>
    <n v="0"/>
    <n v="63"/>
    <n v="77946957.967881843"/>
    <n v="150701.13904125988"/>
  </r>
  <r>
    <d v="2015-04-01T00:00:00"/>
    <n v="4"/>
    <x v="5"/>
    <n v="68989289.843076915"/>
    <n v="313.7"/>
    <n v="0"/>
    <n v="142.28013488329495"/>
    <n v="30"/>
    <n v="0"/>
    <n v="1"/>
    <n v="0"/>
    <n v="0"/>
    <n v="64"/>
    <n v="69197485.573836729"/>
    <n v="-208195.73075981438"/>
  </r>
  <r>
    <d v="2015-05-01T00:00:00"/>
    <n v="5"/>
    <x v="5"/>
    <n v="73375077.214615405"/>
    <n v="89.3"/>
    <n v="34.1"/>
    <n v="142.60718081806269"/>
    <n v="31"/>
    <n v="0"/>
    <n v="0"/>
    <n v="1"/>
    <n v="0"/>
    <n v="65"/>
    <n v="73451726.509749502"/>
    <n v="-76649.295134097338"/>
  </r>
  <r>
    <d v="2015-06-01T00:00:00"/>
    <n v="6"/>
    <x v="5"/>
    <n v="75340519.323076934"/>
    <n v="33.800000000000004"/>
    <n v="32.299999999999997"/>
    <n v="142.93497850249344"/>
    <n v="30"/>
    <n v="0"/>
    <n v="0"/>
    <n v="0"/>
    <n v="0"/>
    <n v="66"/>
    <n v="73503532.621019349"/>
    <n v="1836986.7020575851"/>
  </r>
  <r>
    <d v="2015-07-01T00:00:00"/>
    <n v="7"/>
    <x v="5"/>
    <n v="85365000.161538452"/>
    <n v="4"/>
    <n v="114.29999999999998"/>
    <n v="143.26352966456326"/>
    <n v="31"/>
    <n v="0"/>
    <n v="0"/>
    <n v="0"/>
    <n v="0"/>
    <n v="67"/>
    <n v="85392737.886916265"/>
    <n v="-27737.725377812982"/>
  </r>
  <r>
    <d v="2015-08-01T00:00:00"/>
    <n v="8"/>
    <x v="5"/>
    <n v="81751305.839230776"/>
    <n v="4.4000000000000004"/>
    <n v="88.6"/>
    <n v="143.59283603622018"/>
    <n v="31"/>
    <n v="0"/>
    <n v="0"/>
    <n v="0"/>
    <n v="0"/>
    <n v="68"/>
    <n v="82235694.653301939"/>
    <n v="-484388.81407116354"/>
  </r>
  <r>
    <d v="2015-09-01T00:00:00"/>
    <n v="9"/>
    <x v="5"/>
    <n v="79343691.187692299"/>
    <n v="31.099999999999994"/>
    <n v="81.900000000000006"/>
    <n v="143.92289935339329"/>
    <n v="30"/>
    <n v="0"/>
    <n v="0"/>
    <n v="0"/>
    <n v="0"/>
    <n v="69"/>
    <n v="79686373.851757482"/>
    <n v="-342682.66406518221"/>
  </r>
  <r>
    <d v="2015-10-01T00:00:00"/>
    <n v="10"/>
    <x v="5"/>
    <n v="71236445.923076928"/>
    <n v="249.8"/>
    <n v="0"/>
    <n v="144.2537213560019"/>
    <n v="31"/>
    <n v="0"/>
    <n v="0"/>
    <n v="0"/>
    <n v="1"/>
    <n v="70"/>
    <n v="72818396.098952308"/>
    <n v="-1581950.1758753806"/>
  </r>
  <r>
    <d v="2015-11-01T00:00:00"/>
    <n v="11"/>
    <x v="5"/>
    <n v="71636023.820769221"/>
    <n v="345"/>
    <n v="0"/>
    <n v="144.58530378796473"/>
    <n v="30"/>
    <n v="0"/>
    <n v="0"/>
    <n v="0"/>
    <n v="0"/>
    <n v="71"/>
    <n v="73993831.576715842"/>
    <n v="-2357807.7559466213"/>
  </r>
  <r>
    <d v="2015-12-01T00:00:00"/>
    <n v="12"/>
    <x v="5"/>
    <n v="73291493.167692319"/>
    <n v="429.70000000000005"/>
    <n v="0"/>
    <n v="144.91764839720901"/>
    <n v="31"/>
    <n v="0"/>
    <n v="0"/>
    <n v="0"/>
    <n v="0"/>
    <n v="72"/>
    <n v="77327776.855287954"/>
    <n v="-4036283.6875956357"/>
  </r>
  <r>
    <d v="2016-01-01T00:00:00"/>
    <n v="1"/>
    <x v="6"/>
    <n v="79986061.065384641"/>
    <n v="670.4"/>
    <n v="0"/>
    <n v="145.18982487994964"/>
    <n v="31"/>
    <n v="0"/>
    <n v="0"/>
    <n v="0"/>
    <n v="0"/>
    <n v="73"/>
    <n v="80705242.386302456"/>
    <n v="-719181.32091781497"/>
  </r>
  <r>
    <d v="2016-02-01T00:00:00"/>
    <n v="2"/>
    <x v="6"/>
    <n v="73679442.001538455"/>
    <n v="588.4"/>
    <n v="0"/>
    <n v="145.46251254982707"/>
    <n v="29"/>
    <n v="0"/>
    <n v="0"/>
    <n v="0"/>
    <n v="0"/>
    <n v="74"/>
    <n v="75310828.489611015"/>
    <n v="-1631386.4880725592"/>
  </r>
  <r>
    <d v="2016-03-01T00:00:00"/>
    <n v="3"/>
    <x v="6"/>
    <n v="73829400.356153846"/>
    <n v="476.0999999999998"/>
    <n v="0"/>
    <n v="145.73571236692533"/>
    <n v="31"/>
    <n v="1"/>
    <n v="0"/>
    <n v="0"/>
    <n v="0"/>
    <n v="75"/>
    <n v="76184037.884185567"/>
    <n v="-2354637.5280317217"/>
  </r>
  <r>
    <d v="2016-04-01T00:00:00"/>
    <n v="4"/>
    <x v="6"/>
    <n v="69308215.465384632"/>
    <n v="394.8"/>
    <n v="0"/>
    <n v="146.00942529313159"/>
    <n v="30"/>
    <n v="0"/>
    <n v="1"/>
    <n v="0"/>
    <n v="0"/>
    <n v="76"/>
    <n v="70506723.832605451"/>
    <n v="-1198508.367220819"/>
  </r>
  <r>
    <d v="2016-05-01T00:00:00"/>
    <n v="5"/>
    <x v="6"/>
    <n v="72726898.225384623"/>
    <n v="142.50000000000003"/>
    <n v="36.9"/>
    <n v="146.28365229213961"/>
    <n v="31"/>
    <n v="0"/>
    <n v="0"/>
    <n v="1"/>
    <n v="0"/>
    <n v="77"/>
    <n v="74688520.296297923"/>
    <n v="-1961622.0709132999"/>
  </r>
  <r>
    <d v="2016-06-01T00:00:00"/>
    <n v="6"/>
    <x v="6"/>
    <n v="79069060.420000032"/>
    <n v="24.200000000000003"/>
    <n v="83.7"/>
    <n v="146.55839432945308"/>
    <n v="30"/>
    <n v="0"/>
    <n v="0"/>
    <n v="0"/>
    <n v="0"/>
    <n v="78"/>
    <n v="79855660.565043703"/>
    <n v="-786600.14504367113"/>
  </r>
  <r>
    <d v="2016-07-01T00:00:00"/>
    <n v="7"/>
    <x v="6"/>
    <n v="90249922.476153865"/>
    <n v="0"/>
    <n v="176.89999999999998"/>
    <n v="146.83365237238908"/>
    <n v="31"/>
    <n v="0"/>
    <n v="0"/>
    <n v="0"/>
    <n v="0"/>
    <n v="79"/>
    <n v="93184534.854763314"/>
    <n v="-2934612.3786094487"/>
  </r>
  <r>
    <d v="2016-08-01T00:00:00"/>
    <n v="8"/>
    <x v="6"/>
    <n v="94016713.441538468"/>
    <n v="0"/>
    <n v="195.4"/>
    <n v="147.10942739008146"/>
    <n v="31"/>
    <n v="0"/>
    <n v="0"/>
    <n v="0"/>
    <n v="0"/>
    <n v="80"/>
    <n v="95474174.506461546"/>
    <n v="-1457461.0649230778"/>
  </r>
  <r>
    <d v="2016-09-01T00:00:00"/>
    <n v="9"/>
    <x v="6"/>
    <n v="77678226.287692308"/>
    <n v="25.900000000000006"/>
    <n v="69.400000000000006"/>
    <n v="147.3857203534842"/>
    <n v="30"/>
    <n v="0"/>
    <n v="0"/>
    <n v="0"/>
    <n v="0"/>
    <n v="81"/>
    <n v="78094383.186800137"/>
    <n v="-416156.89910782874"/>
  </r>
  <r>
    <d v="2016-10-01T00:00:00"/>
    <n v="10"/>
    <x v="6"/>
    <n v="71025278.580769241"/>
    <n v="194.20000000000002"/>
    <n v="4.0999999999999996"/>
    <n v="147.6625322353749"/>
    <n v="31"/>
    <n v="0"/>
    <n v="0"/>
    <n v="0"/>
    <n v="1"/>
    <n v="82"/>
    <n v="72548052.248683527"/>
    <n v="-1522773.6679142863"/>
  </r>
  <r>
    <d v="2016-11-01T00:00:00"/>
    <n v="11"/>
    <x v="6"/>
    <n v="71123495.761538461"/>
    <n v="337.80000000000007"/>
    <n v="0"/>
    <n v="147.93986401035815"/>
    <n v="30"/>
    <n v="0"/>
    <n v="0"/>
    <n v="0"/>
    <n v="0"/>
    <n v="83"/>
    <n v="73867320.695161223"/>
    <n v="-2743824.9336227626"/>
  </r>
  <r>
    <d v="2016-12-01T00:00:00"/>
    <n v="12"/>
    <x v="6"/>
    <n v="76024870.703076944"/>
    <n v="607.99999999999989"/>
    <n v="0"/>
    <n v="148.21771665486904"/>
    <n v="31"/>
    <n v="0"/>
    <n v="0"/>
    <n v="0"/>
    <n v="0"/>
    <n v="84"/>
    <n v="79780455.491017982"/>
    <n v="-3755584.7879410386"/>
  </r>
  <r>
    <d v="2017-01-01T00:00:00"/>
    <n v="1"/>
    <x v="7"/>
    <n v="78997942.227619052"/>
    <n v="608.9"/>
    <n v="0"/>
    <n v="148.6475381454095"/>
    <n v="31"/>
    <n v="0"/>
    <n v="0"/>
    <n v="0"/>
    <n v="0"/>
    <n v="85"/>
    <n v="79869020.280506536"/>
    <n v="-871078.05288748443"/>
  </r>
  <r>
    <d v="2017-02-01T00:00:00"/>
    <n v="2"/>
    <x v="7"/>
    <n v="69829356.909999996"/>
    <n v="510.4"/>
    <n v="0"/>
    <n v="149.07860608959868"/>
    <n v="28"/>
    <n v="0"/>
    <n v="0"/>
    <n v="0"/>
    <n v="0"/>
    <n v="86"/>
    <n v="72206849.707884058"/>
    <n v="-2377492.7978840619"/>
  </r>
  <r>
    <d v="2017-03-01T00:00:00"/>
    <n v="3"/>
    <x v="7"/>
    <n v="76565564.916190505"/>
    <n v="574"/>
    <n v="0"/>
    <n v="149.51092410206903"/>
    <n v="31"/>
    <n v="1"/>
    <n v="0"/>
    <n v="0"/>
    <n v="0"/>
    <n v="87"/>
    <n v="77753267.760220423"/>
    <n v="-1187702.8440299183"/>
  </r>
  <r>
    <d v="2017-04-01T00:00:00"/>
    <n v="4"/>
    <x v="7"/>
    <n v="66644954.449523814"/>
    <n v="257.49999999999994"/>
    <n v="0"/>
    <n v="149.94449580793514"/>
    <n v="30"/>
    <n v="0"/>
    <n v="1"/>
    <n v="0"/>
    <n v="0"/>
    <n v="88"/>
    <n v="68852862.280396119"/>
    <n v="-2207907.8308723047"/>
  </r>
  <r>
    <d v="2017-05-01T00:00:00"/>
    <n v="5"/>
    <x v="7"/>
    <n v="70677545.254761904"/>
    <n v="177"/>
    <n v="9"/>
    <n v="150.37932484282425"/>
    <n v="31"/>
    <n v="0"/>
    <n v="0"/>
    <n v="1"/>
    <n v="0"/>
    <n v="89"/>
    <n v="72073793.363548279"/>
    <n v="-1396248.1087863743"/>
  </r>
  <r>
    <d v="2017-06-01T00:00:00"/>
    <n v="6"/>
    <x v="7"/>
    <n v="78699725.353333339"/>
    <n v="26.699999999999996"/>
    <n v="68.2"/>
    <n v="150.81541485290663"/>
    <n v="30"/>
    <n v="0"/>
    <n v="0"/>
    <n v="0"/>
    <n v="0"/>
    <n v="90"/>
    <n v="78412300.575968996"/>
    <n v="287424.7773643434"/>
  </r>
  <r>
    <d v="2017-07-01T00:00:00"/>
    <n v="7"/>
    <x v="7"/>
    <n v="85577695.760000005"/>
    <n v="0"/>
    <n v="116.49999999999999"/>
    <n v="151.25276949492624"/>
    <n v="31"/>
    <n v="0"/>
    <n v="0"/>
    <n v="0"/>
    <n v="0"/>
    <n v="91"/>
    <n v="86223306.239931509"/>
    <n v="-645610.47993150353"/>
  </r>
  <r>
    <d v="2017-08-01T00:00:00"/>
    <n v="8"/>
    <x v="7"/>
    <n v="83019509.650000006"/>
    <n v="11.6"/>
    <n v="75.2"/>
    <n v="151.69139243623133"/>
    <n v="31"/>
    <n v="0"/>
    <n v="0"/>
    <n v="0"/>
    <n v="0"/>
    <n v="92"/>
    <n v="81346300.406975999"/>
    <n v="1673209.2430240065"/>
  </r>
  <r>
    <d v="2017-09-01T00:00:00"/>
    <n v="9"/>
    <x v="7"/>
    <n v="77334131.13666667"/>
    <n v="49.1"/>
    <n v="71.499999999999986"/>
    <n v="152.13128735480518"/>
    <n v="30"/>
    <n v="0"/>
    <n v="0"/>
    <n v="0"/>
    <n v="0"/>
    <n v="93"/>
    <n v="79377766.792071417"/>
    <n v="-2043635.6554047465"/>
  </r>
  <r>
    <d v="2017-10-01T00:00:00"/>
    <n v="10"/>
    <x v="7"/>
    <n v="73469057.820000008"/>
    <n v="153.99999999999997"/>
    <n v="8.1"/>
    <n v="152.57245793929707"/>
    <n v="31"/>
    <n v="0"/>
    <n v="0"/>
    <n v="0"/>
    <n v="1"/>
    <n v="94"/>
    <n v="73261158.244503826"/>
    <n v="207899.57549618185"/>
  </r>
  <r>
    <d v="2017-11-01T00:00:00"/>
    <n v="11"/>
    <x v="7"/>
    <n v="74459348.126666665"/>
    <n v="414.2"/>
    <n v="0"/>
    <n v="153.01490788905303"/>
    <n v="30"/>
    <n v="0"/>
    <n v="0"/>
    <n v="0"/>
    <n v="0"/>
    <n v="95"/>
    <n v="75809207.919394091"/>
    <n v="-1349859.7927274257"/>
  </r>
  <r>
    <d v="2017-12-01T00:00:00"/>
    <n v="12"/>
    <x v="7"/>
    <n v="79667517.416666657"/>
    <n v="718.49999999999989"/>
    <n v="0"/>
    <n v="153.45864091414703"/>
    <n v="31"/>
    <n v="0"/>
    <n v="0"/>
    <n v="0"/>
    <n v="0"/>
    <n v="96"/>
    <n v="82287794.55542703"/>
    <n v="-2620277.138760373"/>
  </r>
  <r>
    <d v="2018-01-01T00:00:00"/>
    <n v="1"/>
    <x v="8"/>
    <n v="84752511.140000001"/>
    <n v="732.29999999999984"/>
    <n v="0"/>
    <n v="153.85890281731997"/>
    <n v="31"/>
    <n v="0"/>
    <n v="0"/>
    <n v="0"/>
    <n v="0"/>
    <n v="97"/>
    <n v="82542340.93903257"/>
    <n v="2210170.2009674311"/>
  </r>
  <r>
    <d v="2018-02-01T00:00:00"/>
    <n v="2"/>
    <x v="8"/>
    <n v="72631313.480000004"/>
    <n v="555.00000000000023"/>
    <n v="0"/>
    <n v="154.26020871247783"/>
    <n v="28"/>
    <n v="0"/>
    <n v="0"/>
    <n v="0"/>
    <n v="0"/>
    <n v="98"/>
    <n v="73757065.313709319"/>
    <n v="-1125751.8337093145"/>
  </r>
  <r>
    <d v="2018-03-01T00:00:00"/>
    <n v="3"/>
    <x v="8"/>
    <n v="77931843.100000009"/>
    <n v="553.99999999999989"/>
    <n v="0"/>
    <n v="154.66256132263587"/>
    <n v="31"/>
    <n v="1"/>
    <n v="0"/>
    <n v="0"/>
    <n v="0"/>
    <n v="99"/>
    <n v="78379875.106568143"/>
    <n v="-448032.00656813383"/>
  </r>
  <r>
    <d v="2018-04-01T00:00:00"/>
    <n v="4"/>
    <x v="8"/>
    <n v="72888274.790000007"/>
    <n v="437.20000000000005"/>
    <n v="0"/>
    <n v="155.06596337791169"/>
    <n v="30"/>
    <n v="0"/>
    <n v="1"/>
    <n v="0"/>
    <n v="0"/>
    <n v="100"/>
    <n v="72270889.651731431"/>
    <n v="617385.13826857507"/>
  </r>
  <r>
    <d v="2018-05-01T00:00:00"/>
    <n v="5"/>
    <x v="8"/>
    <n v="76624694.199999973"/>
    <n v="75.3"/>
    <n v="43.4"/>
    <n v="155.47041761554377"/>
    <n v="31"/>
    <n v="0"/>
    <n v="0"/>
    <n v="1"/>
    <n v="0"/>
    <n v="101"/>
    <n v="75785603.96441631"/>
    <n v="839090.23558366299"/>
  </r>
  <r>
    <d v="2018-06-01T00:00:00"/>
    <n v="6"/>
    <x v="8"/>
    <n v="80769043.830000013"/>
    <n v="14.799999999999999"/>
    <n v="60.5"/>
    <n v="155.87592677991009"/>
    <n v="30"/>
    <n v="0"/>
    <n v="0"/>
    <n v="0"/>
    <n v="0"/>
    <n v="102"/>
    <n v="78150775.5373009"/>
    <n v="2618268.2926991135"/>
  </r>
  <r>
    <d v="2018-07-01T00:00:00"/>
    <n v="7"/>
    <x v="8"/>
    <n v="95230727.25999999"/>
    <n v="0"/>
    <n v="167.8"/>
    <n v="156.2824936225467"/>
    <n v="31"/>
    <n v="0"/>
    <n v="0"/>
    <n v="0"/>
    <n v="0"/>
    <n v="103"/>
    <n v="93428132.79912512"/>
    <n v="1802594.4608748704"/>
  </r>
  <r>
    <d v="2018-08-01T00:00:00"/>
    <n v="8"/>
    <x v="8"/>
    <n v="93580216.839999989"/>
    <n v="1.2"/>
    <n v="162.4"/>
    <n v="156.6901209021664"/>
    <n v="31"/>
    <n v="0"/>
    <n v="0"/>
    <n v="0"/>
    <n v="0"/>
    <n v="104"/>
    <n v="92839876.966625586"/>
    <n v="740339.87337440252"/>
  </r>
  <r>
    <d v="2018-09-01T00:00:00"/>
    <n v="9"/>
    <x v="8"/>
    <n v="79916023.120000005"/>
    <n v="41.399999999999991"/>
    <n v="76.399999999999977"/>
    <n v="157.09881138467748"/>
    <n v="30"/>
    <n v="0"/>
    <n v="0"/>
    <n v="0"/>
    <n v="0"/>
    <n v="105"/>
    <n v="80689199.955159709"/>
    <n v="-773176.83515970409"/>
  </r>
  <r>
    <d v="2018-10-01T00:00:00"/>
    <n v="10"/>
    <x v="8"/>
    <n v="75870343.00999999"/>
    <n v="289.40000000000003"/>
    <n v="8.1999999999999993"/>
    <n v="157.50856784320246"/>
    <n v="31"/>
    <n v="0"/>
    <n v="0"/>
    <n v="0"/>
    <n v="1"/>
    <n v="106"/>
    <n v="75972643.239235893"/>
    <n v="-102300.22923590243"/>
  </r>
  <r>
    <d v="2018-11-01T00:00:00"/>
    <n v="11"/>
    <x v="8"/>
    <n v="77972578.930000007"/>
    <n v="494.1"/>
    <n v="0"/>
    <n v="157.91939305809689"/>
    <n v="30"/>
    <n v="0"/>
    <n v="0"/>
    <n v="0"/>
    <n v="0"/>
    <n v="107"/>
    <n v="77711738.91362913"/>
    <n v="260840.01637087762"/>
  </r>
  <r>
    <d v="2018-12-01T00:00:00"/>
    <n v="12"/>
    <x v="8"/>
    <n v="77716342.479999989"/>
    <n v="563.60000000000014"/>
    <n v="0"/>
    <n v="158.33128981696836"/>
    <n v="31"/>
    <n v="0"/>
    <n v="0"/>
    <n v="0"/>
    <n v="0"/>
    <n v="108"/>
    <n v="80873328.749843702"/>
    <n v="-3156986.2698437124"/>
  </r>
  <r>
    <d v="2019-01-01T00:00:00"/>
    <n v="1"/>
    <x v="9"/>
    <n v="85029523.596500009"/>
    <n v="764.5"/>
    <n v="0"/>
    <n v="158.56186296962741"/>
    <n v="31"/>
    <n v="0"/>
    <n v="0"/>
    <n v="0"/>
    <n v="0"/>
    <n v="109"/>
    <n v="83669744.944495216"/>
    <n v="1359778.6520047933"/>
  </r>
  <r>
    <d v="2019-02-01T00:00:00"/>
    <n v="2"/>
    <x v="9"/>
    <n v="75571374.736000016"/>
    <n v="621.70000000000016"/>
    <n v="0"/>
    <n v="158.79277189911735"/>
    <n v="28"/>
    <n v="0"/>
    <n v="0"/>
    <n v="0"/>
    <n v="0"/>
    <n v="110"/>
    <n v="75280948.728440478"/>
    <n v="290426.00755953789"/>
  </r>
  <r>
    <d v="2019-03-01T00:00:00"/>
    <n v="3"/>
    <x v="9"/>
    <n v="79381068.277800009"/>
    <n v="593.90000000000009"/>
    <n v="0"/>
    <n v="159.02401709442"/>
    <n v="31"/>
    <n v="1"/>
    <n v="0"/>
    <n v="0"/>
    <n v="0"/>
    <n v="111"/>
    <n v="79438205.295614198"/>
    <n v="-57137.017814189196"/>
  </r>
  <r>
    <d v="2019-04-01T00:00:00"/>
    <n v="4"/>
    <x v="9"/>
    <n v="73998852.774599999"/>
    <n v="346.8"/>
    <n v="0"/>
    <n v="159.2555990452293"/>
    <n v="30"/>
    <n v="0"/>
    <n v="1"/>
    <n v="0"/>
    <n v="0"/>
    <n v="112"/>
    <n v="71408448.296560004"/>
    <n v="2590404.4780399948"/>
  </r>
  <r>
    <d v="2019-05-01T00:00:00"/>
    <n v="5"/>
    <x v="9"/>
    <n v="74079885.052200004"/>
    <n v="180.99999999999997"/>
    <n v="0"/>
    <n v="159.48751824195227"/>
    <n v="31"/>
    <n v="0"/>
    <n v="0"/>
    <n v="1"/>
    <n v="0"/>
    <n v="113"/>
    <n v="72209151.545757622"/>
    <n v="1870733.5064423829"/>
  </r>
  <r>
    <d v="2019-06-01T00:00:00"/>
    <n v="6"/>
    <x v="9"/>
    <n v="77200774.899399996"/>
    <n v="35.5"/>
    <n v="41.300000000000004"/>
    <n v="159.71977517571011"/>
    <n v="30"/>
    <n v="0"/>
    <n v="0"/>
    <n v="0"/>
    <n v="0"/>
    <n v="114"/>
    <n v="76289983.863540217"/>
    <n v="910791.03585977852"/>
  </r>
  <r>
    <d v="2019-07-01T00:00:00"/>
    <n v="7"/>
    <x v="9"/>
    <n v="97266632.718700007"/>
    <n v="0"/>
    <n v="166.90000000000003"/>
    <n v="159.95237033833922"/>
    <n v="31"/>
    <n v="0"/>
    <n v="0"/>
    <n v="0"/>
    <n v="0"/>
    <n v="115"/>
    <n v="93454955.19863306"/>
    <n v="3811677.5200669467"/>
  </r>
  <r>
    <d v="2019-08-01T00:00:00"/>
    <n v="8"/>
    <x v="9"/>
    <n v="88226114.621299982"/>
    <n v="0.89999999999999991"/>
    <n v="103.30000000000003"/>
    <n v="160.18530422239229"/>
    <n v="31"/>
    <n v="0"/>
    <n v="0"/>
    <n v="0"/>
    <n v="0"/>
    <n v="116"/>
    <n v="85555904.804488406"/>
    <n v="2670209.8168115765"/>
  </r>
  <r>
    <d v="2019-09-01T00:00:00"/>
    <n v="9"/>
    <x v="9"/>
    <n v="76664331.356100008"/>
    <n v="38.400000000000006"/>
    <n v="25.400000000000002"/>
    <n v="160.41857732113922"/>
    <n v="30"/>
    <n v="0"/>
    <n v="0"/>
    <n v="0"/>
    <n v="0"/>
    <n v="117"/>
    <n v="74280470.134656981"/>
    <n v="2383861.2214430273"/>
  </r>
  <r>
    <d v="2019-10-01T00:00:00"/>
    <n v="10"/>
    <x v="9"/>
    <n v="75138464.501400009"/>
    <n v="236.5"/>
    <n v="5.0999999999999996"/>
    <n v="160.65219012856832"/>
    <n v="31"/>
    <n v="0"/>
    <n v="0"/>
    <n v="0"/>
    <n v="1"/>
    <n v="118"/>
    <n v="74709880.365121007"/>
    <n v="428584.13627900183"/>
  </r>
  <r>
    <d v="2019-11-01T00:00:00"/>
    <n v="11"/>
    <x v="9"/>
    <n v="79324528.1259"/>
    <n v="513.30000000000007"/>
    <n v="0"/>
    <n v="160.88614313938723"/>
    <n v="30"/>
    <n v="0"/>
    <n v="0"/>
    <n v="0"/>
    <n v="0"/>
    <n v="119"/>
    <n v="77754968.935154065"/>
    <n v="1569559.1907459348"/>
  </r>
  <r>
    <d v="2019-12-01T00:00:00"/>
    <n v="12"/>
    <x v="9"/>
    <n v="77448670.109640002"/>
    <n v="582.4"/>
    <n v="0"/>
    <n v="161.12043684902417"/>
    <n v="31"/>
    <n v="0"/>
    <n v="0"/>
    <n v="0"/>
    <n v="0"/>
    <n v="120"/>
    <n v="80818724.753354922"/>
    <n v="-3370054.6437149197"/>
  </r>
  <r>
    <d v="2020-01-01T00:00:00"/>
    <n v="1"/>
    <x v="10"/>
    <n v="81251440.013279989"/>
    <n v="605"/>
    <n v="0"/>
    <n v="160.36267106853012"/>
    <n v="31"/>
    <n v="0"/>
    <n v="0"/>
    <n v="0"/>
    <n v="0"/>
    <n v="121"/>
    <n v="80595720.978366539"/>
    <n v="655719.03491345048"/>
  </r>
  <r>
    <d v="2020-02-01T00:00:00"/>
    <n v="2"/>
    <x v="10"/>
    <n v="75883614.011019975"/>
    <n v="611.79999999999995"/>
    <n v="0"/>
    <n v="159.60846913747267"/>
    <n v="29"/>
    <n v="0"/>
    <n v="0"/>
    <n v="0"/>
    <n v="0"/>
    <n v="122"/>
    <n v="75916364.168950006"/>
    <n v="-32750.157930031419"/>
  </r>
  <r>
    <d v="2020-03-01T00:00:00"/>
    <n v="3"/>
    <x v="10"/>
    <n v="75425735.247120008"/>
    <n v="458.69999999999993"/>
    <n v="0"/>
    <n v="158.85781429470592"/>
    <n v="31"/>
    <n v="1"/>
    <n v="0"/>
    <n v="0"/>
    <n v="0"/>
    <n v="123"/>
    <n v="75684483.313991979"/>
    <n v="-258748.06687197089"/>
  </r>
  <r>
    <d v="2020-04-01T00:00:00"/>
    <n v="4"/>
    <x v="10"/>
    <n v="68179453.099079981"/>
    <n v="362.2999999999999"/>
    <n v="0"/>
    <n v="158.11068985791331"/>
    <n v="30"/>
    <n v="0"/>
    <n v="1"/>
    <n v="0"/>
    <n v="0"/>
    <n v="124"/>
    <n v="69264897.776125386"/>
    <n v="-1085444.6770454049"/>
  </r>
  <r>
    <d v="2020-05-01T00:00:00"/>
    <n v="5"/>
    <x v="10"/>
    <n v="72113730.421249986"/>
    <n v="208.09999999999997"/>
    <n v="24.2"/>
    <n v="157.36707922323697"/>
    <n v="31"/>
    <n v="0"/>
    <n v="0"/>
    <n v="1"/>
    <n v="0"/>
    <n v="125"/>
    <n v="72722578.03837128"/>
    <n v="-608847.61712129414"/>
  </r>
  <r>
    <d v="2020-06-01T00:00:00"/>
    <n v="6"/>
    <x v="10"/>
    <n v="86099647.89466998"/>
    <n v="23.799999999999997"/>
    <n v="97.700000000000017"/>
    <n v="156.62696586490861"/>
    <n v="30"/>
    <n v="0"/>
    <n v="0"/>
    <n v="0"/>
    <n v="0"/>
    <n v="126"/>
    <n v="79745453.048620269"/>
    <n v="6354194.8460497111"/>
  </r>
  <r>
    <d v="2020-07-01T00:00:00"/>
    <n v="7"/>
    <x v="10"/>
    <n v="103947133.04603"/>
    <n v="0"/>
    <n v="215.7"/>
    <n v="155.89033333488234"/>
    <n v="31"/>
    <n v="0"/>
    <n v="0"/>
    <n v="0"/>
    <n v="0"/>
    <n v="127"/>
    <n v="95629383.497096464"/>
    <n v="8317749.5489335358"/>
  </r>
  <r>
    <d v="2020-08-01T00:00:00"/>
    <n v="8"/>
    <x v="10"/>
    <n v="92534942.41407001"/>
    <n v="0.8"/>
    <n v="126.69999999999999"/>
    <n v="155.15716526246908"/>
    <n v="31"/>
    <n v="0"/>
    <n v="0"/>
    <n v="0"/>
    <n v="0"/>
    <n v="128"/>
    <n v="84078130.662710086"/>
    <n v="8456811.7513599247"/>
  </r>
  <r>
    <d v="2020-09-01T00:00:00"/>
    <n v="9"/>
    <x v="10"/>
    <n v="76554649.522059992"/>
    <n v="69.100000000000009"/>
    <n v="33.300000000000004"/>
    <n v="154.42744535397276"/>
    <n v="30"/>
    <n v="0"/>
    <n v="0"/>
    <n v="0"/>
    <n v="0"/>
    <n v="129"/>
    <n v="70813896.70416218"/>
    <n v="5740752.8178978115"/>
  </r>
  <r>
    <d v="2020-10-01T00:00:00"/>
    <n v="10"/>
    <x v="10"/>
    <n v="74574750.82904999"/>
    <n v="270.3"/>
    <n v="0"/>
    <n v="153.70115739232821"/>
    <n v="31"/>
    <n v="0"/>
    <n v="0"/>
    <n v="0"/>
    <n v="1"/>
    <n v="130"/>
    <n v="69176708.287099823"/>
    <n v="5398042.5419501662"/>
  </r>
  <r>
    <d v="2020-11-01T00:00:00"/>
    <n v="11"/>
    <x v="10"/>
    <n v="75524140.206439972"/>
    <n v="334.79999999999995"/>
    <n v="0"/>
    <n v="152.97828523674082"/>
    <n v="30"/>
    <n v="0"/>
    <n v="0"/>
    <n v="0"/>
    <n v="0"/>
    <n v="131"/>
    <n v="69373136.75064531"/>
    <n v="6151003.4557946622"/>
  </r>
  <r>
    <d v="2020-12-01T00:00:00"/>
    <n v="12"/>
    <x v="10"/>
    <n v="78942466.150570005"/>
    <n v="567.29999999999995"/>
    <n v="0"/>
    <n v="152.25881282232783"/>
    <n v="31"/>
    <n v="0"/>
    <n v="0"/>
    <n v="0"/>
    <n v="0"/>
    <n v="132"/>
    <n v="74238530.618933901"/>
    <n v="4703935.531636104"/>
  </r>
  <r>
    <d v="2021-01-01T00:00:00"/>
    <n v="1"/>
    <x v="11"/>
    <m/>
    <n v="700.99"/>
    <n v="0"/>
    <n v="152.76950332981193"/>
    <n v="31"/>
    <n v="0"/>
    <n v="0"/>
    <n v="0"/>
    <n v="0"/>
    <n v="133"/>
    <n v="76235645.890674457"/>
    <n v="-76235645.890674457"/>
  </r>
  <r>
    <d v="2021-02-01T00:00:00"/>
    <n v="2"/>
    <x v="11"/>
    <m/>
    <n v="629.89"/>
    <n v="0"/>
    <n v="153.28190674172239"/>
    <n v="28"/>
    <n v="0"/>
    <n v="0"/>
    <n v="0"/>
    <n v="0"/>
    <n v="134"/>
    <n v="69000852.896013424"/>
    <n v="-69000852.896013424"/>
  </r>
  <r>
    <d v="2021-03-01T00:00:00"/>
    <n v="3"/>
    <x v="11"/>
    <m/>
    <n v="543.98"/>
    <n v="0.02"/>
    <n v="153.79602880330322"/>
    <n v="31"/>
    <n v="1"/>
    <n v="0"/>
    <n v="0"/>
    <n v="0"/>
    <n v="135"/>
    <n v="72490635.157562181"/>
    <n v="-72490635.157562181"/>
  </r>
  <r>
    <d v="2021-04-01T00:00:00"/>
    <n v="4"/>
    <x v="11"/>
    <m/>
    <n v="348.17999999999995"/>
    <n v="0"/>
    <n v="154.31187527906849"/>
    <n v="30"/>
    <n v="0"/>
    <n v="1"/>
    <n v="0"/>
    <n v="0"/>
    <n v="136"/>
    <n v="65327087.195326343"/>
    <n v="-65327087.195326343"/>
  </r>
  <r>
    <d v="2021-05-01T00:00:00"/>
    <n v="5"/>
    <x v="11"/>
    <m/>
    <n v="132.97999999999996"/>
    <n v="23.23"/>
    <n v="154.829451952867"/>
    <n v="31"/>
    <n v="0"/>
    <n v="0"/>
    <n v="1"/>
    <n v="0"/>
    <n v="137"/>
    <n v="68461863.855378732"/>
    <n v="-68461863.855378732"/>
  </r>
  <r>
    <d v="2021-06-01T00:00:00"/>
    <n v="6"/>
    <x v="11"/>
    <m/>
    <n v="24.6"/>
    <n v="66.52000000000001"/>
    <n v="155.34876462794719"/>
    <n v="30"/>
    <n v="0"/>
    <n v="0"/>
    <n v="0"/>
    <n v="0"/>
    <n v="138"/>
    <n v="73460241.283324778"/>
    <n v="-73460241.283324778"/>
  </r>
  <r>
    <d v="2021-07-01T00:00:00"/>
    <n v="7"/>
    <x v="11"/>
    <m/>
    <n v="1.1099999999999999"/>
    <n v="153.85"/>
    <n v="155.86981912702208"/>
    <n v="31"/>
    <n v="0"/>
    <n v="0"/>
    <n v="0"/>
    <n v="0"/>
    <n v="139"/>
    <n v="86198926.19560872"/>
    <n v="-86198926.19560872"/>
  </r>
  <r>
    <d v="2021-08-01T00:00:00"/>
    <n v="8"/>
    <x v="11"/>
    <m/>
    <n v="3.54"/>
    <n v="116.15"/>
    <n v="156.39262129233467"/>
    <n v="31"/>
    <n v="0"/>
    <n v="0"/>
    <n v="0"/>
    <n v="0"/>
    <n v="140"/>
    <n v="81683070.921624914"/>
    <n v="-81683070.921624914"/>
  </r>
  <r>
    <d v="2021-09-01T00:00:00"/>
    <n v="9"/>
    <x v="11"/>
    <m/>
    <n v="54.989999999999995"/>
    <n v="49.14"/>
    <n v="156.91717698572333"/>
    <n v="30"/>
    <n v="0"/>
    <n v="0"/>
    <n v="0"/>
    <n v="0"/>
    <n v="141"/>
    <n v="72105145.552491501"/>
    <n v="-72105145.552491501"/>
  </r>
  <r>
    <d v="2021-10-01T00:00:00"/>
    <n v="10"/>
    <x v="11"/>
    <m/>
    <n v="227.63000000000002"/>
    <n v="3.0699999999999994"/>
    <n v="157.44349208868769"/>
    <n v="31"/>
    <n v="0"/>
    <n v="0"/>
    <n v="0"/>
    <n v="1"/>
    <n v="142"/>
    <n v="69133576.788217604"/>
    <n v="-69133576.788217604"/>
  </r>
  <r>
    <d v="2021-11-01T00:00:00"/>
    <n v="11"/>
    <x v="11"/>
    <m/>
    <n v="424.61"/>
    <n v="0"/>
    <n v="157.97157250245439"/>
    <n v="30"/>
    <n v="0"/>
    <n v="0"/>
    <n v="0"/>
    <n v="0"/>
    <n v="143"/>
    <n v="71461073.716598377"/>
    <n v="-71461073.716598377"/>
  </r>
  <r>
    <d v="2021-12-01T00:00:00"/>
    <n v="12"/>
    <x v="11"/>
    <m/>
    <n v="589.11"/>
    <n v="0"/>
    <n v="158.50142414804324"/>
    <n v="31"/>
    <n v="0"/>
    <n v="0"/>
    <n v="0"/>
    <n v="0"/>
    <n v="144"/>
    <n v="76019273.668110594"/>
    <n v="-76019273.668110594"/>
  </r>
  <r>
    <d v="2022-01-01T00:00:00"/>
    <n v="1"/>
    <x v="12"/>
    <m/>
    <n v="700.99"/>
    <n v="0"/>
    <n v="159.09656722616333"/>
    <n v="31"/>
    <n v="0"/>
    <n v="0"/>
    <n v="0"/>
    <n v="0"/>
    <n v="145"/>
    <n v="77753664.294159576"/>
    <n v="-77753664.294159576"/>
  </r>
  <r>
    <d v="2022-02-01T00:00:00"/>
    <n v="2"/>
    <x v="12"/>
    <m/>
    <n v="629.89"/>
    <n v="0"/>
    <n v="159.69394495476266"/>
    <n v="28"/>
    <n v="0"/>
    <n v="0"/>
    <n v="0"/>
    <n v="0"/>
    <n v="146"/>
    <n v="70562989.922984555"/>
    <n v="-70562989.922984555"/>
  </r>
  <r>
    <d v="2022-03-01T00:00:00"/>
    <n v="3"/>
    <x v="12"/>
    <m/>
    <n v="543.98"/>
    <n v="0.02"/>
    <n v="160.29356572453409"/>
    <n v="31"/>
    <n v="1"/>
    <n v="0"/>
    <n v="0"/>
    <n v="0"/>
    <n v="147"/>
    <n v="74097163.071829483"/>
    <n v="-74097163.071829483"/>
  </r>
  <r>
    <d v="2022-04-01T00:00:00"/>
    <n v="4"/>
    <x v="12"/>
    <m/>
    <n v="348.17999999999995"/>
    <n v="0"/>
    <n v="160.89543795767591"/>
    <n v="30"/>
    <n v="0"/>
    <n v="1"/>
    <n v="0"/>
    <n v="0"/>
    <n v="148"/>
    <n v="66978279.640568212"/>
    <n v="-66978279.640568212"/>
  </r>
  <r>
    <d v="2022-05-01T00:00:00"/>
    <n v="5"/>
    <x v="12"/>
    <m/>
    <n v="132.97999999999996"/>
    <n v="23.23"/>
    <n v="161.49957010801023"/>
    <n v="31"/>
    <n v="0"/>
    <n v="0"/>
    <n v="1"/>
    <n v="0"/>
    <n v="149"/>
    <n v="70157995.861522466"/>
    <n v="-70157995.861522466"/>
  </r>
  <r>
    <d v="2022-06-01T00:00:00"/>
    <n v="6"/>
    <x v="12"/>
    <m/>
    <n v="24.6"/>
    <n v="66.52000000000001"/>
    <n v="162.10597066110165"/>
    <n v="30"/>
    <n v="0"/>
    <n v="0"/>
    <n v="0"/>
    <n v="0"/>
    <n v="150"/>
    <n v="75201589.272954956"/>
    <n v="-75201589.272954956"/>
  </r>
  <r>
    <d v="2022-07-01T00:00:00"/>
    <n v="7"/>
    <x v="12"/>
    <m/>
    <n v="1.1099999999999999"/>
    <n v="153.85"/>
    <n v="162.71464813437649"/>
    <n v="31"/>
    <n v="0"/>
    <n v="0"/>
    <n v="0"/>
    <n v="0"/>
    <n v="151"/>
    <n v="87985767.990403667"/>
    <n v="-87985767.990403667"/>
  </r>
  <r>
    <d v="2022-08-01T00:00:00"/>
    <n v="8"/>
    <x v="12"/>
    <m/>
    <n v="3.54"/>
    <n v="116.15"/>
    <n v="163.32561107724234"/>
    <n v="31"/>
    <n v="0"/>
    <n v="0"/>
    <n v="0"/>
    <n v="0"/>
    <n v="152"/>
    <n v="83515685.748821482"/>
    <n v="-83515685.748821482"/>
  </r>
  <r>
    <d v="2022-09-01T00:00:00"/>
    <n v="9"/>
    <x v="12"/>
    <m/>
    <n v="54.989999999999995"/>
    <n v="49.14"/>
    <n v="163.9388680712083"/>
    <n v="30"/>
    <n v="0"/>
    <n v="0"/>
    <n v="0"/>
    <n v="0"/>
    <n v="153"/>
    <n v="73983814.05137834"/>
    <n v="-73983814.05137834"/>
  </r>
  <r>
    <d v="2022-10-01T00:00:00"/>
    <n v="10"/>
    <x v="12"/>
    <m/>
    <n v="227.63000000000002"/>
    <n v="3.0699999999999994"/>
    <n v="164.55442773000539"/>
    <n v="31"/>
    <n v="0"/>
    <n v="0"/>
    <n v="0"/>
    <n v="1"/>
    <n v="154"/>
    <n v="71058581.016656414"/>
    <n v="-71058581.016656414"/>
  </r>
  <r>
    <d v="2022-11-01T00:00:00"/>
    <n v="11"/>
    <x v="12"/>
    <m/>
    <n v="424.61"/>
    <n v="0"/>
    <n v="165.17229869970754"/>
    <n v="30"/>
    <n v="0"/>
    <n v="0"/>
    <n v="0"/>
    <n v="0"/>
    <n v="155"/>
    <n v="73432697.157574326"/>
    <n v="-73432697.157574326"/>
  </r>
  <r>
    <d v="2022-12-01T00:00:00"/>
    <n v="12"/>
    <x v="12"/>
    <m/>
    <n v="589.11"/>
    <n v="0"/>
    <n v="165.79248965885324"/>
    <n v="31"/>
    <n v="0"/>
    <n v="0"/>
    <n v="0"/>
    <n v="0"/>
    <n v="156"/>
    <n v="78037801.236311182"/>
    <n v="-78037801.236311182"/>
  </r>
</pivotCacheRecords>
</file>

<file path=xl/pivotCache/pivotCacheRecords3.xml><?xml version="1.0" encoding="utf-8"?>
<pivotCacheRecords xmlns="http://schemas.openxmlformats.org/spreadsheetml/2006/main" xmlns:r="http://schemas.openxmlformats.org/officeDocument/2006/relationships" count="156">
  <r>
    <d v="2010-01-01T00:00:00"/>
    <n v="1"/>
    <x v="0"/>
    <n v="85740317.673846155"/>
    <n v="720"/>
    <n v="0"/>
    <n v="128.72733605771626"/>
    <n v="31"/>
    <n v="0"/>
    <n v="0"/>
    <n v="0"/>
    <n v="0"/>
    <n v="1"/>
    <n v="83457069.317182913"/>
    <n v="2283248.356663242"/>
  </r>
  <r>
    <d v="2010-02-01T00:00:00"/>
    <n v="2"/>
    <x v="0"/>
    <n v="76200452.517692298"/>
    <n v="598.29999999999995"/>
    <n v="0"/>
    <n v="129.07908855613877"/>
    <n v="28"/>
    <n v="0"/>
    <n v="0"/>
    <n v="0"/>
    <n v="0"/>
    <n v="2"/>
    <n v="75427607.282936379"/>
    <n v="772845.23475591838"/>
  </r>
  <r>
    <d v="2010-03-01T00:00:00"/>
    <n v="3"/>
    <x v="0"/>
    <n v="78025070.524615392"/>
    <n v="422.8"/>
    <n v="0"/>
    <n v="129.43180223206977"/>
    <n v="31"/>
    <n v="1"/>
    <n v="0"/>
    <n v="0"/>
    <n v="0"/>
    <n v="3"/>
    <n v="77571784.404356405"/>
    <n v="453286.12025898695"/>
  </r>
  <r>
    <d v="2010-04-01T00:00:00"/>
    <n v="4"/>
    <x v="0"/>
    <n v="69790833.687692314"/>
    <n v="225.1"/>
    <n v="0"/>
    <n v="129.78547971196454"/>
    <n v="30"/>
    <n v="0"/>
    <n v="1"/>
    <n v="0"/>
    <n v="0"/>
    <n v="4"/>
    <n v="70299810.701978222"/>
    <n v="-508977.01428590715"/>
  </r>
  <r>
    <d v="2010-05-01T00:00:00"/>
    <n v="5"/>
    <x v="0"/>
    <n v="76066069.509230763"/>
    <n v="107.9"/>
    <n v="45.7"/>
    <n v="130.14012362945522"/>
    <n v="31"/>
    <n v="0"/>
    <n v="0"/>
    <n v="1"/>
    <n v="0"/>
    <n v="5"/>
    <n v="77513453.868146166"/>
    <n v="-1447384.3589154035"/>
  </r>
  <r>
    <d v="2010-06-01T00:00:00"/>
    <n v="6"/>
    <x v="0"/>
    <n v="79225717.646153852"/>
    <n v="21.7"/>
    <n v="58.7"/>
    <n v="130.49573662537048"/>
    <n v="30"/>
    <n v="0"/>
    <n v="0"/>
    <n v="0"/>
    <n v="0"/>
    <n v="6"/>
    <n v="78983132.221128926"/>
    <n v="242585.42502492666"/>
  </r>
  <r>
    <d v="2010-07-01T00:00:00"/>
    <n v="7"/>
    <x v="0"/>
    <n v="89977040.172307685"/>
    <n v="1.8"/>
    <n v="164.9"/>
    <n v="130.85232134775515"/>
    <n v="31"/>
    <n v="0"/>
    <n v="0"/>
    <n v="0"/>
    <n v="0"/>
    <n v="7"/>
    <n v="94026468.061231479"/>
    <n v="-4049427.888923794"/>
  </r>
  <r>
    <d v="2010-08-01T00:00:00"/>
    <n v="8"/>
    <x v="0"/>
    <n v="88856918.292384624"/>
    <n v="2.1"/>
    <n v="138.80000000000001"/>
    <n v="131.20988045188997"/>
    <n v="31"/>
    <n v="0"/>
    <n v="0"/>
    <n v="0"/>
    <n v="0"/>
    <n v="8"/>
    <n v="90833094.326353624"/>
    <n v="-1976176.033969"/>
  </r>
  <r>
    <d v="2010-09-01T00:00:00"/>
    <n v="9"/>
    <x v="0"/>
    <n v="74349622.304615363"/>
    <n v="78.099999999999994"/>
    <n v="31.5"/>
    <n v="131.56841660031131"/>
    <n v="30"/>
    <n v="0"/>
    <n v="0"/>
    <n v="0"/>
    <n v="0"/>
    <n v="9"/>
    <n v="76518737.937287435"/>
    <n v="-2169115.6326720715"/>
  </r>
  <r>
    <d v="2010-10-01T00:00:00"/>
    <n v="10"/>
    <x v="0"/>
    <n v="73264038.258461535"/>
    <n v="241.6"/>
    <n v="0"/>
    <n v="131.92793246283102"/>
    <n v="31"/>
    <n v="0"/>
    <n v="0"/>
    <n v="0"/>
    <n v="1"/>
    <n v="10"/>
    <n v="75138539.535585403"/>
    <n v="-1874501.2771238685"/>
  </r>
  <r>
    <d v="2010-11-01T00:00:00"/>
    <n v="11"/>
    <x v="0"/>
    <n v="76397905.17076923"/>
    <n v="405.3"/>
    <n v="0"/>
    <n v="132.28843071655632"/>
    <n v="30"/>
    <n v="0"/>
    <n v="0"/>
    <n v="0"/>
    <n v="0"/>
    <n v="11"/>
    <n v="77291858.701484844"/>
    <n v="-893953.53071561456"/>
  </r>
  <r>
    <d v="2010-12-01T00:00:00"/>
    <n v="12"/>
    <x v="0"/>
    <n v="82865126.892307699"/>
    <n v="676.2"/>
    <n v="0"/>
    <n v="132.64991404590961"/>
    <n v="31"/>
    <n v="0"/>
    <n v="0"/>
    <n v="0"/>
    <n v="0"/>
    <n v="12"/>
    <n v="83258254.061488017"/>
    <n v="-393127.16918031871"/>
  </r>
  <r>
    <d v="2011-01-01T00:00:00"/>
    <n v="1"/>
    <x v="1"/>
    <n v="86054286.131538451"/>
    <n v="775.3"/>
    <n v="0"/>
    <n v="132.81780450021679"/>
    <n v="31"/>
    <n v="0"/>
    <n v="0"/>
    <n v="0"/>
    <n v="0"/>
    <n v="13"/>
    <n v="84591173.198384956"/>
    <n v="1463112.9331534952"/>
  </r>
  <r>
    <d v="2011-02-01T00:00:00"/>
    <n v="2"/>
    <x v="1"/>
    <n v="76331649.843846157"/>
    <n v="654.20000000000005"/>
    <n v="0"/>
    <n v="132.98590744772346"/>
    <n v="28"/>
    <n v="0"/>
    <n v="0"/>
    <n v="0"/>
    <n v="0"/>
    <n v="14"/>
    <n v="76474794.3106433"/>
    <n v="-143144.46679714322"/>
  </r>
  <r>
    <d v="2011-03-01T00:00:00"/>
    <n v="3"/>
    <x v="1"/>
    <n v="80293454.303076923"/>
    <n v="572.79999999999995"/>
    <n v="0"/>
    <n v="133.15422315737499"/>
    <n v="31"/>
    <n v="1"/>
    <n v="0"/>
    <n v="0"/>
    <n v="0"/>
    <n v="15"/>
    <n v="79845949.239899382"/>
    <n v="447505.0631775409"/>
  </r>
  <r>
    <d v="2011-04-01T00:00:00"/>
    <n v="4"/>
    <x v="1"/>
    <n v="71266777.976153851"/>
    <n v="332.3"/>
    <n v="0"/>
    <n v="133.32275189845711"/>
    <n v="30"/>
    <n v="0"/>
    <n v="1"/>
    <n v="0"/>
    <n v="0"/>
    <n v="16"/>
    <n v="71876227.97978878"/>
    <n v="-609450.00363492966"/>
  </r>
  <r>
    <d v="2011-05-01T00:00:00"/>
    <n v="5"/>
    <x v="1"/>
    <n v="72652305.789999992"/>
    <n v="134.1"/>
    <n v="13"/>
    <n v="133.49149394059646"/>
    <n v="31"/>
    <n v="0"/>
    <n v="0"/>
    <n v="1"/>
    <n v="0"/>
    <n v="17"/>
    <n v="73800492.718086153"/>
    <n v="-1148186.9280861616"/>
  </r>
  <r>
    <d v="2011-06-01T00:00:00"/>
    <n v="6"/>
    <x v="1"/>
    <n v="76886231.902307689"/>
    <n v="19"/>
    <n v="52.2"/>
    <n v="133.66044955376086"/>
    <n v="30"/>
    <n v="0"/>
    <n v="0"/>
    <n v="0"/>
    <n v="0"/>
    <n v="18"/>
    <n v="78015410.088323191"/>
    <n v="-1129178.1860155016"/>
  </r>
  <r>
    <d v="2011-07-01T00:00:00"/>
    <n v="7"/>
    <x v="1"/>
    <n v="93432707.71615386"/>
    <n v="0"/>
    <n v="198.5"/>
    <n v="133.82961900825984"/>
    <n v="31"/>
    <n v="0"/>
    <n v="0"/>
    <n v="0"/>
    <n v="0"/>
    <n v="19"/>
    <n v="97945854.838626042"/>
    <n v="-4513147.1224721819"/>
  </r>
  <r>
    <d v="2011-08-01T00:00:00"/>
    <n v="8"/>
    <x v="1"/>
    <n v="86792642.630769238"/>
    <n v="0"/>
    <n v="122.2"/>
    <n v="133.99900257474505"/>
    <n v="31"/>
    <n v="0"/>
    <n v="0"/>
    <n v="0"/>
    <n v="0"/>
    <n v="20"/>
    <n v="88426559.731883541"/>
    <n v="-1633917.1011143029"/>
  </r>
  <r>
    <d v="2011-09-01T00:00:00"/>
    <n v="9"/>
    <x v="1"/>
    <n v="75561450.664615378"/>
    <n v="48.2"/>
    <n v="39.700000000000003"/>
    <n v="134.16860052421072"/>
    <n v="30"/>
    <n v="0"/>
    <n v="0"/>
    <n v="0"/>
    <n v="0"/>
    <n v="21"/>
    <n v="76698142.52267994"/>
    <n v="-1136691.8580645621"/>
  </r>
  <r>
    <d v="2011-10-01T00:00:00"/>
    <n v="10"/>
    <x v="1"/>
    <n v="73210551.581538469"/>
    <n v="235.5"/>
    <n v="2.4"/>
    <n v="134.33841312799402"/>
    <n v="31"/>
    <n v="0"/>
    <n v="0"/>
    <n v="0"/>
    <n v="1"/>
    <n v="22"/>
    <n v="74834887.100784674"/>
    <n v="-1624335.5192462057"/>
  </r>
  <r>
    <d v="2011-11-01T00:00:00"/>
    <n v="11"/>
    <x v="1"/>
    <n v="74362594.600769222"/>
    <n v="342.1"/>
    <n v="0"/>
    <n v="134.50844065777559"/>
    <n v="30"/>
    <n v="0"/>
    <n v="0"/>
    <n v="0"/>
    <n v="0"/>
    <n v="23"/>
    <n v="75789125.578818455"/>
    <n v="-1426530.9780492336"/>
  </r>
  <r>
    <d v="2011-12-01T00:00:00"/>
    <n v="12"/>
    <x v="1"/>
    <n v="78058078.98307693"/>
    <n v="534"/>
    <n v="0"/>
    <n v="134.67868338557994"/>
    <n v="31"/>
    <n v="0"/>
    <n v="0"/>
    <n v="0"/>
    <n v="0"/>
    <n v="24"/>
    <n v="80545764.999926671"/>
    <n v="-2487686.0168497413"/>
  </r>
  <r>
    <d v="2012-01-01T00:00:00"/>
    <n v="1"/>
    <x v="2"/>
    <n v="83475292.246923089"/>
    <n v="610.80000000000007"/>
    <n v="0"/>
    <n v="134.80289547341587"/>
    <n v="31"/>
    <n v="0"/>
    <n v="0"/>
    <n v="0"/>
    <n v="0"/>
    <n v="25"/>
    <n v="81542546.283964381"/>
    <n v="1932745.9629587084"/>
  </r>
  <r>
    <d v="2012-02-01T00:00:00"/>
    <n v="2"/>
    <x v="2"/>
    <n v="76561559.599230751"/>
    <n v="532"/>
    <n v="0"/>
    <n v="134.92722212015877"/>
    <n v="29"/>
    <n v="0"/>
    <n v="0"/>
    <n v="0"/>
    <n v="0"/>
    <n v="26"/>
    <n v="76116084.233644649"/>
    <n v="445475.36558610201"/>
  </r>
  <r>
    <d v="2012-03-01T00:00:00"/>
    <n v="3"/>
    <x v="2"/>
    <n v="76020277.875384629"/>
    <n v="349.40000000000009"/>
    <n v="0.2"/>
    <n v="135.05166343146462"/>
    <n v="31"/>
    <n v="1"/>
    <n v="0"/>
    <n v="0"/>
    <n v="0"/>
    <n v="27"/>
    <n v="75948682.795785144"/>
    <n v="71595.079599484801"/>
  </r>
  <r>
    <d v="2012-04-01T00:00:00"/>
    <n v="4"/>
    <x v="2"/>
    <n v="69885111.659999996"/>
    <n v="321.70000000000005"/>
    <n v="0"/>
    <n v="135.17621951308675"/>
    <n v="30"/>
    <n v="0"/>
    <n v="1"/>
    <n v="0"/>
    <n v="0"/>
    <n v="28"/>
    <n v="70922558.435856849"/>
    <n v="-1037446.7758568525"/>
  </r>
  <r>
    <d v="2012-05-01T00:00:00"/>
    <n v="5"/>
    <x v="2"/>
    <n v="77152267.277272731"/>
    <n v="81.300000000000011"/>
    <n v="36.700000000000003"/>
    <n v="135.30089047087608"/>
    <n v="31"/>
    <n v="0"/>
    <n v="0"/>
    <n v="1"/>
    <n v="0"/>
    <n v="29"/>
    <n v="75169181.060763493"/>
    <n v="1983086.2165092379"/>
  </r>
  <r>
    <d v="2012-06-01T00:00:00"/>
    <n v="6"/>
    <x v="2"/>
    <n v="83683996.899090916"/>
    <n v="23.2"/>
    <n v="101.60000000000001"/>
    <n v="135.42567641078114"/>
    <n v="30"/>
    <n v="0"/>
    <n v="0"/>
    <n v="0"/>
    <n v="0"/>
    <n v="30"/>
    <n v="83348778.726111874"/>
    <n v="335218.17297904193"/>
  </r>
  <r>
    <d v="2012-07-01T00:00:00"/>
    <n v="7"/>
    <x v="2"/>
    <n v="97430291.178181812"/>
    <n v="0"/>
    <n v="190.09999999999997"/>
    <n v="135.55057743884817"/>
    <n v="31"/>
    <n v="0"/>
    <n v="0"/>
    <n v="0"/>
    <n v="0"/>
    <n v="31"/>
    <n v="96030918.779882506"/>
    <n v="1399372.3982993066"/>
  </r>
  <r>
    <d v="2012-08-01T00:00:00"/>
    <n v="8"/>
    <x v="2"/>
    <n v="90717698.745454535"/>
    <n v="2"/>
    <n v="112.10000000000001"/>
    <n v="135.67559366122123"/>
    <n v="31"/>
    <n v="0"/>
    <n v="0"/>
    <n v="0"/>
    <n v="0"/>
    <n v="32"/>
    <n v="86305928.144156024"/>
    <n v="4411770.601298511"/>
  </r>
  <r>
    <d v="2012-09-01T00:00:00"/>
    <n v="9"/>
    <x v="2"/>
    <n v="77862574.99090907"/>
    <n v="85"/>
    <n v="35.6"/>
    <n v="135.80072518414227"/>
    <n v="30"/>
    <n v="0"/>
    <n v="0"/>
    <n v="0"/>
    <n v="0"/>
    <n v="33"/>
    <n v="75787495.203339711"/>
    <n v="2075079.7875693589"/>
  </r>
  <r>
    <d v="2012-10-01T00:00:00"/>
    <n v="10"/>
    <x v="2"/>
    <n v="75966062.297272757"/>
    <n v="242.50000000000003"/>
    <n v="1.1000000000000001"/>
    <n v="135.92597211395122"/>
    <n v="31"/>
    <n v="0"/>
    <n v="0"/>
    <n v="0"/>
    <n v="1"/>
    <n v="34"/>
    <n v="73829373.038768142"/>
    <n v="2136689.2585046142"/>
  </r>
  <r>
    <d v="2012-11-01T00:00:00"/>
    <n v="11"/>
    <x v="2"/>
    <n v="77579680.941818193"/>
    <n v="433.99999999999994"/>
    <n v="0"/>
    <n v="136.05133455708605"/>
    <n v="30"/>
    <n v="0"/>
    <n v="0"/>
    <n v="0"/>
    <n v="0"/>
    <n v="35"/>
    <n v="76114998.099659368"/>
    <n v="1464682.8421588242"/>
  </r>
  <r>
    <d v="2012-12-01T00:00:00"/>
    <n v="12"/>
    <x v="2"/>
    <n v="78044416.993636355"/>
    <n v="533.50000000000011"/>
    <n v="0"/>
    <n v="136.17681262008293"/>
    <n v="31"/>
    <n v="0"/>
    <n v="0"/>
    <n v="0"/>
    <n v="0"/>
    <n v="36"/>
    <n v="79549574.646311119"/>
    <n v="-1505157.6526747644"/>
  </r>
  <r>
    <d v="2013-01-01T00:00:00"/>
    <n v="1"/>
    <x v="3"/>
    <n v="84721792.143333375"/>
    <n v="624.40000000000009"/>
    <n v="0"/>
    <n v="136.33254285243484"/>
    <n v="31"/>
    <n v="0"/>
    <n v="0"/>
    <n v="0"/>
    <n v="0"/>
    <n v="37"/>
    <n v="80760916.859124705"/>
    <n v="3960875.2842086703"/>
  </r>
  <r>
    <d v="2013-02-01T00:00:00"/>
    <n v="2"/>
    <x v="3"/>
    <n v="76515852.360000014"/>
    <n v="631.49999999999989"/>
    <n v="0"/>
    <n v="136.4884511760844"/>
    <n v="28"/>
    <n v="0"/>
    <n v="0"/>
    <n v="0"/>
    <n v="0"/>
    <n v="38"/>
    <n v="74440250.498076394"/>
    <n v="2075601.8619236201"/>
  </r>
  <r>
    <d v="2013-03-01T00:00:00"/>
    <n v="3"/>
    <x v="3"/>
    <n v="80320040.103333354"/>
    <n v="554.79999999999995"/>
    <n v="0"/>
    <n v="136.64453779469474"/>
    <n v="31"/>
    <n v="1"/>
    <n v="0"/>
    <n v="0"/>
    <n v="0"/>
    <n v="39"/>
    <n v="77871121.663812295"/>
    <n v="2448918.4395210594"/>
  </r>
  <r>
    <d v="2013-04-01T00:00:00"/>
    <n v="4"/>
    <x v="3"/>
    <n v="73854214.826666668"/>
    <n v="358.6"/>
    <n v="0"/>
    <n v="136.80080291216194"/>
    <n v="30"/>
    <n v="0"/>
    <n v="1"/>
    <n v="0"/>
    <n v="0"/>
    <n v="40"/>
    <n v="70517736.317661837"/>
    <n v="3336478.5090048313"/>
  </r>
  <r>
    <d v="2013-05-01T00:00:00"/>
    <n v="5"/>
    <x v="3"/>
    <n v="75766818.393333361"/>
    <n v="109.10000000000001"/>
    <n v="23.1"/>
    <n v="136.95724673261523"/>
    <n v="31"/>
    <n v="0"/>
    <n v="0"/>
    <n v="1"/>
    <n v="0"/>
    <n v="41"/>
    <n v="72966756.910483301"/>
    <n v="2800061.4828500599"/>
  </r>
  <r>
    <d v="2013-06-01T00:00:00"/>
    <n v="6"/>
    <x v="3"/>
    <n v="79605453.473333344"/>
    <n v="33"/>
    <n v="59.599999999999994"/>
    <n v="137.11386946041728"/>
    <n v="30"/>
    <n v="0"/>
    <n v="0"/>
    <n v="0"/>
    <n v="0"/>
    <n v="42"/>
    <n v="77388717.58126767"/>
    <n v="2216735.8920656741"/>
  </r>
  <r>
    <d v="2013-07-01T00:00:00"/>
    <n v="7"/>
    <x v="3"/>
    <n v="91347063.430000022"/>
    <n v="1.2999999999999998"/>
    <n v="120.80000000000003"/>
    <n v="137.27067130016448"/>
    <n v="31"/>
    <n v="0"/>
    <n v="0"/>
    <n v="0"/>
    <n v="0"/>
    <n v="43"/>
    <n v="86583173.234003916"/>
    <n v="4763890.1959961057"/>
  </r>
  <r>
    <d v="2013-08-01T00:00:00"/>
    <n v="8"/>
    <x v="3"/>
    <n v="86194913.580000013"/>
    <n v="4.4000000000000004"/>
    <n v="93.799999999999983"/>
    <n v="137.42765245668718"/>
    <n v="31"/>
    <n v="0"/>
    <n v="0"/>
    <n v="0"/>
    <n v="0"/>
    <n v="44"/>
    <n v="83213432.016844526"/>
    <n v="2981481.5631554872"/>
  </r>
  <r>
    <d v="2013-09-01T00:00:00"/>
    <n v="9"/>
    <x v="3"/>
    <n v="77473370.183333322"/>
    <n v="82.999999999999986"/>
    <n v="28.099999999999998"/>
    <n v="137.58481313504998"/>
    <n v="30"/>
    <n v="0"/>
    <n v="0"/>
    <n v="0"/>
    <n v="0"/>
    <n v="45"/>
    <n v="73988808.675118357"/>
    <n v="3484561.5082149655"/>
  </r>
  <r>
    <d v="2013-10-01T00:00:00"/>
    <n v="10"/>
    <x v="3"/>
    <n v="76800878.560000002"/>
    <n v="208.5"/>
    <n v="0.4"/>
    <n v="137.74215354055198"/>
    <n v="31"/>
    <n v="0"/>
    <n v="0"/>
    <n v="0"/>
    <n v="1"/>
    <n v="46"/>
    <n v="72440633.404899582"/>
    <n v="4360245.1551004201"/>
  </r>
  <r>
    <d v="2013-11-01T00:00:00"/>
    <n v="11"/>
    <x v="3"/>
    <n v="77253769.396666661"/>
    <n v="478.20000000000005"/>
    <n v="0"/>
    <n v="137.89967387872707"/>
    <n v="30"/>
    <n v="0"/>
    <n v="0"/>
    <n v="0"/>
    <n v="0"/>
    <n v="47"/>
    <n v="75928962.434670761"/>
    <n v="1324806.9619958997"/>
  </r>
  <r>
    <d v="2013-12-01T00:00:00"/>
    <n v="12"/>
    <x v="3"/>
    <n v="81481312.549999997"/>
    <n v="687.9"/>
    <n v="0"/>
    <n v="138.05737435534434"/>
    <n v="31"/>
    <n v="0"/>
    <n v="0"/>
    <n v="0"/>
    <n v="0"/>
    <n v="48"/>
    <n v="80929295.718067899"/>
    <n v="552016.83193209767"/>
  </r>
  <r>
    <d v="2014-01-01T00:00:00"/>
    <n v="1"/>
    <x v="4"/>
    <n v="87110628.419999987"/>
    <n v="825.90000000000009"/>
    <n v="0"/>
    <n v="138.29854859030914"/>
    <n v="31"/>
    <n v="0"/>
    <n v="0"/>
    <n v="0"/>
    <n v="0"/>
    <n v="49"/>
    <n v="82847061.811006233"/>
    <n v="4263566.6089937538"/>
  </r>
  <r>
    <d v="2014-02-01T00:00:00"/>
    <n v="2"/>
    <x v="4"/>
    <n v="75310896.296666682"/>
    <n v="737.09999999999991"/>
    <n v="0"/>
    <n v="138.54014413570292"/>
    <n v="28"/>
    <n v="0"/>
    <n v="0"/>
    <n v="0"/>
    <n v="0"/>
    <n v="50"/>
    <n v="75222865.362646416"/>
    <n v="88030.934020265937"/>
  </r>
  <r>
    <d v="2014-03-01T00:00:00"/>
    <n v="3"/>
    <x v="4"/>
    <n v="79598361.859999985"/>
    <n v="690.6"/>
    <n v="0"/>
    <n v="138.78216172751834"/>
    <n v="31"/>
    <n v="1"/>
    <n v="0"/>
    <n v="0"/>
    <n v="0"/>
    <n v="51"/>
    <n v="79122858.305154189"/>
    <n v="475503.55484579504"/>
  </r>
  <r>
    <d v="2014-04-01T00:00:00"/>
    <n v="4"/>
    <x v="4"/>
    <n v="69107663.240000024"/>
    <n v="356.90000000000003"/>
    <n v="0"/>
    <n v="139.02460210303386"/>
    <n v="30"/>
    <n v="0"/>
    <n v="1"/>
    <n v="0"/>
    <n v="0"/>
    <n v="52"/>
    <n v="69881445.642682672"/>
    <n v="-773782.40268264711"/>
  </r>
  <r>
    <d v="2014-05-01T00:00:00"/>
    <n v="5"/>
    <x v="4"/>
    <n v="69871028.140769228"/>
    <n v="132.10000000000005"/>
    <n v="11.9"/>
    <n v="139.26746600081583"/>
    <n v="31"/>
    <n v="0"/>
    <n v="0"/>
    <n v="1"/>
    <n v="0"/>
    <n v="53"/>
    <n v="71333908.820319191"/>
    <n v="-1462880.6795499623"/>
  </r>
  <r>
    <d v="2014-06-01T00:00:00"/>
    <n v="6"/>
    <x v="4"/>
    <n v="77517701.584615394"/>
    <n v="14.1"/>
    <n v="68.099999999999994"/>
    <n v="139.51075416072086"/>
    <n v="30"/>
    <n v="0"/>
    <n v="0"/>
    <n v="0"/>
    <n v="0"/>
    <n v="54"/>
    <n v="77654386.108740941"/>
    <n v="-136684.52412554622"/>
  </r>
  <r>
    <d v="2014-07-01T00:00:00"/>
    <n v="7"/>
    <x v="4"/>
    <n v="79980081.605384618"/>
    <n v="4"/>
    <n v="71"/>
    <n v="139.75446732389804"/>
    <n v="31"/>
    <n v="0"/>
    <n v="0"/>
    <n v="0"/>
    <n v="0"/>
    <n v="55"/>
    <n v="79969311.291898116"/>
    <n v="10770.313486501575"/>
  </r>
  <r>
    <d v="2014-08-01T00:00:00"/>
    <n v="8"/>
    <x v="4"/>
    <n v="78148911.668461546"/>
    <n v="8.7999999999999989"/>
    <n v="81.799999999999983"/>
    <n v="139.9986062327911"/>
    <n v="31"/>
    <n v="0"/>
    <n v="0"/>
    <n v="0"/>
    <n v="0"/>
    <n v="56"/>
    <n v="81355318.84685801"/>
    <n v="-3206407.1783964634"/>
  </r>
  <r>
    <d v="2014-09-01T00:00:00"/>
    <n v="9"/>
    <x v="4"/>
    <n v="73189575.230769232"/>
    <n v="69.700000000000017"/>
    <n v="30.099999999999998"/>
    <n v="140.24317163114083"/>
    <n v="30"/>
    <n v="0"/>
    <n v="0"/>
    <n v="0"/>
    <n v="0"/>
    <n v="57"/>
    <n v="73663053.79521738"/>
    <n v="-473478.56444814801"/>
  </r>
  <r>
    <d v="2014-10-01T00:00:00"/>
    <n v="10"/>
    <x v="4"/>
    <n v="72005492.011538461"/>
    <n v="224.30000000000004"/>
    <n v="1.3"/>
    <n v="140.48816426398724"/>
    <n v="31"/>
    <n v="0"/>
    <n v="0"/>
    <n v="0"/>
    <n v="1"/>
    <n v="58"/>
    <n v="72433049.267522842"/>
    <n v="-427557.25598438084"/>
  </r>
  <r>
    <d v="2014-11-01T00:00:00"/>
    <n v="11"/>
    <x v="4"/>
    <n v="74401960.572307676"/>
    <n v="482.1"/>
    <n v="0"/>
    <n v="140.73358487767186"/>
    <n v="30"/>
    <n v="0"/>
    <n v="0"/>
    <n v="0"/>
    <n v="0"/>
    <n v="59"/>
    <n v="75688157.940001056"/>
    <n v="-1286197.3676933795"/>
  </r>
  <r>
    <d v="2014-12-01T00:00:00"/>
    <n v="12"/>
    <x v="4"/>
    <n v="77304484.726153851"/>
    <n v="557.29999999999995"/>
    <n v="0"/>
    <n v="140.97943421984021"/>
    <n v="31"/>
    <n v="0"/>
    <n v="0"/>
    <n v="0"/>
    <n v="0"/>
    <n v="60"/>
    <n v="78843658.118787959"/>
    <n v="-1539173.3926341087"/>
  </r>
  <r>
    <d v="2015-01-01T00:00:00"/>
    <n v="1"/>
    <x v="5"/>
    <n v="84626740.919999987"/>
    <n v="792.39999999999975"/>
    <n v="0"/>
    <n v="141.3034903565966"/>
    <n v="31"/>
    <n v="0"/>
    <n v="0"/>
    <n v="0"/>
    <n v="0"/>
    <n v="61"/>
    <n v="82169343.111443505"/>
    <n v="2457397.8085564822"/>
  </r>
  <r>
    <d v="2015-02-01T00:00:00"/>
    <n v="2"/>
    <x v="5"/>
    <n v="77436620.475384608"/>
    <n v="856.8"/>
    <n v="0"/>
    <n v="141.62829137064909"/>
    <n v="28"/>
    <n v="0"/>
    <n v="0"/>
    <n v="0"/>
    <n v="0"/>
    <n v="62"/>
    <n v="76741803.501491502"/>
    <n v="694816.97389310598"/>
  </r>
  <r>
    <d v="2015-03-01T00:00:00"/>
    <n v="3"/>
    <x v="5"/>
    <n v="78097659.106923103"/>
    <n v="615.49999999999989"/>
    <n v="0"/>
    <n v="141.95383897417693"/>
    <n v="31"/>
    <n v="1"/>
    <n v="0"/>
    <n v="0"/>
    <n v="0"/>
    <n v="63"/>
    <n v="77946957.967881843"/>
    <n v="150701.13904125988"/>
  </r>
  <r>
    <d v="2015-04-01T00:00:00"/>
    <n v="4"/>
    <x v="5"/>
    <n v="68989289.843076915"/>
    <n v="313.7"/>
    <n v="0"/>
    <n v="142.28013488329495"/>
    <n v="30"/>
    <n v="0"/>
    <n v="1"/>
    <n v="0"/>
    <n v="0"/>
    <n v="64"/>
    <n v="69197485.573836729"/>
    <n v="-208195.73075981438"/>
  </r>
  <r>
    <d v="2015-05-01T00:00:00"/>
    <n v="5"/>
    <x v="5"/>
    <n v="73375077.214615405"/>
    <n v="89.3"/>
    <n v="34.1"/>
    <n v="142.60718081806269"/>
    <n v="31"/>
    <n v="0"/>
    <n v="0"/>
    <n v="1"/>
    <n v="0"/>
    <n v="65"/>
    <n v="73451726.509749502"/>
    <n v="-76649.295134097338"/>
  </r>
  <r>
    <d v="2015-06-01T00:00:00"/>
    <n v="6"/>
    <x v="5"/>
    <n v="75340519.323076934"/>
    <n v="33.800000000000004"/>
    <n v="32.299999999999997"/>
    <n v="142.93497850249344"/>
    <n v="30"/>
    <n v="0"/>
    <n v="0"/>
    <n v="0"/>
    <n v="0"/>
    <n v="66"/>
    <n v="73503532.621019349"/>
    <n v="1836986.7020575851"/>
  </r>
  <r>
    <d v="2015-07-01T00:00:00"/>
    <n v="7"/>
    <x v="5"/>
    <n v="85365000.161538452"/>
    <n v="4"/>
    <n v="114.29999999999998"/>
    <n v="143.26352966456326"/>
    <n v="31"/>
    <n v="0"/>
    <n v="0"/>
    <n v="0"/>
    <n v="0"/>
    <n v="67"/>
    <n v="85392737.886916265"/>
    <n v="-27737.725377812982"/>
  </r>
  <r>
    <d v="2015-08-01T00:00:00"/>
    <n v="8"/>
    <x v="5"/>
    <n v="81751305.839230776"/>
    <n v="4.4000000000000004"/>
    <n v="88.6"/>
    <n v="143.59283603622018"/>
    <n v="31"/>
    <n v="0"/>
    <n v="0"/>
    <n v="0"/>
    <n v="0"/>
    <n v="68"/>
    <n v="82235694.653301939"/>
    <n v="-484388.81407116354"/>
  </r>
  <r>
    <d v="2015-09-01T00:00:00"/>
    <n v="9"/>
    <x v="5"/>
    <n v="79343691.187692299"/>
    <n v="31.099999999999994"/>
    <n v="81.900000000000006"/>
    <n v="143.92289935339329"/>
    <n v="30"/>
    <n v="0"/>
    <n v="0"/>
    <n v="0"/>
    <n v="0"/>
    <n v="69"/>
    <n v="79686373.851757482"/>
    <n v="-342682.66406518221"/>
  </r>
  <r>
    <d v="2015-10-01T00:00:00"/>
    <n v="10"/>
    <x v="5"/>
    <n v="71236445.923076928"/>
    <n v="249.8"/>
    <n v="0"/>
    <n v="144.2537213560019"/>
    <n v="31"/>
    <n v="0"/>
    <n v="0"/>
    <n v="0"/>
    <n v="1"/>
    <n v="70"/>
    <n v="72818396.098952308"/>
    <n v="-1581950.1758753806"/>
  </r>
  <r>
    <d v="2015-11-01T00:00:00"/>
    <n v="11"/>
    <x v="5"/>
    <n v="71636023.820769221"/>
    <n v="345"/>
    <n v="0"/>
    <n v="144.58530378796473"/>
    <n v="30"/>
    <n v="0"/>
    <n v="0"/>
    <n v="0"/>
    <n v="0"/>
    <n v="71"/>
    <n v="73993831.576715842"/>
    <n v="-2357807.7559466213"/>
  </r>
  <r>
    <d v="2015-12-01T00:00:00"/>
    <n v="12"/>
    <x v="5"/>
    <n v="73291493.167692319"/>
    <n v="429.70000000000005"/>
    <n v="0"/>
    <n v="144.91764839720901"/>
    <n v="31"/>
    <n v="0"/>
    <n v="0"/>
    <n v="0"/>
    <n v="0"/>
    <n v="72"/>
    <n v="77327776.855287954"/>
    <n v="-4036283.6875956357"/>
  </r>
  <r>
    <d v="2016-01-01T00:00:00"/>
    <n v="1"/>
    <x v="6"/>
    <n v="79986061.065384641"/>
    <n v="670.4"/>
    <n v="0"/>
    <n v="145.18982487994964"/>
    <n v="31"/>
    <n v="0"/>
    <n v="0"/>
    <n v="0"/>
    <n v="0"/>
    <n v="73"/>
    <n v="80705242.386302456"/>
    <n v="-719181.32091781497"/>
  </r>
  <r>
    <d v="2016-02-01T00:00:00"/>
    <n v="2"/>
    <x v="6"/>
    <n v="73679442.001538455"/>
    <n v="588.4"/>
    <n v="0"/>
    <n v="145.46251254982707"/>
    <n v="29"/>
    <n v="0"/>
    <n v="0"/>
    <n v="0"/>
    <n v="0"/>
    <n v="74"/>
    <n v="75310828.489611015"/>
    <n v="-1631386.4880725592"/>
  </r>
  <r>
    <d v="2016-03-01T00:00:00"/>
    <n v="3"/>
    <x v="6"/>
    <n v="73829400.356153846"/>
    <n v="476.0999999999998"/>
    <n v="0"/>
    <n v="145.73571236692533"/>
    <n v="31"/>
    <n v="1"/>
    <n v="0"/>
    <n v="0"/>
    <n v="0"/>
    <n v="75"/>
    <n v="76184037.884185567"/>
    <n v="-2354637.5280317217"/>
  </r>
  <r>
    <d v="2016-04-01T00:00:00"/>
    <n v="4"/>
    <x v="6"/>
    <n v="69308215.465384632"/>
    <n v="394.8"/>
    <n v="0"/>
    <n v="146.00942529313159"/>
    <n v="30"/>
    <n v="0"/>
    <n v="1"/>
    <n v="0"/>
    <n v="0"/>
    <n v="76"/>
    <n v="70506723.832605451"/>
    <n v="-1198508.367220819"/>
  </r>
  <r>
    <d v="2016-05-01T00:00:00"/>
    <n v="5"/>
    <x v="6"/>
    <n v="72726898.225384623"/>
    <n v="142.50000000000003"/>
    <n v="36.9"/>
    <n v="146.28365229213961"/>
    <n v="31"/>
    <n v="0"/>
    <n v="0"/>
    <n v="1"/>
    <n v="0"/>
    <n v="77"/>
    <n v="74688520.296297923"/>
    <n v="-1961622.0709132999"/>
  </r>
  <r>
    <d v="2016-06-01T00:00:00"/>
    <n v="6"/>
    <x v="6"/>
    <n v="79069060.420000032"/>
    <n v="24.200000000000003"/>
    <n v="83.7"/>
    <n v="146.55839432945308"/>
    <n v="30"/>
    <n v="0"/>
    <n v="0"/>
    <n v="0"/>
    <n v="0"/>
    <n v="78"/>
    <n v="79855660.565043703"/>
    <n v="-786600.14504367113"/>
  </r>
  <r>
    <d v="2016-07-01T00:00:00"/>
    <n v="7"/>
    <x v="6"/>
    <n v="90249922.476153865"/>
    <n v="0"/>
    <n v="176.89999999999998"/>
    <n v="146.83365237238908"/>
    <n v="31"/>
    <n v="0"/>
    <n v="0"/>
    <n v="0"/>
    <n v="0"/>
    <n v="79"/>
    <n v="93184534.854763314"/>
    <n v="-2934612.3786094487"/>
  </r>
  <r>
    <d v="2016-08-01T00:00:00"/>
    <n v="8"/>
    <x v="6"/>
    <n v="94016713.441538468"/>
    <n v="0"/>
    <n v="195.4"/>
    <n v="147.10942739008146"/>
    <n v="31"/>
    <n v="0"/>
    <n v="0"/>
    <n v="0"/>
    <n v="0"/>
    <n v="80"/>
    <n v="95474174.506461546"/>
    <n v="-1457461.0649230778"/>
  </r>
  <r>
    <d v="2016-09-01T00:00:00"/>
    <n v="9"/>
    <x v="6"/>
    <n v="77678226.287692308"/>
    <n v="25.900000000000006"/>
    <n v="69.400000000000006"/>
    <n v="147.3857203534842"/>
    <n v="30"/>
    <n v="0"/>
    <n v="0"/>
    <n v="0"/>
    <n v="0"/>
    <n v="81"/>
    <n v="78094383.186800137"/>
    <n v="-416156.89910782874"/>
  </r>
  <r>
    <d v="2016-10-01T00:00:00"/>
    <n v="10"/>
    <x v="6"/>
    <n v="71025278.580769241"/>
    <n v="194.20000000000002"/>
    <n v="4.0999999999999996"/>
    <n v="147.6625322353749"/>
    <n v="31"/>
    <n v="0"/>
    <n v="0"/>
    <n v="0"/>
    <n v="1"/>
    <n v="82"/>
    <n v="72548052.248683527"/>
    <n v="-1522773.6679142863"/>
  </r>
  <r>
    <d v="2016-11-01T00:00:00"/>
    <n v="11"/>
    <x v="6"/>
    <n v="71123495.761538461"/>
    <n v="337.80000000000007"/>
    <n v="0"/>
    <n v="147.93986401035815"/>
    <n v="30"/>
    <n v="0"/>
    <n v="0"/>
    <n v="0"/>
    <n v="0"/>
    <n v="83"/>
    <n v="73867320.695161223"/>
    <n v="-2743824.9336227626"/>
  </r>
  <r>
    <d v="2016-12-01T00:00:00"/>
    <n v="12"/>
    <x v="6"/>
    <n v="76024870.703076944"/>
    <n v="607.99999999999989"/>
    <n v="0"/>
    <n v="148.21771665486904"/>
    <n v="31"/>
    <n v="0"/>
    <n v="0"/>
    <n v="0"/>
    <n v="0"/>
    <n v="84"/>
    <n v="79780455.491017982"/>
    <n v="-3755584.7879410386"/>
  </r>
  <r>
    <d v="2017-01-01T00:00:00"/>
    <n v="1"/>
    <x v="7"/>
    <n v="78997942.227619052"/>
    <n v="608.9"/>
    <n v="0"/>
    <n v="148.6475381454095"/>
    <n v="31"/>
    <n v="0"/>
    <n v="0"/>
    <n v="0"/>
    <n v="0"/>
    <n v="85"/>
    <n v="79869020.280506536"/>
    <n v="-871078.05288748443"/>
  </r>
  <r>
    <d v="2017-02-01T00:00:00"/>
    <n v="2"/>
    <x v="7"/>
    <n v="69829356.909999996"/>
    <n v="510.4"/>
    <n v="0"/>
    <n v="149.07860608959868"/>
    <n v="28"/>
    <n v="0"/>
    <n v="0"/>
    <n v="0"/>
    <n v="0"/>
    <n v="86"/>
    <n v="72206849.707884058"/>
    <n v="-2377492.7978840619"/>
  </r>
  <r>
    <d v="2017-03-01T00:00:00"/>
    <n v="3"/>
    <x v="7"/>
    <n v="76565564.916190505"/>
    <n v="574"/>
    <n v="0"/>
    <n v="149.51092410206903"/>
    <n v="31"/>
    <n v="1"/>
    <n v="0"/>
    <n v="0"/>
    <n v="0"/>
    <n v="87"/>
    <n v="77753267.760220423"/>
    <n v="-1187702.8440299183"/>
  </r>
  <r>
    <d v="2017-04-01T00:00:00"/>
    <n v="4"/>
    <x v="7"/>
    <n v="66644954.449523814"/>
    <n v="257.49999999999994"/>
    <n v="0"/>
    <n v="149.94449580793514"/>
    <n v="30"/>
    <n v="0"/>
    <n v="1"/>
    <n v="0"/>
    <n v="0"/>
    <n v="88"/>
    <n v="68852862.280396119"/>
    <n v="-2207907.8308723047"/>
  </r>
  <r>
    <d v="2017-05-01T00:00:00"/>
    <n v="5"/>
    <x v="7"/>
    <n v="70677545.254761904"/>
    <n v="177"/>
    <n v="9"/>
    <n v="150.37932484282425"/>
    <n v="31"/>
    <n v="0"/>
    <n v="0"/>
    <n v="1"/>
    <n v="0"/>
    <n v="89"/>
    <n v="72073793.363548279"/>
    <n v="-1396248.1087863743"/>
  </r>
  <r>
    <d v="2017-06-01T00:00:00"/>
    <n v="6"/>
    <x v="7"/>
    <n v="78699725.353333339"/>
    <n v="26.699999999999996"/>
    <n v="68.2"/>
    <n v="150.81541485290663"/>
    <n v="30"/>
    <n v="0"/>
    <n v="0"/>
    <n v="0"/>
    <n v="0"/>
    <n v="90"/>
    <n v="78412300.575968996"/>
    <n v="287424.7773643434"/>
  </r>
  <r>
    <d v="2017-07-01T00:00:00"/>
    <n v="7"/>
    <x v="7"/>
    <n v="85577695.760000005"/>
    <n v="0"/>
    <n v="116.49999999999999"/>
    <n v="151.25276949492624"/>
    <n v="31"/>
    <n v="0"/>
    <n v="0"/>
    <n v="0"/>
    <n v="0"/>
    <n v="91"/>
    <n v="86223306.239931509"/>
    <n v="-645610.47993150353"/>
  </r>
  <r>
    <d v="2017-08-01T00:00:00"/>
    <n v="8"/>
    <x v="7"/>
    <n v="83019509.650000006"/>
    <n v="11.6"/>
    <n v="75.2"/>
    <n v="151.69139243623133"/>
    <n v="31"/>
    <n v="0"/>
    <n v="0"/>
    <n v="0"/>
    <n v="0"/>
    <n v="92"/>
    <n v="81346300.406975999"/>
    <n v="1673209.2430240065"/>
  </r>
  <r>
    <d v="2017-09-01T00:00:00"/>
    <n v="9"/>
    <x v="7"/>
    <n v="77334131.13666667"/>
    <n v="49.1"/>
    <n v="71.499999999999986"/>
    <n v="152.13128735480518"/>
    <n v="30"/>
    <n v="0"/>
    <n v="0"/>
    <n v="0"/>
    <n v="0"/>
    <n v="93"/>
    <n v="79377766.792071417"/>
    <n v="-2043635.6554047465"/>
  </r>
  <r>
    <d v="2017-10-01T00:00:00"/>
    <n v="10"/>
    <x v="7"/>
    <n v="73469057.820000008"/>
    <n v="153.99999999999997"/>
    <n v="8.1"/>
    <n v="152.57245793929707"/>
    <n v="31"/>
    <n v="0"/>
    <n v="0"/>
    <n v="0"/>
    <n v="1"/>
    <n v="94"/>
    <n v="73261158.244503826"/>
    <n v="207899.57549618185"/>
  </r>
  <r>
    <d v="2017-11-01T00:00:00"/>
    <n v="11"/>
    <x v="7"/>
    <n v="74459348.126666665"/>
    <n v="414.2"/>
    <n v="0"/>
    <n v="153.01490788905303"/>
    <n v="30"/>
    <n v="0"/>
    <n v="0"/>
    <n v="0"/>
    <n v="0"/>
    <n v="95"/>
    <n v="75809207.919394091"/>
    <n v="-1349859.7927274257"/>
  </r>
  <r>
    <d v="2017-12-01T00:00:00"/>
    <n v="12"/>
    <x v="7"/>
    <n v="79667517.416666657"/>
    <n v="718.49999999999989"/>
    <n v="0"/>
    <n v="153.45864091414703"/>
    <n v="31"/>
    <n v="0"/>
    <n v="0"/>
    <n v="0"/>
    <n v="0"/>
    <n v="96"/>
    <n v="82287794.55542703"/>
    <n v="-2620277.138760373"/>
  </r>
  <r>
    <d v="2018-01-01T00:00:00"/>
    <n v="1"/>
    <x v="8"/>
    <n v="84752511.140000001"/>
    <n v="732.29999999999984"/>
    <n v="0"/>
    <n v="153.85890281731997"/>
    <n v="31"/>
    <n v="0"/>
    <n v="0"/>
    <n v="0"/>
    <n v="0"/>
    <n v="97"/>
    <n v="82542340.93903257"/>
    <n v="2210170.2009674311"/>
  </r>
  <r>
    <d v="2018-02-01T00:00:00"/>
    <n v="2"/>
    <x v="8"/>
    <n v="72631313.480000004"/>
    <n v="555.00000000000023"/>
    <n v="0"/>
    <n v="154.26020871247783"/>
    <n v="28"/>
    <n v="0"/>
    <n v="0"/>
    <n v="0"/>
    <n v="0"/>
    <n v="98"/>
    <n v="73757065.313709319"/>
    <n v="-1125751.8337093145"/>
  </r>
  <r>
    <d v="2018-03-01T00:00:00"/>
    <n v="3"/>
    <x v="8"/>
    <n v="77931843.100000009"/>
    <n v="553.99999999999989"/>
    <n v="0"/>
    <n v="154.66256132263587"/>
    <n v="31"/>
    <n v="1"/>
    <n v="0"/>
    <n v="0"/>
    <n v="0"/>
    <n v="99"/>
    <n v="78379875.106568143"/>
    <n v="-448032.00656813383"/>
  </r>
  <r>
    <d v="2018-04-01T00:00:00"/>
    <n v="4"/>
    <x v="8"/>
    <n v="72888274.790000007"/>
    <n v="437.20000000000005"/>
    <n v="0"/>
    <n v="155.06596337791169"/>
    <n v="30"/>
    <n v="0"/>
    <n v="1"/>
    <n v="0"/>
    <n v="0"/>
    <n v="100"/>
    <n v="72270889.651731431"/>
    <n v="617385.13826857507"/>
  </r>
  <r>
    <d v="2018-05-01T00:00:00"/>
    <n v="5"/>
    <x v="8"/>
    <n v="76624694.199999973"/>
    <n v="75.3"/>
    <n v="43.4"/>
    <n v="155.47041761554377"/>
    <n v="31"/>
    <n v="0"/>
    <n v="0"/>
    <n v="1"/>
    <n v="0"/>
    <n v="101"/>
    <n v="75785603.96441631"/>
    <n v="839090.23558366299"/>
  </r>
  <r>
    <d v="2018-06-01T00:00:00"/>
    <n v="6"/>
    <x v="8"/>
    <n v="80769043.830000013"/>
    <n v="14.799999999999999"/>
    <n v="60.5"/>
    <n v="155.87592677991009"/>
    <n v="30"/>
    <n v="0"/>
    <n v="0"/>
    <n v="0"/>
    <n v="0"/>
    <n v="102"/>
    <n v="78150775.5373009"/>
    <n v="2618268.2926991135"/>
  </r>
  <r>
    <d v="2018-07-01T00:00:00"/>
    <n v="7"/>
    <x v="8"/>
    <n v="95230727.25999999"/>
    <n v="0"/>
    <n v="167.8"/>
    <n v="156.2824936225467"/>
    <n v="31"/>
    <n v="0"/>
    <n v="0"/>
    <n v="0"/>
    <n v="0"/>
    <n v="103"/>
    <n v="93428132.79912512"/>
    <n v="1802594.4608748704"/>
  </r>
  <r>
    <d v="2018-08-01T00:00:00"/>
    <n v="8"/>
    <x v="8"/>
    <n v="93580216.839999989"/>
    <n v="1.2"/>
    <n v="162.4"/>
    <n v="156.6901209021664"/>
    <n v="31"/>
    <n v="0"/>
    <n v="0"/>
    <n v="0"/>
    <n v="0"/>
    <n v="104"/>
    <n v="92839876.966625586"/>
    <n v="740339.87337440252"/>
  </r>
  <r>
    <d v="2018-09-01T00:00:00"/>
    <n v="9"/>
    <x v="8"/>
    <n v="79916023.120000005"/>
    <n v="41.399999999999991"/>
    <n v="76.399999999999977"/>
    <n v="157.09881138467748"/>
    <n v="30"/>
    <n v="0"/>
    <n v="0"/>
    <n v="0"/>
    <n v="0"/>
    <n v="105"/>
    <n v="80689199.955159709"/>
    <n v="-773176.83515970409"/>
  </r>
  <r>
    <d v="2018-10-01T00:00:00"/>
    <n v="10"/>
    <x v="8"/>
    <n v="75870343.00999999"/>
    <n v="289.40000000000003"/>
    <n v="8.1999999999999993"/>
    <n v="157.50856784320246"/>
    <n v="31"/>
    <n v="0"/>
    <n v="0"/>
    <n v="0"/>
    <n v="1"/>
    <n v="106"/>
    <n v="75972643.239235893"/>
    <n v="-102300.22923590243"/>
  </r>
  <r>
    <d v="2018-11-01T00:00:00"/>
    <n v="11"/>
    <x v="8"/>
    <n v="77972578.930000007"/>
    <n v="494.1"/>
    <n v="0"/>
    <n v="157.91939305809689"/>
    <n v="30"/>
    <n v="0"/>
    <n v="0"/>
    <n v="0"/>
    <n v="0"/>
    <n v="107"/>
    <n v="77711738.91362913"/>
    <n v="260840.01637087762"/>
  </r>
  <r>
    <d v="2018-12-01T00:00:00"/>
    <n v="12"/>
    <x v="8"/>
    <n v="77716342.479999989"/>
    <n v="563.60000000000014"/>
    <n v="0"/>
    <n v="158.33128981696836"/>
    <n v="31"/>
    <n v="0"/>
    <n v="0"/>
    <n v="0"/>
    <n v="0"/>
    <n v="108"/>
    <n v="80873328.749843702"/>
    <n v="-3156986.2698437124"/>
  </r>
  <r>
    <d v="2019-01-01T00:00:00"/>
    <n v="1"/>
    <x v="9"/>
    <n v="85029523.596500009"/>
    <n v="764.5"/>
    <n v="0"/>
    <n v="158.56186296962741"/>
    <n v="31"/>
    <n v="0"/>
    <n v="0"/>
    <n v="0"/>
    <n v="0"/>
    <n v="109"/>
    <n v="83669744.944495216"/>
    <n v="1359778.6520047933"/>
  </r>
  <r>
    <d v="2019-02-01T00:00:00"/>
    <n v="2"/>
    <x v="9"/>
    <n v="75571374.736000016"/>
    <n v="621.70000000000016"/>
    <n v="0"/>
    <n v="158.79277189911735"/>
    <n v="28"/>
    <n v="0"/>
    <n v="0"/>
    <n v="0"/>
    <n v="0"/>
    <n v="110"/>
    <n v="75280948.728440478"/>
    <n v="290426.00755953789"/>
  </r>
  <r>
    <d v="2019-03-01T00:00:00"/>
    <n v="3"/>
    <x v="9"/>
    <n v="79381068.277800009"/>
    <n v="593.90000000000009"/>
    <n v="0"/>
    <n v="159.02401709442"/>
    <n v="31"/>
    <n v="1"/>
    <n v="0"/>
    <n v="0"/>
    <n v="0"/>
    <n v="111"/>
    <n v="79438205.295614198"/>
    <n v="-57137.017814189196"/>
  </r>
  <r>
    <d v="2019-04-01T00:00:00"/>
    <n v="4"/>
    <x v="9"/>
    <n v="73998852.774599999"/>
    <n v="346.8"/>
    <n v="0"/>
    <n v="159.2555990452293"/>
    <n v="30"/>
    <n v="0"/>
    <n v="1"/>
    <n v="0"/>
    <n v="0"/>
    <n v="112"/>
    <n v="71408448.296560004"/>
    <n v="2590404.4780399948"/>
  </r>
  <r>
    <d v="2019-05-01T00:00:00"/>
    <n v="5"/>
    <x v="9"/>
    <n v="74079885.052200004"/>
    <n v="180.99999999999997"/>
    <n v="0"/>
    <n v="159.48751824195227"/>
    <n v="31"/>
    <n v="0"/>
    <n v="0"/>
    <n v="1"/>
    <n v="0"/>
    <n v="113"/>
    <n v="72209151.545757622"/>
    <n v="1870733.5064423829"/>
  </r>
  <r>
    <d v="2019-06-01T00:00:00"/>
    <n v="6"/>
    <x v="9"/>
    <n v="77200774.899399996"/>
    <n v="35.5"/>
    <n v="41.300000000000004"/>
    <n v="159.71977517571011"/>
    <n v="30"/>
    <n v="0"/>
    <n v="0"/>
    <n v="0"/>
    <n v="0"/>
    <n v="114"/>
    <n v="76289983.863540217"/>
    <n v="910791.03585977852"/>
  </r>
  <r>
    <d v="2019-07-01T00:00:00"/>
    <n v="7"/>
    <x v="9"/>
    <n v="97266632.718700007"/>
    <n v="0"/>
    <n v="166.90000000000003"/>
    <n v="159.95237033833922"/>
    <n v="31"/>
    <n v="0"/>
    <n v="0"/>
    <n v="0"/>
    <n v="0"/>
    <n v="115"/>
    <n v="93454955.19863306"/>
    <n v="3811677.5200669467"/>
  </r>
  <r>
    <d v="2019-08-01T00:00:00"/>
    <n v="8"/>
    <x v="9"/>
    <n v="88226114.621299982"/>
    <n v="0.89999999999999991"/>
    <n v="103.30000000000003"/>
    <n v="160.18530422239229"/>
    <n v="31"/>
    <n v="0"/>
    <n v="0"/>
    <n v="0"/>
    <n v="0"/>
    <n v="116"/>
    <n v="85555904.804488406"/>
    <n v="2670209.8168115765"/>
  </r>
  <r>
    <d v="2019-09-01T00:00:00"/>
    <n v="9"/>
    <x v="9"/>
    <n v="76664331.356100008"/>
    <n v="38.400000000000006"/>
    <n v="25.400000000000002"/>
    <n v="160.41857732113922"/>
    <n v="30"/>
    <n v="0"/>
    <n v="0"/>
    <n v="0"/>
    <n v="0"/>
    <n v="117"/>
    <n v="74280470.134656981"/>
    <n v="2383861.2214430273"/>
  </r>
  <r>
    <d v="2019-10-01T00:00:00"/>
    <n v="10"/>
    <x v="9"/>
    <n v="75138464.501400009"/>
    <n v="236.5"/>
    <n v="5.0999999999999996"/>
    <n v="160.65219012856832"/>
    <n v="31"/>
    <n v="0"/>
    <n v="0"/>
    <n v="0"/>
    <n v="1"/>
    <n v="118"/>
    <n v="74709880.365121007"/>
    <n v="428584.13627900183"/>
  </r>
  <r>
    <d v="2019-11-01T00:00:00"/>
    <n v="11"/>
    <x v="9"/>
    <n v="79324528.1259"/>
    <n v="513.30000000000007"/>
    <n v="0"/>
    <n v="160.88614313938723"/>
    <n v="30"/>
    <n v="0"/>
    <n v="0"/>
    <n v="0"/>
    <n v="0"/>
    <n v="119"/>
    <n v="77754968.935154065"/>
    <n v="1569559.1907459348"/>
  </r>
  <r>
    <d v="2019-12-01T00:00:00"/>
    <n v="12"/>
    <x v="9"/>
    <n v="77448670.109640002"/>
    <n v="582.4"/>
    <n v="0"/>
    <n v="161.12043684902417"/>
    <n v="31"/>
    <n v="0"/>
    <n v="0"/>
    <n v="0"/>
    <n v="0"/>
    <n v="120"/>
    <n v="80818724.753354922"/>
    <n v="-3370054.6437149197"/>
  </r>
  <r>
    <d v="2020-01-01T00:00:00"/>
    <n v="1"/>
    <x v="10"/>
    <n v="81251440.013279989"/>
    <n v="605"/>
    <n v="0"/>
    <n v="160.36267106853012"/>
    <n v="31"/>
    <n v="0"/>
    <n v="0"/>
    <n v="0"/>
    <n v="0"/>
    <n v="121"/>
    <n v="80595720.978366539"/>
    <n v="655719.03491345048"/>
  </r>
  <r>
    <d v="2020-02-01T00:00:00"/>
    <n v="2"/>
    <x v="10"/>
    <n v="75883614.011019975"/>
    <n v="611.79999999999995"/>
    <n v="0"/>
    <n v="159.60846913747267"/>
    <n v="29"/>
    <n v="0"/>
    <n v="0"/>
    <n v="0"/>
    <n v="0"/>
    <n v="122"/>
    <n v="75916364.168950006"/>
    <n v="-32750.157930031419"/>
  </r>
  <r>
    <d v="2020-03-01T00:00:00"/>
    <n v="3"/>
    <x v="10"/>
    <n v="75425735.247120008"/>
    <n v="458.69999999999993"/>
    <n v="0"/>
    <n v="158.85781429470592"/>
    <n v="31"/>
    <n v="1"/>
    <n v="0"/>
    <n v="0"/>
    <n v="0"/>
    <n v="123"/>
    <n v="75684483.313991979"/>
    <n v="-258748.06687197089"/>
  </r>
  <r>
    <d v="2020-04-01T00:00:00"/>
    <n v="4"/>
    <x v="10"/>
    <n v="68179453.099079981"/>
    <n v="362.2999999999999"/>
    <n v="0"/>
    <n v="158.11068985791331"/>
    <n v="30"/>
    <n v="0"/>
    <n v="1"/>
    <n v="0"/>
    <n v="0"/>
    <n v="124"/>
    <n v="69264897.776125386"/>
    <n v="-1085444.6770454049"/>
  </r>
  <r>
    <d v="2020-05-01T00:00:00"/>
    <n v="5"/>
    <x v="10"/>
    <n v="72113730.421249986"/>
    <n v="208.09999999999997"/>
    <n v="24.2"/>
    <n v="157.36707922323697"/>
    <n v="31"/>
    <n v="0"/>
    <n v="0"/>
    <n v="1"/>
    <n v="0"/>
    <n v="125"/>
    <n v="72722578.03837128"/>
    <n v="-608847.61712129414"/>
  </r>
  <r>
    <d v="2020-06-01T00:00:00"/>
    <n v="6"/>
    <x v="10"/>
    <n v="86099647.89466998"/>
    <n v="23.799999999999997"/>
    <n v="97.700000000000017"/>
    <n v="156.62696586490861"/>
    <n v="30"/>
    <n v="0"/>
    <n v="0"/>
    <n v="0"/>
    <n v="0"/>
    <n v="126"/>
    <n v="79745453.048620269"/>
    <n v="6354194.8460497111"/>
  </r>
  <r>
    <d v="2020-07-01T00:00:00"/>
    <n v="7"/>
    <x v="10"/>
    <n v="103947133.04603"/>
    <n v="0"/>
    <n v="215.7"/>
    <n v="155.89033333488234"/>
    <n v="31"/>
    <n v="0"/>
    <n v="0"/>
    <n v="0"/>
    <n v="0"/>
    <n v="127"/>
    <n v="95629383.497096464"/>
    <n v="8317749.5489335358"/>
  </r>
  <r>
    <d v="2020-08-01T00:00:00"/>
    <n v="8"/>
    <x v="10"/>
    <n v="92534942.41407001"/>
    <n v="0.8"/>
    <n v="126.69999999999999"/>
    <n v="155.15716526246908"/>
    <n v="31"/>
    <n v="0"/>
    <n v="0"/>
    <n v="0"/>
    <n v="0"/>
    <n v="128"/>
    <n v="84078130.662710086"/>
    <n v="8456811.7513599247"/>
  </r>
  <r>
    <d v="2020-09-01T00:00:00"/>
    <n v="9"/>
    <x v="10"/>
    <n v="76554649.522059992"/>
    <n v="69.100000000000009"/>
    <n v="33.300000000000004"/>
    <n v="154.42744535397276"/>
    <n v="30"/>
    <n v="0"/>
    <n v="0"/>
    <n v="0"/>
    <n v="0"/>
    <n v="129"/>
    <n v="70813896.70416218"/>
    <n v="5740752.8178978115"/>
  </r>
  <r>
    <d v="2020-10-01T00:00:00"/>
    <n v="10"/>
    <x v="10"/>
    <n v="74574750.82904999"/>
    <n v="270.3"/>
    <n v="0"/>
    <n v="153.70115739232821"/>
    <n v="31"/>
    <n v="0"/>
    <n v="0"/>
    <n v="0"/>
    <n v="1"/>
    <n v="130"/>
    <n v="69176708.287099823"/>
    <n v="5398042.5419501662"/>
  </r>
  <r>
    <d v="2020-11-01T00:00:00"/>
    <n v="11"/>
    <x v="10"/>
    <n v="75524140.206439972"/>
    <n v="334.79999999999995"/>
    <n v="0"/>
    <n v="152.97828523674082"/>
    <n v="30"/>
    <n v="0"/>
    <n v="0"/>
    <n v="0"/>
    <n v="0"/>
    <n v="131"/>
    <n v="69373136.75064531"/>
    <n v="6151003.4557946622"/>
  </r>
  <r>
    <d v="2020-12-01T00:00:00"/>
    <n v="12"/>
    <x v="10"/>
    <n v="78942466.150570005"/>
    <n v="567.29999999999995"/>
    <n v="0"/>
    <n v="152.25881282232783"/>
    <n v="31"/>
    <n v="0"/>
    <n v="0"/>
    <n v="0"/>
    <n v="0"/>
    <n v="132"/>
    <n v="74238530.618933901"/>
    <n v="4703935.531636104"/>
  </r>
  <r>
    <d v="2021-01-01T00:00:00"/>
    <n v="1"/>
    <x v="11"/>
    <m/>
    <n v="709.9571428571428"/>
    <n v="0"/>
    <n v="152.76950332981193"/>
    <n v="31"/>
    <n v="0"/>
    <n v="0"/>
    <n v="0"/>
    <n v="0"/>
    <n v="133"/>
    <n v="76361692.581068769"/>
    <n v="-76361692.581068769"/>
  </r>
  <r>
    <d v="2021-02-01T00:00:00"/>
    <n v="2"/>
    <x v="11"/>
    <m/>
    <n v="632.24714285714276"/>
    <n v="0"/>
    <n v="153.28190674172239"/>
    <n v="28"/>
    <n v="0"/>
    <n v="0"/>
    <n v="0"/>
    <n v="0"/>
    <n v="134"/>
    <n v="69033986.086892948"/>
    <n v="-69033986.086892948"/>
  </r>
  <r>
    <d v="2021-03-01T00:00:00"/>
    <n v="3"/>
    <x v="11"/>
    <m/>
    <n v="548.30285714285731"/>
    <n v="5.7142857142857169E-3"/>
    <n v="153.79602880330322"/>
    <n v="31"/>
    <n v="1"/>
    <n v="0"/>
    <n v="0"/>
    <n v="0"/>
    <n v="135"/>
    <n v="72549628.21957849"/>
    <n v="-72549628.21957849"/>
  </r>
  <r>
    <d v="2021-04-01T00:00:00"/>
    <n v="4"/>
    <x v="11"/>
    <m/>
    <n v="302.96571428571434"/>
    <n v="2.145714285714285"/>
    <n v="154.31187527906849"/>
    <n v="30"/>
    <n v="0"/>
    <n v="1"/>
    <n v="0"/>
    <n v="0"/>
    <n v="136"/>
    <n v="64957566.890166208"/>
    <n v="-64957566.890166208"/>
  </r>
  <r>
    <d v="2021-05-01T00:00:00"/>
    <n v="5"/>
    <x v="11"/>
    <m/>
    <n v="159.72142857142859"/>
    <n v="8.9185714285714237"/>
    <n v="154.829451952867"/>
    <n v="31"/>
    <n v="0"/>
    <n v="0"/>
    <n v="1"/>
    <n v="0"/>
    <n v="137"/>
    <n v="67063364.737640426"/>
    <n v="-67063364.737640426"/>
  </r>
  <r>
    <d v="2021-06-01T00:00:00"/>
    <n v="6"/>
    <x v="11"/>
    <m/>
    <n v="31.881428571428572"/>
    <n v="74.13000000000001"/>
    <n v="155.34876462794719"/>
    <n v="30"/>
    <n v="0"/>
    <n v="0"/>
    <n v="0"/>
    <n v="0"/>
    <n v="138"/>
    <n v="74506112.019210249"/>
    <n v="-74506112.019210249"/>
  </r>
  <r>
    <d v="2021-07-01T00:00:00"/>
    <n v="7"/>
    <x v="11"/>
    <m/>
    <n v="3.9171428571428573"/>
    <n v="122.69"/>
    <n v="155.86981912702208"/>
    <n v="31"/>
    <n v="0"/>
    <n v="0"/>
    <n v="0"/>
    <n v="0"/>
    <n v="139"/>
    <n v="82375039.045216694"/>
    <n v="-82375039.045216694"/>
  </r>
  <r>
    <d v="2021-08-01T00:00:00"/>
    <n v="8"/>
    <x v="11"/>
    <m/>
    <n v="5.4957142857142856"/>
    <n v="118.71428571428569"/>
    <n v="156.39262129233467"/>
    <n v="31"/>
    <n v="0"/>
    <n v="0"/>
    <n v="0"/>
    <n v="0"/>
    <n v="140"/>
    <n v="82028492.185914233"/>
    <n v="-82028492.185914233"/>
  </r>
  <r>
    <d v="2021-09-01T00:00:00"/>
    <n v="9"/>
    <x v="11"/>
    <m/>
    <n v="61.315714285714307"/>
    <n v="37.677142857142854"/>
    <n v="156.91717698572333"/>
    <n v="30"/>
    <n v="0"/>
    <n v="0"/>
    <n v="0"/>
    <n v="0"/>
    <n v="141"/>
    <n v="70772850.516005263"/>
    <n v="-70772850.516005263"/>
  </r>
  <r>
    <d v="2021-10-01T00:00:00"/>
    <n v="10"/>
    <x v="11"/>
    <m/>
    <n v="248.0842857142857"/>
    <n v="4.225714285714286"/>
    <n v="157.44349208868769"/>
    <n v="31"/>
    <n v="0"/>
    <n v="0"/>
    <n v="0"/>
    <n v="1"/>
    <n v="142"/>
    <n v="69564382.802711874"/>
    <n v="-69564382.802711874"/>
  </r>
  <r>
    <d v="2021-11-01T00:00:00"/>
    <n v="11"/>
    <x v="11"/>
    <m/>
    <n v="385.99142857142857"/>
    <n v="0"/>
    <n v="157.97157250245439"/>
    <n v="30"/>
    <n v="0"/>
    <n v="0"/>
    <n v="0"/>
    <n v="0"/>
    <n v="143"/>
    <n v="70918231.565661654"/>
    <n v="-70918231.565661654"/>
  </r>
  <r>
    <d v="2021-12-01T00:00:00"/>
    <n v="12"/>
    <x v="11"/>
    <m/>
    <n v="629.05999999999995"/>
    <n v="0"/>
    <n v="158.50142414804324"/>
    <n v="31"/>
    <n v="0"/>
    <n v="0"/>
    <n v="0"/>
    <n v="0"/>
    <n v="144"/>
    <n v="76580831.051713809"/>
    <n v="-76580831.051713809"/>
  </r>
  <r>
    <d v="2022-01-01T00:00:00"/>
    <n v="1"/>
    <x v="12"/>
    <m/>
    <n v="709.9571428571428"/>
    <n v="0"/>
    <n v="159.09656722616333"/>
    <n v="31"/>
    <n v="0"/>
    <n v="0"/>
    <n v="0"/>
    <n v="0"/>
    <n v="145"/>
    <n v="77879710.984553888"/>
    <n v="-77879710.984553888"/>
  </r>
  <r>
    <d v="2022-02-01T00:00:00"/>
    <n v="2"/>
    <x v="12"/>
    <m/>
    <n v="632.24714285714276"/>
    <n v="0"/>
    <n v="159.69394495476266"/>
    <n v="28"/>
    <n v="0"/>
    <n v="0"/>
    <n v="0"/>
    <n v="0"/>
    <n v="146"/>
    <n v="70596123.113864049"/>
    <n v="-70596123.113864049"/>
  </r>
  <r>
    <d v="2022-03-01T00:00:00"/>
    <n v="3"/>
    <x v="12"/>
    <m/>
    <n v="548.30285714285731"/>
    <n v="5.7142857142857169E-3"/>
    <n v="160.29356572453409"/>
    <n v="31"/>
    <n v="1"/>
    <n v="0"/>
    <n v="0"/>
    <n v="0"/>
    <n v="147"/>
    <n v="74156156.133845791"/>
    <n v="-74156156.133845791"/>
  </r>
  <r>
    <d v="2022-04-01T00:00:00"/>
    <n v="4"/>
    <x v="12"/>
    <m/>
    <n v="302.96571428571434"/>
    <n v="2.145714285714285"/>
    <n v="160.89543795767591"/>
    <n v="30"/>
    <n v="0"/>
    <n v="1"/>
    <n v="0"/>
    <n v="0"/>
    <n v="148"/>
    <n v="66608759.335408077"/>
    <n v="-66608759.335408077"/>
  </r>
  <r>
    <d v="2022-05-01T00:00:00"/>
    <n v="5"/>
    <x v="12"/>
    <m/>
    <n v="159.72142857142859"/>
    <n v="8.9185714285714237"/>
    <n v="161.49957010801023"/>
    <n v="31"/>
    <n v="0"/>
    <n v="0"/>
    <n v="1"/>
    <n v="0"/>
    <n v="149"/>
    <n v="68759496.743784219"/>
    <n v="-68759496.743784219"/>
  </r>
  <r>
    <d v="2022-06-01T00:00:00"/>
    <n v="6"/>
    <x v="12"/>
    <m/>
    <n v="31.881428571428572"/>
    <n v="74.13000000000001"/>
    <n v="162.10597066110165"/>
    <n v="30"/>
    <n v="0"/>
    <n v="0"/>
    <n v="0"/>
    <n v="0"/>
    <n v="150"/>
    <n v="76247460.008840427"/>
    <n v="-76247460.008840427"/>
  </r>
  <r>
    <d v="2022-07-01T00:00:00"/>
    <n v="7"/>
    <x v="12"/>
    <m/>
    <n v="3.9171428571428573"/>
    <n v="122.69"/>
    <n v="162.71464813437649"/>
    <n v="31"/>
    <n v="0"/>
    <n v="0"/>
    <n v="0"/>
    <n v="0"/>
    <n v="151"/>
    <n v="84161880.840011641"/>
    <n v="-84161880.840011641"/>
  </r>
  <r>
    <d v="2022-08-01T00:00:00"/>
    <n v="8"/>
    <x v="12"/>
    <m/>
    <n v="5.4957142857142856"/>
    <n v="118.71428571428569"/>
    <n v="163.32561107724234"/>
    <n v="31"/>
    <n v="0"/>
    <n v="0"/>
    <n v="0"/>
    <n v="0"/>
    <n v="152"/>
    <n v="83861107.013110802"/>
    <n v="-83861107.013110802"/>
  </r>
  <r>
    <d v="2022-09-01T00:00:00"/>
    <n v="9"/>
    <x v="12"/>
    <m/>
    <n v="61.315714285714307"/>
    <n v="37.677142857142854"/>
    <n v="163.9388680712083"/>
    <n v="30"/>
    <n v="0"/>
    <n v="0"/>
    <n v="0"/>
    <n v="0"/>
    <n v="153"/>
    <n v="72651519.014892101"/>
    <n v="-72651519.014892101"/>
  </r>
  <r>
    <d v="2022-10-01T00:00:00"/>
    <n v="10"/>
    <x v="12"/>
    <m/>
    <n v="248.0842857142857"/>
    <n v="4.225714285714286"/>
    <n v="164.55442773000539"/>
    <n v="31"/>
    <n v="0"/>
    <n v="0"/>
    <n v="0"/>
    <n v="1"/>
    <n v="154"/>
    <n v="71489387.031150684"/>
    <n v="-71489387.031150684"/>
  </r>
  <r>
    <d v="2022-11-01T00:00:00"/>
    <n v="11"/>
    <x v="12"/>
    <m/>
    <n v="385.99142857142857"/>
    <n v="0"/>
    <n v="165.17229869970754"/>
    <n v="30"/>
    <n v="0"/>
    <n v="0"/>
    <n v="0"/>
    <n v="0"/>
    <n v="155"/>
    <n v="72889855.006637603"/>
    <n v="-72889855.006637603"/>
  </r>
  <r>
    <d v="2022-12-01T00:00:00"/>
    <n v="12"/>
    <x v="12"/>
    <m/>
    <n v="629.05999999999995"/>
    <n v="0"/>
    <n v="165.79248965885324"/>
    <n v="31"/>
    <n v="0"/>
    <n v="0"/>
    <n v="0"/>
    <n v="0"/>
    <n v="156"/>
    <n v="78599358.619914398"/>
    <n v="-78599358.6199143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43" applyNumberFormats="0" applyBorderFormats="0" applyFontFormats="0" applyPatternFormats="0" applyAlignmentFormats="0" applyWidthHeightFormats="1" dataCaption="Data" updatedVersion="4" minRefreshableVersion="3" showMemberPropertyTips="0" useAutoFormatting="1" rowGrandTotals="0" colGrandTotals="0" itemPrintTitles="1" createdVersion="4" indent="0" compact="0" compactData="0" gridDropZones="1">
  <location ref="D5:J19" firstHeaderRow="1" firstDataRow="2" firstDataCol="1"/>
  <pivotFields count="15">
    <pivotField compact="0" numFmtId="17" outline="0" subtotalTop="0" showAll="0" includeNewItemsInFilter="1"/>
    <pivotField compact="0" outline="0" showAll="0" defaultSubtotal="0"/>
    <pivotField axis="axisRow" compact="0" outline="0" subtotalTop="0" showAll="0" includeNewItemsInFilter="1">
      <items count="14">
        <item x="0"/>
        <item x="1"/>
        <item x="2"/>
        <item x="3"/>
        <item x="4"/>
        <item x="5"/>
        <item x="6"/>
        <item x="7"/>
        <item x="8"/>
        <item x="9"/>
        <item x="10"/>
        <item x="11"/>
        <item x="12"/>
        <item t="default"/>
      </items>
    </pivotField>
    <pivotField dataField="1" compact="0" outline="0" subtotalTop="0" showAll="0" includeNewItemsInFilter="1"/>
    <pivotField dataField="1" compact="0" numFmtId="43" outline="0" subtotalTop="0" showAll="0" includeNewItemsInFilter="1"/>
    <pivotField dataField="1" compact="0" numFmtId="43" outline="0" subtotalTop="0" showAll="0" includeNewItemsInFilter="1"/>
    <pivotField compact="0" numFmtId="171" outline="0" subtotalTop="0" showAll="0" includeNewItemsInFilter="1" defaultSubtotal="0"/>
    <pivotField compact="0" numFmtId="37" outline="0" subtotalTop="0" showAll="0" includeNewItemsInFilter="1"/>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howAll="0" defaultSubtotal="0"/>
    <pivotField dataField="1" compact="0" numFmtId="37" outline="0" subtotalTop="0" showAll="0" includeNewItemsInFilter="1" defaultSubtotal="0"/>
    <pivotField dataField="1" compact="0" numFmtId="43" outline="0" subtotalTop="0" showAll="0" includeNewItemsInFilter="1" defaultSubtotal="0"/>
  </pivotFields>
  <rowFields count="1">
    <field x="2"/>
  </rowFields>
  <rowItems count="13">
    <i>
      <x/>
    </i>
    <i>
      <x v="1"/>
    </i>
    <i>
      <x v="2"/>
    </i>
    <i>
      <x v="3"/>
    </i>
    <i>
      <x v="4"/>
    </i>
    <i>
      <x v="5"/>
    </i>
    <i>
      <x v="6"/>
    </i>
    <i>
      <x v="7"/>
    </i>
    <i>
      <x v="8"/>
    </i>
    <i>
      <x v="9"/>
    </i>
    <i>
      <x v="10"/>
    </i>
    <i>
      <x v="11"/>
    </i>
    <i>
      <x v="12"/>
    </i>
  </rowItems>
  <colFields count="1">
    <field x="-2"/>
  </colFields>
  <colItems count="6">
    <i>
      <x/>
    </i>
    <i i="1">
      <x v="1"/>
    </i>
    <i i="2">
      <x v="2"/>
    </i>
    <i i="3">
      <x v="3"/>
    </i>
    <i i="4">
      <x v="4"/>
    </i>
    <i i="5">
      <x v="5"/>
    </i>
  </colItems>
  <dataFields count="6">
    <dataField name="Count of Purchased" fld="3" subtotal="count" baseField="0" baseItem="0"/>
    <dataField name="Sum of Purchased2" fld="3" baseField="1" baseItem="0" numFmtId="3"/>
    <dataField name="Sum of Heating Degree Days" fld="4" baseField="0" baseItem="0" numFmtId="3"/>
    <dataField name="Sum of Cooling Degree Days" fld="5" baseField="0" baseItem="0"/>
    <dataField name="Sum of Predicted Purchases " fld="13" baseField="0" baseItem="0"/>
    <dataField name="Sum of Predicted Less Acturals" fld="14" baseField="0" baseItem="0"/>
  </dataFields>
  <formats count="4">
    <format dxfId="7">
      <pivotArea outline="0" fieldPosition="0">
        <references count="1">
          <reference field="4294967294" count="1" selected="0">
            <x v="1"/>
          </reference>
        </references>
      </pivotArea>
    </format>
    <format dxfId="6">
      <pivotArea type="all" dataOnly="0" outline="0" fieldPosition="0"/>
    </format>
    <format dxfId="5">
      <pivotArea outline="0" fieldPosition="0">
        <references count="1">
          <reference field="4294967294" count="1">
            <x v="2"/>
          </reference>
        </references>
      </pivotArea>
    </format>
    <format dxfId="4">
      <pivotArea outline="0" fieldPosition="0">
        <references count="1">
          <reference field="4294967294" count="1">
            <x v="1"/>
          </reference>
        </references>
      </pivotArea>
    </format>
  </formats>
  <pivotTableStyleInfo showRowHeaders="1" showColHeaders="1" showRowStripes="0" showColStripes="0" showLastColumn="1"/>
</pivotTableDefinition>
</file>

<file path=xl/pivotTables/pivotTable2.xml><?xml version="1.0" encoding="utf-8"?>
<pivotTableDefinition xmlns="http://schemas.openxmlformats.org/spreadsheetml/2006/main" name="PivotTable3" cacheId="144" applyNumberFormats="0" applyBorderFormats="0" applyFontFormats="0" applyPatternFormats="0" applyAlignmentFormats="0" applyWidthHeightFormats="1" dataCaption="Data" updatedVersion="4" minRefreshableVersion="3" showMemberPropertyTips="0" useAutoFormatting="1" rowGrandTotals="0" colGrandTotals="0" itemPrintTitles="1" createdVersion="4" indent="0" compact="0" compactData="0" gridDropZones="1">
  <location ref="D5:J19" firstHeaderRow="1" firstDataRow="2" firstDataCol="1"/>
  <pivotFields count="15">
    <pivotField compact="0" numFmtId="17" outline="0" subtotalTop="0" showAll="0" includeNewItemsInFilter="1"/>
    <pivotField compact="0" outline="0" showAll="0" defaultSubtotal="0"/>
    <pivotField axis="axisRow" compact="0" outline="0" subtotalTop="0" showAll="0" includeNewItemsInFilter="1">
      <items count="14">
        <item x="0"/>
        <item x="1"/>
        <item x="2"/>
        <item x="3"/>
        <item x="4"/>
        <item x="5"/>
        <item x="6"/>
        <item x="7"/>
        <item x="8"/>
        <item x="9"/>
        <item x="10"/>
        <item x="11"/>
        <item x="12"/>
        <item t="default"/>
      </items>
    </pivotField>
    <pivotField dataField="1" compact="0" outline="0" subtotalTop="0" showAll="0" includeNewItemsInFilter="1"/>
    <pivotField dataField="1" compact="0" numFmtId="43" outline="0" subtotalTop="0" showAll="0" includeNewItemsInFilter="1"/>
    <pivotField dataField="1" compact="0" numFmtId="43" outline="0" subtotalTop="0" showAll="0" includeNewItemsInFilter="1"/>
    <pivotField compact="0" numFmtId="171" outline="0" subtotalTop="0" showAll="0" includeNewItemsInFilter="1" defaultSubtotal="0"/>
    <pivotField compact="0" numFmtId="37" outline="0" subtotalTop="0" showAll="0" includeNewItemsInFilter="1"/>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ubtotalTop="0" showAll="0" includeNewItemsInFilter="1" defaultSubtotal="0"/>
    <pivotField compact="0" numFmtId="37" outline="0" showAll="0" defaultSubtotal="0"/>
    <pivotField dataField="1" compact="0" numFmtId="37" outline="0" subtotalTop="0" showAll="0" includeNewItemsInFilter="1" defaultSubtotal="0"/>
    <pivotField dataField="1" compact="0" numFmtId="43" outline="0" subtotalTop="0" showAll="0" includeNewItemsInFilter="1" defaultSubtotal="0"/>
  </pivotFields>
  <rowFields count="1">
    <field x="2"/>
  </rowFields>
  <rowItems count="13">
    <i>
      <x/>
    </i>
    <i>
      <x v="1"/>
    </i>
    <i>
      <x v="2"/>
    </i>
    <i>
      <x v="3"/>
    </i>
    <i>
      <x v="4"/>
    </i>
    <i>
      <x v="5"/>
    </i>
    <i>
      <x v="6"/>
    </i>
    <i>
      <x v="7"/>
    </i>
    <i>
      <x v="8"/>
    </i>
    <i>
      <x v="9"/>
    </i>
    <i>
      <x v="10"/>
    </i>
    <i>
      <x v="11"/>
    </i>
    <i>
      <x v="12"/>
    </i>
  </rowItems>
  <colFields count="1">
    <field x="-2"/>
  </colFields>
  <colItems count="6">
    <i>
      <x/>
    </i>
    <i i="1">
      <x v="1"/>
    </i>
    <i i="2">
      <x v="2"/>
    </i>
    <i i="3">
      <x v="3"/>
    </i>
    <i i="4">
      <x v="4"/>
    </i>
    <i i="5">
      <x v="5"/>
    </i>
  </colItems>
  <dataFields count="6">
    <dataField name="Count of Purchased" fld="3" subtotal="count" baseField="0" baseItem="0"/>
    <dataField name="Sum of Purchased2" fld="3" baseField="1" baseItem="0" numFmtId="3"/>
    <dataField name="Sum of Heating Degree Days" fld="4" baseField="0" baseItem="0" numFmtId="3"/>
    <dataField name="Sum of Cooling Degree Days" fld="5" baseField="0" baseItem="0"/>
    <dataField name="Sum of Predicted Purchases " fld="13" baseField="0" baseItem="0"/>
    <dataField name="Sum of Predicted Less Acturals" fld="14" baseField="0" baseItem="0"/>
  </dataFields>
  <formats count="4">
    <format dxfId="3">
      <pivotArea outline="0" fieldPosition="0">
        <references count="1">
          <reference field="4294967294" count="1" selected="0">
            <x v="1"/>
          </reference>
        </references>
      </pivotArea>
    </format>
    <format dxfId="2">
      <pivotArea type="all" dataOnly="0" outline="0" fieldPosition="0"/>
    </format>
    <format dxfId="1">
      <pivotArea outline="0" fieldPosition="0">
        <references count="1">
          <reference field="4294967294" count="1">
            <x v="2"/>
          </reference>
        </references>
      </pivotArea>
    </format>
    <format dxfId="0">
      <pivotArea outline="0" fieldPosition="0">
        <references count="1">
          <reference field="4294967294" count="1">
            <x v="1"/>
          </reference>
        </references>
      </pivotArea>
    </format>
  </formats>
  <pivotTableStyleInfo showRowHeaders="1" showColHeaders="1" showRowStripes="0" showColStripes="0" showLastColumn="1"/>
</pivotTableDefinition>
</file>

<file path=xl/pivotTables/pivotTable3.xml><?xml version="1.0" encoding="utf-8"?>
<pivotTableDefinition xmlns="http://schemas.openxmlformats.org/spreadsheetml/2006/main" name="PivotTable1" cacheId="142"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W2:X15" firstHeaderRow="1" firstDataRow="1" firstDataCol="1"/>
  <pivotFields count="4">
    <pivotField numFmtId="174" showAll="0"/>
    <pivotField axis="axisRow" showAll="0">
      <items count="13">
        <item x="0"/>
        <item x="1"/>
        <item x="2"/>
        <item x="3"/>
        <item x="4"/>
        <item x="5"/>
        <item x="6"/>
        <item x="7"/>
        <item x="8"/>
        <item x="9"/>
        <item x="10"/>
        <item x="11"/>
        <item t="default"/>
      </items>
    </pivotField>
    <pivotField showAll="0"/>
    <pivotField dataField="1" numFmtId="38" showAll="0"/>
  </pivotFields>
  <rowFields count="1">
    <field x="1"/>
  </rowFields>
  <rowItems count="13">
    <i>
      <x/>
    </i>
    <i>
      <x v="1"/>
    </i>
    <i>
      <x v="2"/>
    </i>
    <i>
      <x v="3"/>
    </i>
    <i>
      <x v="4"/>
    </i>
    <i>
      <x v="5"/>
    </i>
    <i>
      <x v="6"/>
    </i>
    <i>
      <x v="7"/>
    </i>
    <i>
      <x v="8"/>
    </i>
    <i>
      <x v="9"/>
    </i>
    <i>
      <x v="10"/>
    </i>
    <i>
      <x v="11"/>
    </i>
    <i t="grand">
      <x/>
    </i>
  </rowItems>
  <colItems count="1">
    <i/>
  </colItems>
  <dataFields count="1">
    <dataField name="Sum of Purchased"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hyperlink" Target="../../../../Exhibits/Exhibit%207-%20Cost%20Allocation/Load%20Profiles/2009-2019%20HDD%20and%20CDD%20for%20Load%20Profile%20v1.xlsx" TargetMode="Externa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3.bin"/><Relationship Id="rId1" Type="http://schemas.openxmlformats.org/officeDocument/2006/relationships/pivotTable" Target="../pivotTables/pivotTable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hyperlink" Target="https://www.fin.gov.on.ca/en/economy/ecaccts/" TargetMode="External"/></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thoughtleadership.rbc.com/2021-promises-better-days-from-coast-to-coast/?utm_medium=referral&amp;utm_source=economics&amp;utm_campaign=provincial" TargetMode="External"/><Relationship Id="rId7" Type="http://schemas.openxmlformats.org/officeDocument/2006/relationships/hyperlink" Target="https://www.nbc.ca/content/dam/bnc/en/rates-and-analysis/economic-analysis/monthly-economic-monitor.pdf" TargetMode="External"/><Relationship Id="rId2" Type="http://schemas.openxmlformats.org/officeDocument/2006/relationships/hyperlink" Target="https://economics.td.com/provincial-economic-forecast" TargetMode="External"/><Relationship Id="rId1" Type="http://schemas.openxmlformats.org/officeDocument/2006/relationships/hyperlink" Target="https://www.ontario.ca/document/ontarios-long-term-report-economy/chapter-2-economic-trends-and-projections" TargetMode="External"/><Relationship Id="rId6" Type="http://schemas.openxmlformats.org/officeDocument/2006/relationships/hyperlink" Target="https://www.ontario.ca/document/ontarios-long-term-report-economy/chapter-1-demographic-trends-and-projections" TargetMode="External"/><Relationship Id="rId5" Type="http://schemas.openxmlformats.org/officeDocument/2006/relationships/hyperlink" Target="https://www.desjardins.com/ressources/pdf/peft2012-e.pdf?resVer=1608302423000" TargetMode="External"/><Relationship Id="rId4" Type="http://schemas.openxmlformats.org/officeDocument/2006/relationships/hyperlink" Target="https://www.nbc.ca/content/dam/bnc/en/rates-and-analysis/economic-analysis/monthly-economic-monitor.pdf" TargetMode="External"/><Relationship Id="rId9"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T160"/>
  <sheetViews>
    <sheetView workbookViewId="0"/>
  </sheetViews>
  <sheetFormatPr defaultRowHeight="13.2" x14ac:dyDescent="0.25"/>
  <cols>
    <col min="2" max="2" width="21.5546875" customWidth="1"/>
    <col min="3" max="3" width="12.5546875" customWidth="1"/>
    <col min="5" max="6" width="17.21875" customWidth="1"/>
  </cols>
  <sheetData>
    <row r="1" spans="1:20" ht="52.8" x14ac:dyDescent="0.25">
      <c r="B1" s="69" t="s">
        <v>120</v>
      </c>
      <c r="C1" s="69" t="s">
        <v>124</v>
      </c>
      <c r="D1" s="69" t="s">
        <v>122</v>
      </c>
      <c r="E1" s="69" t="s">
        <v>123</v>
      </c>
      <c r="F1" s="69" t="s">
        <v>127</v>
      </c>
      <c r="G1" s="69" t="s">
        <v>125</v>
      </c>
      <c r="H1" s="69" t="s">
        <v>126</v>
      </c>
    </row>
    <row r="2" spans="1:20" x14ac:dyDescent="0.25">
      <c r="B2" t="s">
        <v>121</v>
      </c>
      <c r="C2" t="s">
        <v>121</v>
      </c>
      <c r="D2" t="s">
        <v>121</v>
      </c>
      <c r="E2" t="s">
        <v>121</v>
      </c>
      <c r="S2" s="70" t="s">
        <v>95</v>
      </c>
      <c r="T2" s="70">
        <v>1</v>
      </c>
    </row>
    <row r="3" spans="1:20" x14ac:dyDescent="0.25">
      <c r="A3">
        <v>2006</v>
      </c>
      <c r="B3" s="63">
        <v>0</v>
      </c>
      <c r="C3" s="63">
        <v>10</v>
      </c>
      <c r="D3">
        <f>C3/2</f>
        <v>5</v>
      </c>
      <c r="E3">
        <f>B3+D3</f>
        <v>5</v>
      </c>
      <c r="F3">
        <f>D28</f>
        <v>9.2307692307692299</v>
      </c>
      <c r="G3">
        <f>E3</f>
        <v>5</v>
      </c>
      <c r="H3">
        <f>G3/$T$14</f>
        <v>6.4102564102564097E-2</v>
      </c>
      <c r="S3" s="70" t="s">
        <v>96</v>
      </c>
      <c r="T3" s="70">
        <v>2</v>
      </c>
    </row>
    <row r="4" spans="1:20" x14ac:dyDescent="0.25">
      <c r="A4">
        <v>2007</v>
      </c>
      <c r="B4" s="63">
        <v>10</v>
      </c>
      <c r="C4" s="63">
        <v>10</v>
      </c>
      <c r="D4">
        <f t="shared" ref="D4:D14" si="0">C4/2</f>
        <v>5</v>
      </c>
      <c r="E4">
        <f t="shared" ref="E4:E14" si="1">B4+D4</f>
        <v>15</v>
      </c>
      <c r="F4">
        <f>D40</f>
        <v>19.881656804733733</v>
      </c>
      <c r="G4">
        <f>E4-F3</f>
        <v>5.7692307692307701</v>
      </c>
      <c r="H4">
        <f t="shared" ref="H4:H13" si="2">G4/$T$14</f>
        <v>7.3964497041420135E-2</v>
      </c>
      <c r="S4" s="70" t="s">
        <v>97</v>
      </c>
      <c r="T4" s="70">
        <v>3</v>
      </c>
    </row>
    <row r="5" spans="1:20" x14ac:dyDescent="0.25">
      <c r="A5">
        <v>2008</v>
      </c>
      <c r="B5" s="63">
        <v>20</v>
      </c>
      <c r="C5" s="63">
        <v>10</v>
      </c>
      <c r="D5">
        <f t="shared" si="0"/>
        <v>5</v>
      </c>
      <c r="E5">
        <f t="shared" si="1"/>
        <v>25</v>
      </c>
      <c r="F5">
        <f>D52</f>
        <v>29.330905780609921</v>
      </c>
      <c r="G5">
        <f t="shared" ref="G5:G14" si="3">E5-F4</f>
        <v>5.1183431952662666</v>
      </c>
      <c r="H5">
        <f t="shared" si="2"/>
        <v>6.561978455469572E-2</v>
      </c>
      <c r="S5" s="70" t="s">
        <v>98</v>
      </c>
      <c r="T5" s="70">
        <v>4</v>
      </c>
    </row>
    <row r="6" spans="1:20" x14ac:dyDescent="0.25">
      <c r="A6">
        <v>2009</v>
      </c>
      <c r="B6" s="63">
        <v>30</v>
      </c>
      <c r="C6" s="63">
        <v>10</v>
      </c>
      <c r="D6">
        <f t="shared" si="0"/>
        <v>5</v>
      </c>
      <c r="E6">
        <f t="shared" si="1"/>
        <v>35</v>
      </c>
      <c r="F6">
        <f>D64</f>
        <v>39.796925877945469</v>
      </c>
      <c r="G6">
        <f t="shared" si="3"/>
        <v>5.6690942193900788</v>
      </c>
      <c r="H6">
        <f t="shared" si="2"/>
        <v>7.2680695120385622E-2</v>
      </c>
      <c r="S6" s="70" t="s">
        <v>85</v>
      </c>
      <c r="T6" s="70">
        <v>5</v>
      </c>
    </row>
    <row r="7" spans="1:20" x14ac:dyDescent="0.25">
      <c r="A7">
        <v>2010</v>
      </c>
      <c r="B7" s="63">
        <v>40</v>
      </c>
      <c r="C7" s="63">
        <v>10</v>
      </c>
      <c r="D7">
        <f t="shared" si="0"/>
        <v>5</v>
      </c>
      <c r="E7">
        <f t="shared" si="1"/>
        <v>45</v>
      </c>
      <c r="F7">
        <f>D76</f>
        <v>49.402601180200008</v>
      </c>
      <c r="G7">
        <f t="shared" si="3"/>
        <v>5.2030741220545309</v>
      </c>
      <c r="H7">
        <f t="shared" si="2"/>
        <v>6.6706078487878601E-2</v>
      </c>
      <c r="S7" s="70" t="s">
        <v>99</v>
      </c>
      <c r="T7" s="70">
        <v>6</v>
      </c>
    </row>
    <row r="8" spans="1:20" x14ac:dyDescent="0.25">
      <c r="A8">
        <v>2011</v>
      </c>
      <c r="B8" s="63">
        <v>50</v>
      </c>
      <c r="C8" s="63">
        <v>10</v>
      </c>
      <c r="D8">
        <f t="shared" si="0"/>
        <v>5</v>
      </c>
      <c r="E8">
        <f t="shared" si="1"/>
        <v>55</v>
      </c>
      <c r="F8">
        <f>D88</f>
        <v>59.736260539830795</v>
      </c>
      <c r="G8">
        <f t="shared" si="3"/>
        <v>5.5973988197999915</v>
      </c>
      <c r="H8">
        <f t="shared" si="2"/>
        <v>7.1761523330769128E-2</v>
      </c>
      <c r="S8" s="70" t="s">
        <v>100</v>
      </c>
      <c r="T8" s="70">
        <v>7</v>
      </c>
    </row>
    <row r="9" spans="1:20" x14ac:dyDescent="0.25">
      <c r="A9">
        <v>2012</v>
      </c>
      <c r="B9" s="63">
        <v>60</v>
      </c>
      <c r="C9" s="63">
        <v>10</v>
      </c>
      <c r="D9">
        <f t="shared" si="0"/>
        <v>5</v>
      </c>
      <c r="E9">
        <f t="shared" si="1"/>
        <v>65</v>
      </c>
      <c r="F9">
        <f>D100</f>
        <v>69.45393338937393</v>
      </c>
      <c r="G9">
        <f t="shared" si="3"/>
        <v>5.2637394601692051</v>
      </c>
      <c r="H9">
        <f t="shared" si="2"/>
        <v>6.7483839232938533E-2</v>
      </c>
      <c r="S9" s="70" t="s">
        <v>101</v>
      </c>
      <c r="T9" s="70">
        <v>8</v>
      </c>
    </row>
    <row r="10" spans="1:20" x14ac:dyDescent="0.25">
      <c r="A10">
        <v>2013</v>
      </c>
      <c r="B10" s="63">
        <v>70</v>
      </c>
      <c r="C10" s="63">
        <v>10</v>
      </c>
      <c r="D10">
        <f t="shared" si="0"/>
        <v>5</v>
      </c>
      <c r="E10">
        <f t="shared" si="1"/>
        <v>75</v>
      </c>
      <c r="F10">
        <f>D112</f>
        <v>79.692825593606685</v>
      </c>
      <c r="G10">
        <f t="shared" si="3"/>
        <v>5.5460666106260703</v>
      </c>
      <c r="H10">
        <f t="shared" si="2"/>
        <v>7.1103418084949618E-2</v>
      </c>
      <c r="S10" s="70" t="s">
        <v>102</v>
      </c>
      <c r="T10" s="70">
        <v>9</v>
      </c>
    </row>
    <row r="11" spans="1:20" x14ac:dyDescent="0.25">
      <c r="A11">
        <v>2014</v>
      </c>
      <c r="B11" s="63">
        <v>80</v>
      </c>
      <c r="C11" s="63">
        <v>10</v>
      </c>
      <c r="D11">
        <f t="shared" si="0"/>
        <v>5</v>
      </c>
      <c r="E11">
        <f t="shared" si="1"/>
        <v>85</v>
      </c>
      <c r="F11">
        <f>D124</f>
        <v>89.490686036178943</v>
      </c>
      <c r="G11">
        <f t="shared" si="3"/>
        <v>5.3071744063933153</v>
      </c>
      <c r="H11">
        <f t="shared" si="2"/>
        <v>6.8040697517863014E-2</v>
      </c>
      <c r="S11" s="70" t="s">
        <v>103</v>
      </c>
      <c r="T11" s="70">
        <v>10</v>
      </c>
    </row>
    <row r="12" spans="1:20" x14ac:dyDescent="0.25">
      <c r="A12">
        <v>2015</v>
      </c>
      <c r="B12" s="63">
        <v>90</v>
      </c>
      <c r="C12" s="68">
        <v>10</v>
      </c>
      <c r="D12">
        <f t="shared" si="0"/>
        <v>5</v>
      </c>
      <c r="E12">
        <f t="shared" si="1"/>
        <v>95</v>
      </c>
      <c r="F12">
        <f>D136</f>
        <v>99.661727200156292</v>
      </c>
      <c r="G12">
        <f t="shared" si="3"/>
        <v>5.5093139638210573</v>
      </c>
      <c r="H12">
        <f t="shared" si="2"/>
        <v>7.0632230305398169E-2</v>
      </c>
      <c r="S12" s="70" t="s">
        <v>104</v>
      </c>
      <c r="T12" s="70">
        <v>11</v>
      </c>
    </row>
    <row r="13" spans="1:20" x14ac:dyDescent="0.25">
      <c r="A13">
        <v>2016</v>
      </c>
      <c r="B13" s="63">
        <v>100</v>
      </c>
      <c r="C13" s="68">
        <v>10</v>
      </c>
      <c r="D13">
        <f t="shared" si="0"/>
        <v>5</v>
      </c>
      <c r="E13">
        <f t="shared" si="1"/>
        <v>105</v>
      </c>
      <c r="F13">
        <f>D148</f>
        <v>109.51700006140629</v>
      </c>
      <c r="G13">
        <f t="shared" si="3"/>
        <v>5.3382727998437076</v>
      </c>
      <c r="H13">
        <f t="shared" si="2"/>
        <v>6.8439394869791129E-2</v>
      </c>
      <c r="S13" s="70" t="s">
        <v>105</v>
      </c>
      <c r="T13" s="70">
        <v>12</v>
      </c>
    </row>
    <row r="14" spans="1:20" x14ac:dyDescent="0.25">
      <c r="A14">
        <v>2017</v>
      </c>
      <c r="B14" s="63">
        <v>110</v>
      </c>
      <c r="C14" s="68">
        <v>10</v>
      </c>
      <c r="D14">
        <f t="shared" si="0"/>
        <v>5</v>
      </c>
      <c r="E14">
        <f t="shared" si="1"/>
        <v>115</v>
      </c>
      <c r="F14">
        <f>D160</f>
        <v>119.63946148650234</v>
      </c>
      <c r="G14">
        <f t="shared" si="3"/>
        <v>5.4829999385937072</v>
      </c>
      <c r="H14">
        <f>G14/$T$14</f>
        <v>7.0294871007611628E-2</v>
      </c>
      <c r="S14" s="70" t="s">
        <v>10</v>
      </c>
      <c r="T14" s="70">
        <v>78</v>
      </c>
    </row>
    <row r="17" spans="1:4" s="51" customFormat="1" x14ac:dyDescent="0.25">
      <c r="A17" s="49">
        <v>38718</v>
      </c>
      <c r="B17" s="51">
        <f>B16+$H$3</f>
        <v>6.4102564102564097E-2</v>
      </c>
      <c r="C17" s="51">
        <f>H3</f>
        <v>6.4102564102564097E-2</v>
      </c>
    </row>
    <row r="18" spans="1:4" s="54" customFormat="1" x14ac:dyDescent="0.25">
      <c r="A18" s="52">
        <v>38749</v>
      </c>
      <c r="B18" s="54">
        <f t="shared" ref="B18:B28" si="4">B17+$H$3</f>
        <v>0.12820512820512819</v>
      </c>
    </row>
    <row r="19" spans="1:4" s="54" customFormat="1" x14ac:dyDescent="0.25">
      <c r="A19" s="52">
        <v>38777</v>
      </c>
      <c r="B19" s="54">
        <f t="shared" si="4"/>
        <v>0.19230769230769229</v>
      </c>
    </row>
    <row r="20" spans="1:4" s="54" customFormat="1" x14ac:dyDescent="0.25">
      <c r="A20" s="52">
        <v>38808</v>
      </c>
      <c r="B20" s="54">
        <f t="shared" si="4"/>
        <v>0.25641025641025639</v>
      </c>
    </row>
    <row r="21" spans="1:4" s="54" customFormat="1" x14ac:dyDescent="0.25">
      <c r="A21" s="52">
        <v>38838</v>
      </c>
      <c r="B21" s="54">
        <f t="shared" si="4"/>
        <v>0.32051282051282048</v>
      </c>
    </row>
    <row r="22" spans="1:4" s="54" customFormat="1" x14ac:dyDescent="0.25">
      <c r="A22" s="52">
        <v>38869</v>
      </c>
      <c r="B22" s="54">
        <f t="shared" si="4"/>
        <v>0.38461538461538458</v>
      </c>
    </row>
    <row r="23" spans="1:4" s="54" customFormat="1" x14ac:dyDescent="0.25">
      <c r="A23" s="52">
        <v>38899</v>
      </c>
      <c r="B23" s="54">
        <f t="shared" si="4"/>
        <v>0.44871794871794868</v>
      </c>
    </row>
    <row r="24" spans="1:4" s="54" customFormat="1" x14ac:dyDescent="0.25">
      <c r="A24" s="52">
        <v>38930</v>
      </c>
      <c r="B24" s="54">
        <f t="shared" si="4"/>
        <v>0.51282051282051277</v>
      </c>
    </row>
    <row r="25" spans="1:4" s="54" customFormat="1" x14ac:dyDescent="0.25">
      <c r="A25" s="52">
        <v>38961</v>
      </c>
      <c r="B25" s="54">
        <f t="shared" si="4"/>
        <v>0.57692307692307687</v>
      </c>
    </row>
    <row r="26" spans="1:4" s="54" customFormat="1" x14ac:dyDescent="0.25">
      <c r="A26" s="52">
        <v>38991</v>
      </c>
      <c r="B26" s="54">
        <f t="shared" si="4"/>
        <v>0.64102564102564097</v>
      </c>
    </row>
    <row r="27" spans="1:4" s="54" customFormat="1" x14ac:dyDescent="0.25">
      <c r="A27" s="52">
        <v>39022</v>
      </c>
      <c r="B27" s="54">
        <f t="shared" si="4"/>
        <v>0.70512820512820507</v>
      </c>
      <c r="C27" s="54" t="s">
        <v>94</v>
      </c>
    </row>
    <row r="28" spans="1:4" s="57" customFormat="1" x14ac:dyDescent="0.25">
      <c r="A28" s="55">
        <v>39052</v>
      </c>
      <c r="B28" s="57">
        <f t="shared" si="4"/>
        <v>0.76923076923076916</v>
      </c>
      <c r="C28" s="57">
        <f>SUM(B17:B28)</f>
        <v>4.9999999999999991</v>
      </c>
      <c r="D28" s="57">
        <f>B28*12</f>
        <v>9.2307692307692299</v>
      </c>
    </row>
    <row r="29" spans="1:4" s="51" customFormat="1" x14ac:dyDescent="0.25">
      <c r="A29" s="49">
        <v>39083</v>
      </c>
      <c r="B29" s="51">
        <f>B28+$C$29</f>
        <v>0.84319526627218933</v>
      </c>
      <c r="C29" s="51">
        <f>H4</f>
        <v>7.3964497041420135E-2</v>
      </c>
    </row>
    <row r="30" spans="1:4" s="54" customFormat="1" x14ac:dyDescent="0.25">
      <c r="A30" s="52">
        <v>39114</v>
      </c>
      <c r="B30" s="54">
        <f>B29+$C$29</f>
        <v>0.91715976331360949</v>
      </c>
    </row>
    <row r="31" spans="1:4" s="54" customFormat="1" x14ac:dyDescent="0.25">
      <c r="A31" s="52">
        <v>39142</v>
      </c>
      <c r="B31" s="54">
        <f t="shared" ref="B31:B40" si="5">B30+$C$29</f>
        <v>0.99112426035502965</v>
      </c>
    </row>
    <row r="32" spans="1:4" s="54" customFormat="1" x14ac:dyDescent="0.25">
      <c r="A32" s="52">
        <v>39173</v>
      </c>
      <c r="B32" s="54">
        <f t="shared" si="5"/>
        <v>1.0650887573964498</v>
      </c>
    </row>
    <row r="33" spans="1:4" s="54" customFormat="1" x14ac:dyDescent="0.25">
      <c r="A33" s="52">
        <v>39203</v>
      </c>
      <c r="B33" s="54">
        <f t="shared" si="5"/>
        <v>1.13905325443787</v>
      </c>
    </row>
    <row r="34" spans="1:4" s="54" customFormat="1" x14ac:dyDescent="0.25">
      <c r="A34" s="52">
        <v>39234</v>
      </c>
      <c r="B34" s="54">
        <f t="shared" si="5"/>
        <v>1.2130177514792901</v>
      </c>
    </row>
    <row r="35" spans="1:4" s="54" customFormat="1" x14ac:dyDescent="0.25">
      <c r="A35" s="52">
        <v>39264</v>
      </c>
      <c r="B35" s="54">
        <f t="shared" si="5"/>
        <v>1.2869822485207103</v>
      </c>
    </row>
    <row r="36" spans="1:4" s="54" customFormat="1" x14ac:dyDescent="0.25">
      <c r="A36" s="52">
        <v>39295</v>
      </c>
      <c r="B36" s="54">
        <f t="shared" si="5"/>
        <v>1.3609467455621305</v>
      </c>
    </row>
    <row r="37" spans="1:4" s="54" customFormat="1" x14ac:dyDescent="0.25">
      <c r="A37" s="52">
        <v>39326</v>
      </c>
      <c r="B37" s="54">
        <f t="shared" si="5"/>
        <v>1.4349112426035506</v>
      </c>
    </row>
    <row r="38" spans="1:4" s="54" customFormat="1" x14ac:dyDescent="0.25">
      <c r="A38" s="52">
        <v>39356</v>
      </c>
      <c r="B38" s="54">
        <f t="shared" si="5"/>
        <v>1.5088757396449708</v>
      </c>
    </row>
    <row r="39" spans="1:4" s="54" customFormat="1" x14ac:dyDescent="0.25">
      <c r="A39" s="52">
        <v>39387</v>
      </c>
      <c r="B39" s="54">
        <f t="shared" si="5"/>
        <v>1.582840236686391</v>
      </c>
      <c r="C39" s="54" t="s">
        <v>94</v>
      </c>
    </row>
    <row r="40" spans="1:4" s="57" customFormat="1" x14ac:dyDescent="0.25">
      <c r="A40" s="55">
        <v>39417</v>
      </c>
      <c r="B40" s="57">
        <f t="shared" si="5"/>
        <v>1.6568047337278111</v>
      </c>
      <c r="C40" s="57">
        <f>SUM(B29:B40)</f>
        <v>15</v>
      </c>
      <c r="D40" s="57">
        <f>B40*12</f>
        <v>19.881656804733733</v>
      </c>
    </row>
    <row r="41" spans="1:4" s="54" customFormat="1" x14ac:dyDescent="0.25">
      <c r="A41" s="52">
        <v>39448</v>
      </c>
      <c r="B41" s="54">
        <f>B40+$C$41</f>
        <v>1.7224245182825069</v>
      </c>
      <c r="C41" s="54">
        <f>H5</f>
        <v>6.561978455469572E-2</v>
      </c>
    </row>
    <row r="42" spans="1:4" s="54" customFormat="1" x14ac:dyDescent="0.25">
      <c r="A42" s="52">
        <v>39479</v>
      </c>
      <c r="B42" s="54">
        <f t="shared" ref="B42:B52" si="6">B41+$C$41</f>
        <v>1.7880443028372026</v>
      </c>
    </row>
    <row r="43" spans="1:4" s="54" customFormat="1" x14ac:dyDescent="0.25">
      <c r="A43" s="52">
        <v>39508</v>
      </c>
      <c r="B43" s="54">
        <f t="shared" si="6"/>
        <v>1.8536640873918984</v>
      </c>
    </row>
    <row r="44" spans="1:4" s="54" customFormat="1" x14ac:dyDescent="0.25">
      <c r="A44" s="52">
        <v>39539</v>
      </c>
      <c r="B44" s="54">
        <f t="shared" si="6"/>
        <v>1.9192838719465941</v>
      </c>
    </row>
    <row r="45" spans="1:4" s="54" customFormat="1" x14ac:dyDescent="0.25">
      <c r="A45" s="52">
        <v>39569</v>
      </c>
      <c r="B45" s="54">
        <f t="shared" si="6"/>
        <v>1.9849036565012899</v>
      </c>
    </row>
    <row r="46" spans="1:4" s="54" customFormat="1" x14ac:dyDescent="0.25">
      <c r="A46" s="52">
        <v>39600</v>
      </c>
      <c r="B46" s="54">
        <f t="shared" si="6"/>
        <v>2.0505234410559856</v>
      </c>
    </row>
    <row r="47" spans="1:4" s="54" customFormat="1" x14ac:dyDescent="0.25">
      <c r="A47" s="52">
        <v>39630</v>
      </c>
      <c r="B47" s="54">
        <f t="shared" si="6"/>
        <v>2.1161432256106814</v>
      </c>
    </row>
    <row r="48" spans="1:4" s="54" customFormat="1" x14ac:dyDescent="0.25">
      <c r="A48" s="52">
        <v>39661</v>
      </c>
      <c r="B48" s="54">
        <f t="shared" si="6"/>
        <v>2.1817630101653771</v>
      </c>
    </row>
    <row r="49" spans="1:4" s="54" customFormat="1" x14ac:dyDescent="0.25">
      <c r="A49" s="52">
        <v>39692</v>
      </c>
      <c r="B49" s="54">
        <f t="shared" si="6"/>
        <v>2.2473827947200729</v>
      </c>
    </row>
    <row r="50" spans="1:4" s="54" customFormat="1" x14ac:dyDescent="0.25">
      <c r="A50" s="52">
        <v>39722</v>
      </c>
      <c r="B50" s="54">
        <f t="shared" si="6"/>
        <v>2.3130025792747686</v>
      </c>
    </row>
    <row r="51" spans="1:4" s="54" customFormat="1" x14ac:dyDescent="0.25">
      <c r="A51" s="52">
        <v>39753</v>
      </c>
      <c r="B51" s="54">
        <f t="shared" si="6"/>
        <v>2.3786223638294643</v>
      </c>
      <c r="C51" s="54" t="s">
        <v>94</v>
      </c>
    </row>
    <row r="52" spans="1:4" s="57" customFormat="1" x14ac:dyDescent="0.25">
      <c r="A52" s="55">
        <v>39783</v>
      </c>
      <c r="B52" s="57">
        <f t="shared" si="6"/>
        <v>2.4442421483841601</v>
      </c>
      <c r="C52" s="57">
        <f>SUM(B41:B52)</f>
        <v>25</v>
      </c>
      <c r="D52" s="57">
        <f>B52*12</f>
        <v>29.330905780609921</v>
      </c>
    </row>
    <row r="53" spans="1:4" s="51" customFormat="1" x14ac:dyDescent="0.25">
      <c r="A53" s="49">
        <v>39814</v>
      </c>
      <c r="B53" s="51">
        <f>B52+$C$53</f>
        <v>2.5169228435045459</v>
      </c>
      <c r="C53" s="51">
        <f>H6</f>
        <v>7.2680695120385622E-2</v>
      </c>
    </row>
    <row r="54" spans="1:4" s="54" customFormat="1" x14ac:dyDescent="0.25">
      <c r="A54" s="52">
        <v>39845</v>
      </c>
      <c r="B54" s="54">
        <f t="shared" ref="B54:B64" si="7">B53+$C$53</f>
        <v>2.5896035386249316</v>
      </c>
    </row>
    <row r="55" spans="1:4" s="54" customFormat="1" x14ac:dyDescent="0.25">
      <c r="A55" s="52">
        <v>39873</v>
      </c>
      <c r="B55" s="54">
        <f t="shared" si="7"/>
        <v>2.6622842337453174</v>
      </c>
    </row>
    <row r="56" spans="1:4" s="54" customFormat="1" x14ac:dyDescent="0.25">
      <c r="A56" s="52">
        <v>39904</v>
      </c>
      <c r="B56" s="54">
        <f t="shared" si="7"/>
        <v>2.7349649288657032</v>
      </c>
    </row>
    <row r="57" spans="1:4" s="54" customFormat="1" x14ac:dyDescent="0.25">
      <c r="A57" s="52">
        <v>39934</v>
      </c>
      <c r="B57" s="54">
        <f t="shared" si="7"/>
        <v>2.807645623986089</v>
      </c>
    </row>
    <row r="58" spans="1:4" s="54" customFormat="1" x14ac:dyDescent="0.25">
      <c r="A58" s="52">
        <v>39965</v>
      </c>
      <c r="B58" s="54">
        <f t="shared" si="7"/>
        <v>2.8803263191064747</v>
      </c>
    </row>
    <row r="59" spans="1:4" s="54" customFormat="1" x14ac:dyDescent="0.25">
      <c r="A59" s="52">
        <v>39995</v>
      </c>
      <c r="B59" s="54">
        <f t="shared" si="7"/>
        <v>2.9530070142268605</v>
      </c>
    </row>
    <row r="60" spans="1:4" s="54" customFormat="1" x14ac:dyDescent="0.25">
      <c r="A60" s="52">
        <v>40026</v>
      </c>
      <c r="B60" s="54">
        <f t="shared" si="7"/>
        <v>3.0256877093472463</v>
      </c>
    </row>
    <row r="61" spans="1:4" s="54" customFormat="1" x14ac:dyDescent="0.25">
      <c r="A61" s="52">
        <v>40057</v>
      </c>
      <c r="B61" s="54">
        <f t="shared" si="7"/>
        <v>3.0983684044676321</v>
      </c>
    </row>
    <row r="62" spans="1:4" s="54" customFormat="1" x14ac:dyDescent="0.25">
      <c r="A62" s="52">
        <v>40087</v>
      </c>
      <c r="B62" s="54">
        <f t="shared" si="7"/>
        <v>3.1710490995880178</v>
      </c>
    </row>
    <row r="63" spans="1:4" s="54" customFormat="1" x14ac:dyDescent="0.25">
      <c r="A63" s="52">
        <v>40118</v>
      </c>
      <c r="B63" s="54">
        <f t="shared" si="7"/>
        <v>3.2437297947084036</v>
      </c>
      <c r="C63" s="54" t="s">
        <v>94</v>
      </c>
    </row>
    <row r="64" spans="1:4" s="57" customFormat="1" x14ac:dyDescent="0.25">
      <c r="A64" s="55">
        <v>40148</v>
      </c>
      <c r="B64" s="57">
        <f t="shared" si="7"/>
        <v>3.3164104898287894</v>
      </c>
      <c r="C64" s="57">
        <f>SUM(B53:B64)</f>
        <v>35.000000000000007</v>
      </c>
      <c r="D64" s="57">
        <f>B64*12</f>
        <v>39.796925877945469</v>
      </c>
    </row>
    <row r="65" spans="1:4" s="51" customFormat="1" x14ac:dyDescent="0.25">
      <c r="A65" s="49">
        <v>40179</v>
      </c>
      <c r="B65" s="51">
        <f>B64+$C$65</f>
        <v>3.3831165683166682</v>
      </c>
      <c r="C65" s="51">
        <f>H7</f>
        <v>6.6706078487878601E-2</v>
      </c>
    </row>
    <row r="66" spans="1:4" s="54" customFormat="1" x14ac:dyDescent="0.25">
      <c r="A66" s="52">
        <v>40210</v>
      </c>
      <c r="B66" s="54">
        <f t="shared" ref="B66:B76" si="8">B65+$C$65</f>
        <v>3.449822646804547</v>
      </c>
    </row>
    <row r="67" spans="1:4" s="54" customFormat="1" x14ac:dyDescent="0.25">
      <c r="A67" s="52">
        <v>40238</v>
      </c>
      <c r="B67" s="54">
        <f t="shared" si="8"/>
        <v>3.5165287252924258</v>
      </c>
    </row>
    <row r="68" spans="1:4" s="54" customFormat="1" x14ac:dyDescent="0.25">
      <c r="A68" s="52">
        <v>40269</v>
      </c>
      <c r="B68" s="54">
        <f t="shared" si="8"/>
        <v>3.5832348037803046</v>
      </c>
    </row>
    <row r="69" spans="1:4" s="54" customFormat="1" x14ac:dyDescent="0.25">
      <c r="A69" s="52">
        <v>40299</v>
      </c>
      <c r="B69" s="54">
        <f t="shared" si="8"/>
        <v>3.6499408822681834</v>
      </c>
    </row>
    <row r="70" spans="1:4" s="54" customFormat="1" x14ac:dyDescent="0.25">
      <c r="A70" s="52">
        <v>40330</v>
      </c>
      <c r="B70" s="54">
        <f t="shared" si="8"/>
        <v>3.7166469607560622</v>
      </c>
    </row>
    <row r="71" spans="1:4" s="54" customFormat="1" x14ac:dyDescent="0.25">
      <c r="A71" s="52">
        <v>40360</v>
      </c>
      <c r="B71" s="54">
        <f t="shared" si="8"/>
        <v>3.783353039243941</v>
      </c>
    </row>
    <row r="72" spans="1:4" s="54" customFormat="1" x14ac:dyDescent="0.25">
      <c r="A72" s="52">
        <v>40391</v>
      </c>
      <c r="B72" s="54">
        <f t="shared" si="8"/>
        <v>3.8500591177318197</v>
      </c>
    </row>
    <row r="73" spans="1:4" s="54" customFormat="1" x14ac:dyDescent="0.25">
      <c r="A73" s="52">
        <v>40422</v>
      </c>
      <c r="B73" s="54">
        <f t="shared" si="8"/>
        <v>3.9167651962196985</v>
      </c>
    </row>
    <row r="74" spans="1:4" s="54" customFormat="1" x14ac:dyDescent="0.25">
      <c r="A74" s="52">
        <v>40452</v>
      </c>
      <c r="B74" s="54">
        <f t="shared" si="8"/>
        <v>3.9834712747075773</v>
      </c>
    </row>
    <row r="75" spans="1:4" s="54" customFormat="1" x14ac:dyDescent="0.25">
      <c r="A75" s="52">
        <v>40483</v>
      </c>
      <c r="B75" s="54">
        <f t="shared" si="8"/>
        <v>4.0501773531954557</v>
      </c>
      <c r="C75" s="54" t="s">
        <v>94</v>
      </c>
    </row>
    <row r="76" spans="1:4" s="57" customFormat="1" x14ac:dyDescent="0.25">
      <c r="A76" s="55">
        <v>40513</v>
      </c>
      <c r="B76" s="57">
        <f t="shared" si="8"/>
        <v>4.116883431683334</v>
      </c>
      <c r="C76" s="57">
        <f>SUM(B65:B76)</f>
        <v>45.000000000000021</v>
      </c>
      <c r="D76" s="57">
        <f>B76*12</f>
        <v>49.402601180200008</v>
      </c>
    </row>
    <row r="77" spans="1:4" s="51" customFormat="1" x14ac:dyDescent="0.25">
      <c r="A77" s="49">
        <v>40544</v>
      </c>
      <c r="B77" s="51">
        <f>B76+$C$77</f>
        <v>4.1886449550141034</v>
      </c>
      <c r="C77" s="51">
        <f>H8</f>
        <v>7.1761523330769128E-2</v>
      </c>
    </row>
    <row r="78" spans="1:4" s="54" customFormat="1" x14ac:dyDescent="0.25">
      <c r="A78" s="52">
        <v>40575</v>
      </c>
      <c r="B78" s="54">
        <f t="shared" ref="B78:B88" si="9">B77+$C$77</f>
        <v>4.2604064783448727</v>
      </c>
    </row>
    <row r="79" spans="1:4" s="54" customFormat="1" x14ac:dyDescent="0.25">
      <c r="A79" s="52">
        <v>40603</v>
      </c>
      <c r="B79" s="54">
        <f t="shared" si="9"/>
        <v>4.3321680016756421</v>
      </c>
    </row>
    <row r="80" spans="1:4" s="54" customFormat="1" x14ac:dyDescent="0.25">
      <c r="A80" s="52">
        <v>40634</v>
      </c>
      <c r="B80" s="54">
        <f t="shared" si="9"/>
        <v>4.4039295250064114</v>
      </c>
    </row>
    <row r="81" spans="1:4" s="54" customFormat="1" x14ac:dyDescent="0.25">
      <c r="A81" s="52">
        <v>40664</v>
      </c>
      <c r="B81" s="54">
        <f t="shared" si="9"/>
        <v>4.4756910483371808</v>
      </c>
    </row>
    <row r="82" spans="1:4" s="54" customFormat="1" x14ac:dyDescent="0.25">
      <c r="A82" s="52">
        <v>40695</v>
      </c>
      <c r="B82" s="54">
        <f t="shared" si="9"/>
        <v>4.5474525716679501</v>
      </c>
    </row>
    <row r="83" spans="1:4" s="54" customFormat="1" x14ac:dyDescent="0.25">
      <c r="A83" s="52">
        <v>40725</v>
      </c>
      <c r="B83" s="54">
        <f t="shared" si="9"/>
        <v>4.6192140949987195</v>
      </c>
    </row>
    <row r="84" spans="1:4" s="54" customFormat="1" x14ac:dyDescent="0.25">
      <c r="A84" s="52">
        <v>40756</v>
      </c>
      <c r="B84" s="54">
        <f t="shared" si="9"/>
        <v>4.6909756183294888</v>
      </c>
    </row>
    <row r="85" spans="1:4" s="54" customFormat="1" x14ac:dyDescent="0.25">
      <c r="A85" s="52">
        <v>40787</v>
      </c>
      <c r="B85" s="54">
        <f t="shared" si="9"/>
        <v>4.7627371416602582</v>
      </c>
    </row>
    <row r="86" spans="1:4" s="54" customFormat="1" x14ac:dyDescent="0.25">
      <c r="A86" s="52">
        <v>40817</v>
      </c>
      <c r="B86" s="54">
        <f t="shared" si="9"/>
        <v>4.8344986649910275</v>
      </c>
    </row>
    <row r="87" spans="1:4" s="54" customFormat="1" x14ac:dyDescent="0.25">
      <c r="A87" s="52">
        <v>40848</v>
      </c>
      <c r="B87" s="54">
        <f t="shared" si="9"/>
        <v>4.9062601883217969</v>
      </c>
      <c r="C87" s="54" t="s">
        <v>94</v>
      </c>
    </row>
    <row r="88" spans="1:4" s="57" customFormat="1" x14ac:dyDescent="0.25">
      <c r="A88" s="55">
        <v>40878</v>
      </c>
      <c r="B88" s="57">
        <f t="shared" si="9"/>
        <v>4.9780217116525662</v>
      </c>
      <c r="C88" s="57">
        <f>SUM(B77:B88)</f>
        <v>55.000000000000021</v>
      </c>
      <c r="D88" s="57">
        <f>B88*12</f>
        <v>59.736260539830795</v>
      </c>
    </row>
    <row r="89" spans="1:4" s="51" customFormat="1" x14ac:dyDescent="0.25">
      <c r="A89" s="49">
        <v>40909</v>
      </c>
      <c r="B89" s="51">
        <f>B88+$C$89</f>
        <v>5.0455055508855047</v>
      </c>
      <c r="C89" s="51">
        <f>H9</f>
        <v>6.7483839232938533E-2</v>
      </c>
    </row>
    <row r="90" spans="1:4" s="54" customFormat="1" x14ac:dyDescent="0.25">
      <c r="A90" s="52">
        <v>40940</v>
      </c>
      <c r="B90" s="54">
        <f t="shared" ref="B90:B100" si="10">B89+$C$89</f>
        <v>5.1129893901184431</v>
      </c>
    </row>
    <row r="91" spans="1:4" s="54" customFormat="1" x14ac:dyDescent="0.25">
      <c r="A91" s="52">
        <v>40969</v>
      </c>
      <c r="B91" s="54">
        <f t="shared" si="10"/>
        <v>5.1804732293513815</v>
      </c>
    </row>
    <row r="92" spans="1:4" s="54" customFormat="1" x14ac:dyDescent="0.25">
      <c r="A92" s="52">
        <v>41000</v>
      </c>
      <c r="B92" s="54">
        <f t="shared" si="10"/>
        <v>5.24795706858432</v>
      </c>
    </row>
    <row r="93" spans="1:4" s="54" customFormat="1" x14ac:dyDescent="0.25">
      <c r="A93" s="52">
        <v>41030</v>
      </c>
      <c r="B93" s="54">
        <f t="shared" si="10"/>
        <v>5.3154409078172584</v>
      </c>
    </row>
    <row r="94" spans="1:4" s="54" customFormat="1" x14ac:dyDescent="0.25">
      <c r="A94" s="52">
        <v>41061</v>
      </c>
      <c r="B94" s="54">
        <f t="shared" si="10"/>
        <v>5.3829247470501969</v>
      </c>
    </row>
    <row r="95" spans="1:4" s="54" customFormat="1" x14ac:dyDescent="0.25">
      <c r="A95" s="52">
        <v>41091</v>
      </c>
      <c r="B95" s="54">
        <f t="shared" si="10"/>
        <v>5.4504085862831353</v>
      </c>
    </row>
    <row r="96" spans="1:4" s="54" customFormat="1" x14ac:dyDescent="0.25">
      <c r="A96" s="52">
        <v>41122</v>
      </c>
      <c r="B96" s="54">
        <f t="shared" si="10"/>
        <v>5.5178924255160737</v>
      </c>
    </row>
    <row r="97" spans="1:4" s="54" customFormat="1" x14ac:dyDescent="0.25">
      <c r="A97" s="52">
        <v>41153</v>
      </c>
      <c r="B97" s="54">
        <f t="shared" si="10"/>
        <v>5.5853762647490122</v>
      </c>
    </row>
    <row r="98" spans="1:4" s="54" customFormat="1" x14ac:dyDescent="0.25">
      <c r="A98" s="52">
        <v>41183</v>
      </c>
      <c r="B98" s="54">
        <f t="shared" si="10"/>
        <v>5.6528601039819506</v>
      </c>
    </row>
    <row r="99" spans="1:4" s="54" customFormat="1" x14ac:dyDescent="0.25">
      <c r="A99" s="52">
        <v>41214</v>
      </c>
      <c r="B99" s="54">
        <f t="shared" si="10"/>
        <v>5.720343943214889</v>
      </c>
      <c r="C99" s="54" t="s">
        <v>94</v>
      </c>
    </row>
    <row r="100" spans="1:4" s="57" customFormat="1" x14ac:dyDescent="0.25">
      <c r="A100" s="55">
        <v>41244</v>
      </c>
      <c r="B100" s="57">
        <f t="shared" si="10"/>
        <v>5.7878277824478275</v>
      </c>
      <c r="C100" s="57">
        <f>SUM(B89:B100)</f>
        <v>65</v>
      </c>
      <c r="D100" s="57">
        <f>B100*12</f>
        <v>69.45393338937393</v>
      </c>
    </row>
    <row r="101" spans="1:4" s="51" customFormat="1" x14ac:dyDescent="0.25">
      <c r="A101" s="49">
        <v>41275</v>
      </c>
      <c r="B101" s="51">
        <f>B100+$C$101</f>
        <v>5.8589312005327772</v>
      </c>
      <c r="C101" s="51">
        <f>H10</f>
        <v>7.1103418084949618E-2</v>
      </c>
    </row>
    <row r="102" spans="1:4" s="54" customFormat="1" x14ac:dyDescent="0.25">
      <c r="A102" s="52">
        <v>41306</v>
      </c>
      <c r="B102" s="54">
        <f t="shared" ref="B102:B112" si="11">B101+$C$101</f>
        <v>5.9300346186177268</v>
      </c>
    </row>
    <row r="103" spans="1:4" s="54" customFormat="1" x14ac:dyDescent="0.25">
      <c r="A103" s="52">
        <v>41334</v>
      </c>
      <c r="B103" s="54">
        <f t="shared" si="11"/>
        <v>6.0011380367026765</v>
      </c>
    </row>
    <row r="104" spans="1:4" s="54" customFormat="1" x14ac:dyDescent="0.25">
      <c r="A104" s="52">
        <v>41365</v>
      </c>
      <c r="B104" s="54">
        <f t="shared" si="11"/>
        <v>6.0722414547876262</v>
      </c>
    </row>
    <row r="105" spans="1:4" s="54" customFormat="1" x14ac:dyDescent="0.25">
      <c r="A105" s="52">
        <v>41395</v>
      </c>
      <c r="B105" s="54">
        <f t="shared" si="11"/>
        <v>6.1433448728725759</v>
      </c>
    </row>
    <row r="106" spans="1:4" s="54" customFormat="1" x14ac:dyDescent="0.25">
      <c r="A106" s="52">
        <v>41426</v>
      </c>
      <c r="B106" s="54">
        <f t="shared" si="11"/>
        <v>6.2144482909575256</v>
      </c>
    </row>
    <row r="107" spans="1:4" s="54" customFormat="1" x14ac:dyDescent="0.25">
      <c r="A107" s="52">
        <v>41456</v>
      </c>
      <c r="B107" s="54">
        <f t="shared" si="11"/>
        <v>6.2855517090424753</v>
      </c>
    </row>
    <row r="108" spans="1:4" s="54" customFormat="1" x14ac:dyDescent="0.25">
      <c r="A108" s="52">
        <v>41487</v>
      </c>
      <c r="B108" s="54">
        <f t="shared" si="11"/>
        <v>6.356655127127425</v>
      </c>
    </row>
    <row r="109" spans="1:4" s="54" customFormat="1" x14ac:dyDescent="0.25">
      <c r="A109" s="52">
        <v>41518</v>
      </c>
      <c r="B109" s="54">
        <f t="shared" si="11"/>
        <v>6.4277585452123747</v>
      </c>
    </row>
    <row r="110" spans="1:4" s="54" customFormat="1" x14ac:dyDescent="0.25">
      <c r="A110" s="52">
        <v>41548</v>
      </c>
      <c r="B110" s="54">
        <f t="shared" si="11"/>
        <v>6.4988619632973244</v>
      </c>
    </row>
    <row r="111" spans="1:4" s="54" customFormat="1" x14ac:dyDescent="0.25">
      <c r="A111" s="52">
        <v>41579</v>
      </c>
      <c r="B111" s="54">
        <f t="shared" si="11"/>
        <v>6.569965381382274</v>
      </c>
      <c r="C111" s="54" t="s">
        <v>94</v>
      </c>
    </row>
    <row r="112" spans="1:4" s="57" customFormat="1" x14ac:dyDescent="0.25">
      <c r="A112" s="55">
        <v>41609</v>
      </c>
      <c r="B112" s="57">
        <f t="shared" si="11"/>
        <v>6.6410687994672237</v>
      </c>
      <c r="C112" s="57">
        <f>SUM(B101:B112)</f>
        <v>75</v>
      </c>
      <c r="D112" s="57">
        <f>B112*12</f>
        <v>79.692825593606685</v>
      </c>
    </row>
    <row r="113" spans="1:4" s="51" customFormat="1" x14ac:dyDescent="0.25">
      <c r="A113" s="49">
        <v>41640</v>
      </c>
      <c r="B113" s="51">
        <f>B112+$C$113</f>
        <v>6.7091094969850866</v>
      </c>
      <c r="C113" s="51">
        <f>H11</f>
        <v>6.8040697517863014E-2</v>
      </c>
    </row>
    <row r="114" spans="1:4" s="54" customFormat="1" x14ac:dyDescent="0.25">
      <c r="A114" s="52">
        <v>41671</v>
      </c>
      <c r="B114" s="54">
        <f t="shared" ref="B114:B124" si="12">B113+$C$113</f>
        <v>6.7771501945029495</v>
      </c>
    </row>
    <row r="115" spans="1:4" s="54" customFormat="1" x14ac:dyDescent="0.25">
      <c r="A115" s="52">
        <v>41699</v>
      </c>
      <c r="B115" s="54">
        <f t="shared" si="12"/>
        <v>6.8451908920208124</v>
      </c>
    </row>
    <row r="116" spans="1:4" s="54" customFormat="1" x14ac:dyDescent="0.25">
      <c r="A116" s="52">
        <v>41730</v>
      </c>
      <c r="B116" s="54">
        <f t="shared" si="12"/>
        <v>6.9132315895386753</v>
      </c>
    </row>
    <row r="117" spans="1:4" s="54" customFormat="1" x14ac:dyDescent="0.25">
      <c r="A117" s="52">
        <v>41760</v>
      </c>
      <c r="B117" s="54">
        <f t="shared" si="12"/>
        <v>6.9812722870565382</v>
      </c>
    </row>
    <row r="118" spans="1:4" s="54" customFormat="1" x14ac:dyDescent="0.25">
      <c r="A118" s="52">
        <v>41791</v>
      </c>
      <c r="B118" s="54">
        <f t="shared" si="12"/>
        <v>7.0493129845744011</v>
      </c>
    </row>
    <row r="119" spans="1:4" s="54" customFormat="1" x14ac:dyDescent="0.25">
      <c r="A119" s="52">
        <v>41821</v>
      </c>
      <c r="B119" s="54">
        <f t="shared" si="12"/>
        <v>7.117353682092264</v>
      </c>
    </row>
    <row r="120" spans="1:4" s="54" customFormat="1" x14ac:dyDescent="0.25">
      <c r="A120" s="52">
        <v>41852</v>
      </c>
      <c r="B120" s="54">
        <f t="shared" si="12"/>
        <v>7.1853943796101269</v>
      </c>
    </row>
    <row r="121" spans="1:4" s="54" customFormat="1" x14ac:dyDescent="0.25">
      <c r="A121" s="52">
        <v>41883</v>
      </c>
      <c r="B121" s="54">
        <f t="shared" si="12"/>
        <v>7.2534350771279898</v>
      </c>
    </row>
    <row r="122" spans="1:4" s="54" customFormat="1" x14ac:dyDescent="0.25">
      <c r="A122" s="52">
        <v>41913</v>
      </c>
      <c r="B122" s="54">
        <f t="shared" si="12"/>
        <v>7.3214757746458528</v>
      </c>
    </row>
    <row r="123" spans="1:4" s="54" customFormat="1" x14ac:dyDescent="0.25">
      <c r="A123" s="52">
        <v>41944</v>
      </c>
      <c r="B123" s="54">
        <f t="shared" si="12"/>
        <v>7.3895164721637157</v>
      </c>
      <c r="C123" s="54" t="s">
        <v>94</v>
      </c>
    </row>
    <row r="124" spans="1:4" s="57" customFormat="1" x14ac:dyDescent="0.25">
      <c r="A124" s="55">
        <v>41974</v>
      </c>
      <c r="B124" s="57">
        <f t="shared" si="12"/>
        <v>7.4575571696815786</v>
      </c>
      <c r="C124" s="57">
        <f>SUM(B113:B124)</f>
        <v>84.999999999999986</v>
      </c>
      <c r="D124" s="57">
        <f>B124*12</f>
        <v>89.490686036178943</v>
      </c>
    </row>
    <row r="125" spans="1:4" s="51" customFormat="1" x14ac:dyDescent="0.25">
      <c r="A125" s="49">
        <v>42005</v>
      </c>
      <c r="B125" s="51">
        <f>B124+$C$125</f>
        <v>7.5281893999869771</v>
      </c>
      <c r="C125" s="51">
        <f>H12</f>
        <v>7.0632230305398169E-2</v>
      </c>
    </row>
    <row r="126" spans="1:4" s="54" customFormat="1" x14ac:dyDescent="0.25">
      <c r="A126" s="52">
        <v>42036</v>
      </c>
      <c r="B126" s="54">
        <f t="shared" ref="B126:B136" si="13">B125+$C$125</f>
        <v>7.5988216302923757</v>
      </c>
    </row>
    <row r="127" spans="1:4" s="54" customFormat="1" x14ac:dyDescent="0.25">
      <c r="A127" s="52">
        <v>42064</v>
      </c>
      <c r="B127" s="54">
        <f t="shared" si="13"/>
        <v>7.6694538605977742</v>
      </c>
    </row>
    <row r="128" spans="1:4" s="54" customFormat="1" x14ac:dyDescent="0.25">
      <c r="A128" s="52">
        <v>42095</v>
      </c>
      <c r="B128" s="54">
        <f t="shared" si="13"/>
        <v>7.7400860909031728</v>
      </c>
    </row>
    <row r="129" spans="1:4" s="54" customFormat="1" x14ac:dyDescent="0.25">
      <c r="A129" s="52">
        <v>42125</v>
      </c>
      <c r="B129" s="54">
        <f t="shared" si="13"/>
        <v>7.8107183212085713</v>
      </c>
    </row>
    <row r="130" spans="1:4" s="54" customFormat="1" x14ac:dyDescent="0.25">
      <c r="A130" s="52">
        <v>42156</v>
      </c>
      <c r="B130" s="54">
        <f t="shared" si="13"/>
        <v>7.8813505515139699</v>
      </c>
    </row>
    <row r="131" spans="1:4" s="54" customFormat="1" x14ac:dyDescent="0.25">
      <c r="A131" s="52">
        <v>42186</v>
      </c>
      <c r="B131" s="54">
        <f t="shared" si="13"/>
        <v>7.9519827818193685</v>
      </c>
    </row>
    <row r="132" spans="1:4" s="54" customFormat="1" x14ac:dyDescent="0.25">
      <c r="A132" s="52">
        <v>42217</v>
      </c>
      <c r="B132" s="54">
        <f t="shared" si="13"/>
        <v>8.022615012124767</v>
      </c>
    </row>
    <row r="133" spans="1:4" s="54" customFormat="1" x14ac:dyDescent="0.25">
      <c r="A133" s="52">
        <v>42248</v>
      </c>
      <c r="B133" s="54">
        <f t="shared" si="13"/>
        <v>8.0932472424301647</v>
      </c>
    </row>
    <row r="134" spans="1:4" s="54" customFormat="1" x14ac:dyDescent="0.25">
      <c r="A134" s="52">
        <v>42278</v>
      </c>
      <c r="B134" s="54">
        <f t="shared" si="13"/>
        <v>8.1638794727355624</v>
      </c>
    </row>
    <row r="135" spans="1:4" s="54" customFormat="1" x14ac:dyDescent="0.25">
      <c r="A135" s="52">
        <v>42309</v>
      </c>
      <c r="B135" s="54">
        <f t="shared" si="13"/>
        <v>8.23451170304096</v>
      </c>
      <c r="C135" s="54" t="s">
        <v>94</v>
      </c>
    </row>
    <row r="136" spans="1:4" s="57" customFormat="1" x14ac:dyDescent="0.25">
      <c r="A136" s="55">
        <v>42339</v>
      </c>
      <c r="B136" s="57">
        <f t="shared" si="13"/>
        <v>8.3051439333463577</v>
      </c>
      <c r="C136" s="57">
        <f>SUM(B125:B136)</f>
        <v>95.000000000000014</v>
      </c>
      <c r="D136" s="57">
        <f>B136*12</f>
        <v>99.661727200156292</v>
      </c>
    </row>
    <row r="137" spans="1:4" s="51" customFormat="1" x14ac:dyDescent="0.25">
      <c r="A137" s="49">
        <v>42370</v>
      </c>
      <c r="B137" s="51">
        <f>B136+$C$137</f>
        <v>8.3735833282161494</v>
      </c>
      <c r="C137" s="51">
        <f>H13</f>
        <v>6.8439394869791129E-2</v>
      </c>
    </row>
    <row r="138" spans="1:4" s="54" customFormat="1" x14ac:dyDescent="0.25">
      <c r="A138" s="52">
        <v>42401</v>
      </c>
      <c r="B138" s="54">
        <f t="shared" ref="B138:B148" si="14">B137+$C$137</f>
        <v>8.442022723085941</v>
      </c>
    </row>
    <row r="139" spans="1:4" s="54" customFormat="1" x14ac:dyDescent="0.25">
      <c r="A139" s="52">
        <v>42430</v>
      </c>
      <c r="B139" s="54">
        <f t="shared" si="14"/>
        <v>8.5104621179557327</v>
      </c>
    </row>
    <row r="140" spans="1:4" s="54" customFormat="1" x14ac:dyDescent="0.25">
      <c r="A140" s="52">
        <v>42461</v>
      </c>
      <c r="B140" s="54">
        <f t="shared" si="14"/>
        <v>8.5789015128255244</v>
      </c>
    </row>
    <row r="141" spans="1:4" s="54" customFormat="1" x14ac:dyDescent="0.25">
      <c r="A141" s="52">
        <v>42491</v>
      </c>
      <c r="B141" s="54">
        <f t="shared" si="14"/>
        <v>8.647340907695316</v>
      </c>
    </row>
    <row r="142" spans="1:4" s="54" customFormat="1" x14ac:dyDescent="0.25">
      <c r="A142" s="52">
        <v>42522</v>
      </c>
      <c r="B142" s="54">
        <f t="shared" si="14"/>
        <v>8.7157803025651077</v>
      </c>
    </row>
    <row r="143" spans="1:4" s="54" customFormat="1" x14ac:dyDescent="0.25">
      <c r="A143" s="52">
        <v>42552</v>
      </c>
      <c r="B143" s="54">
        <f t="shared" si="14"/>
        <v>8.7842196974348994</v>
      </c>
    </row>
    <row r="144" spans="1:4" s="54" customFormat="1" x14ac:dyDescent="0.25">
      <c r="A144" s="52">
        <v>42583</v>
      </c>
      <c r="B144" s="54">
        <f t="shared" si="14"/>
        <v>8.8526590923046911</v>
      </c>
    </row>
    <row r="145" spans="1:4" s="54" customFormat="1" x14ac:dyDescent="0.25">
      <c r="A145" s="52">
        <v>42614</v>
      </c>
      <c r="B145" s="54">
        <f t="shared" si="14"/>
        <v>8.9210984871744827</v>
      </c>
    </row>
    <row r="146" spans="1:4" s="54" customFormat="1" x14ac:dyDescent="0.25">
      <c r="A146" s="52">
        <v>42644</v>
      </c>
      <c r="B146" s="54">
        <f t="shared" si="14"/>
        <v>8.9895378820442744</v>
      </c>
    </row>
    <row r="147" spans="1:4" s="54" customFormat="1" x14ac:dyDescent="0.25">
      <c r="A147" s="52">
        <v>42675</v>
      </c>
      <c r="B147" s="54">
        <f t="shared" si="14"/>
        <v>9.0579772769140661</v>
      </c>
      <c r="C147" s="54" t="s">
        <v>94</v>
      </c>
    </row>
    <row r="148" spans="1:4" s="57" customFormat="1" x14ac:dyDescent="0.25">
      <c r="A148" s="55">
        <v>42705</v>
      </c>
      <c r="B148" s="57">
        <f t="shared" si="14"/>
        <v>9.1264166717838577</v>
      </c>
      <c r="C148" s="57">
        <f>SUM(B137:B148)</f>
        <v>105.00000000000003</v>
      </c>
      <c r="D148" s="57">
        <f>B148*12</f>
        <v>109.51700006140629</v>
      </c>
    </row>
    <row r="149" spans="1:4" s="51" customFormat="1" x14ac:dyDescent="0.25">
      <c r="A149" s="49">
        <v>42736</v>
      </c>
      <c r="B149" s="51">
        <f>B148+$C$149</f>
        <v>9.1967115427914692</v>
      </c>
      <c r="C149" s="51">
        <f>H14</f>
        <v>7.0294871007611628E-2</v>
      </c>
    </row>
    <row r="150" spans="1:4" s="54" customFormat="1" x14ac:dyDescent="0.25">
      <c r="A150" s="52">
        <v>42767</v>
      </c>
      <c r="B150" s="54">
        <f t="shared" ref="B150:B160" si="15">B149+$C$149</f>
        <v>9.2670064137990806</v>
      </c>
    </row>
    <row r="151" spans="1:4" s="54" customFormat="1" x14ac:dyDescent="0.25">
      <c r="A151" s="52">
        <v>42795</v>
      </c>
      <c r="B151" s="54">
        <f t="shared" si="15"/>
        <v>9.3373012848066921</v>
      </c>
    </row>
    <row r="152" spans="1:4" s="54" customFormat="1" x14ac:dyDescent="0.25">
      <c r="A152" s="52">
        <v>42826</v>
      </c>
      <c r="B152" s="54">
        <f t="shared" si="15"/>
        <v>9.4075961558143035</v>
      </c>
    </row>
    <row r="153" spans="1:4" s="54" customFormat="1" x14ac:dyDescent="0.25">
      <c r="A153" s="52">
        <v>42856</v>
      </c>
      <c r="B153" s="54">
        <f t="shared" si="15"/>
        <v>9.477891026821915</v>
      </c>
    </row>
    <row r="154" spans="1:4" s="54" customFormat="1" x14ac:dyDescent="0.25">
      <c r="A154" s="52">
        <v>42887</v>
      </c>
      <c r="B154" s="54">
        <f t="shared" si="15"/>
        <v>9.5481858978295264</v>
      </c>
    </row>
    <row r="155" spans="1:4" s="54" customFormat="1" x14ac:dyDescent="0.25">
      <c r="A155" s="52">
        <v>42917</v>
      </c>
      <c r="B155" s="54">
        <f t="shared" si="15"/>
        <v>9.6184807688371379</v>
      </c>
    </row>
    <row r="156" spans="1:4" s="54" customFormat="1" x14ac:dyDescent="0.25">
      <c r="A156" s="52">
        <v>42948</v>
      </c>
      <c r="B156" s="54">
        <f t="shared" si="15"/>
        <v>9.6887756398447493</v>
      </c>
    </row>
    <row r="157" spans="1:4" s="54" customFormat="1" x14ac:dyDescent="0.25">
      <c r="A157" s="52">
        <v>42979</v>
      </c>
      <c r="B157" s="54">
        <f t="shared" si="15"/>
        <v>9.7590705108523608</v>
      </c>
    </row>
    <row r="158" spans="1:4" s="54" customFormat="1" x14ac:dyDescent="0.25">
      <c r="A158" s="52">
        <v>43009</v>
      </c>
      <c r="B158" s="54">
        <f t="shared" si="15"/>
        <v>9.8293653818599722</v>
      </c>
    </row>
    <row r="159" spans="1:4" s="54" customFormat="1" x14ac:dyDescent="0.25">
      <c r="A159" s="52">
        <v>43040</v>
      </c>
      <c r="B159" s="54">
        <f t="shared" si="15"/>
        <v>9.8996602528675837</v>
      </c>
      <c r="C159" s="54" t="s">
        <v>94</v>
      </c>
    </row>
    <row r="160" spans="1:4" s="57" customFormat="1" x14ac:dyDescent="0.25">
      <c r="A160" s="55">
        <v>43070</v>
      </c>
      <c r="B160" s="57">
        <f t="shared" si="15"/>
        <v>9.9699551238751951</v>
      </c>
      <c r="C160" s="57">
        <f>SUM(B149:B160)</f>
        <v>114.99999999999997</v>
      </c>
      <c r="D160" s="57">
        <f>B160*12</f>
        <v>119.63946148650234</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P31" workbookViewId="0">
      <selection activeCell="V38" sqref="V38"/>
    </sheetView>
  </sheetViews>
  <sheetFormatPr defaultRowHeight="13.2" x14ac:dyDescent="0.25"/>
  <cols>
    <col min="10" max="10" width="32.21875" bestFit="1" customWidth="1"/>
    <col min="11" max="11" width="32.21875" customWidth="1"/>
    <col min="12" max="14" width="15.21875" bestFit="1" customWidth="1"/>
    <col min="15" max="25" width="12.44140625" bestFit="1" customWidth="1"/>
    <col min="26" max="26" width="16.21875" bestFit="1" customWidth="1"/>
  </cols>
  <sheetData>
    <row r="2" spans="10:26" x14ac:dyDescent="0.25">
      <c r="J2" t="s">
        <v>288</v>
      </c>
      <c r="L2">
        <v>2011</v>
      </c>
      <c r="M2">
        <v>2012</v>
      </c>
      <c r="N2">
        <v>2013</v>
      </c>
      <c r="O2">
        <v>2014</v>
      </c>
      <c r="P2">
        <v>2015</v>
      </c>
      <c r="Q2">
        <v>2016</v>
      </c>
      <c r="R2">
        <v>2017</v>
      </c>
      <c r="S2">
        <v>2018</v>
      </c>
      <c r="T2">
        <v>2019</v>
      </c>
      <c r="U2">
        <v>2020</v>
      </c>
      <c r="V2">
        <v>2021</v>
      </c>
      <c r="W2">
        <v>2022</v>
      </c>
      <c r="X2">
        <v>2023</v>
      </c>
      <c r="Y2">
        <v>2024</v>
      </c>
      <c r="Z2">
        <v>2025</v>
      </c>
    </row>
    <row r="3" spans="10:26" x14ac:dyDescent="0.25">
      <c r="J3">
        <v>2006</v>
      </c>
      <c r="L3">
        <v>129.11000000000001</v>
      </c>
      <c r="M3">
        <v>120.16</v>
      </c>
      <c r="N3">
        <v>120.16</v>
      </c>
      <c r="O3">
        <v>93.98</v>
      </c>
      <c r="P3">
        <v>93.98</v>
      </c>
      <c r="Q3">
        <v>93.98</v>
      </c>
      <c r="R3">
        <v>93.98</v>
      </c>
      <c r="S3">
        <v>93.98</v>
      </c>
      <c r="T3">
        <v>93.98</v>
      </c>
      <c r="U3">
        <v>57.52</v>
      </c>
      <c r="V3">
        <v>39.26</v>
      </c>
      <c r="W3">
        <v>39.26</v>
      </c>
      <c r="X3">
        <v>39.26</v>
      </c>
      <c r="Y3">
        <v>1.1000000000000001</v>
      </c>
      <c r="Z3">
        <v>1.1000000000000001</v>
      </c>
    </row>
    <row r="4" spans="10:26" x14ac:dyDescent="0.25">
      <c r="J4">
        <v>2007</v>
      </c>
      <c r="L4">
        <v>180.57</v>
      </c>
      <c r="M4">
        <v>167.07</v>
      </c>
      <c r="N4">
        <v>193.4</v>
      </c>
      <c r="O4">
        <v>167.07</v>
      </c>
      <c r="P4">
        <v>136.83000000000001</v>
      </c>
      <c r="Q4">
        <v>121.7</v>
      </c>
      <c r="R4">
        <v>103.75</v>
      </c>
      <c r="S4">
        <v>103.75</v>
      </c>
      <c r="T4">
        <v>97.89</v>
      </c>
      <c r="U4">
        <v>97.89</v>
      </c>
      <c r="V4">
        <v>97.89</v>
      </c>
      <c r="W4">
        <v>18.440000000000001</v>
      </c>
      <c r="X4">
        <v>18.23</v>
      </c>
      <c r="Y4">
        <v>18.23</v>
      </c>
      <c r="Z4" t="s">
        <v>290</v>
      </c>
    </row>
    <row r="5" spans="10:26" x14ac:dyDescent="0.25">
      <c r="J5">
        <v>2008</v>
      </c>
      <c r="L5">
        <v>620.95000000000005</v>
      </c>
      <c r="M5">
        <v>614.39</v>
      </c>
      <c r="N5">
        <v>680.54</v>
      </c>
      <c r="O5">
        <v>605.07000000000005</v>
      </c>
      <c r="P5">
        <v>601.91999999999996</v>
      </c>
      <c r="Q5">
        <v>579.79999999999995</v>
      </c>
      <c r="R5">
        <v>542.45000000000005</v>
      </c>
      <c r="S5">
        <v>539.07000000000005</v>
      </c>
      <c r="T5">
        <v>539.07000000000005</v>
      </c>
      <c r="U5">
        <v>531.64</v>
      </c>
      <c r="V5">
        <v>306.79000000000002</v>
      </c>
      <c r="W5">
        <v>303.14</v>
      </c>
      <c r="X5">
        <v>274.82</v>
      </c>
      <c r="Y5">
        <v>209.76</v>
      </c>
      <c r="Z5">
        <v>209.76</v>
      </c>
    </row>
    <row r="6" spans="10:26" x14ac:dyDescent="0.25">
      <c r="J6">
        <v>2009</v>
      </c>
      <c r="L6" s="452">
        <v>1576.58</v>
      </c>
      <c r="M6" s="452">
        <v>1573.98</v>
      </c>
      <c r="N6" s="452">
        <v>1763.5</v>
      </c>
      <c r="O6" s="452">
        <v>1516.1</v>
      </c>
      <c r="P6" s="452">
        <v>1513.44</v>
      </c>
      <c r="Q6" s="452">
        <v>1513.44</v>
      </c>
      <c r="R6" s="452">
        <v>1505.52</v>
      </c>
      <c r="S6">
        <v>801.1</v>
      </c>
      <c r="T6">
        <v>796.1</v>
      </c>
      <c r="U6">
        <v>434.04</v>
      </c>
      <c r="V6">
        <v>422.81</v>
      </c>
      <c r="W6">
        <v>180.32</v>
      </c>
      <c r="X6">
        <v>179.78</v>
      </c>
      <c r="Y6">
        <v>167.31</v>
      </c>
      <c r="Z6">
        <v>166.26</v>
      </c>
    </row>
    <row r="7" spans="10:26" x14ac:dyDescent="0.25">
      <c r="J7">
        <v>2010</v>
      </c>
      <c r="L7">
        <v>888.44</v>
      </c>
      <c r="M7">
        <v>888.16</v>
      </c>
      <c r="N7" s="452">
        <v>1002.13</v>
      </c>
      <c r="O7">
        <v>859.54</v>
      </c>
      <c r="P7">
        <v>808.53</v>
      </c>
      <c r="Q7">
        <v>808.08</v>
      </c>
      <c r="R7">
        <v>808.08</v>
      </c>
      <c r="S7">
        <v>742.47</v>
      </c>
      <c r="T7">
        <v>737.22</v>
      </c>
      <c r="U7">
        <v>464.16</v>
      </c>
      <c r="V7">
        <v>464.16</v>
      </c>
      <c r="W7">
        <v>463.83</v>
      </c>
      <c r="X7">
        <v>316.47000000000003</v>
      </c>
      <c r="Y7">
        <v>316.47000000000003</v>
      </c>
      <c r="Z7">
        <v>308.02999999999997</v>
      </c>
    </row>
    <row r="8" spans="10:26" x14ac:dyDescent="0.25">
      <c r="J8">
        <v>2011</v>
      </c>
      <c r="L8" s="452">
        <v>1164.98</v>
      </c>
      <c r="M8">
        <v>927.24</v>
      </c>
      <c r="N8" s="452">
        <v>1012.88</v>
      </c>
      <c r="O8">
        <v>886.44</v>
      </c>
      <c r="P8">
        <v>868.12</v>
      </c>
      <c r="Q8">
        <v>844.29</v>
      </c>
      <c r="R8">
        <v>768.64</v>
      </c>
      <c r="S8">
        <v>765.67</v>
      </c>
      <c r="T8">
        <v>697.95</v>
      </c>
      <c r="U8">
        <v>689.14</v>
      </c>
      <c r="V8">
        <v>677.24</v>
      </c>
      <c r="W8">
        <v>677.24</v>
      </c>
      <c r="X8">
        <v>437.67</v>
      </c>
      <c r="Y8">
        <v>296.26</v>
      </c>
      <c r="Z8">
        <v>296.12</v>
      </c>
    </row>
    <row r="9" spans="10:26" x14ac:dyDescent="0.25">
      <c r="J9">
        <v>2012</v>
      </c>
      <c r="L9">
        <v>15</v>
      </c>
      <c r="M9" s="452">
        <v>3646.77</v>
      </c>
      <c r="N9" s="452">
        <v>1045.46</v>
      </c>
      <c r="O9" s="452">
        <v>1038.6400000000001</v>
      </c>
      <c r="P9" s="452">
        <v>1011.72</v>
      </c>
      <c r="Q9">
        <v>999.6</v>
      </c>
      <c r="R9">
        <v>935.45</v>
      </c>
      <c r="S9">
        <v>907.56</v>
      </c>
      <c r="T9">
        <v>718.27</v>
      </c>
      <c r="U9">
        <v>682.7</v>
      </c>
      <c r="V9">
        <v>532.04</v>
      </c>
      <c r="W9">
        <v>518.48</v>
      </c>
      <c r="X9">
        <v>518.04999999999995</v>
      </c>
      <c r="Y9">
        <v>317.98</v>
      </c>
      <c r="Z9">
        <v>279.5</v>
      </c>
    </row>
    <row r="10" spans="10:26" x14ac:dyDescent="0.25">
      <c r="J10">
        <v>2013</v>
      </c>
      <c r="L10" t="s">
        <v>289</v>
      </c>
      <c r="M10" t="s">
        <v>289</v>
      </c>
      <c r="N10" s="452">
        <v>2341.46</v>
      </c>
      <c r="O10" s="452">
        <v>1752.27</v>
      </c>
      <c r="P10" s="452">
        <v>1750.66</v>
      </c>
      <c r="Q10" s="452">
        <v>1737.45</v>
      </c>
      <c r="R10" s="452">
        <v>1560.92</v>
      </c>
      <c r="S10" s="452">
        <v>1533.18</v>
      </c>
      <c r="T10" s="452">
        <v>1532.92</v>
      </c>
      <c r="U10" s="452">
        <v>1532.91</v>
      </c>
      <c r="V10" s="452">
        <v>1472.88</v>
      </c>
      <c r="W10" s="452">
        <v>1337</v>
      </c>
      <c r="X10" s="452">
        <v>1107.67</v>
      </c>
      <c r="Y10" s="452">
        <v>1101.47</v>
      </c>
      <c r="Z10">
        <v>833.76</v>
      </c>
    </row>
    <row r="11" spans="10:26" x14ac:dyDescent="0.25">
      <c r="J11">
        <v>2014</v>
      </c>
      <c r="L11" t="s">
        <v>289</v>
      </c>
      <c r="M11" t="s">
        <v>289</v>
      </c>
      <c r="N11" t="s">
        <v>289</v>
      </c>
      <c r="O11" s="452">
        <v>5343.15</v>
      </c>
      <c r="P11" s="452">
        <v>4098.3500000000004</v>
      </c>
      <c r="Q11" s="452">
        <v>4086.62</v>
      </c>
      <c r="R11" s="452">
        <v>4038.46</v>
      </c>
      <c r="S11" s="452">
        <v>3990.41</v>
      </c>
      <c r="T11" s="452">
        <v>3981.2</v>
      </c>
      <c r="U11" s="452">
        <v>3954.86</v>
      </c>
      <c r="V11" s="452">
        <v>3951.87</v>
      </c>
      <c r="W11" s="452">
        <v>3915.95</v>
      </c>
      <c r="X11" s="452">
        <v>3799.23</v>
      </c>
      <c r="Y11" s="452">
        <v>3680.08</v>
      </c>
      <c r="Z11" s="452">
        <v>3635.36</v>
      </c>
    </row>
    <row r="13" spans="10:26" x14ac:dyDescent="0.25">
      <c r="J13" s="178" t="s">
        <v>293</v>
      </c>
      <c r="K13" s="178"/>
      <c r="L13">
        <v>2011</v>
      </c>
      <c r="M13">
        <v>2012</v>
      </c>
      <c r="N13">
        <v>2013</v>
      </c>
      <c r="O13">
        <v>2014</v>
      </c>
      <c r="P13">
        <v>2015</v>
      </c>
      <c r="Q13">
        <v>2016</v>
      </c>
      <c r="R13">
        <v>2017</v>
      </c>
      <c r="S13">
        <v>2018</v>
      </c>
      <c r="T13">
        <v>2019</v>
      </c>
      <c r="U13">
        <v>2020</v>
      </c>
      <c r="V13">
        <v>2021</v>
      </c>
      <c r="W13">
        <v>2022</v>
      </c>
      <c r="X13">
        <v>2023</v>
      </c>
      <c r="Y13">
        <v>2024</v>
      </c>
      <c r="Z13">
        <v>2025</v>
      </c>
    </row>
    <row r="14" spans="10:26" x14ac:dyDescent="0.25">
      <c r="J14" s="178">
        <v>2015</v>
      </c>
      <c r="K14" s="178"/>
      <c r="L14">
        <v>0</v>
      </c>
      <c r="M14">
        <v>0</v>
      </c>
      <c r="N14">
        <v>0</v>
      </c>
      <c r="O14">
        <v>0</v>
      </c>
      <c r="P14" s="410"/>
      <c r="Q14" s="410"/>
      <c r="R14" s="410"/>
      <c r="S14" s="410"/>
      <c r="T14" s="410"/>
      <c r="U14" s="410"/>
      <c r="V14" s="410"/>
      <c r="W14" s="410"/>
      <c r="X14" s="410"/>
      <c r="Y14" s="410"/>
      <c r="Z14" s="410"/>
    </row>
    <row r="15" spans="10:26" x14ac:dyDescent="0.25">
      <c r="J15" s="178">
        <v>2016</v>
      </c>
      <c r="K15" s="178"/>
      <c r="L15">
        <v>0</v>
      </c>
      <c r="M15">
        <v>0</v>
      </c>
      <c r="N15">
        <v>0</v>
      </c>
      <c r="O15">
        <v>0</v>
      </c>
      <c r="P15">
        <v>0</v>
      </c>
    </row>
    <row r="16" spans="10:26" x14ac:dyDescent="0.25">
      <c r="J16" s="178">
        <v>2017</v>
      </c>
      <c r="K16" s="178"/>
      <c r="L16">
        <v>0</v>
      </c>
      <c r="M16">
        <v>0</v>
      </c>
      <c r="N16">
        <v>0</v>
      </c>
      <c r="O16">
        <v>0</v>
      </c>
      <c r="P16">
        <v>0</v>
      </c>
      <c r="Q16">
        <v>0</v>
      </c>
    </row>
    <row r="17" spans="1:26" x14ac:dyDescent="0.25">
      <c r="J17" s="178">
        <v>2018</v>
      </c>
      <c r="K17" s="178"/>
      <c r="L17">
        <v>0</v>
      </c>
      <c r="M17">
        <v>0</v>
      </c>
      <c r="N17">
        <v>0</v>
      </c>
      <c r="O17">
        <v>0</v>
      </c>
      <c r="P17">
        <v>0</v>
      </c>
      <c r="Q17">
        <v>0</v>
      </c>
      <c r="R17">
        <v>0</v>
      </c>
    </row>
    <row r="18" spans="1:26" x14ac:dyDescent="0.25">
      <c r="J18" s="178">
        <v>2019</v>
      </c>
      <c r="K18" s="178"/>
      <c r="L18">
        <v>0</v>
      </c>
      <c r="M18">
        <v>0</v>
      </c>
      <c r="N18">
        <v>0</v>
      </c>
      <c r="O18">
        <v>0</v>
      </c>
      <c r="P18">
        <v>0</v>
      </c>
      <c r="Q18">
        <v>0</v>
      </c>
      <c r="R18">
        <v>0</v>
      </c>
      <c r="S18">
        <v>0</v>
      </c>
    </row>
    <row r="24" spans="1:26" x14ac:dyDescent="0.25">
      <c r="B24">
        <v>2006</v>
      </c>
      <c r="C24">
        <v>2007</v>
      </c>
      <c r="D24">
        <v>2008</v>
      </c>
      <c r="E24">
        <v>2009</v>
      </c>
      <c r="F24">
        <v>2010</v>
      </c>
      <c r="G24">
        <v>2011</v>
      </c>
      <c r="H24">
        <v>2012</v>
      </c>
      <c r="J24" s="178" t="s">
        <v>291</v>
      </c>
      <c r="K24">
        <v>2010</v>
      </c>
      <c r="L24">
        <v>2011</v>
      </c>
      <c r="M24">
        <v>2012</v>
      </c>
      <c r="N24">
        <v>2013</v>
      </c>
      <c r="O24">
        <v>2014</v>
      </c>
      <c r="P24">
        <v>2015</v>
      </c>
      <c r="Q24">
        <v>2016</v>
      </c>
      <c r="R24">
        <v>2017</v>
      </c>
      <c r="S24">
        <v>2018</v>
      </c>
      <c r="T24">
        <v>2019</v>
      </c>
      <c r="U24">
        <v>2020</v>
      </c>
      <c r="V24">
        <v>2021</v>
      </c>
      <c r="W24">
        <v>2022</v>
      </c>
      <c r="X24">
        <v>2023</v>
      </c>
      <c r="Y24">
        <v>2024</v>
      </c>
      <c r="Z24">
        <v>2025</v>
      </c>
    </row>
    <row r="25" spans="1:26" x14ac:dyDescent="0.25">
      <c r="A25">
        <v>2006</v>
      </c>
      <c r="B25">
        <v>2666105.1325345249</v>
      </c>
      <c r="C25">
        <v>2666105.1325345249</v>
      </c>
      <c r="D25">
        <v>2666105.1325345249</v>
      </c>
      <c r="E25">
        <v>2666105.1325345249</v>
      </c>
      <c r="F25">
        <v>463043.42715370021</v>
      </c>
      <c r="G25">
        <v>463043.42715370021</v>
      </c>
      <c r="H25" s="410">
        <v>423558.66956419213</v>
      </c>
      <c r="I25" s="410">
        <f>H25-M25</f>
        <v>-4.3580785859376192E-4</v>
      </c>
      <c r="J25">
        <v>2006</v>
      </c>
      <c r="K25" s="410">
        <v>463043.42715370021</v>
      </c>
      <c r="L25" s="410">
        <v>463043.43</v>
      </c>
      <c r="M25" s="410">
        <v>423558.67</v>
      </c>
      <c r="N25" s="410">
        <v>423558.67</v>
      </c>
      <c r="O25" s="410">
        <v>397998.63</v>
      </c>
      <c r="P25" s="410">
        <v>397998.63</v>
      </c>
      <c r="Q25" s="410">
        <v>376020.92</v>
      </c>
      <c r="R25" s="410">
        <v>376020.92</v>
      </c>
      <c r="S25" s="410">
        <v>376020.92</v>
      </c>
      <c r="T25" s="410">
        <v>376020.92</v>
      </c>
      <c r="U25" s="410">
        <v>340369.53</v>
      </c>
      <c r="V25" s="410">
        <v>295854.38</v>
      </c>
      <c r="W25" s="410">
        <v>295854.38</v>
      </c>
      <c r="X25" s="410">
        <v>295854.38</v>
      </c>
      <c r="Y25" s="410">
        <v>159858.84</v>
      </c>
      <c r="Z25" s="410">
        <v>159858.84</v>
      </c>
    </row>
    <row r="26" spans="1:26" x14ac:dyDescent="0.25">
      <c r="A26">
        <v>2007</v>
      </c>
      <c r="B26">
        <v>0</v>
      </c>
      <c r="C26">
        <v>1387119.5914160432</v>
      </c>
      <c r="D26">
        <v>1375496.831751832</v>
      </c>
      <c r="E26">
        <v>1375496.831751832</v>
      </c>
      <c r="F26">
        <v>1375496.831751832</v>
      </c>
      <c r="G26">
        <v>1374565.2039057056</v>
      </c>
      <c r="H26" s="410">
        <v>1319405.8582323904</v>
      </c>
      <c r="I26" s="410">
        <f t="shared" ref="I26:I31" si="0">H26-M26</f>
        <v>-1.7676097340881824E-3</v>
      </c>
      <c r="J26">
        <v>2007</v>
      </c>
      <c r="K26" s="410">
        <v>1375496.831751832</v>
      </c>
      <c r="L26" s="410">
        <v>1374565.2</v>
      </c>
      <c r="M26" s="410">
        <v>1319405.8600000001</v>
      </c>
      <c r="N26" s="410">
        <v>1319449.1599999999</v>
      </c>
      <c r="O26" s="410">
        <v>1319405.8600000001</v>
      </c>
      <c r="P26" s="410">
        <v>451386.63</v>
      </c>
      <c r="Q26" s="410">
        <v>311034.57</v>
      </c>
      <c r="R26" s="410">
        <v>164898.26999999999</v>
      </c>
      <c r="S26" s="410">
        <v>164898.26999999999</v>
      </c>
      <c r="T26" s="410">
        <v>164898.26999999999</v>
      </c>
      <c r="U26" s="410">
        <v>164898.26999999999</v>
      </c>
      <c r="V26" s="410">
        <v>164898.26999999999</v>
      </c>
      <c r="W26" s="410">
        <v>24849.72</v>
      </c>
      <c r="X26" s="410">
        <v>20321.68</v>
      </c>
      <c r="Y26" s="410">
        <v>20321.68</v>
      </c>
      <c r="Z26" s="410" t="s">
        <v>290</v>
      </c>
    </row>
    <row r="27" spans="1:26" x14ac:dyDescent="0.25">
      <c r="A27">
        <v>2008</v>
      </c>
      <c r="B27">
        <v>0</v>
      </c>
      <c r="C27">
        <v>0</v>
      </c>
      <c r="D27">
        <v>2696910.9193012784</v>
      </c>
      <c r="E27">
        <v>2083518.3959945007</v>
      </c>
      <c r="F27">
        <v>2083518.3959945007</v>
      </c>
      <c r="G27">
        <v>2083518.3959945007</v>
      </c>
      <c r="H27" s="410">
        <v>1953835.1479984417</v>
      </c>
      <c r="I27" s="410">
        <f t="shared" si="0"/>
        <v>-2.0015581976622343E-3</v>
      </c>
      <c r="J27">
        <v>2008</v>
      </c>
      <c r="K27" s="410">
        <v>2083518.3959945007</v>
      </c>
      <c r="L27" s="410">
        <v>2083518.4</v>
      </c>
      <c r="M27" s="410">
        <v>1953835.15</v>
      </c>
      <c r="N27" s="410">
        <v>1952703</v>
      </c>
      <c r="O27" s="410">
        <v>1818843.91</v>
      </c>
      <c r="P27" s="410">
        <v>1718921.23</v>
      </c>
      <c r="Q27" s="410">
        <v>1280426.25</v>
      </c>
      <c r="R27" s="410">
        <v>950424.38</v>
      </c>
      <c r="S27" s="410">
        <v>850075.15</v>
      </c>
      <c r="T27" s="410">
        <v>850075.15</v>
      </c>
      <c r="U27" s="410">
        <v>837270.34</v>
      </c>
      <c r="V27" s="410">
        <v>816336.56</v>
      </c>
      <c r="W27" s="410">
        <v>807916.89</v>
      </c>
      <c r="X27" s="410">
        <v>750621.03</v>
      </c>
      <c r="Y27" s="410">
        <v>248605.87</v>
      </c>
      <c r="Z27" s="410">
        <v>248605.87</v>
      </c>
    </row>
    <row r="28" spans="1:26" x14ac:dyDescent="0.25">
      <c r="A28">
        <v>2009</v>
      </c>
      <c r="B28">
        <v>0</v>
      </c>
      <c r="C28">
        <v>0</v>
      </c>
      <c r="D28">
        <v>0</v>
      </c>
      <c r="E28">
        <v>6943326.6794287935</v>
      </c>
      <c r="F28">
        <v>6230628.8779311981</v>
      </c>
      <c r="G28">
        <v>6230628.8779311981</v>
      </c>
      <c r="H28" s="410">
        <v>6227931.4565432118</v>
      </c>
      <c r="I28" s="410">
        <f t="shared" si="0"/>
        <v>-3.4567881375551224E-3</v>
      </c>
      <c r="J28">
        <v>2009</v>
      </c>
      <c r="K28" s="410">
        <v>6230628.8779311981</v>
      </c>
      <c r="L28" s="410">
        <v>6230628.8799999999</v>
      </c>
      <c r="M28" s="410">
        <v>6227931.46</v>
      </c>
      <c r="N28" s="410">
        <v>6110635.9800000004</v>
      </c>
      <c r="O28" s="410">
        <v>5806438.0099999998</v>
      </c>
      <c r="P28" s="410">
        <v>5738137.9100000001</v>
      </c>
      <c r="Q28" s="410">
        <v>5736647.6500000004</v>
      </c>
      <c r="R28" s="410">
        <v>4440683.2300000004</v>
      </c>
      <c r="S28" s="410">
        <v>2892856.07</v>
      </c>
      <c r="T28" s="410">
        <v>2377810.81</v>
      </c>
      <c r="U28" s="410">
        <v>401134.84</v>
      </c>
      <c r="V28" s="410">
        <v>364394.89</v>
      </c>
      <c r="W28" s="410">
        <v>363951.5</v>
      </c>
      <c r="X28" s="410">
        <v>358715.99</v>
      </c>
      <c r="Y28" s="410">
        <v>315313.2</v>
      </c>
      <c r="Z28" s="410">
        <v>288380.15000000002</v>
      </c>
    </row>
    <row r="29" spans="1:26" x14ac:dyDescent="0.25">
      <c r="A29">
        <v>2010</v>
      </c>
      <c r="B29">
        <v>0</v>
      </c>
      <c r="C29">
        <v>0</v>
      </c>
      <c r="D29">
        <v>0</v>
      </c>
      <c r="E29">
        <v>0</v>
      </c>
      <c r="F29">
        <v>4170819.6032697526</v>
      </c>
      <c r="G29">
        <v>2995440.2976294947</v>
      </c>
      <c r="H29" s="410">
        <v>2991631.4397138916</v>
      </c>
      <c r="I29" s="410">
        <f t="shared" si="0"/>
        <v>-2.8610834851861E-4</v>
      </c>
      <c r="J29">
        <v>2010</v>
      </c>
      <c r="K29" s="410">
        <v>4170819.6032697526</v>
      </c>
      <c r="L29" s="410">
        <v>2995440.3</v>
      </c>
      <c r="M29" s="410">
        <v>2991631.44</v>
      </c>
      <c r="N29" s="410">
        <v>2989542.01</v>
      </c>
      <c r="O29" s="410">
        <v>2866698.41</v>
      </c>
      <c r="P29" s="410">
        <v>2447090.15</v>
      </c>
      <c r="Q29" s="410">
        <v>2432987.33</v>
      </c>
      <c r="R29" s="410">
        <v>2367567.9300000002</v>
      </c>
      <c r="S29" s="410">
        <v>2215013.5099999998</v>
      </c>
      <c r="T29" s="410">
        <v>937585.67</v>
      </c>
      <c r="U29" s="410">
        <v>587167.73</v>
      </c>
      <c r="V29" s="410">
        <v>587167.73</v>
      </c>
      <c r="W29" s="410">
        <v>583421.39</v>
      </c>
      <c r="X29" s="410">
        <v>582752.76</v>
      </c>
      <c r="Y29" s="410">
        <v>582752.76</v>
      </c>
      <c r="Z29" s="410">
        <v>564899.48</v>
      </c>
    </row>
    <row r="30" spans="1:26" x14ac:dyDescent="0.25">
      <c r="A30">
        <v>2011</v>
      </c>
      <c r="B30">
        <v>0</v>
      </c>
      <c r="C30">
        <v>0</v>
      </c>
      <c r="D30">
        <v>0</v>
      </c>
      <c r="E30">
        <v>0</v>
      </c>
      <c r="F30">
        <v>0</v>
      </c>
      <c r="G30">
        <v>4286345</v>
      </c>
      <c r="H30" s="410">
        <v>4273421</v>
      </c>
      <c r="I30" s="410">
        <f t="shared" si="0"/>
        <v>-0.37999999988824129</v>
      </c>
      <c r="J30">
        <v>2011</v>
      </c>
      <c r="K30" s="410"/>
      <c r="L30" s="410">
        <v>4286049.6900000004</v>
      </c>
      <c r="M30" s="410">
        <v>4273421.38</v>
      </c>
      <c r="N30" s="410">
        <v>4269479.78</v>
      </c>
      <c r="O30" s="410">
        <v>4164654.72</v>
      </c>
      <c r="P30" s="410">
        <v>4044924.87</v>
      </c>
      <c r="Q30" s="410">
        <v>3842745.46</v>
      </c>
      <c r="R30" s="410">
        <v>3585982.4</v>
      </c>
      <c r="S30" s="410">
        <v>3582790.41</v>
      </c>
      <c r="T30" s="410">
        <v>3120827.28</v>
      </c>
      <c r="U30" s="410">
        <v>2930516.1</v>
      </c>
      <c r="V30" s="410">
        <v>2832862.62</v>
      </c>
      <c r="W30" s="410">
        <v>2827300.45</v>
      </c>
      <c r="X30" s="410">
        <v>1442284.73</v>
      </c>
      <c r="Y30" s="410">
        <v>593243.99</v>
      </c>
      <c r="Z30" s="410">
        <v>592204.13</v>
      </c>
    </row>
    <row r="31" spans="1:26" x14ac:dyDescent="0.25">
      <c r="A31">
        <v>2012</v>
      </c>
      <c r="B31">
        <v>0</v>
      </c>
      <c r="C31">
        <v>0</v>
      </c>
      <c r="D31">
        <v>0</v>
      </c>
      <c r="E31">
        <v>0</v>
      </c>
      <c r="F31">
        <v>0</v>
      </c>
      <c r="G31">
        <v>0</v>
      </c>
      <c r="H31" s="410">
        <v>5854213</v>
      </c>
      <c r="I31" s="410">
        <f t="shared" si="0"/>
        <v>-49466</v>
      </c>
      <c r="J31">
        <v>2012</v>
      </c>
      <c r="K31" s="410"/>
      <c r="L31" s="454">
        <v>153118.66</v>
      </c>
      <c r="M31" s="410">
        <v>5903679</v>
      </c>
      <c r="N31" s="410">
        <v>5801327.04</v>
      </c>
      <c r="O31" s="410">
        <v>5778849.0199999996</v>
      </c>
      <c r="P31" s="410">
        <v>5681217.0800000001</v>
      </c>
      <c r="Q31" s="410">
        <v>5580103.1100000003</v>
      </c>
      <c r="R31" s="410">
        <v>5264741.51</v>
      </c>
      <c r="S31" s="410">
        <v>5005437</v>
      </c>
      <c r="T31" s="410">
        <v>3249973.59</v>
      </c>
      <c r="U31" s="410">
        <v>3075156.75</v>
      </c>
      <c r="V31" s="410">
        <v>2095101.86</v>
      </c>
      <c r="W31" s="410">
        <v>1923659.78</v>
      </c>
      <c r="X31" s="410">
        <v>1918862.27</v>
      </c>
      <c r="Y31" s="410">
        <v>765196.13</v>
      </c>
      <c r="Z31" s="410">
        <v>637197.06999999995</v>
      </c>
    </row>
    <row r="32" spans="1:26" x14ac:dyDescent="0.25">
      <c r="A32">
        <v>2013</v>
      </c>
      <c r="B32">
        <v>0</v>
      </c>
      <c r="C32">
        <v>0</v>
      </c>
      <c r="D32">
        <v>0</v>
      </c>
      <c r="E32">
        <v>0</v>
      </c>
      <c r="F32">
        <v>0</v>
      </c>
      <c r="G32">
        <v>0</v>
      </c>
      <c r="H32">
        <v>0</v>
      </c>
      <c r="I32" s="410"/>
      <c r="J32">
        <v>2013</v>
      </c>
      <c r="L32" s="410" t="s">
        <v>289</v>
      </c>
      <c r="M32" s="410" t="s">
        <v>289</v>
      </c>
      <c r="N32" s="410">
        <v>6994577.8200000003</v>
      </c>
      <c r="O32" s="410">
        <v>6908924.9199999999</v>
      </c>
      <c r="P32" s="410">
        <v>6895581.3399999999</v>
      </c>
      <c r="Q32" s="410">
        <v>6806731.7199999997</v>
      </c>
      <c r="R32" s="410">
        <v>6111009.04</v>
      </c>
      <c r="S32" s="410">
        <v>5938031.5700000003</v>
      </c>
      <c r="T32" s="410">
        <v>5933062.1699999999</v>
      </c>
      <c r="U32" s="410">
        <v>5930968.1399999997</v>
      </c>
      <c r="V32" s="410">
        <v>5643124.2599999998</v>
      </c>
      <c r="W32" s="410">
        <v>4878787.08</v>
      </c>
      <c r="X32" s="410">
        <v>3496169.06</v>
      </c>
      <c r="Y32" s="410">
        <v>3440850.8</v>
      </c>
      <c r="Z32" s="410">
        <v>1878196.35</v>
      </c>
    </row>
    <row r="33" spans="1:26" x14ac:dyDescent="0.25">
      <c r="A33">
        <v>2014</v>
      </c>
      <c r="B33">
        <v>0</v>
      </c>
      <c r="C33">
        <v>0</v>
      </c>
      <c r="D33">
        <v>0</v>
      </c>
      <c r="E33">
        <v>0</v>
      </c>
      <c r="F33">
        <v>0</v>
      </c>
      <c r="G33">
        <v>0</v>
      </c>
      <c r="H33">
        <v>0</v>
      </c>
      <c r="I33" s="410"/>
      <c r="J33">
        <v>2014</v>
      </c>
      <c r="L33" s="410" t="s">
        <v>289</v>
      </c>
      <c r="M33" s="410" t="s">
        <v>289</v>
      </c>
      <c r="N33" s="410" t="s">
        <v>289</v>
      </c>
      <c r="O33" s="410">
        <v>33821560.079999998</v>
      </c>
      <c r="P33" s="410">
        <v>33152890.469999999</v>
      </c>
      <c r="Q33" s="410">
        <v>33032221.41</v>
      </c>
      <c r="R33" s="410">
        <v>32854801.32</v>
      </c>
      <c r="S33" s="410">
        <v>32675045.449999999</v>
      </c>
      <c r="T33" s="410">
        <v>32618967.93</v>
      </c>
      <c r="U33" s="410">
        <v>32459292.93</v>
      </c>
      <c r="V33" s="410">
        <v>32449097.960000001</v>
      </c>
      <c r="W33" s="410">
        <v>32187773.120000001</v>
      </c>
      <c r="X33" s="410">
        <v>31425935.489999998</v>
      </c>
      <c r="Y33" s="410">
        <v>30673044.82</v>
      </c>
      <c r="Z33" s="410">
        <v>30367888.379999999</v>
      </c>
    </row>
    <row r="34" spans="1:26" x14ac:dyDescent="0.25">
      <c r="A34">
        <v>2015</v>
      </c>
      <c r="B34">
        <v>0</v>
      </c>
      <c r="C34">
        <v>0</v>
      </c>
      <c r="D34">
        <v>0</v>
      </c>
      <c r="E34">
        <v>0</v>
      </c>
      <c r="F34">
        <v>0</v>
      </c>
      <c r="G34">
        <v>0</v>
      </c>
      <c r="H34">
        <v>0</v>
      </c>
      <c r="I34" s="410"/>
      <c r="J34" t="s">
        <v>308</v>
      </c>
      <c r="K34" s="410">
        <f>SUM(K25:K33)</f>
        <v>14323507.136100983</v>
      </c>
      <c r="L34" s="410">
        <f>SUM(L25:L33)</f>
        <v>17586364.560000002</v>
      </c>
      <c r="M34" s="410">
        <f t="shared" ref="M34:Z34" si="1">SUM(M25:M33)</f>
        <v>23093462.960000001</v>
      </c>
      <c r="N34" s="410">
        <f t="shared" si="1"/>
        <v>29861273.460000001</v>
      </c>
      <c r="O34" s="410">
        <f t="shared" si="1"/>
        <v>62883373.560000002</v>
      </c>
      <c r="P34" s="410">
        <f t="shared" si="1"/>
        <v>60528148.310000002</v>
      </c>
      <c r="Q34" s="410">
        <f t="shared" si="1"/>
        <v>59398918.420000002</v>
      </c>
      <c r="R34" s="410">
        <f t="shared" si="1"/>
        <v>56116129</v>
      </c>
      <c r="S34" s="410">
        <f t="shared" si="1"/>
        <v>53700168.349999994</v>
      </c>
      <c r="T34" s="410">
        <f t="shared" si="1"/>
        <v>49629221.789999999</v>
      </c>
      <c r="U34" s="410">
        <f t="shared" si="1"/>
        <v>46726774.629999995</v>
      </c>
      <c r="V34" s="410">
        <f t="shared" si="1"/>
        <v>45248838.530000001</v>
      </c>
      <c r="W34" s="410">
        <f t="shared" si="1"/>
        <v>43893514.310000002</v>
      </c>
      <c r="X34" s="410">
        <f t="shared" si="1"/>
        <v>40291517.390000001</v>
      </c>
      <c r="Y34" s="410">
        <f t="shared" si="1"/>
        <v>36799188.090000004</v>
      </c>
      <c r="Z34" s="410">
        <f t="shared" si="1"/>
        <v>34737230.269999996</v>
      </c>
    </row>
    <row r="35" spans="1:26" x14ac:dyDescent="0.25">
      <c r="A35">
        <v>2016</v>
      </c>
      <c r="B35">
        <v>0</v>
      </c>
      <c r="C35">
        <v>0</v>
      </c>
      <c r="D35">
        <v>0</v>
      </c>
      <c r="E35">
        <v>0</v>
      </c>
      <c r="F35">
        <v>0</v>
      </c>
      <c r="G35">
        <v>0</v>
      </c>
      <c r="H35">
        <v>0</v>
      </c>
      <c r="I35" s="410"/>
      <c r="O35" s="410"/>
    </row>
    <row r="36" spans="1:26" x14ac:dyDescent="0.25">
      <c r="A36">
        <v>2017</v>
      </c>
      <c r="B36">
        <v>0</v>
      </c>
      <c r="C36">
        <v>0</v>
      </c>
      <c r="D36">
        <v>0</v>
      </c>
      <c r="E36">
        <v>0</v>
      </c>
      <c r="F36">
        <v>0</v>
      </c>
      <c r="G36">
        <v>0</v>
      </c>
      <c r="H36">
        <v>0</v>
      </c>
      <c r="I36" s="410"/>
      <c r="J36" s="178" t="s">
        <v>292</v>
      </c>
      <c r="K36" s="178"/>
      <c r="L36">
        <v>2011</v>
      </c>
      <c r="M36">
        <v>2012</v>
      </c>
      <c r="N36">
        <v>2013</v>
      </c>
      <c r="O36">
        <v>2014</v>
      </c>
      <c r="P36">
        <v>2015</v>
      </c>
      <c r="Q36">
        <v>2016</v>
      </c>
      <c r="R36">
        <v>2017</v>
      </c>
      <c r="S36">
        <v>2018</v>
      </c>
      <c r="T36">
        <v>2019</v>
      </c>
      <c r="U36">
        <v>2020</v>
      </c>
      <c r="V36">
        <v>2021</v>
      </c>
      <c r="W36">
        <v>2022</v>
      </c>
      <c r="X36">
        <v>2023</v>
      </c>
      <c r="Y36">
        <v>2024</v>
      </c>
      <c r="Z36">
        <v>2025</v>
      </c>
    </row>
    <row r="37" spans="1:26" x14ac:dyDescent="0.25">
      <c r="I37" s="410"/>
      <c r="J37" s="178">
        <v>2015</v>
      </c>
      <c r="K37" s="178"/>
      <c r="L37">
        <v>0</v>
      </c>
      <c r="M37">
        <v>0</v>
      </c>
      <c r="N37">
        <v>0</v>
      </c>
      <c r="O37">
        <v>0</v>
      </c>
      <c r="P37" s="410">
        <v>9522225</v>
      </c>
      <c r="Q37" s="410">
        <v>9486358</v>
      </c>
      <c r="R37" s="410">
        <v>9482555</v>
      </c>
      <c r="S37" s="410">
        <v>9481982</v>
      </c>
      <c r="T37" s="410">
        <v>9469641</v>
      </c>
      <c r="U37" s="410">
        <v>9309700</v>
      </c>
      <c r="V37" s="410">
        <v>9309006</v>
      </c>
      <c r="W37" s="410">
        <v>9307892</v>
      </c>
      <c r="X37" s="410">
        <v>9262140</v>
      </c>
      <c r="Y37" s="410">
        <v>8675903</v>
      </c>
      <c r="Z37" s="410">
        <v>6713423</v>
      </c>
    </row>
    <row r="38" spans="1:26" x14ac:dyDescent="0.25">
      <c r="I38" s="410"/>
      <c r="J38" s="178">
        <v>2016</v>
      </c>
      <c r="K38" s="178"/>
      <c r="L38">
        <v>0</v>
      </c>
      <c r="M38">
        <v>0</v>
      </c>
      <c r="N38">
        <v>0</v>
      </c>
      <c r="O38">
        <v>0</v>
      </c>
      <c r="P38">
        <v>0</v>
      </c>
      <c r="Q38">
        <v>12181475</v>
      </c>
      <c r="R38">
        <v>12181342</v>
      </c>
      <c r="S38">
        <v>12207408</v>
      </c>
      <c r="T38">
        <v>12109967</v>
      </c>
      <c r="U38">
        <v>12077836</v>
      </c>
      <c r="V38">
        <v>11432197</v>
      </c>
      <c r="W38">
        <v>11326628</v>
      </c>
      <c r="X38">
        <v>11292271</v>
      </c>
      <c r="Y38">
        <v>11242534</v>
      </c>
      <c r="Z38">
        <v>11176819</v>
      </c>
    </row>
    <row r="39" spans="1:26" x14ac:dyDescent="0.25">
      <c r="I39" s="410"/>
      <c r="J39" s="178">
        <v>2017</v>
      </c>
      <c r="K39" s="178"/>
      <c r="L39">
        <v>0</v>
      </c>
      <c r="M39">
        <v>0</v>
      </c>
      <c r="N39">
        <v>0</v>
      </c>
      <c r="O39">
        <v>0</v>
      </c>
      <c r="P39">
        <v>0</v>
      </c>
      <c r="Q39">
        <v>0</v>
      </c>
      <c r="R39">
        <v>16387248</v>
      </c>
      <c r="S39">
        <v>15261381</v>
      </c>
      <c r="T39">
        <v>15084685</v>
      </c>
      <c r="U39">
        <v>15051708</v>
      </c>
      <c r="V39">
        <v>14941638</v>
      </c>
      <c r="W39">
        <v>14164205</v>
      </c>
      <c r="X39">
        <v>14112518</v>
      </c>
      <c r="Y39">
        <v>14075129</v>
      </c>
      <c r="Z39">
        <v>13887751</v>
      </c>
    </row>
    <row r="40" spans="1:26" x14ac:dyDescent="0.25">
      <c r="I40" s="410"/>
      <c r="J40" s="178">
        <v>2018</v>
      </c>
      <c r="K40" s="178"/>
      <c r="L40">
        <v>0</v>
      </c>
      <c r="M40">
        <v>0</v>
      </c>
      <c r="N40">
        <v>0</v>
      </c>
      <c r="O40">
        <v>0</v>
      </c>
      <c r="P40">
        <v>0</v>
      </c>
      <c r="Q40">
        <v>0</v>
      </c>
      <c r="R40">
        <v>0</v>
      </c>
      <c r="S40">
        <v>10834881</v>
      </c>
      <c r="T40">
        <v>10842199</v>
      </c>
      <c r="U40">
        <v>10764337</v>
      </c>
      <c r="V40">
        <v>10610889</v>
      </c>
      <c r="W40" s="63"/>
    </row>
    <row r="41" spans="1:26" x14ac:dyDescent="0.25">
      <c r="I41" s="410"/>
      <c r="J41" s="178">
        <v>2019</v>
      </c>
      <c r="K41" s="178"/>
      <c r="L41">
        <v>0</v>
      </c>
      <c r="M41">
        <v>0</v>
      </c>
      <c r="N41">
        <v>0</v>
      </c>
      <c r="O41">
        <v>0</v>
      </c>
      <c r="P41">
        <v>0</v>
      </c>
      <c r="Q41">
        <v>0</v>
      </c>
      <c r="R41">
        <v>0</v>
      </c>
      <c r="S41">
        <v>0</v>
      </c>
      <c r="T41">
        <v>4761595</v>
      </c>
      <c r="U41">
        <v>4721504</v>
      </c>
      <c r="V41">
        <v>4593501</v>
      </c>
      <c r="W41" s="63"/>
    </row>
    <row r="42" spans="1:26" x14ac:dyDescent="0.25">
      <c r="J42" t="s">
        <v>309</v>
      </c>
      <c r="L42">
        <f>SUM(L37:L41)</f>
        <v>0</v>
      </c>
      <c r="M42">
        <f t="shared" ref="M42:Y42" si="2">SUM(M37:M41)</f>
        <v>0</v>
      </c>
      <c r="N42">
        <f t="shared" si="2"/>
        <v>0</v>
      </c>
      <c r="O42">
        <f t="shared" si="2"/>
        <v>0</v>
      </c>
      <c r="P42">
        <f t="shared" si="2"/>
        <v>9522225</v>
      </c>
      <c r="Q42">
        <f t="shared" si="2"/>
        <v>21667833</v>
      </c>
      <c r="R42">
        <f t="shared" si="2"/>
        <v>38051145</v>
      </c>
      <c r="S42">
        <f t="shared" si="2"/>
        <v>47785652</v>
      </c>
      <c r="T42">
        <f t="shared" si="2"/>
        <v>52268087</v>
      </c>
      <c r="U42">
        <f t="shared" si="2"/>
        <v>51925085</v>
      </c>
      <c r="V42">
        <f t="shared" si="2"/>
        <v>50887231</v>
      </c>
      <c r="W42">
        <f t="shared" si="2"/>
        <v>34798725</v>
      </c>
      <c r="X42">
        <f t="shared" si="2"/>
        <v>34666929</v>
      </c>
      <c r="Y42">
        <f t="shared" si="2"/>
        <v>33993566</v>
      </c>
    </row>
    <row r="43" spans="1:26" x14ac:dyDescent="0.25">
      <c r="J43" s="178"/>
      <c r="K43" s="178"/>
    </row>
    <row r="44" spans="1:26" x14ac:dyDescent="0.25">
      <c r="J44" s="178"/>
      <c r="K44" s="178"/>
    </row>
  </sheetData>
  <sortState ref="J15:Y23">
    <sortCondition ref="J15:J23"/>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F53"/>
  <sheetViews>
    <sheetView topLeftCell="S19" workbookViewId="0">
      <selection activeCell="U19" sqref="U19"/>
    </sheetView>
  </sheetViews>
  <sheetFormatPr defaultRowHeight="13.2" x14ac:dyDescent="0.25"/>
  <cols>
    <col min="1" max="1" width="16.77734375" customWidth="1"/>
    <col min="2" max="2" width="32.77734375" bestFit="1" customWidth="1"/>
    <col min="3" max="3" width="14" bestFit="1" customWidth="1"/>
    <col min="7" max="7" width="13.77734375" bestFit="1" customWidth="1"/>
    <col min="8" max="8" width="13.44140625" bestFit="1" customWidth="1"/>
    <col min="9" max="9" width="10.21875" bestFit="1" customWidth="1"/>
    <col min="10" max="11" width="14" bestFit="1" customWidth="1"/>
    <col min="12" max="12" width="12.77734375" bestFit="1" customWidth="1"/>
    <col min="13" max="13" width="10.5546875" bestFit="1" customWidth="1"/>
    <col min="14" max="14" width="11.5546875" bestFit="1" customWidth="1"/>
    <col min="15" max="15" width="11.44140625" bestFit="1" customWidth="1"/>
    <col min="19" max="19" width="9.21875" style="69" customWidth="1"/>
    <col min="20" max="20" width="10.44140625" bestFit="1" customWidth="1"/>
    <col min="21" max="21" width="8.77734375" bestFit="1" customWidth="1"/>
    <col min="23" max="28" width="10.21875" bestFit="1" customWidth="1"/>
    <col min="29" max="30" width="10.44140625" bestFit="1" customWidth="1"/>
    <col min="31" max="31" width="11.44140625" bestFit="1" customWidth="1"/>
  </cols>
  <sheetData>
    <row r="1" spans="1:32" s="54" customFormat="1" ht="14.4" x14ac:dyDescent="0.3">
      <c r="A1" s="108" t="s">
        <v>132</v>
      </c>
      <c r="C1" s="109"/>
      <c r="D1" s="110"/>
      <c r="E1" s="111"/>
      <c r="F1" s="110"/>
      <c r="G1" s="110"/>
      <c r="H1" s="110"/>
      <c r="I1" s="110"/>
      <c r="J1" s="110"/>
      <c r="K1" s="110"/>
      <c r="S1" s="112"/>
      <c r="T1" s="495" t="s">
        <v>133</v>
      </c>
      <c r="U1" s="495"/>
      <c r="V1" s="495"/>
      <c r="W1" s="495"/>
      <c r="X1" s="495"/>
      <c r="Y1" s="495"/>
      <c r="Z1" s="495"/>
      <c r="AA1" s="495"/>
      <c r="AB1" s="495"/>
      <c r="AC1" s="495"/>
      <c r="AD1" s="495"/>
      <c r="AE1" s="495"/>
    </row>
    <row r="2" spans="1:32" s="54" customFormat="1" ht="15.6" x14ac:dyDescent="0.3">
      <c r="A2" s="113" t="s">
        <v>134</v>
      </c>
      <c r="C2" s="109"/>
      <c r="D2" s="110"/>
      <c r="E2" s="111"/>
      <c r="F2" s="110"/>
      <c r="G2" s="110"/>
      <c r="H2" s="110"/>
      <c r="I2" s="110"/>
      <c r="J2" s="110"/>
      <c r="K2" s="110"/>
      <c r="S2" s="112"/>
      <c r="T2" s="114">
        <v>2006</v>
      </c>
      <c r="U2" s="114">
        <v>2007</v>
      </c>
      <c r="V2" s="114">
        <v>2008</v>
      </c>
      <c r="W2" s="114">
        <v>2009</v>
      </c>
      <c r="X2" s="114">
        <v>2010</v>
      </c>
      <c r="Y2" s="114">
        <v>2011</v>
      </c>
      <c r="Z2" s="114">
        <v>2012</v>
      </c>
      <c r="AA2" s="114">
        <v>2013</v>
      </c>
      <c r="AB2" s="114">
        <v>2014</v>
      </c>
      <c r="AC2" s="114">
        <v>2015</v>
      </c>
      <c r="AD2" s="114">
        <v>2016</v>
      </c>
      <c r="AE2" s="114">
        <v>2017</v>
      </c>
    </row>
    <row r="3" spans="1:32" s="117" customFormat="1" x14ac:dyDescent="0.25">
      <c r="A3" s="115" t="s">
        <v>106</v>
      </c>
      <c r="B3" s="115" t="s">
        <v>107</v>
      </c>
      <c r="C3" s="115" t="s">
        <v>108</v>
      </c>
      <c r="D3" s="116">
        <v>2006</v>
      </c>
      <c r="E3" s="116">
        <v>2007</v>
      </c>
      <c r="F3" s="116">
        <v>2008</v>
      </c>
      <c r="G3" s="116">
        <v>2009</v>
      </c>
      <c r="H3" s="116">
        <v>2010</v>
      </c>
      <c r="I3" s="116">
        <v>2011</v>
      </c>
      <c r="J3" s="116">
        <v>2012</v>
      </c>
      <c r="K3" s="116">
        <v>2013</v>
      </c>
      <c r="L3" s="116">
        <v>2014</v>
      </c>
      <c r="M3" s="116">
        <v>2015</v>
      </c>
      <c r="N3" s="116">
        <v>2016</v>
      </c>
      <c r="O3" s="116">
        <v>2017</v>
      </c>
      <c r="R3" s="496" t="s">
        <v>135</v>
      </c>
      <c r="S3" s="118">
        <v>2006</v>
      </c>
      <c r="T3" s="257">
        <f>D16</f>
        <v>2666105.1325345249</v>
      </c>
      <c r="U3" s="184">
        <f t="shared" ref="U3:AE3" si="0">E16</f>
        <v>2666105.1325345249</v>
      </c>
      <c r="V3" s="184">
        <f t="shared" si="0"/>
        <v>2666105.1325345249</v>
      </c>
      <c r="W3" s="184">
        <f t="shared" si="0"/>
        <v>2666105.1325345249</v>
      </c>
      <c r="X3" s="184">
        <f t="shared" si="0"/>
        <v>463043.42715370021</v>
      </c>
      <c r="Y3" s="184">
        <f t="shared" si="0"/>
        <v>463043.42715370021</v>
      </c>
      <c r="Z3" s="184">
        <f t="shared" si="0"/>
        <v>423558.66956419213</v>
      </c>
      <c r="AA3" s="184">
        <f t="shared" si="0"/>
        <v>423558.66956419213</v>
      </c>
      <c r="AB3" s="184">
        <f t="shared" si="0"/>
        <v>397998.62946038938</v>
      </c>
      <c r="AC3" s="184">
        <f t="shared" si="0"/>
        <v>397998.62946038938</v>
      </c>
      <c r="AD3" s="184">
        <f t="shared" si="0"/>
        <v>376020.91507114051</v>
      </c>
      <c r="AE3" s="184">
        <f t="shared" si="0"/>
        <v>376020.91507114051</v>
      </c>
    </row>
    <row r="4" spans="1:32" s="117" customFormat="1" x14ac:dyDescent="0.25">
      <c r="A4" s="120"/>
      <c r="B4" s="120"/>
      <c r="C4" s="120"/>
      <c r="R4" s="496"/>
      <c r="S4" s="118">
        <v>2007</v>
      </c>
      <c r="T4" s="183">
        <v>0</v>
      </c>
      <c r="U4" s="184">
        <f>E17</f>
        <v>1387119.5914160432</v>
      </c>
      <c r="V4" s="184">
        <f t="shared" ref="V4:AE4" si="1">F17</f>
        <v>1375496.831751832</v>
      </c>
      <c r="W4" s="184">
        <f t="shared" si="1"/>
        <v>1375496.831751832</v>
      </c>
      <c r="X4" s="184">
        <f t="shared" si="1"/>
        <v>1375496.831751832</v>
      </c>
      <c r="Y4" s="184">
        <f t="shared" si="1"/>
        <v>1374565.2039057056</v>
      </c>
      <c r="Z4" s="184">
        <f t="shared" si="1"/>
        <v>1319405.8582323904</v>
      </c>
      <c r="AA4" s="184">
        <f t="shared" si="1"/>
        <v>1319449</v>
      </c>
      <c r="AB4" s="184">
        <f t="shared" si="1"/>
        <v>1319405.8582323904</v>
      </c>
      <c r="AC4" s="184">
        <f t="shared" si="1"/>
        <v>451386.62549617823</v>
      </c>
      <c r="AD4" s="184">
        <f t="shared" si="1"/>
        <v>311034.56669119035</v>
      </c>
      <c r="AE4" s="184">
        <f t="shared" si="1"/>
        <v>164898.26570015398</v>
      </c>
    </row>
    <row r="5" spans="1:32" s="117" customFormat="1" x14ac:dyDescent="0.25">
      <c r="A5" s="121">
        <v>1</v>
      </c>
      <c r="B5" s="122" t="s">
        <v>109</v>
      </c>
      <c r="C5" s="123" t="s">
        <v>110</v>
      </c>
      <c r="D5" s="124">
        <v>2666.1051325345247</v>
      </c>
      <c r="E5" s="124">
        <v>2666.1051325345247</v>
      </c>
      <c r="F5" s="124">
        <v>2666.1051325345247</v>
      </c>
      <c r="G5" s="124">
        <v>2666.1051325345247</v>
      </c>
      <c r="H5" s="124">
        <v>463.04342715370018</v>
      </c>
      <c r="I5" s="124">
        <v>463.04342715370018</v>
      </c>
      <c r="J5" s="124">
        <v>423.55866956419214</v>
      </c>
      <c r="K5" s="124">
        <v>423.55866956419214</v>
      </c>
      <c r="L5" s="124">
        <v>397.9986294603894</v>
      </c>
      <c r="M5" s="124">
        <v>397.9986294603894</v>
      </c>
      <c r="N5" s="124">
        <v>376.02091507114051</v>
      </c>
      <c r="O5" s="124">
        <v>376.02091507114051</v>
      </c>
      <c r="R5" s="496"/>
      <c r="S5" s="118">
        <v>2008</v>
      </c>
      <c r="T5" s="183">
        <v>0</v>
      </c>
      <c r="U5" s="183">
        <v>0</v>
      </c>
      <c r="V5" s="184">
        <f>F18</f>
        <v>2696910.9193012784</v>
      </c>
      <c r="W5" s="184">
        <f t="shared" ref="W5:AE5" si="2">G18</f>
        <v>2083518.3959945007</v>
      </c>
      <c r="X5" s="184">
        <f t="shared" si="2"/>
        <v>2083518.3959945007</v>
      </c>
      <c r="Y5" s="184">
        <f t="shared" si="2"/>
        <v>2083518.3959945007</v>
      </c>
      <c r="Z5" s="184">
        <f t="shared" si="2"/>
        <v>1953835.1479984417</v>
      </c>
      <c r="AA5" s="184">
        <f t="shared" si="2"/>
        <v>1952703</v>
      </c>
      <c r="AB5" s="184">
        <f t="shared" si="2"/>
        <v>1818843.9088554673</v>
      </c>
      <c r="AC5" s="184">
        <f t="shared" si="2"/>
        <v>1718921.2289633893</v>
      </c>
      <c r="AD5" s="184">
        <f t="shared" si="2"/>
        <v>1280426.2461421427</v>
      </c>
      <c r="AE5" s="184">
        <f t="shared" si="2"/>
        <v>950424.38160595985</v>
      </c>
    </row>
    <row r="6" spans="1:32" s="117" customFormat="1" x14ac:dyDescent="0.25">
      <c r="A6" s="125">
        <v>2</v>
      </c>
      <c r="B6" s="126" t="s">
        <v>111</v>
      </c>
      <c r="C6" s="127" t="s">
        <v>110</v>
      </c>
      <c r="D6" s="128">
        <v>0</v>
      </c>
      <c r="E6" s="128">
        <v>1387.1195914160432</v>
      </c>
      <c r="F6" s="128">
        <v>1375.4968317518321</v>
      </c>
      <c r="G6" s="128">
        <v>1375.4968317518321</v>
      </c>
      <c r="H6" s="128">
        <v>1375.4968317518321</v>
      </c>
      <c r="I6" s="128">
        <v>1374.5652039057056</v>
      </c>
      <c r="J6" s="128">
        <v>1319.4058582323903</v>
      </c>
      <c r="K6" s="258">
        <v>1319.4490000000001</v>
      </c>
      <c r="L6" s="128">
        <v>1319.4058582323903</v>
      </c>
      <c r="M6" s="128">
        <v>451.38662549617823</v>
      </c>
      <c r="N6" s="128">
        <v>311.03456669119038</v>
      </c>
      <c r="O6" s="128">
        <v>164.89826570015398</v>
      </c>
      <c r="R6" s="496"/>
      <c r="S6" s="118">
        <v>2009</v>
      </c>
      <c r="T6" s="183">
        <v>0</v>
      </c>
      <c r="U6" s="183">
        <v>0</v>
      </c>
      <c r="V6" s="183">
        <v>0</v>
      </c>
      <c r="W6" s="184">
        <f>G19</f>
        <v>6943326.6794287935</v>
      </c>
      <c r="X6" s="184">
        <f t="shared" ref="X6:AE6" si="3">H19</f>
        <v>6230628.8779311981</v>
      </c>
      <c r="Y6" s="184">
        <f t="shared" si="3"/>
        <v>6230628.8779311981</v>
      </c>
      <c r="Z6" s="184">
        <f t="shared" si="3"/>
        <v>6227931.4565432118</v>
      </c>
      <c r="AA6" s="184">
        <f t="shared" si="3"/>
        <v>6110636</v>
      </c>
      <c r="AB6" s="184">
        <f t="shared" si="3"/>
        <v>5806438.0089019723</v>
      </c>
      <c r="AC6" s="184">
        <f t="shared" si="3"/>
        <v>5738137.9116222803</v>
      </c>
      <c r="AD6" s="184">
        <f t="shared" si="3"/>
        <v>5736647.6525153881</v>
      </c>
      <c r="AE6" s="184">
        <f t="shared" si="3"/>
        <v>4440683.2281935168</v>
      </c>
    </row>
    <row r="7" spans="1:32" s="117" customFormat="1" x14ac:dyDescent="0.25">
      <c r="A7" s="129">
        <v>3</v>
      </c>
      <c r="B7" s="130" t="s">
        <v>112</v>
      </c>
      <c r="C7" s="131" t="s">
        <v>110</v>
      </c>
      <c r="D7" s="132">
        <v>0</v>
      </c>
      <c r="E7" s="132">
        <v>0</v>
      </c>
      <c r="F7" s="132">
        <v>2696.9109193012782</v>
      </c>
      <c r="G7" s="132">
        <v>2083.5183959945007</v>
      </c>
      <c r="H7" s="132">
        <v>2083.5183959945007</v>
      </c>
      <c r="I7" s="132">
        <v>2083.5183959945007</v>
      </c>
      <c r="J7" s="132">
        <v>1953.8351479984417</v>
      </c>
      <c r="K7" s="258">
        <v>1952.703</v>
      </c>
      <c r="L7" s="132">
        <v>1818.8439088554674</v>
      </c>
      <c r="M7" s="132">
        <v>1718.9212289633892</v>
      </c>
      <c r="N7" s="132">
        <v>1280.4262461421426</v>
      </c>
      <c r="O7" s="132">
        <v>950.42438160595987</v>
      </c>
      <c r="R7" s="496"/>
      <c r="S7" s="118">
        <v>2010</v>
      </c>
      <c r="T7" s="183">
        <v>0</v>
      </c>
      <c r="U7" s="183">
        <v>0</v>
      </c>
      <c r="V7" s="183">
        <v>0</v>
      </c>
      <c r="W7" s="184">
        <v>0</v>
      </c>
      <c r="X7" s="184">
        <f>H20</f>
        <v>4170819.6032697526</v>
      </c>
      <c r="Y7" s="184">
        <f t="shared" ref="Y7:AE7" si="4">I20</f>
        <v>2995440.2976294947</v>
      </c>
      <c r="Z7" s="184">
        <f t="shared" si="4"/>
        <v>2991631.4397138916</v>
      </c>
      <c r="AA7" s="184">
        <f t="shared" si="4"/>
        <v>2989542</v>
      </c>
      <c r="AB7" s="184">
        <f t="shared" si="4"/>
        <v>2866698.4066413864</v>
      </c>
      <c r="AC7" s="184">
        <f t="shared" si="4"/>
        <v>2447090.1489668926</v>
      </c>
      <c r="AD7" s="184">
        <f t="shared" si="4"/>
        <v>2432987.3295701304</v>
      </c>
      <c r="AE7" s="184">
        <f t="shared" si="4"/>
        <v>2367567.9277207572</v>
      </c>
    </row>
    <row r="8" spans="1:32" s="117" customFormat="1" x14ac:dyDescent="0.25">
      <c r="A8" s="125">
        <v>4</v>
      </c>
      <c r="B8" s="126" t="s">
        <v>113</v>
      </c>
      <c r="C8" s="127" t="s">
        <v>110</v>
      </c>
      <c r="D8" s="128">
        <v>0</v>
      </c>
      <c r="E8" s="128">
        <v>0</v>
      </c>
      <c r="F8" s="128">
        <v>0</v>
      </c>
      <c r="G8" s="128">
        <v>6943.3266794287938</v>
      </c>
      <c r="H8" s="128">
        <v>6230.6288779311981</v>
      </c>
      <c r="I8" s="128">
        <v>6230.6288779311981</v>
      </c>
      <c r="J8" s="128">
        <v>6227.9314565432114</v>
      </c>
      <c r="K8" s="258">
        <v>6110.6360000000004</v>
      </c>
      <c r="L8" s="128">
        <v>5806.4380089019724</v>
      </c>
      <c r="M8" s="128">
        <v>5738.1379116222806</v>
      </c>
      <c r="N8" s="128">
        <v>5736.6476525153885</v>
      </c>
      <c r="O8" s="128">
        <v>4440.6832281935167</v>
      </c>
      <c r="R8" s="496"/>
      <c r="S8" s="118">
        <v>2011</v>
      </c>
      <c r="T8" s="185">
        <v>0</v>
      </c>
      <c r="U8" s="185">
        <v>0</v>
      </c>
      <c r="V8" s="185">
        <v>0</v>
      </c>
      <c r="W8" s="185">
        <v>0</v>
      </c>
      <c r="X8" s="185">
        <v>0</v>
      </c>
      <c r="Y8" s="186">
        <f>I35</f>
        <v>4286345</v>
      </c>
      <c r="Z8" s="186">
        <f t="shared" ref="Y8:AE10" si="5">J35</f>
        <v>4273421</v>
      </c>
      <c r="AA8" s="186">
        <f t="shared" si="5"/>
        <v>4269480</v>
      </c>
      <c r="AB8" s="186">
        <f t="shared" si="5"/>
        <v>4164655</v>
      </c>
      <c r="AC8" s="186">
        <f t="shared" si="5"/>
        <v>4044924.87</v>
      </c>
      <c r="AD8" s="186">
        <f t="shared" si="5"/>
        <v>3842745.46</v>
      </c>
      <c r="AE8" s="186">
        <f>O35</f>
        <v>3585982.4</v>
      </c>
    </row>
    <row r="9" spans="1:32" s="117" customFormat="1" x14ac:dyDescent="0.25">
      <c r="A9" s="129">
        <v>5</v>
      </c>
      <c r="B9" s="130" t="s">
        <v>114</v>
      </c>
      <c r="C9" s="131" t="s">
        <v>110</v>
      </c>
      <c r="D9" s="132">
        <v>0</v>
      </c>
      <c r="E9" s="132">
        <v>0</v>
      </c>
      <c r="F9" s="132">
        <v>0</v>
      </c>
      <c r="G9" s="132">
        <v>0</v>
      </c>
      <c r="H9" s="132">
        <v>4170.8196032697524</v>
      </c>
      <c r="I9" s="132">
        <v>2995.4402976294946</v>
      </c>
      <c r="J9" s="132">
        <v>2991.6314397138917</v>
      </c>
      <c r="K9" s="258">
        <v>2989.5419999999999</v>
      </c>
      <c r="L9" s="132">
        <v>2866.6984066413866</v>
      </c>
      <c r="M9" s="132">
        <v>2447.0901489668927</v>
      </c>
      <c r="N9" s="132">
        <v>2432.9873295701304</v>
      </c>
      <c r="O9" s="132">
        <v>2367.5679277207573</v>
      </c>
      <c r="R9" s="496"/>
      <c r="S9" s="118">
        <v>2012</v>
      </c>
      <c r="T9" s="185">
        <v>0</v>
      </c>
      <c r="U9" s="185">
        <v>0</v>
      </c>
      <c r="V9" s="185">
        <v>0</v>
      </c>
      <c r="W9" s="185">
        <v>0</v>
      </c>
      <c r="X9" s="185">
        <v>0</v>
      </c>
      <c r="Y9" s="186">
        <f t="shared" si="5"/>
        <v>0</v>
      </c>
      <c r="Z9" s="186">
        <f t="shared" si="5"/>
        <v>5854213</v>
      </c>
      <c r="AA9" s="186">
        <f t="shared" si="5"/>
        <v>5801327</v>
      </c>
      <c r="AB9" s="186">
        <f t="shared" si="5"/>
        <v>5778849</v>
      </c>
      <c r="AC9" s="186">
        <f t="shared" si="5"/>
        <v>5681217</v>
      </c>
      <c r="AD9" s="186">
        <f t="shared" si="5"/>
        <v>5580103</v>
      </c>
      <c r="AE9" s="186">
        <f t="shared" si="5"/>
        <v>5264741</v>
      </c>
    </row>
    <row r="10" spans="1:32" s="117" customFormat="1" x14ac:dyDescent="0.25">
      <c r="A10" s="133" t="s">
        <v>10</v>
      </c>
      <c r="B10" s="134"/>
      <c r="C10" s="135"/>
      <c r="D10" s="136">
        <f>SUM(D5:D9)</f>
        <v>2666.1051325345247</v>
      </c>
      <c r="E10" s="136">
        <f t="shared" ref="E10:O10" si="6">SUM(E5:E9)</f>
        <v>4053.2247239505677</v>
      </c>
      <c r="F10" s="136">
        <f t="shared" si="6"/>
        <v>6738.5128835876349</v>
      </c>
      <c r="G10" s="136">
        <f t="shared" si="6"/>
        <v>13068.447039709652</v>
      </c>
      <c r="H10" s="136">
        <f t="shared" si="6"/>
        <v>14323.507136100983</v>
      </c>
      <c r="I10" s="136">
        <f t="shared" si="6"/>
        <v>13147.196202614599</v>
      </c>
      <c r="J10" s="136">
        <f t="shared" si="6"/>
        <v>12916.362572052127</v>
      </c>
      <c r="K10" s="136">
        <f t="shared" si="6"/>
        <v>12795.888669564192</v>
      </c>
      <c r="L10" s="136">
        <f t="shared" si="6"/>
        <v>12209.384812091605</v>
      </c>
      <c r="M10" s="136">
        <f t="shared" si="6"/>
        <v>10753.53454450913</v>
      </c>
      <c r="N10" s="136">
        <f t="shared" si="6"/>
        <v>10137.116709989992</v>
      </c>
      <c r="O10" s="136">
        <f t="shared" si="6"/>
        <v>8299.5947182915297</v>
      </c>
      <c r="R10" s="496"/>
      <c r="S10" s="118">
        <v>2013</v>
      </c>
      <c r="T10" s="185">
        <v>0</v>
      </c>
      <c r="U10" s="185">
        <v>0</v>
      </c>
      <c r="V10" s="185">
        <v>0</v>
      </c>
      <c r="W10" s="185">
        <v>0</v>
      </c>
      <c r="X10" s="185">
        <v>0</v>
      </c>
      <c r="Y10" s="185">
        <v>0</v>
      </c>
      <c r="Z10" s="186">
        <f t="shared" si="5"/>
        <v>0</v>
      </c>
      <c r="AA10" s="186">
        <f t="shared" si="5"/>
        <v>6993979</v>
      </c>
      <c r="AB10" s="186">
        <f t="shared" si="5"/>
        <v>6908925</v>
      </c>
      <c r="AC10" s="186">
        <f t="shared" si="5"/>
        <v>6895581</v>
      </c>
      <c r="AD10" s="186">
        <f t="shared" si="5"/>
        <v>6806732</v>
      </c>
      <c r="AE10" s="186">
        <f t="shared" si="5"/>
        <v>6111099</v>
      </c>
      <c r="AF10" s="119"/>
    </row>
    <row r="11" spans="1:32" s="54" customFormat="1" ht="14.4" x14ac:dyDescent="0.3">
      <c r="A11" s="137"/>
      <c r="B11" s="109"/>
      <c r="D11" s="136">
        <v>2666.1051325345202</v>
      </c>
      <c r="E11" s="136">
        <v>4053.2247239505677</v>
      </c>
      <c r="F11" s="136">
        <v>6738.5128835876349</v>
      </c>
      <c r="G11" s="136">
        <v>13068.447039709652</v>
      </c>
      <c r="H11" s="136">
        <v>14323.507136100983</v>
      </c>
      <c r="I11" s="136">
        <v>13147.196202614599</v>
      </c>
      <c r="J11" s="136">
        <v>12916.362572052127</v>
      </c>
      <c r="K11" s="136">
        <v>12795.202244889333</v>
      </c>
      <c r="L11" s="136">
        <v>12209.384812091605</v>
      </c>
      <c r="M11" s="136">
        <v>10753.53454450913</v>
      </c>
      <c r="N11" s="136">
        <v>10137.116709989999</v>
      </c>
      <c r="O11" s="136">
        <v>8299.5947182915297</v>
      </c>
      <c r="R11" s="496"/>
      <c r="S11" s="118">
        <v>2014</v>
      </c>
      <c r="T11" s="185">
        <v>0</v>
      </c>
      <c r="U11" s="185">
        <v>0</v>
      </c>
      <c r="V11" s="185">
        <v>0</v>
      </c>
      <c r="W11" s="185">
        <v>0</v>
      </c>
      <c r="X11" s="185">
        <v>0</v>
      </c>
      <c r="Y11" s="185">
        <v>0</v>
      </c>
      <c r="Z11" s="185">
        <v>0</v>
      </c>
      <c r="AA11" s="185">
        <v>0</v>
      </c>
      <c r="AB11" s="187">
        <f>L38</f>
        <v>33821560</v>
      </c>
      <c r="AC11" s="187">
        <f>M38</f>
        <v>33152890</v>
      </c>
      <c r="AD11" s="187">
        <f>N38</f>
        <v>33032221</v>
      </c>
      <c r="AE11" s="187">
        <f>O38</f>
        <v>32854801</v>
      </c>
    </row>
    <row r="12" spans="1:32" s="54" customFormat="1" ht="14.4" x14ac:dyDescent="0.3">
      <c r="A12" s="108" t="s">
        <v>136</v>
      </c>
      <c r="B12" s="109"/>
      <c r="R12" s="496"/>
      <c r="S12" s="118">
        <v>2015</v>
      </c>
      <c r="T12" s="188">
        <v>0</v>
      </c>
      <c r="U12" s="188">
        <v>0</v>
      </c>
      <c r="V12" s="188">
        <v>0</v>
      </c>
      <c r="W12" s="188">
        <v>0</v>
      </c>
      <c r="X12" s="188">
        <v>0</v>
      </c>
      <c r="Y12" s="188">
        <v>0</v>
      </c>
      <c r="Z12" s="188">
        <v>0</v>
      </c>
      <c r="AA12" s="188">
        <v>0</v>
      </c>
      <c r="AB12" s="188">
        <v>0</v>
      </c>
      <c r="AC12" s="189">
        <f>M42</f>
        <v>7539722</v>
      </c>
      <c r="AD12" s="189">
        <f>N42</f>
        <v>7402101</v>
      </c>
      <c r="AE12" s="189">
        <f>O42</f>
        <v>7402101</v>
      </c>
    </row>
    <row r="13" spans="1:32" s="54" customFormat="1" ht="15.6" x14ac:dyDescent="0.3">
      <c r="A13" s="113" t="s">
        <v>137</v>
      </c>
      <c r="B13" s="109"/>
      <c r="C13" s="138"/>
      <c r="D13" s="139"/>
      <c r="E13" s="140"/>
      <c r="F13" s="140"/>
      <c r="G13" s="140"/>
      <c r="H13" s="140"/>
      <c r="I13" s="110"/>
      <c r="J13" s="110"/>
      <c r="R13" s="496"/>
      <c r="S13" s="118">
        <v>2016</v>
      </c>
      <c r="T13" s="188">
        <v>0</v>
      </c>
      <c r="U13" s="188">
        <v>0</v>
      </c>
      <c r="V13" s="188">
        <v>0</v>
      </c>
      <c r="W13" s="188">
        <v>0</v>
      </c>
      <c r="X13" s="188">
        <v>0</v>
      </c>
      <c r="Y13" s="188">
        <v>0</v>
      </c>
      <c r="Z13" s="188">
        <v>0</v>
      </c>
      <c r="AA13" s="188">
        <v>0</v>
      </c>
      <c r="AB13" s="188">
        <v>0</v>
      </c>
      <c r="AC13" s="188">
        <v>0</v>
      </c>
      <c r="AD13" s="189">
        <f>N43</f>
        <v>7730071.7124323202</v>
      </c>
      <c r="AE13" s="189">
        <f>O43</f>
        <v>7730071.7124323202</v>
      </c>
    </row>
    <row r="14" spans="1:32" s="117" customFormat="1" x14ac:dyDescent="0.25">
      <c r="A14" s="115" t="s">
        <v>106</v>
      </c>
      <c r="B14" s="115" t="s">
        <v>107</v>
      </c>
      <c r="C14" s="115" t="s">
        <v>108</v>
      </c>
      <c r="D14" s="116">
        <v>2006</v>
      </c>
      <c r="E14" s="116">
        <v>2007</v>
      </c>
      <c r="F14" s="116">
        <v>2008</v>
      </c>
      <c r="G14" s="116">
        <v>2009</v>
      </c>
      <c r="H14" s="116">
        <v>2010</v>
      </c>
      <c r="I14" s="116">
        <v>2011</v>
      </c>
      <c r="J14" s="116">
        <v>2012</v>
      </c>
      <c r="K14" s="116">
        <v>2013</v>
      </c>
      <c r="L14" s="116">
        <v>2014</v>
      </c>
      <c r="M14" s="116">
        <v>2015</v>
      </c>
      <c r="N14" s="116">
        <v>2016</v>
      </c>
      <c r="O14" s="116">
        <v>2017</v>
      </c>
      <c r="R14" s="496"/>
      <c r="S14" s="118">
        <v>2017</v>
      </c>
      <c r="T14" s="188">
        <v>0</v>
      </c>
      <c r="U14" s="188">
        <v>0</v>
      </c>
      <c r="V14" s="188">
        <v>0</v>
      </c>
      <c r="W14" s="188">
        <v>0</v>
      </c>
      <c r="X14" s="188">
        <v>0</v>
      </c>
      <c r="Y14" s="188">
        <v>0</v>
      </c>
      <c r="Z14" s="188">
        <v>0</v>
      </c>
      <c r="AA14" s="188">
        <v>0</v>
      </c>
      <c r="AB14" s="188">
        <v>0</v>
      </c>
      <c r="AC14" s="188">
        <v>0</v>
      </c>
      <c r="AD14" s="188">
        <v>0</v>
      </c>
      <c r="AE14" s="190">
        <f>O44</f>
        <v>15611676.1812141</v>
      </c>
    </row>
    <row r="15" spans="1:32" s="117" customFormat="1" x14ac:dyDescent="0.25">
      <c r="A15" s="120"/>
      <c r="B15" s="120"/>
      <c r="C15" s="120"/>
      <c r="S15" s="141" t="s">
        <v>14</v>
      </c>
      <c r="T15" s="119">
        <f>SUM(T3:T14)</f>
        <v>2666105.1325345249</v>
      </c>
      <c r="U15" s="119">
        <f t="shared" ref="U15:AC15" si="7">SUM(U3:U14)</f>
        <v>4053224.7239505681</v>
      </c>
      <c r="V15" s="119">
        <f t="shared" si="7"/>
        <v>6738512.8835876361</v>
      </c>
      <c r="W15" s="119">
        <f t="shared" si="7"/>
        <v>13068447.039709652</v>
      </c>
      <c r="X15" s="119">
        <f t="shared" si="7"/>
        <v>14323507.136100983</v>
      </c>
      <c r="Y15" s="119">
        <f t="shared" si="7"/>
        <v>17433541.202614598</v>
      </c>
      <c r="Z15" s="119">
        <f t="shared" si="7"/>
        <v>23043996.572052129</v>
      </c>
      <c r="AA15" s="119">
        <f t="shared" si="7"/>
        <v>29860674.669564191</v>
      </c>
      <c r="AB15" s="119">
        <f t="shared" si="7"/>
        <v>62883373.812091604</v>
      </c>
      <c r="AC15" s="119">
        <f t="shared" si="7"/>
        <v>68067869.414509133</v>
      </c>
      <c r="AD15" s="119">
        <f>SUM(AD3:AD14)</f>
        <v>74531090.882422313</v>
      </c>
      <c r="AE15" s="119">
        <f>SUM(AE3:AE14)</f>
        <v>86860067.011937946</v>
      </c>
    </row>
    <row r="16" spans="1:32" s="117" customFormat="1" x14ac:dyDescent="0.25">
      <c r="A16" s="121">
        <v>1</v>
      </c>
      <c r="B16" s="122" t="s">
        <v>109</v>
      </c>
      <c r="C16" s="123" t="s">
        <v>110</v>
      </c>
      <c r="D16" s="124">
        <f>D5*1000</f>
        <v>2666105.1325345249</v>
      </c>
      <c r="E16" s="124">
        <f t="shared" ref="E16:O16" si="8">E5*1000</f>
        <v>2666105.1325345249</v>
      </c>
      <c r="F16" s="124">
        <f t="shared" si="8"/>
        <v>2666105.1325345249</v>
      </c>
      <c r="G16" s="124">
        <f t="shared" si="8"/>
        <v>2666105.1325345249</v>
      </c>
      <c r="H16" s="124">
        <f t="shared" si="8"/>
        <v>463043.42715370021</v>
      </c>
      <c r="I16" s="124">
        <f t="shared" si="8"/>
        <v>463043.42715370021</v>
      </c>
      <c r="J16" s="124">
        <f t="shared" si="8"/>
        <v>423558.66956419213</v>
      </c>
      <c r="K16" s="124">
        <f t="shared" si="8"/>
        <v>423558.66956419213</v>
      </c>
      <c r="L16" s="124">
        <f t="shared" si="8"/>
        <v>397998.62946038938</v>
      </c>
      <c r="M16" s="124">
        <f t="shared" si="8"/>
        <v>397998.62946038938</v>
      </c>
      <c r="N16" s="124">
        <f t="shared" si="8"/>
        <v>376020.91507114051</v>
      </c>
      <c r="O16" s="124">
        <f t="shared" si="8"/>
        <v>376020.91507114051</v>
      </c>
    </row>
    <row r="17" spans="1:31" s="117" customFormat="1" x14ac:dyDescent="0.25">
      <c r="A17" s="125">
        <v>2</v>
      </c>
      <c r="B17" s="126" t="s">
        <v>111</v>
      </c>
      <c r="C17" s="127" t="s">
        <v>110</v>
      </c>
      <c r="D17" s="124">
        <f t="shared" ref="D17:O20" si="9">D6*1000</f>
        <v>0</v>
      </c>
      <c r="E17" s="124">
        <f t="shared" si="9"/>
        <v>1387119.5914160432</v>
      </c>
      <c r="F17" s="124">
        <f t="shared" si="9"/>
        <v>1375496.831751832</v>
      </c>
      <c r="G17" s="124">
        <f t="shared" si="9"/>
        <v>1375496.831751832</v>
      </c>
      <c r="H17" s="124">
        <f t="shared" si="9"/>
        <v>1375496.831751832</v>
      </c>
      <c r="I17" s="124">
        <f t="shared" si="9"/>
        <v>1374565.2039057056</v>
      </c>
      <c r="J17" s="124">
        <f t="shared" si="9"/>
        <v>1319405.8582323904</v>
      </c>
      <c r="K17" s="124">
        <f t="shared" si="9"/>
        <v>1319449</v>
      </c>
      <c r="L17" s="124">
        <f t="shared" si="9"/>
        <v>1319405.8582323904</v>
      </c>
      <c r="M17" s="124">
        <f t="shared" si="9"/>
        <v>451386.62549617823</v>
      </c>
      <c r="N17" s="124">
        <f t="shared" si="9"/>
        <v>311034.56669119035</v>
      </c>
      <c r="O17" s="124">
        <f t="shared" si="9"/>
        <v>164898.26570015398</v>
      </c>
    </row>
    <row r="18" spans="1:31" s="117" customFormat="1" ht="39.6" x14ac:dyDescent="0.25">
      <c r="A18" s="129">
        <v>3</v>
      </c>
      <c r="B18" s="130" t="s">
        <v>112</v>
      </c>
      <c r="C18" s="131" t="s">
        <v>110</v>
      </c>
      <c r="D18" s="124">
        <f t="shared" si="9"/>
        <v>0</v>
      </c>
      <c r="E18" s="124">
        <f t="shared" si="9"/>
        <v>0</v>
      </c>
      <c r="F18" s="124">
        <f t="shared" si="9"/>
        <v>2696910.9193012784</v>
      </c>
      <c r="G18" s="124">
        <f t="shared" si="9"/>
        <v>2083518.3959945007</v>
      </c>
      <c r="H18" s="124">
        <f t="shared" si="9"/>
        <v>2083518.3959945007</v>
      </c>
      <c r="I18" s="124">
        <f t="shared" si="9"/>
        <v>2083518.3959945007</v>
      </c>
      <c r="J18" s="124">
        <f t="shared" si="9"/>
        <v>1953835.1479984417</v>
      </c>
      <c r="K18" s="124">
        <f t="shared" si="9"/>
        <v>1952703</v>
      </c>
      <c r="L18" s="124">
        <f t="shared" si="9"/>
        <v>1818843.9088554673</v>
      </c>
      <c r="M18" s="124">
        <f t="shared" si="9"/>
        <v>1718921.2289633893</v>
      </c>
      <c r="N18" s="124">
        <f t="shared" si="9"/>
        <v>1280426.2461421427</v>
      </c>
      <c r="O18" s="124">
        <f t="shared" si="9"/>
        <v>950424.38160595985</v>
      </c>
      <c r="S18" s="243" t="s">
        <v>138</v>
      </c>
      <c r="T18" s="119">
        <v>0</v>
      </c>
      <c r="U18" s="119">
        <f>SUM(U3)</f>
        <v>2666105.1325345249</v>
      </c>
      <c r="V18" s="119">
        <f>SUM(V3:V4)</f>
        <v>4041601.9642863572</v>
      </c>
      <c r="W18" s="119">
        <f>SUM(W3:W5)</f>
        <v>6125120.3602808584</v>
      </c>
      <c r="X18" s="119">
        <f>SUM(X3:X6)</f>
        <v>10152687.532831231</v>
      </c>
      <c r="Y18" s="119">
        <f>SUM(Y3:Y7)</f>
        <v>13147196.202614598</v>
      </c>
      <c r="Z18" s="119">
        <f>SUM(Z3:Z8)</f>
        <v>17189783.572052129</v>
      </c>
      <c r="AA18" s="119">
        <f>SUM(AA3:AA9)</f>
        <v>22866695.669564191</v>
      </c>
      <c r="AB18" s="119">
        <f>SUM(AB3:AB10)</f>
        <v>29061813.812091604</v>
      </c>
      <c r="AC18" s="119">
        <f>SUM(AC3:AC11)</f>
        <v>60528147.414509133</v>
      </c>
      <c r="AD18" s="119">
        <f>SUM(AD3:AD12)</f>
        <v>66801019.169989988</v>
      </c>
      <c r="AE18" s="119">
        <f>SUM(AE3:AE12)</f>
        <v>63518319.118291527</v>
      </c>
    </row>
    <row r="19" spans="1:31" s="117" customFormat="1" ht="66" x14ac:dyDescent="0.25">
      <c r="A19" s="125">
        <v>4</v>
      </c>
      <c r="B19" s="126" t="s">
        <v>113</v>
      </c>
      <c r="C19" s="127" t="s">
        <v>110</v>
      </c>
      <c r="D19" s="124">
        <f t="shared" si="9"/>
        <v>0</v>
      </c>
      <c r="E19" s="124">
        <f t="shared" si="9"/>
        <v>0</v>
      </c>
      <c r="F19" s="124">
        <f t="shared" si="9"/>
        <v>0</v>
      </c>
      <c r="G19" s="124">
        <f t="shared" si="9"/>
        <v>6943326.6794287935</v>
      </c>
      <c r="H19" s="124">
        <f t="shared" si="9"/>
        <v>6230628.8779311981</v>
      </c>
      <c r="I19" s="124">
        <f t="shared" si="9"/>
        <v>6230628.8779311981</v>
      </c>
      <c r="J19" s="124">
        <f t="shared" si="9"/>
        <v>6227931.4565432118</v>
      </c>
      <c r="K19" s="124">
        <f t="shared" si="9"/>
        <v>6110636</v>
      </c>
      <c r="L19" s="124">
        <f t="shared" si="9"/>
        <v>5806438.0089019723</v>
      </c>
      <c r="M19" s="124">
        <f t="shared" si="9"/>
        <v>5738137.9116222803</v>
      </c>
      <c r="N19" s="124">
        <f t="shared" si="9"/>
        <v>5736647.6525153881</v>
      </c>
      <c r="O19" s="124">
        <f t="shared" si="9"/>
        <v>4440683.2281935168</v>
      </c>
      <c r="S19" s="243" t="s">
        <v>172</v>
      </c>
      <c r="T19" s="119">
        <f>T3</f>
        <v>2666105.1325345249</v>
      </c>
      <c r="U19" s="119">
        <f>U4</f>
        <v>1387119.5914160432</v>
      </c>
      <c r="V19" s="119">
        <f>V5</f>
        <v>2696910.9193012784</v>
      </c>
      <c r="W19" s="119">
        <f>W6</f>
        <v>6943326.6794287935</v>
      </c>
      <c r="X19" s="119">
        <f>X7</f>
        <v>4170819.6032697526</v>
      </c>
      <c r="Y19" s="119">
        <f>Y8+Y9</f>
        <v>4286345</v>
      </c>
      <c r="Z19" s="119">
        <f>Z9+Z10</f>
        <v>5854213</v>
      </c>
      <c r="AA19" s="119">
        <f>AA10</f>
        <v>6993979</v>
      </c>
      <c r="AB19" s="119">
        <f>AB11</f>
        <v>33821560</v>
      </c>
      <c r="AC19" s="119">
        <f>AC12</f>
        <v>7539722</v>
      </c>
      <c r="AD19" s="119">
        <v>0</v>
      </c>
      <c r="AE19" s="119">
        <v>0</v>
      </c>
    </row>
    <row r="20" spans="1:31" s="117" customFormat="1" x14ac:dyDescent="0.25">
      <c r="A20" s="129">
        <v>5</v>
      </c>
      <c r="B20" s="130" t="s">
        <v>114</v>
      </c>
      <c r="C20" s="131" t="s">
        <v>110</v>
      </c>
      <c r="D20" s="124">
        <f t="shared" si="9"/>
        <v>0</v>
      </c>
      <c r="E20" s="124">
        <f t="shared" si="9"/>
        <v>0</v>
      </c>
      <c r="F20" s="124">
        <f t="shared" si="9"/>
        <v>0</v>
      </c>
      <c r="G20" s="124">
        <f t="shared" si="9"/>
        <v>0</v>
      </c>
      <c r="H20" s="124">
        <f t="shared" si="9"/>
        <v>4170819.6032697526</v>
      </c>
      <c r="I20" s="124">
        <f t="shared" si="9"/>
        <v>2995440.2976294947</v>
      </c>
      <c r="J20" s="124">
        <f t="shared" si="9"/>
        <v>2991631.4397138916</v>
      </c>
      <c r="K20" s="124">
        <f t="shared" si="9"/>
        <v>2989542</v>
      </c>
      <c r="L20" s="124">
        <f t="shared" si="9"/>
        <v>2866698.4066413864</v>
      </c>
      <c r="M20" s="124">
        <f t="shared" si="9"/>
        <v>2447090.1489668926</v>
      </c>
      <c r="N20" s="124">
        <f t="shared" si="9"/>
        <v>2432987.3295701304</v>
      </c>
      <c r="O20" s="124">
        <f t="shared" si="9"/>
        <v>2367567.9277207572</v>
      </c>
      <c r="S20" s="142"/>
      <c r="T20" s="143">
        <f>SUM(T18:T19)</f>
        <v>2666105.1325345249</v>
      </c>
      <c r="U20" s="119">
        <f t="shared" ref="U20:AB20" si="10">SUM(U18:U19)</f>
        <v>4053224.7239505681</v>
      </c>
      <c r="V20" s="119">
        <f t="shared" si="10"/>
        <v>6738512.8835876361</v>
      </c>
      <c r="W20" s="119">
        <f t="shared" si="10"/>
        <v>13068447.039709652</v>
      </c>
      <c r="X20" s="119">
        <f t="shared" si="10"/>
        <v>14323507.136100983</v>
      </c>
      <c r="Y20" s="119">
        <f t="shared" si="10"/>
        <v>17433541.202614598</v>
      </c>
      <c r="Z20" s="119">
        <f t="shared" si="10"/>
        <v>23043996.572052129</v>
      </c>
      <c r="AA20" s="119">
        <f t="shared" si="10"/>
        <v>29860674.669564191</v>
      </c>
      <c r="AB20" s="119">
        <f t="shared" si="10"/>
        <v>62883373.812091604</v>
      </c>
      <c r="AC20" s="119">
        <f>SUM(AC18:AC19)</f>
        <v>68067869.414509133</v>
      </c>
      <c r="AD20" s="119">
        <f>SUM(AD18:AD19)</f>
        <v>66801019.169989988</v>
      </c>
      <c r="AE20" s="119">
        <f>SUM(AE18:AE19)</f>
        <v>63518319.118291527</v>
      </c>
    </row>
    <row r="21" spans="1:31" s="117" customFormat="1" x14ac:dyDescent="0.25">
      <c r="A21" s="133" t="s">
        <v>10</v>
      </c>
      <c r="B21" s="134"/>
      <c r="C21" s="135"/>
      <c r="D21" s="136">
        <f t="shared" ref="D21:N21" si="11">SUM(D16:D20)</f>
        <v>2666105.1325345249</v>
      </c>
      <c r="E21" s="136">
        <f t="shared" si="11"/>
        <v>4053224.7239505681</v>
      </c>
      <c r="F21" s="136">
        <f>SUM(F16:F20)</f>
        <v>6738512.8835876361</v>
      </c>
      <c r="G21" s="136">
        <f t="shared" si="11"/>
        <v>13068447.039709652</v>
      </c>
      <c r="H21" s="136">
        <f t="shared" si="11"/>
        <v>14323507.136100983</v>
      </c>
      <c r="I21" s="136">
        <f t="shared" si="11"/>
        <v>13147196.202614598</v>
      </c>
      <c r="J21" s="136">
        <f t="shared" si="11"/>
        <v>12916362.572052129</v>
      </c>
      <c r="K21" s="136">
        <f t="shared" si="11"/>
        <v>12795888.669564191</v>
      </c>
      <c r="L21" s="136">
        <f t="shared" si="11"/>
        <v>12209384.812091606</v>
      </c>
      <c r="M21" s="136">
        <f>SUM(M16:M20)</f>
        <v>10753534.54450913</v>
      </c>
      <c r="N21" s="136">
        <f t="shared" si="11"/>
        <v>10137116.709989991</v>
      </c>
      <c r="O21" s="136">
        <f>SUM(O16:O20)</f>
        <v>8299594.7182915285</v>
      </c>
      <c r="S21" s="144" t="s">
        <v>139</v>
      </c>
      <c r="T21" s="119">
        <f>T20-T15</f>
        <v>0</v>
      </c>
      <c r="U21" s="119">
        <f t="shared" ref="U21:AD21" si="12">U20-U15</f>
        <v>0</v>
      </c>
      <c r="V21" s="119">
        <f t="shared" si="12"/>
        <v>0</v>
      </c>
      <c r="W21" s="119">
        <f t="shared" si="12"/>
        <v>0</v>
      </c>
      <c r="X21" s="119">
        <f t="shared" si="12"/>
        <v>0</v>
      </c>
      <c r="Y21" s="119">
        <f t="shared" si="12"/>
        <v>0</v>
      </c>
      <c r="Z21" s="119">
        <f t="shared" si="12"/>
        <v>0</v>
      </c>
      <c r="AA21" s="119">
        <f t="shared" si="12"/>
        <v>0</v>
      </c>
      <c r="AB21" s="119">
        <f t="shared" si="12"/>
        <v>0</v>
      </c>
      <c r="AC21" s="119">
        <f t="shared" si="12"/>
        <v>0</v>
      </c>
      <c r="AD21" s="119">
        <f t="shared" si="12"/>
        <v>-7730071.7124323249</v>
      </c>
      <c r="AE21" s="119">
        <f>AE20-AE15</f>
        <v>-23341747.893646419</v>
      </c>
    </row>
    <row r="22" spans="1:31" s="54" customFormat="1" ht="40.200000000000003" x14ac:dyDescent="0.3">
      <c r="A22" s="137"/>
      <c r="B22" s="109"/>
      <c r="S22" s="145" t="s">
        <v>140</v>
      </c>
      <c r="T22" s="143">
        <f>T19/2</f>
        <v>1333052.5662672624</v>
      </c>
      <c r="U22" s="143">
        <f t="shared" ref="U22:AE22" si="13">U19/2</f>
        <v>693559.79570802161</v>
      </c>
      <c r="V22" s="143">
        <f t="shared" si="13"/>
        <v>1348455.4596506392</v>
      </c>
      <c r="W22" s="143">
        <f t="shared" si="13"/>
        <v>3471663.3397143967</v>
      </c>
      <c r="X22" s="143">
        <f t="shared" si="13"/>
        <v>2085409.8016348763</v>
      </c>
      <c r="Y22" s="143">
        <f t="shared" si="13"/>
        <v>2143172.5</v>
      </c>
      <c r="Z22" s="143">
        <f t="shared" si="13"/>
        <v>2927106.5</v>
      </c>
      <c r="AA22" s="143">
        <f t="shared" si="13"/>
        <v>3496989.5</v>
      </c>
      <c r="AB22" s="143">
        <f t="shared" si="13"/>
        <v>16910780</v>
      </c>
      <c r="AC22" s="143">
        <f t="shared" si="13"/>
        <v>3769861</v>
      </c>
      <c r="AD22" s="143">
        <f t="shared" si="13"/>
        <v>0</v>
      </c>
      <c r="AE22" s="143">
        <f t="shared" si="13"/>
        <v>0</v>
      </c>
    </row>
    <row r="23" spans="1:31" s="54" customFormat="1" ht="27" x14ac:dyDescent="0.3">
      <c r="A23" s="108" t="s">
        <v>141</v>
      </c>
      <c r="B23" s="109"/>
      <c r="S23" s="145" t="s">
        <v>142</v>
      </c>
      <c r="T23" s="242">
        <f>T22+T18</f>
        <v>1333052.5662672624</v>
      </c>
      <c r="U23" s="242">
        <f t="shared" ref="U23:AC23" si="14">U22+U18</f>
        <v>3359664.9282425465</v>
      </c>
      <c r="V23" s="242">
        <f t="shared" si="14"/>
        <v>5390057.4239369966</v>
      </c>
      <c r="W23" s="242">
        <f t="shared" si="14"/>
        <v>9596783.6999952551</v>
      </c>
      <c r="X23" s="242">
        <f t="shared" si="14"/>
        <v>12238097.334466107</v>
      </c>
      <c r="Y23" s="242">
        <f t="shared" si="14"/>
        <v>15290368.702614598</v>
      </c>
      <c r="Z23" s="242">
        <f t="shared" si="14"/>
        <v>20116890.072052129</v>
      </c>
      <c r="AA23" s="242">
        <f t="shared" si="14"/>
        <v>26363685.169564191</v>
      </c>
      <c r="AB23" s="242">
        <f t="shared" si="14"/>
        <v>45972593.812091604</v>
      </c>
      <c r="AC23" s="242">
        <f t="shared" si="14"/>
        <v>64298008.414509133</v>
      </c>
      <c r="AD23" s="242">
        <f>AD22+AD18</f>
        <v>66801019.169989988</v>
      </c>
      <c r="AE23" s="242">
        <f>AE22+AE18</f>
        <v>63518319.118291527</v>
      </c>
    </row>
    <row r="24" spans="1:31" s="54" customFormat="1" ht="15" thickBot="1" x14ac:dyDescent="0.35">
      <c r="A24" s="137"/>
      <c r="I24" s="146" t="s">
        <v>143</v>
      </c>
      <c r="K24" s="147">
        <v>48920000</v>
      </c>
      <c r="S24" s="112"/>
    </row>
    <row r="25" spans="1:31" ht="15" thickBot="1" x14ac:dyDescent="0.35">
      <c r="A25" s="71"/>
      <c r="G25" s="71"/>
      <c r="H25" s="71"/>
      <c r="I25" s="497"/>
      <c r="J25" s="498"/>
      <c r="K25" s="498"/>
      <c r="L25" s="498"/>
      <c r="M25" s="499"/>
    </row>
    <row r="26" spans="1:31" ht="15" thickBot="1" x14ac:dyDescent="0.35">
      <c r="A26" s="71"/>
      <c r="G26" s="148" t="s">
        <v>107</v>
      </c>
      <c r="H26" s="149" t="s">
        <v>108</v>
      </c>
      <c r="I26" s="77">
        <v>2011</v>
      </c>
      <c r="J26" s="78">
        <v>2012</v>
      </c>
      <c r="K26" s="78">
        <v>2013</v>
      </c>
      <c r="L26" s="78">
        <v>2014</v>
      </c>
      <c r="M26" s="79" t="s">
        <v>10</v>
      </c>
    </row>
    <row r="27" spans="1:31" ht="14.4" x14ac:dyDescent="0.3">
      <c r="G27" s="150" t="s">
        <v>115</v>
      </c>
      <c r="H27" s="151" t="s">
        <v>110</v>
      </c>
      <c r="I27" s="152">
        <v>4515774</v>
      </c>
      <c r="J27" s="153">
        <v>4502850.9189342298</v>
      </c>
      <c r="K27" s="153">
        <v>4498762.0916148899</v>
      </c>
      <c r="L27" s="153">
        <v>4394084.261384869</v>
      </c>
      <c r="M27" s="154">
        <f>SUM(I27:L27)</f>
        <v>17911471.271933988</v>
      </c>
    </row>
    <row r="28" spans="1:31" ht="14.4" x14ac:dyDescent="0.3">
      <c r="A28" s="16"/>
      <c r="G28" s="80" t="s">
        <v>116</v>
      </c>
      <c r="H28" s="155" t="s">
        <v>144</v>
      </c>
      <c r="I28" s="75"/>
      <c r="J28" s="73">
        <v>5363496</v>
      </c>
      <c r="K28" s="156">
        <f>J28</f>
        <v>5363496</v>
      </c>
      <c r="L28" s="156">
        <f>K28</f>
        <v>5363496</v>
      </c>
      <c r="M28" s="74">
        <f>SUM(I28:L28)</f>
        <v>16090488</v>
      </c>
    </row>
    <row r="29" spans="1:31" ht="14.4" x14ac:dyDescent="0.3">
      <c r="A29" s="72"/>
      <c r="G29" s="80" t="s">
        <v>118</v>
      </c>
      <c r="H29" s="155" t="s">
        <v>144</v>
      </c>
      <c r="I29" s="75"/>
      <c r="J29" s="157"/>
      <c r="K29" s="73">
        <v>5079363</v>
      </c>
      <c r="L29" s="156">
        <f>K29</f>
        <v>5079363</v>
      </c>
      <c r="M29" s="74">
        <f>SUM(J29:L29)</f>
        <v>10158726</v>
      </c>
    </row>
    <row r="30" spans="1:31" ht="14.4" x14ac:dyDescent="0.3">
      <c r="A30" s="72"/>
      <c r="G30" s="80" t="s">
        <v>119</v>
      </c>
      <c r="H30" s="82" t="s">
        <v>117</v>
      </c>
      <c r="I30" s="75"/>
      <c r="J30" s="157"/>
      <c r="K30" s="157"/>
      <c r="L30" s="73">
        <v>35997464</v>
      </c>
      <c r="M30" s="74">
        <f>SUM(I30:L30)</f>
        <v>35997464</v>
      </c>
    </row>
    <row r="31" spans="1:31" ht="15" thickBot="1" x14ac:dyDescent="0.35">
      <c r="A31" s="72"/>
      <c r="G31" s="81"/>
      <c r="H31" s="83" t="s">
        <v>145</v>
      </c>
      <c r="I31" s="76">
        <f>SUM(I27:I30)</f>
        <v>4515774</v>
      </c>
      <c r="J31" s="76">
        <f>SUM(J27:J30)</f>
        <v>9866346.9189342298</v>
      </c>
      <c r="K31" s="76">
        <f>SUM(K27:K30)</f>
        <v>14941621.091614891</v>
      </c>
      <c r="L31" s="76">
        <f>SUM(L27:L30)</f>
        <v>50834407.261384867</v>
      </c>
      <c r="M31" s="158">
        <f>SUM(M27:M30)</f>
        <v>80158149.271933988</v>
      </c>
    </row>
    <row r="32" spans="1:31" ht="14.4" x14ac:dyDescent="0.3">
      <c r="A32" s="72"/>
    </row>
    <row r="33" spans="1:15" ht="15" thickBot="1" x14ac:dyDescent="0.35">
      <c r="A33" s="159" t="s">
        <v>146</v>
      </c>
    </row>
    <row r="34" spans="1:15" ht="15" thickBot="1" x14ac:dyDescent="0.35">
      <c r="A34" s="72"/>
      <c r="G34" s="148" t="s">
        <v>107</v>
      </c>
      <c r="H34" s="149" t="s">
        <v>108</v>
      </c>
      <c r="I34" s="77">
        <v>2011</v>
      </c>
      <c r="J34" s="78">
        <v>2012</v>
      </c>
      <c r="K34" s="78">
        <v>2013</v>
      </c>
      <c r="L34" s="78">
        <v>2014</v>
      </c>
      <c r="M34" s="78">
        <v>2015</v>
      </c>
      <c r="N34" s="78">
        <v>2016</v>
      </c>
      <c r="O34" s="78">
        <v>2017</v>
      </c>
    </row>
    <row r="35" spans="1:15" ht="14.4" x14ac:dyDescent="0.3">
      <c r="A35" s="72"/>
      <c r="G35" s="150" t="s">
        <v>115</v>
      </c>
      <c r="H35" s="151" t="s">
        <v>110</v>
      </c>
      <c r="I35" s="260">
        <v>4286345</v>
      </c>
      <c r="J35" s="153">
        <v>4273421</v>
      </c>
      <c r="K35" s="153">
        <v>4269480</v>
      </c>
      <c r="L35" s="153">
        <v>4164655</v>
      </c>
      <c r="M35" s="160">
        <v>4044924.87</v>
      </c>
      <c r="N35" s="160">
        <v>3842745.46</v>
      </c>
      <c r="O35" s="160">
        <v>3585982.4</v>
      </c>
    </row>
    <row r="36" spans="1:15" ht="14.4" x14ac:dyDescent="0.3">
      <c r="A36" s="72"/>
      <c r="G36" s="80" t="s">
        <v>116</v>
      </c>
      <c r="H36" s="155" t="s">
        <v>144</v>
      </c>
      <c r="I36" s="75"/>
      <c r="J36" s="261">
        <v>5854213</v>
      </c>
      <c r="K36" s="156">
        <v>5801327</v>
      </c>
      <c r="L36" s="156">
        <v>5778849</v>
      </c>
      <c r="M36" s="156">
        <v>5681217</v>
      </c>
      <c r="N36" s="156">
        <v>5580103</v>
      </c>
      <c r="O36" s="156">
        <v>5264741</v>
      </c>
    </row>
    <row r="37" spans="1:15" ht="14.4" x14ac:dyDescent="0.3">
      <c r="G37" s="80" t="s">
        <v>118</v>
      </c>
      <c r="H37" s="155" t="s">
        <v>144</v>
      </c>
      <c r="I37" s="75"/>
      <c r="J37" s="157"/>
      <c r="K37" s="261">
        <v>6993979</v>
      </c>
      <c r="L37" s="156">
        <v>6908925</v>
      </c>
      <c r="M37" s="156">
        <v>6895581</v>
      </c>
      <c r="N37" s="156">
        <v>6806732</v>
      </c>
      <c r="O37" s="156">
        <v>6111099</v>
      </c>
    </row>
    <row r="38" spans="1:15" ht="14.4" x14ac:dyDescent="0.3">
      <c r="G38" s="80" t="s">
        <v>119</v>
      </c>
      <c r="H38" s="82" t="s">
        <v>117</v>
      </c>
      <c r="I38" s="75"/>
      <c r="J38" s="157"/>
      <c r="K38" s="157"/>
      <c r="L38" s="182">
        <v>33821560</v>
      </c>
      <c r="M38" s="156">
        <v>33152890</v>
      </c>
      <c r="N38" s="156">
        <v>33032221</v>
      </c>
      <c r="O38" s="156">
        <v>32854801</v>
      </c>
    </row>
    <row r="39" spans="1:15" ht="15" thickBot="1" x14ac:dyDescent="0.35">
      <c r="G39" s="81"/>
      <c r="H39" s="83" t="s">
        <v>145</v>
      </c>
      <c r="I39" s="76">
        <f t="shared" ref="I39:O39" si="15">SUM(I35:I38)</f>
        <v>4286345</v>
      </c>
      <c r="J39" s="76">
        <f t="shared" si="15"/>
        <v>10127634</v>
      </c>
      <c r="K39" s="76">
        <f t="shared" si="15"/>
        <v>17064786</v>
      </c>
      <c r="L39" s="76">
        <f t="shared" si="15"/>
        <v>50673989</v>
      </c>
      <c r="M39" s="76">
        <f t="shared" si="15"/>
        <v>49774612.870000005</v>
      </c>
      <c r="N39" s="76">
        <f t="shared" si="15"/>
        <v>49261801.460000001</v>
      </c>
      <c r="O39" s="76">
        <f t="shared" si="15"/>
        <v>47816623.399999999</v>
      </c>
    </row>
    <row r="40" spans="1:15" x14ac:dyDescent="0.25">
      <c r="A40" s="161" t="s">
        <v>147</v>
      </c>
    </row>
    <row r="41" spans="1:15" x14ac:dyDescent="0.25">
      <c r="L41" s="162" t="s">
        <v>135</v>
      </c>
      <c r="M41" s="163">
        <v>2015</v>
      </c>
      <c r="N41" s="163">
        <v>2016</v>
      </c>
      <c r="O41" s="163">
        <v>2017</v>
      </c>
    </row>
    <row r="42" spans="1:15" x14ac:dyDescent="0.25">
      <c r="L42" s="163">
        <v>2015</v>
      </c>
      <c r="M42" s="164">
        <v>7539722</v>
      </c>
      <c r="N42" s="165">
        <v>7402101</v>
      </c>
      <c r="O42" s="165">
        <f>N42</f>
        <v>7402101</v>
      </c>
    </row>
    <row r="43" spans="1:15" x14ac:dyDescent="0.25">
      <c r="L43" s="163">
        <v>2016</v>
      </c>
      <c r="M43" s="163"/>
      <c r="N43" s="164">
        <f>7730.07171243232*1000</f>
        <v>7730071.7124323202</v>
      </c>
      <c r="O43" s="165">
        <f>N43</f>
        <v>7730071.7124323202</v>
      </c>
    </row>
    <row r="44" spans="1:15" x14ac:dyDescent="0.25">
      <c r="L44" s="163">
        <v>2017</v>
      </c>
      <c r="M44" s="163"/>
      <c r="N44" s="163"/>
      <c r="O44" s="164">
        <f>15611.6761812141*1000</f>
        <v>15611676.1812141</v>
      </c>
    </row>
    <row r="47" spans="1:15" x14ac:dyDescent="0.25">
      <c r="A47" t="s">
        <v>161</v>
      </c>
    </row>
    <row r="48" spans="1:15" x14ac:dyDescent="0.25">
      <c r="A48" t="s">
        <v>162</v>
      </c>
    </row>
    <row r="49" spans="2:4" x14ac:dyDescent="0.25">
      <c r="D49" s="207"/>
    </row>
    <row r="50" spans="2:4" x14ac:dyDescent="0.25">
      <c r="B50" t="s">
        <v>163</v>
      </c>
      <c r="C50" s="166">
        <v>1829936</v>
      </c>
      <c r="D50" s="208">
        <f>C50/$C$53</f>
        <v>5.410560600989428E-2</v>
      </c>
    </row>
    <row r="51" spans="2:4" x14ac:dyDescent="0.25">
      <c r="B51" t="s">
        <v>164</v>
      </c>
      <c r="C51" s="166">
        <v>1753572</v>
      </c>
      <c r="D51" s="208">
        <f>C51/$C$53</f>
        <v>5.1847756283270201E-2</v>
      </c>
    </row>
    <row r="52" spans="2:4" x14ac:dyDescent="0.25">
      <c r="B52" t="s">
        <v>165</v>
      </c>
      <c r="C52" s="166">
        <v>30238052</v>
      </c>
      <c r="D52" s="208">
        <f>C52/$C$53</f>
        <v>0.89404663770683557</v>
      </c>
    </row>
    <row r="53" spans="2:4" x14ac:dyDescent="0.25">
      <c r="C53" s="176">
        <f>SUM(C50:C52)</f>
        <v>33821560</v>
      </c>
    </row>
  </sheetData>
  <mergeCells count="3">
    <mergeCell ref="T1:AE1"/>
    <mergeCell ref="R3:R14"/>
    <mergeCell ref="I25:M25"/>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8"/>
  <sheetViews>
    <sheetView workbookViewId="0">
      <selection activeCell="F13" sqref="F13"/>
    </sheetView>
  </sheetViews>
  <sheetFormatPr defaultRowHeight="13.2" x14ac:dyDescent="0.25"/>
  <cols>
    <col min="2" max="2" width="43.21875" bestFit="1" customWidth="1"/>
    <col min="3" max="3" width="8.77734375" bestFit="1" customWidth="1"/>
    <col min="4" max="13" width="9.77734375" bestFit="1" customWidth="1"/>
  </cols>
  <sheetData>
    <row r="3" spans="2:13" x14ac:dyDescent="0.25">
      <c r="B3" s="63" t="s">
        <v>306</v>
      </c>
      <c r="C3" s="63"/>
      <c r="D3" s="63"/>
      <c r="E3" s="63"/>
      <c r="F3" s="63"/>
    </row>
    <row r="4" spans="2:13" x14ac:dyDescent="0.25">
      <c r="C4">
        <v>2015</v>
      </c>
      <c r="D4">
        <v>2016</v>
      </c>
      <c r="E4">
        <v>2017</v>
      </c>
      <c r="F4">
        <v>2018</v>
      </c>
      <c r="G4">
        <v>2019</v>
      </c>
      <c r="H4">
        <v>2020</v>
      </c>
      <c r="I4">
        <v>2021</v>
      </c>
      <c r="J4">
        <v>2022</v>
      </c>
      <c r="K4">
        <v>2023</v>
      </c>
      <c r="L4">
        <v>2024</v>
      </c>
      <c r="M4">
        <v>2025</v>
      </c>
    </row>
    <row r="5" spans="2:13" x14ac:dyDescent="0.25">
      <c r="B5" s="453" t="s">
        <v>294</v>
      </c>
      <c r="C5" s="410">
        <v>7539722</v>
      </c>
      <c r="D5" s="410">
        <v>7522110</v>
      </c>
      <c r="E5" s="410">
        <v>7486142</v>
      </c>
      <c r="F5" s="410">
        <v>7486038</v>
      </c>
      <c r="G5" s="410">
        <v>7473697</v>
      </c>
      <c r="H5" s="410">
        <v>7457011</v>
      </c>
      <c r="I5" s="410">
        <v>7320996</v>
      </c>
      <c r="J5" s="410">
        <v>7320573</v>
      </c>
      <c r="K5" s="410">
        <v>7297008</v>
      </c>
      <c r="L5" s="410">
        <v>6851572</v>
      </c>
      <c r="M5" s="410">
        <v>5164313</v>
      </c>
    </row>
    <row r="6" spans="2:13" x14ac:dyDescent="0.25">
      <c r="B6" s="453" t="s">
        <v>295</v>
      </c>
      <c r="C6" s="410">
        <v>1642523</v>
      </c>
      <c r="D6" s="410">
        <v>1609384</v>
      </c>
      <c r="E6" s="410">
        <v>1605581</v>
      </c>
      <c r="F6" s="410">
        <v>1601777</v>
      </c>
      <c r="G6" s="410">
        <v>1601777</v>
      </c>
      <c r="H6" s="410">
        <v>1458522</v>
      </c>
      <c r="I6" s="410">
        <v>1429973</v>
      </c>
      <c r="J6" s="410">
        <v>1429282</v>
      </c>
      <c r="K6" s="410">
        <v>1388321</v>
      </c>
      <c r="L6" s="410">
        <v>1269738</v>
      </c>
      <c r="M6" s="410">
        <v>1089190</v>
      </c>
    </row>
    <row r="7" spans="2:13" x14ac:dyDescent="0.25">
      <c r="B7" s="453" t="s">
        <v>296</v>
      </c>
      <c r="C7" s="410">
        <v>339980</v>
      </c>
      <c r="D7" s="410">
        <v>354864</v>
      </c>
      <c r="E7" s="410">
        <v>390832</v>
      </c>
      <c r="F7" s="410">
        <v>394167</v>
      </c>
      <c r="G7" s="410">
        <v>394167</v>
      </c>
      <c r="H7" s="410">
        <v>394167</v>
      </c>
      <c r="I7" s="410">
        <v>558037</v>
      </c>
      <c r="J7" s="410">
        <v>558037</v>
      </c>
      <c r="K7" s="410">
        <v>576811</v>
      </c>
      <c r="L7" s="410">
        <v>554593</v>
      </c>
      <c r="M7" s="410">
        <v>459920</v>
      </c>
    </row>
    <row r="8" spans="2:13" x14ac:dyDescent="0.25">
      <c r="B8" t="s">
        <v>297</v>
      </c>
      <c r="C8" s="410">
        <f>SUM(C5:C7)</f>
        <v>9522225</v>
      </c>
      <c r="D8" s="410">
        <f t="shared" ref="D8:M8" si="0">SUM(D5:D7)</f>
        <v>9486358</v>
      </c>
      <c r="E8" s="410">
        <f t="shared" si="0"/>
        <v>9482555</v>
      </c>
      <c r="F8" s="410">
        <f t="shared" si="0"/>
        <v>9481982</v>
      </c>
      <c r="G8" s="410">
        <f t="shared" si="0"/>
        <v>9469641</v>
      </c>
      <c r="H8" s="410">
        <f t="shared" si="0"/>
        <v>9309700</v>
      </c>
      <c r="I8" s="410">
        <f t="shared" si="0"/>
        <v>9309006</v>
      </c>
      <c r="J8" s="410">
        <f t="shared" si="0"/>
        <v>9307892</v>
      </c>
      <c r="K8" s="410">
        <f t="shared" si="0"/>
        <v>9262140</v>
      </c>
      <c r="L8" s="410">
        <f t="shared" si="0"/>
        <v>8675903</v>
      </c>
      <c r="M8" s="410">
        <f t="shared" si="0"/>
        <v>6713423</v>
      </c>
    </row>
    <row r="10" spans="2:13" x14ac:dyDescent="0.25">
      <c r="B10" s="453" t="s">
        <v>298</v>
      </c>
      <c r="D10" s="410">
        <v>10753222</v>
      </c>
      <c r="E10" s="410">
        <v>10637117</v>
      </c>
      <c r="F10" s="410">
        <v>10624286</v>
      </c>
      <c r="G10" s="410">
        <v>10527505</v>
      </c>
      <c r="H10" s="410">
        <v>10499456</v>
      </c>
      <c r="I10" s="410">
        <v>9857202</v>
      </c>
      <c r="J10" s="410">
        <v>9759731</v>
      </c>
      <c r="K10" s="410">
        <v>9729737</v>
      </c>
      <c r="L10" s="410">
        <v>9683821</v>
      </c>
      <c r="M10" s="410">
        <v>9627012</v>
      </c>
    </row>
    <row r="11" spans="2:13" x14ac:dyDescent="0.25">
      <c r="B11" s="453" t="s">
        <v>299</v>
      </c>
      <c r="D11" s="410">
        <v>1428253</v>
      </c>
      <c r="E11" s="410">
        <v>1544225</v>
      </c>
      <c r="F11" s="410">
        <v>1583122</v>
      </c>
      <c r="G11" s="410">
        <v>1582462</v>
      </c>
      <c r="H11" s="410">
        <v>1578380</v>
      </c>
      <c r="I11" s="410">
        <v>1574995</v>
      </c>
      <c r="J11" s="410">
        <v>1566897</v>
      </c>
      <c r="K11" s="410">
        <v>1562534</v>
      </c>
      <c r="L11" s="410">
        <v>1558713</v>
      </c>
      <c r="M11" s="410">
        <v>1549807</v>
      </c>
    </row>
    <row r="12" spans="2:13" x14ac:dyDescent="0.25">
      <c r="B12" t="s">
        <v>300</v>
      </c>
      <c r="C12" s="410">
        <f>SUM(C10:C11)</f>
        <v>0</v>
      </c>
      <c r="D12" s="410">
        <f t="shared" ref="D12:M12" si="1">SUM(D10:D11)</f>
        <v>12181475</v>
      </c>
      <c r="E12" s="410">
        <f t="shared" si="1"/>
        <v>12181342</v>
      </c>
      <c r="F12" s="410">
        <f t="shared" si="1"/>
        <v>12207408</v>
      </c>
      <c r="G12" s="410">
        <f t="shared" si="1"/>
        <v>12109967</v>
      </c>
      <c r="H12" s="410">
        <f t="shared" si="1"/>
        <v>12077836</v>
      </c>
      <c r="I12" s="410">
        <f t="shared" si="1"/>
        <v>11432197</v>
      </c>
      <c r="J12" s="410">
        <f t="shared" si="1"/>
        <v>11326628</v>
      </c>
      <c r="K12" s="410">
        <f t="shared" si="1"/>
        <v>11292271</v>
      </c>
      <c r="L12" s="410">
        <f t="shared" si="1"/>
        <v>11242534</v>
      </c>
      <c r="M12" s="410">
        <f t="shared" si="1"/>
        <v>11176819</v>
      </c>
    </row>
    <row r="14" spans="2:13" x14ac:dyDescent="0.25">
      <c r="B14" s="453" t="s">
        <v>301</v>
      </c>
      <c r="E14" s="410">
        <v>16387248</v>
      </c>
      <c r="F14" s="410">
        <v>15261381</v>
      </c>
      <c r="G14" s="410">
        <v>15084685</v>
      </c>
      <c r="H14" s="410">
        <v>15051708</v>
      </c>
      <c r="I14" s="410">
        <v>14941638</v>
      </c>
      <c r="J14" s="410">
        <v>14164205</v>
      </c>
      <c r="K14" s="410">
        <v>14112518</v>
      </c>
      <c r="L14" s="410">
        <v>14075129</v>
      </c>
      <c r="M14" s="410">
        <v>13887751</v>
      </c>
    </row>
    <row r="15" spans="2:13" x14ac:dyDescent="0.25">
      <c r="B15" t="s">
        <v>302</v>
      </c>
      <c r="C15">
        <f>C14</f>
        <v>0</v>
      </c>
      <c r="D15">
        <f t="shared" ref="D15:M15" si="2">D14</f>
        <v>0</v>
      </c>
      <c r="E15">
        <f t="shared" si="2"/>
        <v>16387248</v>
      </c>
      <c r="F15">
        <f t="shared" si="2"/>
        <v>15261381</v>
      </c>
      <c r="G15">
        <f t="shared" si="2"/>
        <v>15084685</v>
      </c>
      <c r="H15">
        <f t="shared" si="2"/>
        <v>15051708</v>
      </c>
      <c r="I15">
        <f t="shared" si="2"/>
        <v>14941638</v>
      </c>
      <c r="J15">
        <f t="shared" si="2"/>
        <v>14164205</v>
      </c>
      <c r="K15">
        <f t="shared" si="2"/>
        <v>14112518</v>
      </c>
      <c r="L15">
        <f t="shared" si="2"/>
        <v>14075129</v>
      </c>
      <c r="M15">
        <f t="shared" si="2"/>
        <v>13887751</v>
      </c>
    </row>
    <row r="17" spans="2:13" x14ac:dyDescent="0.25">
      <c r="B17" t="s">
        <v>10</v>
      </c>
      <c r="C17" s="410">
        <f>SUM(C15,C12,C8)</f>
        <v>9522225</v>
      </c>
      <c r="D17" s="410">
        <f t="shared" ref="D17:M17" si="3">SUM(D15,D12,D8)</f>
        <v>21667833</v>
      </c>
      <c r="E17" s="410">
        <f t="shared" si="3"/>
        <v>38051145</v>
      </c>
      <c r="F17" s="410">
        <f t="shared" si="3"/>
        <v>36950771</v>
      </c>
      <c r="G17" s="410">
        <f t="shared" si="3"/>
        <v>36664293</v>
      </c>
      <c r="H17" s="410">
        <f t="shared" si="3"/>
        <v>36439244</v>
      </c>
      <c r="I17" s="410">
        <f t="shared" si="3"/>
        <v>35682841</v>
      </c>
      <c r="J17" s="410">
        <f t="shared" si="3"/>
        <v>34798725</v>
      </c>
      <c r="K17" s="410">
        <f t="shared" si="3"/>
        <v>34666929</v>
      </c>
      <c r="L17" s="410">
        <f t="shared" si="3"/>
        <v>33993566</v>
      </c>
      <c r="M17" s="410">
        <f t="shared" si="3"/>
        <v>31777993</v>
      </c>
    </row>
    <row r="18" spans="2:13" x14ac:dyDescent="0.25">
      <c r="C18" s="410"/>
      <c r="D18" s="410"/>
      <c r="E18" s="410"/>
      <c r="F18" s="410"/>
      <c r="G18" s="410"/>
      <c r="H18" s="410"/>
      <c r="I18" s="410"/>
      <c r="J18" s="410"/>
      <c r="K18" s="410"/>
      <c r="L18" s="410"/>
      <c r="M18" s="410"/>
    </row>
    <row r="22" spans="2:13" x14ac:dyDescent="0.25">
      <c r="B22" s="63" t="s">
        <v>307</v>
      </c>
      <c r="C22" s="63"/>
      <c r="D22" s="63"/>
      <c r="E22" s="63"/>
      <c r="F22" s="63"/>
    </row>
    <row r="23" spans="2:13" x14ac:dyDescent="0.25">
      <c r="F23">
        <v>2018</v>
      </c>
      <c r="G23">
        <v>2019</v>
      </c>
      <c r="H23">
        <v>2020</v>
      </c>
      <c r="I23">
        <v>2021</v>
      </c>
      <c r="J23">
        <v>2022</v>
      </c>
      <c r="K23">
        <v>2023</v>
      </c>
      <c r="L23">
        <v>2024</v>
      </c>
      <c r="M23">
        <v>2025</v>
      </c>
    </row>
    <row r="24" spans="2:13" x14ac:dyDescent="0.25">
      <c r="B24" t="s">
        <v>303</v>
      </c>
      <c r="F24" s="410">
        <v>10834881</v>
      </c>
      <c r="G24" s="410">
        <v>10842199</v>
      </c>
      <c r="H24" s="410">
        <v>10764337</v>
      </c>
      <c r="I24" s="410">
        <v>10610889</v>
      </c>
    </row>
    <row r="26" spans="2:13" x14ac:dyDescent="0.25">
      <c r="B26" t="s">
        <v>304</v>
      </c>
      <c r="G26" s="410">
        <v>4761595</v>
      </c>
      <c r="H26" s="410">
        <v>4721504</v>
      </c>
      <c r="I26" s="410">
        <v>4593501</v>
      </c>
    </row>
    <row r="28" spans="2:13" x14ac:dyDescent="0.25">
      <c r="B28" t="s">
        <v>305</v>
      </c>
      <c r="H28" s="410">
        <v>0</v>
      </c>
      <c r="I28" s="41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6"/>
  <sheetViews>
    <sheetView topLeftCell="J73" zoomScaleNormal="100" workbookViewId="0">
      <selection activeCell="N35" sqref="N35"/>
    </sheetView>
  </sheetViews>
  <sheetFormatPr defaultColWidth="9.21875" defaultRowHeight="13.2" x14ac:dyDescent="0.25"/>
  <cols>
    <col min="1" max="1" width="9.21875" style="413"/>
    <col min="2" max="2" width="15.21875" style="413" customWidth="1"/>
    <col min="3" max="3" width="15.21875" style="420" customWidth="1"/>
    <col min="4" max="10" width="15.21875" style="413" customWidth="1"/>
    <col min="11" max="11" width="14.21875" style="413" customWidth="1"/>
    <col min="12" max="17" width="15.21875" style="413" customWidth="1"/>
    <col min="18" max="18" width="13.5546875" style="413" customWidth="1"/>
    <col min="19" max="20" width="12.21875" style="413" customWidth="1"/>
    <col min="21" max="21" width="13.21875" style="413" customWidth="1"/>
    <col min="22" max="23" width="12.77734375" style="413" customWidth="1"/>
    <col min="24" max="25" width="10.5546875" style="413" customWidth="1"/>
    <col min="26" max="26" width="14.21875" style="413" customWidth="1"/>
    <col min="27" max="27" width="11.21875" style="413" bestFit="1" customWidth="1"/>
    <col min="28" max="28" width="11.77734375" style="413" customWidth="1"/>
    <col min="29" max="29" width="14" style="413" bestFit="1" customWidth="1"/>
    <col min="30" max="30" width="11" style="413" customWidth="1"/>
    <col min="31" max="31" width="10.21875" style="413" bestFit="1" customWidth="1"/>
    <col min="32" max="16384" width="9.21875" style="413"/>
  </cols>
  <sheetData>
    <row r="1" spans="1:35" ht="15.6" x14ac:dyDescent="0.3">
      <c r="A1" s="412"/>
      <c r="B1" s="412"/>
      <c r="C1" s="412"/>
      <c r="D1" s="412"/>
      <c r="E1" s="412"/>
      <c r="F1" s="412"/>
      <c r="G1" s="412"/>
      <c r="H1" s="412"/>
      <c r="I1" s="412"/>
      <c r="J1" s="412"/>
      <c r="K1" s="412"/>
    </row>
    <row r="2" spans="1:35" ht="52.8" x14ac:dyDescent="0.25">
      <c r="B2" s="414" t="s">
        <v>267</v>
      </c>
      <c r="C2" s="415" t="s">
        <v>268</v>
      </c>
      <c r="D2" s="414" t="s">
        <v>269</v>
      </c>
      <c r="E2" s="414" t="s">
        <v>270</v>
      </c>
      <c r="F2" s="414" t="s">
        <v>271</v>
      </c>
      <c r="G2" s="414" t="s">
        <v>272</v>
      </c>
      <c r="H2" s="414" t="s">
        <v>273</v>
      </c>
      <c r="I2" s="414" t="s">
        <v>274</v>
      </c>
      <c r="J2" s="414" t="s">
        <v>275</v>
      </c>
      <c r="K2" s="416" t="s">
        <v>276</v>
      </c>
      <c r="L2" s="417" t="s">
        <v>277</v>
      </c>
      <c r="M2" s="418" t="s">
        <v>278</v>
      </c>
      <c r="N2" s="419" t="s">
        <v>279</v>
      </c>
      <c r="O2" s="417" t="s">
        <v>280</v>
      </c>
      <c r="P2" s="419" t="s">
        <v>281</v>
      </c>
      <c r="Q2" s="418" t="s">
        <v>282</v>
      </c>
      <c r="R2" s="416"/>
      <c r="S2" s="500" t="s">
        <v>283</v>
      </c>
      <c r="T2" s="500"/>
      <c r="V2" s="501" t="s">
        <v>284</v>
      </c>
      <c r="W2" s="501"/>
    </row>
    <row r="3" spans="1:35" x14ac:dyDescent="0.25">
      <c r="G3" s="420"/>
      <c r="H3" s="420"/>
      <c r="I3" s="420"/>
      <c r="J3" s="420"/>
      <c r="L3" s="421"/>
      <c r="M3" s="422"/>
      <c r="N3" s="423"/>
      <c r="O3" s="421"/>
      <c r="P3" s="423"/>
      <c r="Q3" s="422"/>
      <c r="S3" s="424"/>
      <c r="T3" s="424"/>
      <c r="U3" s="425"/>
      <c r="V3" s="425"/>
      <c r="W3" s="425"/>
      <c r="Y3" s="426" t="s">
        <v>95</v>
      </c>
      <c r="Z3" s="426">
        <v>1</v>
      </c>
    </row>
    <row r="4" spans="1:35" x14ac:dyDescent="0.25">
      <c r="A4" s="413">
        <v>2006</v>
      </c>
      <c r="B4" s="427">
        <v>3672995.6495007449</v>
      </c>
      <c r="C4" s="428"/>
      <c r="D4" s="427"/>
      <c r="E4" s="427"/>
      <c r="F4" s="427"/>
      <c r="G4" s="429"/>
      <c r="H4" s="429"/>
      <c r="I4" s="429"/>
      <c r="J4" s="429"/>
      <c r="K4" s="430">
        <f>SUM(B4:J4)</f>
        <v>3672995.6495007449</v>
      </c>
      <c r="L4" s="421">
        <f>K4</f>
        <v>3672995.6495007449</v>
      </c>
      <c r="M4" s="431">
        <f t="shared" ref="M4:M19" si="0">L4/$Z$15</f>
        <v>47089.687814112112</v>
      </c>
      <c r="N4" s="432">
        <f>K4-K3</f>
        <v>3672995.6495007449</v>
      </c>
      <c r="O4" s="421">
        <f>K3+0.5*N4</f>
        <v>1836497.8247503724</v>
      </c>
      <c r="P4" s="423">
        <f>O4</f>
        <v>1836497.8247503724</v>
      </c>
      <c r="Q4" s="422">
        <f t="shared" ref="Q4:Q19" si="1">P4/$Z$15</f>
        <v>23544.843907056056</v>
      </c>
      <c r="S4" s="433">
        <f>M35</f>
        <v>3672995.6495007444</v>
      </c>
      <c r="T4" s="433">
        <f t="shared" ref="T4:T19" si="2">K4-S4</f>
        <v>0</v>
      </c>
      <c r="U4" s="433"/>
      <c r="V4" s="433">
        <f>P35</f>
        <v>1836497.8247503722</v>
      </c>
      <c r="W4" s="433">
        <f>O4-V4</f>
        <v>0</v>
      </c>
      <c r="Y4" s="426" t="s">
        <v>96</v>
      </c>
      <c r="Z4" s="426">
        <v>2</v>
      </c>
    </row>
    <row r="5" spans="1:35" x14ac:dyDescent="0.25">
      <c r="A5" s="413">
        <v>2007</v>
      </c>
      <c r="B5" s="427">
        <v>6313622.1050187033</v>
      </c>
      <c r="C5" s="428"/>
      <c r="D5" s="427"/>
      <c r="E5" s="427"/>
      <c r="F5" s="427"/>
      <c r="G5" s="420"/>
      <c r="H5" s="420"/>
      <c r="I5" s="420"/>
      <c r="J5" s="420"/>
      <c r="K5" s="430">
        <f t="shared" ref="K5:K19" si="3">SUM(B5:J5)</f>
        <v>6313622.1050187033</v>
      </c>
      <c r="L5" s="421">
        <f>K5-N35</f>
        <v>-467292.94021344092</v>
      </c>
      <c r="M5" s="431">
        <f t="shared" si="0"/>
        <v>-5990.9351309415506</v>
      </c>
      <c r="N5" s="432">
        <f>K5-K4</f>
        <v>2640626.4555179584</v>
      </c>
      <c r="O5" s="421">
        <f>K4+0.5*N5</f>
        <v>4993308.8772597238</v>
      </c>
      <c r="P5" s="423">
        <f>O5-Q35</f>
        <v>1602851.3546436517</v>
      </c>
      <c r="Q5" s="422">
        <f t="shared" si="1"/>
        <v>20549.376341585277</v>
      </c>
      <c r="S5" s="433">
        <f>M47</f>
        <v>6313622.1050187014</v>
      </c>
      <c r="T5" s="433">
        <f t="shared" si="2"/>
        <v>0</v>
      </c>
      <c r="U5" s="433"/>
      <c r="V5" s="433">
        <f>P47</f>
        <v>4993308.8772597257</v>
      </c>
      <c r="W5" s="433">
        <f>O5-V5</f>
        <v>0</v>
      </c>
      <c r="Y5" s="426" t="s">
        <v>97</v>
      </c>
      <c r="Z5" s="426">
        <v>3</v>
      </c>
    </row>
    <row r="6" spans="1:35" x14ac:dyDescent="0.25">
      <c r="A6" s="413">
        <v>2008</v>
      </c>
      <c r="B6" s="427">
        <v>8314385.6097135106</v>
      </c>
      <c r="C6" s="428"/>
      <c r="D6" s="427"/>
      <c r="E6" s="427"/>
      <c r="F6" s="427"/>
      <c r="G6" s="429"/>
      <c r="H6" s="429"/>
      <c r="I6" s="429"/>
      <c r="J6" s="429"/>
      <c r="K6" s="430">
        <f t="shared" si="3"/>
        <v>8314385.6097135106</v>
      </c>
      <c r="L6" s="421">
        <f>K6-N47</f>
        <v>2396165.2233369518</v>
      </c>
      <c r="M6" s="431">
        <f t="shared" si="0"/>
        <v>30720.066965858357</v>
      </c>
      <c r="N6" s="432">
        <f>K6-K5</f>
        <v>2000763.5046948073</v>
      </c>
      <c r="O6" s="421">
        <f t="shared" ref="O6:O19" si="4">K5+0.5*N6</f>
        <v>7314003.8573661074</v>
      </c>
      <c r="P6" s="423">
        <f>O6-Q47</f>
        <v>964436.14156175219</v>
      </c>
      <c r="Q6" s="422">
        <f t="shared" si="1"/>
        <v>12364.565917458362</v>
      </c>
      <c r="S6" s="433">
        <f>M59</f>
        <v>8314385.6097135087</v>
      </c>
      <c r="T6" s="433">
        <f t="shared" si="2"/>
        <v>0</v>
      </c>
      <c r="U6" s="433"/>
      <c r="V6" s="433">
        <f>P59</f>
        <v>7314003.8573661102</v>
      </c>
      <c r="W6" s="433">
        <f t="shared" ref="W6:W19" si="5">O6-V6</f>
        <v>0</v>
      </c>
      <c r="Y6" s="426" t="s">
        <v>98</v>
      </c>
      <c r="Z6" s="426">
        <v>4</v>
      </c>
    </row>
    <row r="7" spans="1:35" x14ac:dyDescent="0.25">
      <c r="A7" s="413">
        <v>2009</v>
      </c>
      <c r="B7" s="427">
        <v>13364168.616744306</v>
      </c>
      <c r="C7" s="428"/>
      <c r="D7" s="427"/>
      <c r="E7" s="427"/>
      <c r="F7" s="427"/>
      <c r="G7" s="429"/>
      <c r="H7" s="429"/>
      <c r="I7" s="429"/>
      <c r="J7" s="429"/>
      <c r="K7" s="430">
        <f t="shared" si="3"/>
        <v>13364168.616744306</v>
      </c>
      <c r="L7" s="421">
        <f>K7-N59</f>
        <v>3022258.5872841477</v>
      </c>
      <c r="M7" s="431">
        <f t="shared" si="0"/>
        <v>38746.904965181384</v>
      </c>
      <c r="N7" s="432">
        <f t="shared" ref="N7:N19" si="6">K7-K6</f>
        <v>5049783.0070307953</v>
      </c>
      <c r="O7" s="421">
        <f t="shared" si="4"/>
        <v>10839277.113228908</v>
      </c>
      <c r="P7" s="423">
        <f>O7-Q59</f>
        <v>2709211.9053105451</v>
      </c>
      <c r="Q7" s="422">
        <f t="shared" si="1"/>
        <v>34733.485965519809</v>
      </c>
      <c r="S7" s="433">
        <f>M71</f>
        <v>13364168.616744306</v>
      </c>
      <c r="T7" s="433">
        <f t="shared" si="2"/>
        <v>0</v>
      </c>
      <c r="U7" s="433"/>
      <c r="V7" s="433">
        <f>P71</f>
        <v>10839277.113228906</v>
      </c>
      <c r="W7" s="433">
        <f t="shared" si="5"/>
        <v>0</v>
      </c>
      <c r="Y7" s="426" t="s">
        <v>85</v>
      </c>
      <c r="Z7" s="426">
        <v>5</v>
      </c>
      <c r="AE7" s="433"/>
      <c r="AF7" s="433"/>
      <c r="AG7" s="433"/>
    </row>
    <row r="8" spans="1:35" x14ac:dyDescent="0.25">
      <c r="A8" s="413">
        <v>2010</v>
      </c>
      <c r="B8" s="427">
        <v>14361143.85456383</v>
      </c>
      <c r="C8" s="428"/>
      <c r="D8" s="427"/>
      <c r="E8" s="427"/>
      <c r="F8" s="427"/>
      <c r="G8" s="429"/>
      <c r="H8" s="429"/>
      <c r="I8" s="429"/>
      <c r="J8" s="429"/>
      <c r="K8" s="430">
        <f t="shared" si="3"/>
        <v>14361143.85456383</v>
      </c>
      <c r="L8" s="421">
        <f>K8-N71</f>
        <v>-1560320.489882445</v>
      </c>
      <c r="M8" s="431">
        <f t="shared" si="0"/>
        <v>-20004.108844646729</v>
      </c>
      <c r="N8" s="432">
        <f t="shared" si="6"/>
        <v>996975.23781952448</v>
      </c>
      <c r="O8" s="421">
        <f t="shared" si="4"/>
        <v>13862656.235654067</v>
      </c>
      <c r="P8" s="423">
        <f>O8-Q71</f>
        <v>730969.04870085232</v>
      </c>
      <c r="Q8" s="422">
        <f t="shared" si="1"/>
        <v>9371.3980602673382</v>
      </c>
      <c r="S8" s="433">
        <f>M83</f>
        <v>14361143.854563832</v>
      </c>
      <c r="T8" s="433">
        <f t="shared" si="2"/>
        <v>0</v>
      </c>
      <c r="U8" s="433"/>
      <c r="V8" s="433">
        <f>P83</f>
        <v>13862656.235654067</v>
      </c>
      <c r="W8" s="433">
        <f t="shared" si="5"/>
        <v>0</v>
      </c>
      <c r="Y8" s="426" t="s">
        <v>99</v>
      </c>
      <c r="Z8" s="426">
        <v>6</v>
      </c>
      <c r="AF8" s="434"/>
      <c r="AG8" s="434"/>
      <c r="AH8" s="435"/>
      <c r="AI8" s="435"/>
    </row>
    <row r="9" spans="1:35" x14ac:dyDescent="0.25">
      <c r="A9" s="413">
        <v>2011</v>
      </c>
      <c r="B9" s="427">
        <v>12467883.84844563</v>
      </c>
      <c r="C9" s="428">
        <v>5907906.487484795</v>
      </c>
      <c r="D9" s="427"/>
      <c r="E9" s="427"/>
      <c r="F9" s="427"/>
      <c r="G9" s="420"/>
      <c r="H9" s="420"/>
      <c r="I9" s="420"/>
      <c r="J9" s="420"/>
      <c r="K9" s="430">
        <f t="shared" si="3"/>
        <v>18375790.335930426</v>
      </c>
      <c r="L9" s="421">
        <f>K9-N83</f>
        <v>5334917.6651132777</v>
      </c>
      <c r="M9" s="431">
        <f t="shared" si="0"/>
        <v>68396.380321965102</v>
      </c>
      <c r="N9" s="432">
        <f t="shared" si="6"/>
        <v>4014646.4813665953</v>
      </c>
      <c r="O9" s="421">
        <f t="shared" si="4"/>
        <v>16368467.095247127</v>
      </c>
      <c r="P9" s="423">
        <f>O9-Q83</f>
        <v>1887298.5876154173</v>
      </c>
      <c r="Q9" s="422">
        <f t="shared" si="1"/>
        <v>24196.135738659195</v>
      </c>
      <c r="S9" s="433">
        <f>M95</f>
        <v>18375790.335930426</v>
      </c>
      <c r="T9" s="433">
        <f t="shared" si="2"/>
        <v>0</v>
      </c>
      <c r="U9" s="433"/>
      <c r="V9" s="433">
        <f>P95</f>
        <v>16368467.095247125</v>
      </c>
      <c r="W9" s="433">
        <f t="shared" si="5"/>
        <v>0</v>
      </c>
      <c r="Y9" s="426" t="s">
        <v>100</v>
      </c>
      <c r="Z9" s="426">
        <v>7</v>
      </c>
      <c r="AF9" s="436"/>
      <c r="AG9" s="434"/>
      <c r="AH9" s="435"/>
    </row>
    <row r="10" spans="1:35" x14ac:dyDescent="0.25">
      <c r="A10" s="413">
        <v>2012</v>
      </c>
      <c r="B10" s="427">
        <v>12173773.034232905</v>
      </c>
      <c r="C10" s="428">
        <v>12851074.142525805</v>
      </c>
      <c r="D10" s="427"/>
      <c r="E10" s="427"/>
      <c r="F10" s="427"/>
      <c r="G10" s="429"/>
      <c r="H10" s="429"/>
      <c r="I10" s="429"/>
      <c r="J10" s="429"/>
      <c r="K10" s="430">
        <f t="shared" si="3"/>
        <v>25024847.17675871</v>
      </c>
      <c r="L10" s="421">
        <f>K10-N95</f>
        <v>2134895.7395785898</v>
      </c>
      <c r="M10" s="431">
        <f t="shared" si="0"/>
        <v>27370.458199725512</v>
      </c>
      <c r="N10" s="432">
        <f t="shared" si="6"/>
        <v>6649056.8408282846</v>
      </c>
      <c r="O10" s="421">
        <f t="shared" si="4"/>
        <v>21700318.756344568</v>
      </c>
      <c r="P10" s="423">
        <f>O10-Q95</f>
        <v>3734906.7023459338</v>
      </c>
      <c r="Q10" s="422">
        <f t="shared" si="1"/>
        <v>47883.419260845301</v>
      </c>
      <c r="S10" s="433">
        <f>M107</f>
        <v>25024847.176758707</v>
      </c>
      <c r="T10" s="433">
        <f t="shared" si="2"/>
        <v>0</v>
      </c>
      <c r="U10" s="433"/>
      <c r="V10" s="433">
        <f>P107</f>
        <v>21700318.756344568</v>
      </c>
      <c r="W10" s="433">
        <f t="shared" si="5"/>
        <v>0</v>
      </c>
      <c r="Y10" s="426" t="s">
        <v>101</v>
      </c>
      <c r="Z10" s="426">
        <v>8</v>
      </c>
    </row>
    <row r="11" spans="1:35" x14ac:dyDescent="0.25">
      <c r="A11" s="413">
        <v>2013</v>
      </c>
      <c r="B11" s="427">
        <v>12094963.232748095</v>
      </c>
      <c r="C11" s="428">
        <v>19637635</v>
      </c>
      <c r="D11" s="427"/>
      <c r="E11" s="427"/>
      <c r="F11" s="427"/>
      <c r="G11" s="429"/>
      <c r="H11" s="429"/>
      <c r="I11" s="429"/>
      <c r="J11" s="429"/>
      <c r="K11" s="430">
        <f t="shared" si="3"/>
        <v>31732598.232748095</v>
      </c>
      <c r="L11" s="421">
        <f>K11-N107</f>
        <v>4901300.8148075007</v>
      </c>
      <c r="M11" s="431">
        <f t="shared" si="0"/>
        <v>62837.189933429494</v>
      </c>
      <c r="N11" s="432">
        <f t="shared" si="6"/>
        <v>6707751.0559893847</v>
      </c>
      <c r="O11" s="421">
        <f t="shared" si="4"/>
        <v>28378722.704753403</v>
      </c>
      <c r="P11" s="423">
        <f>O11-Q107</f>
        <v>3518098.2771930508</v>
      </c>
      <c r="Q11" s="422">
        <f t="shared" si="1"/>
        <v>45103.824066577574</v>
      </c>
      <c r="S11" s="433">
        <f>M119</f>
        <v>31732598.232748099</v>
      </c>
      <c r="T11" s="433">
        <f t="shared" si="2"/>
        <v>0</v>
      </c>
      <c r="U11" s="433"/>
      <c r="V11" s="433">
        <f>P119</f>
        <v>28378722.704753395</v>
      </c>
      <c r="W11" s="433">
        <f t="shared" si="5"/>
        <v>0</v>
      </c>
      <c r="Y11" s="426" t="s">
        <v>102</v>
      </c>
      <c r="Z11" s="426">
        <v>9</v>
      </c>
      <c r="AG11" s="437"/>
    </row>
    <row r="12" spans="1:35" x14ac:dyDescent="0.25">
      <c r="A12" s="413">
        <v>2014</v>
      </c>
      <c r="B12" s="427">
        <v>11576489.974550452</v>
      </c>
      <c r="C12" s="428">
        <v>27849035.028331347</v>
      </c>
      <c r="D12" s="427"/>
      <c r="E12" s="427"/>
      <c r="F12" s="427"/>
      <c r="G12" s="429"/>
      <c r="H12" s="429"/>
      <c r="I12" s="429"/>
      <c r="J12" s="429"/>
      <c r="K12" s="430">
        <f t="shared" si="3"/>
        <v>39425525.002881795</v>
      </c>
      <c r="L12" s="421">
        <f>K12-N119</f>
        <v>3545672.2345273569</v>
      </c>
      <c r="M12" s="431">
        <f t="shared" si="0"/>
        <v>45457.33634009432</v>
      </c>
      <c r="N12" s="432">
        <f t="shared" si="6"/>
        <v>7692926.7701337002</v>
      </c>
      <c r="O12" s="421">
        <f t="shared" si="4"/>
        <v>35579061.617814943</v>
      </c>
      <c r="P12" s="423">
        <f>O12-Q119</f>
        <v>4223486.5246674344</v>
      </c>
      <c r="Q12" s="422">
        <f t="shared" si="1"/>
        <v>54147.263136761976</v>
      </c>
      <c r="S12" s="433">
        <f>M131</f>
        <v>39425525.002881803</v>
      </c>
      <c r="T12" s="433">
        <f t="shared" si="2"/>
        <v>0</v>
      </c>
      <c r="U12" s="433"/>
      <c r="V12" s="433">
        <f>P131</f>
        <v>35579061.617814958</v>
      </c>
      <c r="W12" s="433">
        <f t="shared" si="5"/>
        <v>0</v>
      </c>
      <c r="Y12" s="426" t="s">
        <v>103</v>
      </c>
      <c r="Z12" s="426">
        <v>10</v>
      </c>
    </row>
    <row r="13" spans="1:35" x14ac:dyDescent="0.25">
      <c r="A13" s="413">
        <v>2015</v>
      </c>
      <c r="B13" s="427">
        <v>9881052.0189065691</v>
      </c>
      <c r="C13" s="428">
        <v>27271115.77713646</v>
      </c>
      <c r="D13" s="427">
        <v>14057755</v>
      </c>
      <c r="E13" s="427"/>
      <c r="F13" s="427"/>
      <c r="G13" s="429"/>
      <c r="H13" s="429"/>
      <c r="I13" s="429"/>
      <c r="J13" s="429"/>
      <c r="K13" s="430">
        <f t="shared" si="3"/>
        <v>51209922.796043031</v>
      </c>
      <c r="L13" s="421">
        <f>K13-N131</f>
        <v>8784213.5947149917</v>
      </c>
      <c r="M13" s="431">
        <f t="shared" si="0"/>
        <v>112618.12300916656</v>
      </c>
      <c r="N13" s="432">
        <f t="shared" si="6"/>
        <v>11784397.793161236</v>
      </c>
      <c r="O13" s="421">
        <f t="shared" si="4"/>
        <v>45317723.899462417</v>
      </c>
      <c r="P13" s="423">
        <f>O13-Q131</f>
        <v>6164942.914621152</v>
      </c>
      <c r="Q13" s="422">
        <f t="shared" si="1"/>
        <v>79037.729674630158</v>
      </c>
      <c r="S13" s="433">
        <f>M143</f>
        <v>51209922.796043038</v>
      </c>
      <c r="T13" s="433">
        <f t="shared" si="2"/>
        <v>0</v>
      </c>
      <c r="U13" s="433"/>
      <c r="V13" s="433">
        <f>P143</f>
        <v>45317723.899462432</v>
      </c>
      <c r="W13" s="433">
        <f t="shared" si="5"/>
        <v>0</v>
      </c>
      <c r="Y13" s="426" t="s">
        <v>104</v>
      </c>
      <c r="Z13" s="426">
        <v>11</v>
      </c>
    </row>
    <row r="14" spans="1:35" x14ac:dyDescent="0.25">
      <c r="A14" s="413">
        <v>2016</v>
      </c>
      <c r="B14" s="427">
        <v>9311005.7919388413</v>
      </c>
      <c r="C14" s="428">
        <v>26465592.157246113</v>
      </c>
      <c r="D14" s="427">
        <v>14014168</v>
      </c>
      <c r="E14" s="428">
        <v>15699334</v>
      </c>
      <c r="F14" s="427"/>
      <c r="G14" s="429"/>
      <c r="H14" s="429"/>
      <c r="I14" s="429"/>
      <c r="J14" s="429"/>
      <c r="K14" s="430">
        <f t="shared" si="3"/>
        <v>65490099.949184954</v>
      </c>
      <c r="L14" s="421">
        <f>K14-N143</f>
        <v>6847381.034536913</v>
      </c>
      <c r="M14" s="431">
        <f t="shared" si="0"/>
        <v>87786.936340216838</v>
      </c>
      <c r="N14" s="432">
        <f t="shared" si="6"/>
        <v>14280177.153141923</v>
      </c>
      <c r="O14" s="421">
        <f t="shared" si="4"/>
        <v>58350011.372613996</v>
      </c>
      <c r="P14" s="423">
        <f>O14-Q143</f>
        <v>7815797.3146259636</v>
      </c>
      <c r="Q14" s="422">
        <f t="shared" si="1"/>
        <v>100202.52967469185</v>
      </c>
      <c r="S14" s="433">
        <f>M155</f>
        <v>65490099.949184924</v>
      </c>
      <c r="T14" s="433">
        <f t="shared" si="2"/>
        <v>0</v>
      </c>
      <c r="U14" s="433"/>
      <c r="V14" s="433">
        <f>P155</f>
        <v>58350011.372614011</v>
      </c>
      <c r="W14" s="433">
        <f t="shared" si="5"/>
        <v>0</v>
      </c>
      <c r="Y14" s="426" t="s">
        <v>105</v>
      </c>
      <c r="Z14" s="426">
        <v>12</v>
      </c>
    </row>
    <row r="15" spans="1:35" x14ac:dyDescent="0.25">
      <c r="A15" s="413">
        <v>2017</v>
      </c>
      <c r="B15" s="427">
        <v>7384130.4927519355</v>
      </c>
      <c r="C15" s="428">
        <v>23606096.548061498</v>
      </c>
      <c r="D15" s="427">
        <v>14013492</v>
      </c>
      <c r="E15" s="428">
        <v>15699333</v>
      </c>
      <c r="F15" s="428">
        <v>26868448</v>
      </c>
      <c r="G15" s="429"/>
      <c r="H15" s="429"/>
      <c r="I15" s="429"/>
      <c r="J15" s="429"/>
      <c r="K15" s="430">
        <f t="shared" si="3"/>
        <v>87571500.040813431</v>
      </c>
      <c r="L15" s="421">
        <f>K15-N155</f>
        <v>16287462.293174207</v>
      </c>
      <c r="M15" s="431">
        <f t="shared" si="0"/>
        <v>208813.61914325907</v>
      </c>
      <c r="N15" s="432">
        <f t="shared" si="6"/>
        <v>22081400.091628477</v>
      </c>
      <c r="O15" s="421">
        <f t="shared" si="4"/>
        <v>76530799.9949992</v>
      </c>
      <c r="P15" s="423">
        <f>O15-Q155</f>
        <v>11567421.663855508</v>
      </c>
      <c r="Q15" s="422">
        <f t="shared" si="1"/>
        <v>148300.27774173729</v>
      </c>
      <c r="S15" s="433">
        <f>M167</f>
        <v>87571500.040813401</v>
      </c>
      <c r="T15" s="433">
        <f t="shared" si="2"/>
        <v>0</v>
      </c>
      <c r="U15" s="433"/>
      <c r="V15" s="433">
        <f>P167</f>
        <v>76530799.99499923</v>
      </c>
      <c r="W15" s="433">
        <f t="shared" si="5"/>
        <v>0</v>
      </c>
      <c r="Y15" s="426" t="s">
        <v>10</v>
      </c>
      <c r="Z15" s="426">
        <f>SUM(Z3:Z14)</f>
        <v>78</v>
      </c>
    </row>
    <row r="16" spans="1:35" x14ac:dyDescent="0.25">
      <c r="A16" s="413">
        <v>2018</v>
      </c>
      <c r="B16" s="427">
        <v>5180407.711016464</v>
      </c>
      <c r="C16" s="428">
        <v>22862613.037664637</v>
      </c>
      <c r="D16" s="427">
        <v>14022609</v>
      </c>
      <c r="E16" s="428">
        <v>15683800</v>
      </c>
      <c r="F16" s="428">
        <v>24766722</v>
      </c>
      <c r="G16" s="438">
        <v>16459025.41</v>
      </c>
      <c r="H16" s="438"/>
      <c r="I16" s="438"/>
      <c r="J16" s="438"/>
      <c r="K16" s="430">
        <f t="shared" si="3"/>
        <v>98975177.158681095</v>
      </c>
      <c r="L16" s="421">
        <f>K16-N167</f>
        <v>-2378021.7455873936</v>
      </c>
      <c r="M16" s="431">
        <f t="shared" si="0"/>
        <v>-30487.458276761456</v>
      </c>
      <c r="N16" s="432">
        <f t="shared" si="6"/>
        <v>11403677.117867664</v>
      </c>
      <c r="O16" s="421">
        <f t="shared" si="4"/>
        <v>93273338.59974727</v>
      </c>
      <c r="P16" s="423">
        <f>O16-Q167</f>
        <v>6954720.2737933546</v>
      </c>
      <c r="Q16" s="422">
        <f t="shared" si="1"/>
        <v>89163.080433248135</v>
      </c>
      <c r="S16" s="433">
        <f>M179</f>
        <v>98975177.15868108</v>
      </c>
      <c r="T16" s="433">
        <f t="shared" si="2"/>
        <v>0</v>
      </c>
      <c r="U16" s="433"/>
      <c r="V16" s="433">
        <f>P179</f>
        <v>93273338.59974727</v>
      </c>
      <c r="W16" s="433">
        <f t="shared" si="5"/>
        <v>0</v>
      </c>
    </row>
    <row r="17" spans="1:24" x14ac:dyDescent="0.25">
      <c r="A17" s="413">
        <v>2019</v>
      </c>
      <c r="B17" s="427">
        <v>4422347.6427261112</v>
      </c>
      <c r="C17" s="428">
        <v>22065778.595398903</v>
      </c>
      <c r="D17" s="427">
        <v>14009882</v>
      </c>
      <c r="E17" s="428">
        <v>15668896</v>
      </c>
      <c r="F17" s="428">
        <v>24766722</v>
      </c>
      <c r="G17" s="438">
        <v>16422808.91</v>
      </c>
      <c r="H17" s="438">
        <v>5826415.5199999996</v>
      </c>
      <c r="I17" s="438"/>
      <c r="J17" s="438"/>
      <c r="K17" s="430">
        <f t="shared" si="3"/>
        <v>103182850.668125</v>
      </c>
      <c r="L17" s="421">
        <f>K17-N179</f>
        <v>6219845.7557101995</v>
      </c>
      <c r="M17" s="431">
        <f t="shared" si="0"/>
        <v>79741.61225269486</v>
      </c>
      <c r="N17" s="432">
        <f t="shared" si="6"/>
        <v>4207673.5094439089</v>
      </c>
      <c r="O17" s="421">
        <f t="shared" si="4"/>
        <v>101079013.91340305</v>
      </c>
      <c r="P17" s="423">
        <f>O17-Q179</f>
        <v>1920912.0050613433</v>
      </c>
      <c r="Q17" s="422">
        <f t="shared" si="1"/>
        <v>24627.076987965938</v>
      </c>
      <c r="S17" s="433">
        <f>M191</f>
        <v>103182850.668125</v>
      </c>
      <c r="T17" s="433">
        <f t="shared" si="2"/>
        <v>0</v>
      </c>
      <c r="U17" s="433"/>
      <c r="V17" s="433">
        <f>P191</f>
        <v>101079013.913403</v>
      </c>
      <c r="W17" s="433">
        <f t="shared" si="5"/>
        <v>0</v>
      </c>
    </row>
    <row r="18" spans="1:24" x14ac:dyDescent="0.25">
      <c r="A18" s="413">
        <v>2020</v>
      </c>
      <c r="B18" s="427">
        <v>3433839.749541807</v>
      </c>
      <c r="C18" s="428">
        <v>21584273.622641005</v>
      </c>
      <c r="D18" s="427">
        <v>13917975</v>
      </c>
      <c r="E18" s="428">
        <v>15668896</v>
      </c>
      <c r="F18" s="428">
        <v>24758612</v>
      </c>
      <c r="G18" s="438">
        <v>16302392.07</v>
      </c>
      <c r="H18" s="438">
        <v>5783694.54</v>
      </c>
      <c r="I18" s="438">
        <v>6933693.1699999999</v>
      </c>
      <c r="J18" s="438"/>
      <c r="K18" s="430">
        <f t="shared" si="3"/>
        <v>108383376.15218282</v>
      </c>
      <c r="L18" s="421">
        <f>K18-N191</f>
        <v>-62420.924620091915</v>
      </c>
      <c r="M18" s="431">
        <f t="shared" si="0"/>
        <v>-800.26826436015278</v>
      </c>
      <c r="N18" s="432">
        <f t="shared" si="6"/>
        <v>5200525.4840578139</v>
      </c>
      <c r="O18" s="421">
        <f t="shared" si="4"/>
        <v>105783113.41015391</v>
      </c>
      <c r="P18" s="423">
        <f>O18-Q191</f>
        <v>3078712.4155451804</v>
      </c>
      <c r="Q18" s="422">
        <f t="shared" si="1"/>
        <v>39470.671994168981</v>
      </c>
      <c r="S18" s="433">
        <f>M203</f>
        <v>108383376.15218277</v>
      </c>
      <c r="T18" s="433">
        <f t="shared" si="2"/>
        <v>0</v>
      </c>
      <c r="U18" s="433"/>
      <c r="V18" s="433">
        <f>P203</f>
        <v>105783113.41015385</v>
      </c>
      <c r="W18" s="433">
        <f t="shared" si="5"/>
        <v>0</v>
      </c>
    </row>
    <row r="19" spans="1:24" x14ac:dyDescent="0.25">
      <c r="A19" s="413">
        <v>2021</v>
      </c>
      <c r="B19" s="427">
        <v>3286293.551107924</v>
      </c>
      <c r="C19" s="428">
        <v>20814352.31605684</v>
      </c>
      <c r="D19" s="427">
        <v>13917684</v>
      </c>
      <c r="E19" s="428">
        <v>15531705</v>
      </c>
      <c r="F19" s="428">
        <v>24757208</v>
      </c>
      <c r="G19" s="438">
        <v>16156553.289999999</v>
      </c>
      <c r="H19" s="438">
        <v>5731954.46</v>
      </c>
      <c r="I19" s="438">
        <v>6871665.3799999999</v>
      </c>
      <c r="J19" s="438">
        <v>5391702.1200000001</v>
      </c>
      <c r="K19" s="430">
        <f t="shared" si="3"/>
        <v>112459118.11716475</v>
      </c>
      <c r="L19" s="421">
        <f>K19-N203</f>
        <v>4128559.6704297811</v>
      </c>
      <c r="M19" s="431">
        <f t="shared" si="0"/>
        <v>52930.252184997196</v>
      </c>
      <c r="N19" s="432">
        <f t="shared" si="6"/>
        <v>4075741.9649819285</v>
      </c>
      <c r="O19" s="421">
        <f t="shared" si="4"/>
        <v>110421247.13467377</v>
      </c>
      <c r="P19" s="423">
        <f>O19-Q203</f>
        <v>2033069.3729048073</v>
      </c>
      <c r="Q19" s="422">
        <f t="shared" si="1"/>
        <v>26064.991960318042</v>
      </c>
      <c r="S19" s="433">
        <f>M215</f>
        <v>112459118.11716467</v>
      </c>
      <c r="T19" s="433">
        <f t="shared" si="2"/>
        <v>0</v>
      </c>
      <c r="U19" s="433"/>
      <c r="V19" s="433">
        <f>P215</f>
        <v>110421247.1346738</v>
      </c>
      <c r="W19" s="433">
        <f t="shared" si="5"/>
        <v>0</v>
      </c>
    </row>
    <row r="20" spans="1:24" x14ac:dyDescent="0.25">
      <c r="A20" s="413" t="s">
        <v>10</v>
      </c>
      <c r="B20" s="430">
        <f>SUM(B4:B19)</f>
        <v>137238502.88350782</v>
      </c>
      <c r="C20" s="429">
        <f t="shared" ref="C20:J20" si="7">SUM(C4:C19)</f>
        <v>230915472.71254739</v>
      </c>
      <c r="D20" s="430">
        <f t="shared" si="7"/>
        <v>97953565</v>
      </c>
      <c r="E20" s="430">
        <f t="shared" si="7"/>
        <v>93951964</v>
      </c>
      <c r="F20" s="430">
        <f t="shared" si="7"/>
        <v>125917712</v>
      </c>
      <c r="G20" s="429">
        <f t="shared" si="7"/>
        <v>65340779.68</v>
      </c>
      <c r="H20" s="429">
        <f t="shared" si="7"/>
        <v>17342064.52</v>
      </c>
      <c r="I20" s="429">
        <f t="shared" si="7"/>
        <v>13805358.550000001</v>
      </c>
      <c r="J20" s="429">
        <f t="shared" si="7"/>
        <v>5391702.1200000001</v>
      </c>
      <c r="K20" s="430">
        <f>SUM(K4:K19)</f>
        <v>787857121.46605515</v>
      </c>
      <c r="L20" s="439"/>
      <c r="M20" s="440"/>
      <c r="N20" s="441"/>
      <c r="O20" s="439"/>
      <c r="P20" s="441"/>
      <c r="Q20" s="440"/>
      <c r="T20" s="433"/>
      <c r="U20" s="433"/>
      <c r="V20" s="433"/>
      <c r="W20" s="433"/>
    </row>
    <row r="21" spans="1:24" x14ac:dyDescent="0.25">
      <c r="B21" s="430"/>
      <c r="C21" s="429"/>
      <c r="D21" s="430"/>
      <c r="E21" s="430"/>
      <c r="F21" s="430"/>
      <c r="G21" s="430"/>
      <c r="H21" s="430"/>
      <c r="I21" s="430"/>
      <c r="J21" s="430"/>
      <c r="K21" s="430"/>
      <c r="L21" s="430"/>
      <c r="M21" s="430"/>
      <c r="N21" s="430"/>
      <c r="R21" s="433"/>
      <c r="T21" s="442"/>
      <c r="U21" s="442"/>
      <c r="V21" s="442"/>
      <c r="W21" s="442"/>
      <c r="X21" s="442"/>
    </row>
    <row r="22" spans="1:24" x14ac:dyDescent="0.25">
      <c r="B22" s="436"/>
      <c r="C22" s="436"/>
      <c r="L22" s="430"/>
    </row>
    <row r="23" spans="1:24" s="416" customFormat="1" ht="39.6" x14ac:dyDescent="0.25">
      <c r="C23" s="443"/>
      <c r="L23" s="444" t="s">
        <v>285</v>
      </c>
      <c r="M23" s="416" t="s">
        <v>94</v>
      </c>
      <c r="N23" s="416" t="s">
        <v>286</v>
      </c>
      <c r="O23" s="416" t="s">
        <v>287</v>
      </c>
    </row>
    <row r="24" spans="1:24" x14ac:dyDescent="0.25">
      <c r="A24" s="445">
        <v>38718</v>
      </c>
      <c r="B24" s="445"/>
      <c r="C24" s="446"/>
      <c r="D24" s="445"/>
      <c r="E24" s="445"/>
      <c r="F24" s="445"/>
      <c r="G24" s="445"/>
      <c r="H24" s="445"/>
      <c r="I24" s="445"/>
      <c r="J24" s="445"/>
      <c r="K24" s="445"/>
      <c r="L24" s="430">
        <f>$M$4</f>
        <v>47089.687814112112</v>
      </c>
      <c r="O24" s="447">
        <f>$Q$4</f>
        <v>23544.843907056056</v>
      </c>
    </row>
    <row r="25" spans="1:24" x14ac:dyDescent="0.25">
      <c r="A25" s="445">
        <v>38749</v>
      </c>
      <c r="B25" s="445"/>
      <c r="C25" s="446"/>
      <c r="D25" s="445"/>
      <c r="E25" s="445"/>
      <c r="F25" s="445"/>
      <c r="G25" s="445"/>
      <c r="H25" s="445"/>
      <c r="I25" s="445"/>
      <c r="J25" s="445"/>
      <c r="K25" s="445"/>
      <c r="L25" s="430">
        <f t="shared" ref="L25:L35" si="8">L24+$M$4</f>
        <v>94179.375628224225</v>
      </c>
      <c r="O25" s="447">
        <f>$Q$4+O24</f>
        <v>47089.687814112112</v>
      </c>
    </row>
    <row r="26" spans="1:24" x14ac:dyDescent="0.25">
      <c r="A26" s="445">
        <v>38777</v>
      </c>
      <c r="B26" s="445"/>
      <c r="C26" s="446"/>
      <c r="D26" s="445"/>
      <c r="E26" s="445"/>
      <c r="F26" s="445"/>
      <c r="G26" s="445"/>
      <c r="H26" s="445"/>
      <c r="I26" s="445"/>
      <c r="J26" s="445"/>
      <c r="K26" s="445"/>
      <c r="L26" s="430">
        <f t="shared" si="8"/>
        <v>141269.06344233634</v>
      </c>
      <c r="O26" s="447">
        <f t="shared" ref="O26:O35" si="9">$Q$4+O25</f>
        <v>70634.531721168169</v>
      </c>
    </row>
    <row r="27" spans="1:24" x14ac:dyDescent="0.25">
      <c r="A27" s="445">
        <v>38808</v>
      </c>
      <c r="B27" s="445"/>
      <c r="C27" s="446"/>
      <c r="D27" s="445"/>
      <c r="E27" s="445"/>
      <c r="F27" s="445"/>
      <c r="G27" s="445"/>
      <c r="H27" s="445"/>
      <c r="I27" s="445"/>
      <c r="J27" s="445"/>
      <c r="K27" s="445"/>
      <c r="L27" s="430">
        <f t="shared" si="8"/>
        <v>188358.75125644845</v>
      </c>
      <c r="O27" s="447">
        <f t="shared" si="9"/>
        <v>94179.375628224225</v>
      </c>
    </row>
    <row r="28" spans="1:24" x14ac:dyDescent="0.25">
      <c r="A28" s="445">
        <v>38838</v>
      </c>
      <c r="B28" s="445"/>
      <c r="C28" s="446"/>
      <c r="D28" s="445"/>
      <c r="E28" s="445"/>
      <c r="F28" s="445"/>
      <c r="G28" s="445"/>
      <c r="H28" s="445"/>
      <c r="I28" s="445"/>
      <c r="J28" s="445"/>
      <c r="K28" s="445"/>
      <c r="L28" s="430">
        <f t="shared" si="8"/>
        <v>235448.43907056056</v>
      </c>
      <c r="O28" s="447">
        <f t="shared" si="9"/>
        <v>117724.21953528028</v>
      </c>
    </row>
    <row r="29" spans="1:24" x14ac:dyDescent="0.25">
      <c r="A29" s="445">
        <v>38869</v>
      </c>
      <c r="B29" s="445"/>
      <c r="C29" s="446"/>
      <c r="D29" s="445"/>
      <c r="E29" s="445"/>
      <c r="F29" s="445"/>
      <c r="G29" s="445"/>
      <c r="H29" s="445"/>
      <c r="I29" s="445"/>
      <c r="J29" s="445"/>
      <c r="K29" s="445"/>
      <c r="L29" s="430">
        <f t="shared" si="8"/>
        <v>282538.12688467267</v>
      </c>
      <c r="O29" s="447">
        <f t="shared" si="9"/>
        <v>141269.06344233634</v>
      </c>
    </row>
    <row r="30" spans="1:24" x14ac:dyDescent="0.25">
      <c r="A30" s="445">
        <v>38899</v>
      </c>
      <c r="B30" s="445"/>
      <c r="C30" s="446"/>
      <c r="D30" s="445"/>
      <c r="E30" s="445"/>
      <c r="F30" s="445"/>
      <c r="G30" s="445"/>
      <c r="H30" s="445"/>
      <c r="I30" s="445"/>
      <c r="J30" s="445"/>
      <c r="K30" s="445"/>
      <c r="L30" s="430">
        <f t="shared" si="8"/>
        <v>329627.81469878479</v>
      </c>
      <c r="O30" s="447">
        <f t="shared" si="9"/>
        <v>164813.90734939239</v>
      </c>
    </row>
    <row r="31" spans="1:24" x14ac:dyDescent="0.25">
      <c r="A31" s="445">
        <v>38930</v>
      </c>
      <c r="B31" s="445"/>
      <c r="C31" s="446"/>
      <c r="D31" s="445"/>
      <c r="E31" s="445"/>
      <c r="F31" s="445"/>
      <c r="G31" s="445"/>
      <c r="H31" s="445"/>
      <c r="I31" s="445"/>
      <c r="J31" s="445"/>
      <c r="K31" s="445"/>
      <c r="L31" s="430">
        <f t="shared" si="8"/>
        <v>376717.5025128969</v>
      </c>
      <c r="O31" s="447">
        <f t="shared" si="9"/>
        <v>188358.75125644845</v>
      </c>
    </row>
    <row r="32" spans="1:24" x14ac:dyDescent="0.25">
      <c r="A32" s="445">
        <v>38961</v>
      </c>
      <c r="B32" s="445"/>
      <c r="C32" s="446"/>
      <c r="D32" s="445"/>
      <c r="E32" s="445"/>
      <c r="F32" s="445"/>
      <c r="G32" s="445"/>
      <c r="H32" s="445"/>
      <c r="I32" s="445"/>
      <c r="J32" s="445"/>
      <c r="K32" s="445"/>
      <c r="L32" s="430">
        <f t="shared" si="8"/>
        <v>423807.19032700901</v>
      </c>
      <c r="O32" s="447">
        <f t="shared" si="9"/>
        <v>211903.59516350451</v>
      </c>
    </row>
    <row r="33" spans="1:17" x14ac:dyDescent="0.25">
      <c r="A33" s="445">
        <v>38991</v>
      </c>
      <c r="B33" s="445"/>
      <c r="C33" s="446"/>
      <c r="D33" s="445"/>
      <c r="E33" s="445"/>
      <c r="F33" s="445"/>
      <c r="G33" s="445"/>
      <c r="H33" s="445"/>
      <c r="I33" s="445"/>
      <c r="J33" s="445"/>
      <c r="K33" s="445"/>
      <c r="L33" s="430">
        <f t="shared" si="8"/>
        <v>470896.87814112112</v>
      </c>
      <c r="O33" s="447">
        <f t="shared" si="9"/>
        <v>235448.43907056056</v>
      </c>
    </row>
    <row r="34" spans="1:17" x14ac:dyDescent="0.25">
      <c r="A34" s="445">
        <v>39022</v>
      </c>
      <c r="B34" s="445"/>
      <c r="C34" s="446"/>
      <c r="D34" s="445"/>
      <c r="E34" s="445"/>
      <c r="F34" s="445"/>
      <c r="G34" s="445"/>
      <c r="H34" s="445"/>
      <c r="I34" s="445"/>
      <c r="J34" s="445"/>
      <c r="K34" s="445"/>
      <c r="L34" s="430">
        <f t="shared" si="8"/>
        <v>517986.56595523324</v>
      </c>
      <c r="M34" s="448"/>
      <c r="O34" s="447">
        <f t="shared" si="9"/>
        <v>258993.28297761662</v>
      </c>
    </row>
    <row r="35" spans="1:17" x14ac:dyDescent="0.25">
      <c r="A35" s="445">
        <v>39052</v>
      </c>
      <c r="B35" s="445"/>
      <c r="C35" s="446"/>
      <c r="D35" s="445"/>
      <c r="E35" s="445"/>
      <c r="F35" s="445"/>
      <c r="G35" s="445"/>
      <c r="H35" s="445"/>
      <c r="I35" s="445"/>
      <c r="J35" s="445"/>
      <c r="K35" s="445"/>
      <c r="L35" s="430">
        <f t="shared" si="8"/>
        <v>565076.25376934535</v>
      </c>
      <c r="M35" s="447">
        <f>SUM(L24:L35)</f>
        <v>3672995.6495007444</v>
      </c>
      <c r="N35" s="447">
        <f>L35*12</f>
        <v>6780915.0452321442</v>
      </c>
      <c r="O35" s="447">
        <f t="shared" si="9"/>
        <v>282538.12688467267</v>
      </c>
      <c r="P35" s="447">
        <f>SUM(O24:O35)</f>
        <v>1836497.8247503722</v>
      </c>
      <c r="Q35" s="449">
        <f>O35*12</f>
        <v>3390457.5226160721</v>
      </c>
    </row>
    <row r="36" spans="1:17" x14ac:dyDescent="0.25">
      <c r="A36" s="445">
        <v>39083</v>
      </c>
      <c r="B36" s="445"/>
      <c r="C36" s="446"/>
      <c r="D36" s="445"/>
      <c r="E36" s="445"/>
      <c r="F36" s="445"/>
      <c r="G36" s="445"/>
      <c r="H36" s="445"/>
      <c r="I36" s="445"/>
      <c r="J36" s="445"/>
      <c r="K36" s="445"/>
      <c r="L36" s="430">
        <f t="shared" ref="L36:L47" si="10">L35+$M$5</f>
        <v>559085.31863840378</v>
      </c>
      <c r="N36" s="450"/>
      <c r="O36" s="447">
        <f t="shared" ref="O36:O47" si="11">$Q$5+O35</f>
        <v>303087.50322625798</v>
      </c>
      <c r="Q36" s="450"/>
    </row>
    <row r="37" spans="1:17" x14ac:dyDescent="0.25">
      <c r="A37" s="445">
        <v>39114</v>
      </c>
      <c r="B37" s="445"/>
      <c r="C37" s="446"/>
      <c r="D37" s="445"/>
      <c r="E37" s="445"/>
      <c r="F37" s="445"/>
      <c r="G37" s="445"/>
      <c r="H37" s="445"/>
      <c r="I37" s="445"/>
      <c r="J37" s="445"/>
      <c r="K37" s="445"/>
      <c r="L37" s="430">
        <f t="shared" si="10"/>
        <v>553094.38350746222</v>
      </c>
      <c r="O37" s="447">
        <f t="shared" si="11"/>
        <v>323636.87956784328</v>
      </c>
    </row>
    <row r="38" spans="1:17" x14ac:dyDescent="0.25">
      <c r="A38" s="445">
        <v>39142</v>
      </c>
      <c r="B38" s="445"/>
      <c r="C38" s="446"/>
      <c r="D38" s="445"/>
      <c r="E38" s="445"/>
      <c r="F38" s="445"/>
      <c r="G38" s="445"/>
      <c r="H38" s="445"/>
      <c r="I38" s="445"/>
      <c r="J38" s="445"/>
      <c r="K38" s="445"/>
      <c r="L38" s="430">
        <f t="shared" si="10"/>
        <v>547103.44837652065</v>
      </c>
      <c r="O38" s="447">
        <f t="shared" si="11"/>
        <v>344186.25590942858</v>
      </c>
    </row>
    <row r="39" spans="1:17" x14ac:dyDescent="0.25">
      <c r="A39" s="445">
        <v>39173</v>
      </c>
      <c r="B39" s="445"/>
      <c r="C39" s="446"/>
      <c r="D39" s="445"/>
      <c r="E39" s="445"/>
      <c r="F39" s="445"/>
      <c r="G39" s="445"/>
      <c r="H39" s="445"/>
      <c r="I39" s="445"/>
      <c r="J39" s="445"/>
      <c r="K39" s="445"/>
      <c r="L39" s="430">
        <f t="shared" si="10"/>
        <v>541112.51324557909</v>
      </c>
      <c r="O39" s="447">
        <f t="shared" si="11"/>
        <v>364735.63225101389</v>
      </c>
    </row>
    <row r="40" spans="1:17" x14ac:dyDescent="0.25">
      <c r="A40" s="445">
        <v>39203</v>
      </c>
      <c r="B40" s="445"/>
      <c r="C40" s="446"/>
      <c r="D40" s="445"/>
      <c r="E40" s="445"/>
      <c r="F40" s="445"/>
      <c r="G40" s="445"/>
      <c r="H40" s="445"/>
      <c r="I40" s="445"/>
      <c r="J40" s="445"/>
      <c r="K40" s="445"/>
      <c r="L40" s="430">
        <f t="shared" si="10"/>
        <v>535121.57811463752</v>
      </c>
      <c r="O40" s="447">
        <f t="shared" si="11"/>
        <v>385285.00859259919</v>
      </c>
    </row>
    <row r="41" spans="1:17" x14ac:dyDescent="0.25">
      <c r="A41" s="445">
        <v>39234</v>
      </c>
      <c r="B41" s="445"/>
      <c r="C41" s="446"/>
      <c r="D41" s="445"/>
      <c r="E41" s="445"/>
      <c r="F41" s="445"/>
      <c r="G41" s="445"/>
      <c r="H41" s="445"/>
      <c r="I41" s="445"/>
      <c r="J41" s="445"/>
      <c r="K41" s="445"/>
      <c r="L41" s="430">
        <f t="shared" si="10"/>
        <v>529130.64298369596</v>
      </c>
      <c r="O41" s="447">
        <f t="shared" si="11"/>
        <v>405834.38493418449</v>
      </c>
    </row>
    <row r="42" spans="1:17" x14ac:dyDescent="0.25">
      <c r="A42" s="445">
        <v>39264</v>
      </c>
      <c r="B42" s="445"/>
      <c r="C42" s="446"/>
      <c r="D42" s="445"/>
      <c r="E42" s="445"/>
      <c r="F42" s="445"/>
      <c r="G42" s="445"/>
      <c r="H42" s="445"/>
      <c r="I42" s="445"/>
      <c r="J42" s="445"/>
      <c r="K42" s="445"/>
      <c r="L42" s="430">
        <f t="shared" si="10"/>
        <v>523139.70785275439</v>
      </c>
      <c r="O42" s="447">
        <f t="shared" si="11"/>
        <v>426383.76127576979</v>
      </c>
    </row>
    <row r="43" spans="1:17" x14ac:dyDescent="0.25">
      <c r="A43" s="445">
        <v>39295</v>
      </c>
      <c r="B43" s="445"/>
      <c r="C43" s="446"/>
      <c r="D43" s="445"/>
      <c r="E43" s="445"/>
      <c r="F43" s="445"/>
      <c r="G43" s="445"/>
      <c r="H43" s="445"/>
      <c r="I43" s="445"/>
      <c r="J43" s="445"/>
      <c r="K43" s="445"/>
      <c r="L43" s="430">
        <f t="shared" si="10"/>
        <v>517148.77272181283</v>
      </c>
      <c r="O43" s="447">
        <f t="shared" si="11"/>
        <v>446933.1376173551</v>
      </c>
    </row>
    <row r="44" spans="1:17" x14ac:dyDescent="0.25">
      <c r="A44" s="445">
        <v>39326</v>
      </c>
      <c r="B44" s="445"/>
      <c r="C44" s="446"/>
      <c r="D44" s="445"/>
      <c r="E44" s="445"/>
      <c r="F44" s="445"/>
      <c r="G44" s="445"/>
      <c r="H44" s="445"/>
      <c r="I44" s="445"/>
      <c r="J44" s="445"/>
      <c r="K44" s="445"/>
      <c r="L44" s="430">
        <f t="shared" si="10"/>
        <v>511157.83759087126</v>
      </c>
      <c r="O44" s="447">
        <f t="shared" si="11"/>
        <v>467482.5139589404</v>
      </c>
    </row>
    <row r="45" spans="1:17" x14ac:dyDescent="0.25">
      <c r="A45" s="445">
        <v>39356</v>
      </c>
      <c r="B45" s="445"/>
      <c r="C45" s="446"/>
      <c r="D45" s="445"/>
      <c r="E45" s="445"/>
      <c r="F45" s="445"/>
      <c r="G45" s="445"/>
      <c r="H45" s="445"/>
      <c r="I45" s="445"/>
      <c r="J45" s="445"/>
      <c r="K45" s="445"/>
      <c r="L45" s="430">
        <f t="shared" si="10"/>
        <v>505166.9024599297</v>
      </c>
      <c r="O45" s="447">
        <f t="shared" si="11"/>
        <v>488031.8903005257</v>
      </c>
    </row>
    <row r="46" spans="1:17" x14ac:dyDescent="0.25">
      <c r="A46" s="445">
        <v>39387</v>
      </c>
      <c r="B46" s="445"/>
      <c r="C46" s="446"/>
      <c r="D46" s="445"/>
      <c r="E46" s="445"/>
      <c r="F46" s="445"/>
      <c r="G46" s="445"/>
      <c r="H46" s="445"/>
      <c r="I46" s="445"/>
      <c r="J46" s="445"/>
      <c r="K46" s="445"/>
      <c r="L46" s="430">
        <f t="shared" si="10"/>
        <v>499175.96732898813</v>
      </c>
      <c r="M46" s="448"/>
      <c r="O46" s="447">
        <f t="shared" si="11"/>
        <v>508581.266642111</v>
      </c>
      <c r="P46" s="448"/>
    </row>
    <row r="47" spans="1:17" x14ac:dyDescent="0.25">
      <c r="A47" s="445">
        <v>39417</v>
      </c>
      <c r="B47" s="445"/>
      <c r="C47" s="446"/>
      <c r="D47" s="445"/>
      <c r="E47" s="445"/>
      <c r="F47" s="445"/>
      <c r="G47" s="445"/>
      <c r="H47" s="445"/>
      <c r="I47" s="445"/>
      <c r="J47" s="445"/>
      <c r="K47" s="445"/>
      <c r="L47" s="430">
        <f t="shared" si="10"/>
        <v>493185.03219804657</v>
      </c>
      <c r="M47" s="430">
        <f>SUM(L36:L47)</f>
        <v>6313622.1050187014</v>
      </c>
      <c r="N47" s="451">
        <f>L47*12</f>
        <v>5918220.3863765588</v>
      </c>
      <c r="O47" s="447">
        <f t="shared" si="11"/>
        <v>529130.64298369631</v>
      </c>
      <c r="P47" s="430">
        <f>SUM(O36:O47)</f>
        <v>4993308.8772597257</v>
      </c>
      <c r="Q47" s="430">
        <f>O47*12</f>
        <v>6349567.7158043552</v>
      </c>
    </row>
    <row r="48" spans="1:17" x14ac:dyDescent="0.25">
      <c r="A48" s="445">
        <v>39448</v>
      </c>
      <c r="B48" s="445"/>
      <c r="C48" s="446"/>
      <c r="D48" s="445"/>
      <c r="E48" s="445"/>
      <c r="F48" s="445"/>
      <c r="G48" s="445"/>
      <c r="H48" s="445"/>
      <c r="I48" s="445"/>
      <c r="J48" s="445"/>
      <c r="K48" s="445"/>
      <c r="L48" s="430">
        <f t="shared" ref="L48:L59" si="12">L47+$M$6</f>
        <v>523905.0991639049</v>
      </c>
      <c r="O48" s="447">
        <f>$Q$6+O47</f>
        <v>541495.20890115469</v>
      </c>
    </row>
    <row r="49" spans="1:17" x14ac:dyDescent="0.25">
      <c r="A49" s="445">
        <v>39479</v>
      </c>
      <c r="B49" s="445"/>
      <c r="C49" s="446"/>
      <c r="D49" s="445"/>
      <c r="E49" s="445"/>
      <c r="F49" s="445"/>
      <c r="G49" s="445"/>
      <c r="H49" s="445"/>
      <c r="I49" s="445"/>
      <c r="J49" s="445"/>
      <c r="K49" s="445"/>
      <c r="L49" s="430">
        <f t="shared" si="12"/>
        <v>554625.16612976324</v>
      </c>
      <c r="O49" s="447">
        <f t="shared" ref="O49:O59" si="13">$Q$6+O48</f>
        <v>553859.77481861308</v>
      </c>
    </row>
    <row r="50" spans="1:17" x14ac:dyDescent="0.25">
      <c r="A50" s="445">
        <v>39508</v>
      </c>
      <c r="B50" s="445"/>
      <c r="C50" s="446"/>
      <c r="D50" s="445"/>
      <c r="E50" s="445"/>
      <c r="F50" s="445"/>
      <c r="G50" s="445"/>
      <c r="H50" s="445"/>
      <c r="I50" s="445"/>
      <c r="J50" s="445"/>
      <c r="K50" s="445"/>
      <c r="L50" s="430">
        <f t="shared" si="12"/>
        <v>585345.23309562157</v>
      </c>
      <c r="O50" s="447">
        <f t="shared" si="13"/>
        <v>566224.34073607146</v>
      </c>
    </row>
    <row r="51" spans="1:17" x14ac:dyDescent="0.25">
      <c r="A51" s="445">
        <v>39539</v>
      </c>
      <c r="B51" s="445"/>
      <c r="C51" s="446"/>
      <c r="D51" s="445"/>
      <c r="E51" s="445"/>
      <c r="F51" s="445"/>
      <c r="G51" s="445"/>
      <c r="H51" s="445"/>
      <c r="I51" s="445"/>
      <c r="J51" s="445"/>
      <c r="K51" s="445"/>
      <c r="L51" s="430">
        <f t="shared" si="12"/>
        <v>616065.30006147991</v>
      </c>
      <c r="O51" s="447">
        <f t="shared" si="13"/>
        <v>578588.90665352985</v>
      </c>
    </row>
    <row r="52" spans="1:17" x14ac:dyDescent="0.25">
      <c r="A52" s="445">
        <v>39569</v>
      </c>
      <c r="B52" s="445"/>
      <c r="C52" s="446"/>
      <c r="D52" s="445"/>
      <c r="E52" s="445"/>
      <c r="F52" s="445"/>
      <c r="G52" s="445"/>
      <c r="H52" s="445"/>
      <c r="I52" s="445"/>
      <c r="J52" s="445"/>
      <c r="K52" s="445"/>
      <c r="L52" s="430">
        <f t="shared" si="12"/>
        <v>646785.36702733824</v>
      </c>
      <c r="O52" s="447">
        <f t="shared" si="13"/>
        <v>590953.47257098823</v>
      </c>
    </row>
    <row r="53" spans="1:17" x14ac:dyDescent="0.25">
      <c r="A53" s="445">
        <v>39600</v>
      </c>
      <c r="B53" s="445"/>
      <c r="C53" s="446"/>
      <c r="D53" s="445"/>
      <c r="E53" s="445"/>
      <c r="F53" s="445"/>
      <c r="G53" s="445"/>
      <c r="H53" s="445"/>
      <c r="I53" s="445"/>
      <c r="J53" s="445"/>
      <c r="K53" s="445"/>
      <c r="L53" s="430">
        <f t="shared" si="12"/>
        <v>677505.43399319658</v>
      </c>
      <c r="O53" s="447">
        <f t="shared" si="13"/>
        <v>603318.03848844662</v>
      </c>
    </row>
    <row r="54" spans="1:17" x14ac:dyDescent="0.25">
      <c r="A54" s="445">
        <v>39630</v>
      </c>
      <c r="B54" s="445"/>
      <c r="C54" s="446"/>
      <c r="D54" s="445"/>
      <c r="E54" s="445"/>
      <c r="F54" s="445"/>
      <c r="G54" s="445"/>
      <c r="H54" s="445"/>
      <c r="I54" s="445"/>
      <c r="J54" s="445"/>
      <c r="K54" s="445"/>
      <c r="L54" s="430">
        <f t="shared" si="12"/>
        <v>708225.50095905492</v>
      </c>
      <c r="O54" s="447">
        <f t="shared" si="13"/>
        <v>615682.604405905</v>
      </c>
    </row>
    <row r="55" spans="1:17" x14ac:dyDescent="0.25">
      <c r="A55" s="445">
        <v>39661</v>
      </c>
      <c r="B55" s="445"/>
      <c r="C55" s="446"/>
      <c r="D55" s="445"/>
      <c r="E55" s="445"/>
      <c r="F55" s="445"/>
      <c r="G55" s="445"/>
      <c r="H55" s="445"/>
      <c r="I55" s="445"/>
      <c r="J55" s="445"/>
      <c r="K55" s="445"/>
      <c r="L55" s="430">
        <f t="shared" si="12"/>
        <v>738945.56792491325</v>
      </c>
      <c r="O55" s="447">
        <f t="shared" si="13"/>
        <v>628047.17032336339</v>
      </c>
    </row>
    <row r="56" spans="1:17" x14ac:dyDescent="0.25">
      <c r="A56" s="445">
        <v>39692</v>
      </c>
      <c r="B56" s="445"/>
      <c r="C56" s="446"/>
      <c r="D56" s="445"/>
      <c r="E56" s="445"/>
      <c r="F56" s="445"/>
      <c r="G56" s="445"/>
      <c r="H56" s="445"/>
      <c r="I56" s="445"/>
      <c r="J56" s="445"/>
      <c r="K56" s="445"/>
      <c r="L56" s="430">
        <f t="shared" si="12"/>
        <v>769665.63489077159</v>
      </c>
      <c r="O56" s="447">
        <f t="shared" si="13"/>
        <v>640411.73624082177</v>
      </c>
    </row>
    <row r="57" spans="1:17" x14ac:dyDescent="0.25">
      <c r="A57" s="445">
        <v>39722</v>
      </c>
      <c r="B57" s="445"/>
      <c r="C57" s="446"/>
      <c r="D57" s="445"/>
      <c r="E57" s="445"/>
      <c r="F57" s="445"/>
      <c r="G57" s="445"/>
      <c r="H57" s="445"/>
      <c r="I57" s="445"/>
      <c r="J57" s="445"/>
      <c r="K57" s="445"/>
      <c r="L57" s="430">
        <f t="shared" si="12"/>
        <v>800385.70185662992</v>
      </c>
      <c r="O57" s="447">
        <f t="shared" si="13"/>
        <v>652776.30215828016</v>
      </c>
    </row>
    <row r="58" spans="1:17" x14ac:dyDescent="0.25">
      <c r="A58" s="445">
        <v>39753</v>
      </c>
      <c r="B58" s="445"/>
      <c r="C58" s="446"/>
      <c r="D58" s="445"/>
      <c r="E58" s="445"/>
      <c r="F58" s="445"/>
      <c r="G58" s="445"/>
      <c r="H58" s="445"/>
      <c r="I58" s="445"/>
      <c r="J58" s="445"/>
      <c r="K58" s="445"/>
      <c r="L58" s="430">
        <f t="shared" si="12"/>
        <v>831105.76882248826</v>
      </c>
      <c r="O58" s="447">
        <f t="shared" si="13"/>
        <v>665140.86807573854</v>
      </c>
    </row>
    <row r="59" spans="1:17" x14ac:dyDescent="0.25">
      <c r="A59" s="445">
        <v>39783</v>
      </c>
      <c r="B59" s="445"/>
      <c r="C59" s="446"/>
      <c r="D59" s="445"/>
      <c r="E59" s="445"/>
      <c r="F59" s="445"/>
      <c r="G59" s="445"/>
      <c r="H59" s="445"/>
      <c r="I59" s="445"/>
      <c r="J59" s="445"/>
      <c r="K59" s="445"/>
      <c r="L59" s="430">
        <f t="shared" si="12"/>
        <v>861825.83578834659</v>
      </c>
      <c r="M59" s="430">
        <f>SUM(L48:L59)</f>
        <v>8314385.6097135087</v>
      </c>
      <c r="N59" s="430">
        <f>L59*12</f>
        <v>10341910.029460158</v>
      </c>
      <c r="O59" s="447">
        <f t="shared" si="13"/>
        <v>677505.43399319693</v>
      </c>
      <c r="P59" s="430">
        <f>SUM(O48:O59)</f>
        <v>7314003.8573661102</v>
      </c>
      <c r="Q59" s="430">
        <f>O59*12</f>
        <v>8130065.2079183627</v>
      </c>
    </row>
    <row r="60" spans="1:17" x14ac:dyDescent="0.25">
      <c r="A60" s="445">
        <v>39814</v>
      </c>
      <c r="B60" s="445"/>
      <c r="C60" s="446"/>
      <c r="D60" s="445"/>
      <c r="E60" s="445"/>
      <c r="F60" s="445"/>
      <c r="G60" s="445"/>
      <c r="H60" s="445"/>
      <c r="I60" s="445"/>
      <c r="J60" s="445"/>
      <c r="K60" s="445"/>
      <c r="L60" s="430">
        <f t="shared" ref="L60:L71" si="14">L59+$M$7</f>
        <v>900572.74075352796</v>
      </c>
      <c r="O60" s="447">
        <f>$Q$7+O59</f>
        <v>712238.91995871672</v>
      </c>
    </row>
    <row r="61" spans="1:17" x14ac:dyDescent="0.25">
      <c r="A61" s="445">
        <v>39845</v>
      </c>
      <c r="B61" s="445"/>
      <c r="C61" s="446"/>
      <c r="D61" s="445"/>
      <c r="E61" s="445"/>
      <c r="F61" s="445"/>
      <c r="G61" s="445"/>
      <c r="H61" s="445"/>
      <c r="I61" s="445"/>
      <c r="J61" s="445"/>
      <c r="K61" s="445"/>
      <c r="L61" s="430">
        <f t="shared" si="14"/>
        <v>939319.64571870933</v>
      </c>
      <c r="O61" s="447">
        <f t="shared" ref="O61:O71" si="15">$Q$7+O60</f>
        <v>746972.40592423652</v>
      </c>
    </row>
    <row r="62" spans="1:17" x14ac:dyDescent="0.25">
      <c r="A62" s="445">
        <v>39873</v>
      </c>
      <c r="B62" s="445"/>
      <c r="C62" s="446"/>
      <c r="D62" s="445"/>
      <c r="E62" s="445"/>
      <c r="F62" s="445"/>
      <c r="G62" s="445"/>
      <c r="H62" s="445"/>
      <c r="I62" s="445"/>
      <c r="J62" s="445"/>
      <c r="K62" s="445"/>
      <c r="L62" s="430">
        <f t="shared" si="14"/>
        <v>978066.5506838907</v>
      </c>
      <c r="O62" s="447">
        <f t="shared" si="15"/>
        <v>781705.89188975631</v>
      </c>
    </row>
    <row r="63" spans="1:17" x14ac:dyDescent="0.25">
      <c r="A63" s="445">
        <v>39904</v>
      </c>
      <c r="B63" s="445"/>
      <c r="C63" s="446"/>
      <c r="D63" s="445"/>
      <c r="E63" s="445"/>
      <c r="F63" s="445"/>
      <c r="G63" s="445"/>
      <c r="H63" s="445"/>
      <c r="I63" s="445"/>
      <c r="J63" s="445"/>
      <c r="K63" s="445"/>
      <c r="L63" s="430">
        <f t="shared" si="14"/>
        <v>1016813.4556490721</v>
      </c>
      <c r="O63" s="447">
        <f t="shared" si="15"/>
        <v>816439.37785527611</v>
      </c>
    </row>
    <row r="64" spans="1:17" x14ac:dyDescent="0.25">
      <c r="A64" s="445">
        <v>39934</v>
      </c>
      <c r="B64" s="445"/>
      <c r="C64" s="446"/>
      <c r="D64" s="445"/>
      <c r="E64" s="445"/>
      <c r="F64" s="445"/>
      <c r="G64" s="445"/>
      <c r="H64" s="445"/>
      <c r="I64" s="445"/>
      <c r="J64" s="445"/>
      <c r="K64" s="445"/>
      <c r="L64" s="430">
        <f t="shared" si="14"/>
        <v>1055560.3606142534</v>
      </c>
      <c r="O64" s="447">
        <f t="shared" si="15"/>
        <v>851172.8638207959</v>
      </c>
    </row>
    <row r="65" spans="1:17" x14ac:dyDescent="0.25">
      <c r="A65" s="445">
        <v>39965</v>
      </c>
      <c r="B65" s="445"/>
      <c r="C65" s="446"/>
      <c r="D65" s="445"/>
      <c r="E65" s="445"/>
      <c r="F65" s="445"/>
      <c r="G65" s="445"/>
      <c r="H65" s="445"/>
      <c r="I65" s="445"/>
      <c r="J65" s="445"/>
      <c r="K65" s="445"/>
      <c r="L65" s="430">
        <f t="shared" si="14"/>
        <v>1094307.2655794348</v>
      </c>
      <c r="O65" s="447">
        <f t="shared" si="15"/>
        <v>885906.3497863157</v>
      </c>
    </row>
    <row r="66" spans="1:17" x14ac:dyDescent="0.25">
      <c r="A66" s="445">
        <v>39995</v>
      </c>
      <c r="B66" s="445"/>
      <c r="C66" s="446"/>
      <c r="D66" s="445"/>
      <c r="E66" s="445"/>
      <c r="F66" s="445"/>
      <c r="G66" s="445"/>
      <c r="H66" s="445"/>
      <c r="I66" s="445"/>
      <c r="J66" s="445"/>
      <c r="K66" s="445"/>
      <c r="L66" s="430">
        <f t="shared" si="14"/>
        <v>1133054.1705446162</v>
      </c>
      <c r="O66" s="447">
        <f t="shared" si="15"/>
        <v>920639.83575183549</v>
      </c>
    </row>
    <row r="67" spans="1:17" x14ac:dyDescent="0.25">
      <c r="A67" s="445">
        <v>40026</v>
      </c>
      <c r="B67" s="445"/>
      <c r="C67" s="446"/>
      <c r="D67" s="445"/>
      <c r="E67" s="445"/>
      <c r="F67" s="445"/>
      <c r="G67" s="445"/>
      <c r="H67" s="445"/>
      <c r="I67" s="445"/>
      <c r="J67" s="445"/>
      <c r="K67" s="445"/>
      <c r="L67" s="430">
        <f t="shared" si="14"/>
        <v>1171801.0755097975</v>
      </c>
      <c r="O67" s="447">
        <f t="shared" si="15"/>
        <v>955373.32171735528</v>
      </c>
    </row>
    <row r="68" spans="1:17" x14ac:dyDescent="0.25">
      <c r="A68" s="445">
        <v>40057</v>
      </c>
      <c r="B68" s="445"/>
      <c r="C68" s="446"/>
      <c r="D68" s="445"/>
      <c r="E68" s="445"/>
      <c r="F68" s="445"/>
      <c r="G68" s="445"/>
      <c r="H68" s="445"/>
      <c r="I68" s="445"/>
      <c r="J68" s="445"/>
      <c r="K68" s="445"/>
      <c r="L68" s="430">
        <f t="shared" si="14"/>
        <v>1210547.9804749789</v>
      </c>
      <c r="O68" s="447">
        <f t="shared" si="15"/>
        <v>990106.80768287508</v>
      </c>
    </row>
    <row r="69" spans="1:17" x14ac:dyDescent="0.25">
      <c r="A69" s="445">
        <v>40087</v>
      </c>
      <c r="B69" s="445"/>
      <c r="C69" s="446"/>
      <c r="D69" s="445"/>
      <c r="E69" s="445"/>
      <c r="F69" s="445"/>
      <c r="G69" s="445"/>
      <c r="H69" s="445"/>
      <c r="I69" s="445"/>
      <c r="J69" s="445"/>
      <c r="K69" s="445"/>
      <c r="L69" s="430">
        <f t="shared" si="14"/>
        <v>1249294.8854401603</v>
      </c>
      <c r="O69" s="447">
        <f t="shared" si="15"/>
        <v>1024840.2936483949</v>
      </c>
    </row>
    <row r="70" spans="1:17" x14ac:dyDescent="0.25">
      <c r="A70" s="445">
        <v>40118</v>
      </c>
      <c r="B70" s="445"/>
      <c r="C70" s="446"/>
      <c r="D70" s="445"/>
      <c r="E70" s="445"/>
      <c r="F70" s="445"/>
      <c r="G70" s="445"/>
      <c r="H70" s="445"/>
      <c r="I70" s="445"/>
      <c r="J70" s="445"/>
      <c r="K70" s="445"/>
      <c r="L70" s="430">
        <f t="shared" si="14"/>
        <v>1288041.7904053417</v>
      </c>
      <c r="O70" s="447">
        <f t="shared" si="15"/>
        <v>1059573.7796139147</v>
      </c>
    </row>
    <row r="71" spans="1:17" x14ac:dyDescent="0.25">
      <c r="A71" s="445">
        <v>40148</v>
      </c>
      <c r="B71" s="445"/>
      <c r="C71" s="446"/>
      <c r="D71" s="445"/>
      <c r="E71" s="445"/>
      <c r="F71" s="445"/>
      <c r="G71" s="445"/>
      <c r="H71" s="445"/>
      <c r="I71" s="445"/>
      <c r="J71" s="445"/>
      <c r="K71" s="445"/>
      <c r="L71" s="430">
        <f t="shared" si="14"/>
        <v>1326788.695370523</v>
      </c>
      <c r="M71" s="430">
        <f>SUM(L60:L71)</f>
        <v>13364168.616744306</v>
      </c>
      <c r="N71" s="430">
        <f>L71*12</f>
        <v>15921464.344446275</v>
      </c>
      <c r="O71" s="447">
        <f t="shared" si="15"/>
        <v>1094307.2655794346</v>
      </c>
      <c r="P71" s="430">
        <f>SUM(O60:O71)</f>
        <v>10839277.113228906</v>
      </c>
      <c r="Q71" s="430">
        <f>O71*12</f>
        <v>13131687.186953215</v>
      </c>
    </row>
    <row r="72" spans="1:17" x14ac:dyDescent="0.25">
      <c r="A72" s="445">
        <v>40179</v>
      </c>
      <c r="B72" s="445"/>
      <c r="C72" s="446"/>
      <c r="D72" s="445"/>
      <c r="E72" s="445"/>
      <c r="F72" s="445"/>
      <c r="G72" s="445"/>
      <c r="H72" s="445"/>
      <c r="I72" s="445"/>
      <c r="J72" s="445"/>
      <c r="K72" s="445"/>
      <c r="L72" s="430">
        <f t="shared" ref="L72:L83" si="16">L71+$M$8</f>
        <v>1306784.5865258763</v>
      </c>
      <c r="O72" s="447">
        <f>$Q$8+O71</f>
        <v>1103678.6636397019</v>
      </c>
    </row>
    <row r="73" spans="1:17" x14ac:dyDescent="0.25">
      <c r="A73" s="445">
        <v>40210</v>
      </c>
      <c r="B73" s="445"/>
      <c r="C73" s="446"/>
      <c r="D73" s="445"/>
      <c r="E73" s="445"/>
      <c r="F73" s="445"/>
      <c r="G73" s="445"/>
      <c r="H73" s="445"/>
      <c r="I73" s="445"/>
      <c r="J73" s="445"/>
      <c r="K73" s="445"/>
      <c r="L73" s="430">
        <f t="shared" si="16"/>
        <v>1286780.4776812296</v>
      </c>
      <c r="O73" s="447">
        <f t="shared" ref="O73:O83" si="17">$Q$8+O72</f>
        <v>1113050.0616999692</v>
      </c>
    </row>
    <row r="74" spans="1:17" x14ac:dyDescent="0.25">
      <c r="A74" s="445">
        <v>40238</v>
      </c>
      <c r="B74" s="445"/>
      <c r="C74" s="446"/>
      <c r="D74" s="445"/>
      <c r="E74" s="445"/>
      <c r="F74" s="445"/>
      <c r="G74" s="445"/>
      <c r="H74" s="445"/>
      <c r="I74" s="445"/>
      <c r="J74" s="445"/>
      <c r="K74" s="445"/>
      <c r="L74" s="430">
        <f t="shared" si="16"/>
        <v>1266776.3688365829</v>
      </c>
      <c r="O74" s="447">
        <f t="shared" si="17"/>
        <v>1122421.4597602366</v>
      </c>
    </row>
    <row r="75" spans="1:17" x14ac:dyDescent="0.25">
      <c r="A75" s="445">
        <v>40269</v>
      </c>
      <c r="B75" s="445"/>
      <c r="C75" s="446"/>
      <c r="D75" s="445"/>
      <c r="E75" s="445"/>
      <c r="F75" s="445"/>
      <c r="G75" s="445"/>
      <c r="H75" s="445"/>
      <c r="I75" s="445"/>
      <c r="J75" s="445"/>
      <c r="K75" s="445"/>
      <c r="L75" s="430">
        <f t="shared" si="16"/>
        <v>1246772.2599919362</v>
      </c>
      <c r="O75" s="447">
        <f t="shared" si="17"/>
        <v>1131792.8578205039</v>
      </c>
    </row>
    <row r="76" spans="1:17" x14ac:dyDescent="0.25">
      <c r="A76" s="445">
        <v>40299</v>
      </c>
      <c r="B76" s="445"/>
      <c r="C76" s="446"/>
      <c r="D76" s="445"/>
      <c r="E76" s="445"/>
      <c r="F76" s="445"/>
      <c r="G76" s="445"/>
      <c r="H76" s="445"/>
      <c r="I76" s="445"/>
      <c r="J76" s="445"/>
      <c r="K76" s="445"/>
      <c r="L76" s="430">
        <f t="shared" si="16"/>
        <v>1226768.1511472894</v>
      </c>
      <c r="O76" s="447">
        <f t="shared" si="17"/>
        <v>1141164.2558807712</v>
      </c>
    </row>
    <row r="77" spans="1:17" x14ac:dyDescent="0.25">
      <c r="A77" s="445">
        <v>40330</v>
      </c>
      <c r="B77" s="445"/>
      <c r="C77" s="446"/>
      <c r="D77" s="445"/>
      <c r="E77" s="445"/>
      <c r="F77" s="445"/>
      <c r="G77" s="445"/>
      <c r="H77" s="445"/>
      <c r="I77" s="445"/>
      <c r="J77" s="445"/>
      <c r="K77" s="445"/>
      <c r="L77" s="430">
        <f t="shared" si="16"/>
        <v>1206764.0423026427</v>
      </c>
      <c r="O77" s="447">
        <f t="shared" si="17"/>
        <v>1150535.6539410385</v>
      </c>
    </row>
    <row r="78" spans="1:17" x14ac:dyDescent="0.25">
      <c r="A78" s="445">
        <v>40360</v>
      </c>
      <c r="B78" s="445"/>
      <c r="C78" s="446"/>
      <c r="D78" s="445"/>
      <c r="E78" s="445"/>
      <c r="F78" s="445"/>
      <c r="G78" s="445"/>
      <c r="H78" s="445"/>
      <c r="I78" s="445"/>
      <c r="J78" s="445"/>
      <c r="K78" s="445"/>
      <c r="L78" s="430">
        <f t="shared" si="16"/>
        <v>1186759.933457996</v>
      </c>
      <c r="O78" s="447">
        <f t="shared" si="17"/>
        <v>1159907.0520013059</v>
      </c>
    </row>
    <row r="79" spans="1:17" x14ac:dyDescent="0.25">
      <c r="A79" s="445">
        <v>40391</v>
      </c>
      <c r="B79" s="445"/>
      <c r="C79" s="446"/>
      <c r="D79" s="445"/>
      <c r="E79" s="445"/>
      <c r="F79" s="445"/>
      <c r="G79" s="445"/>
      <c r="H79" s="445"/>
      <c r="I79" s="445"/>
      <c r="J79" s="445"/>
      <c r="K79" s="445"/>
      <c r="L79" s="430">
        <f t="shared" si="16"/>
        <v>1166755.8246133493</v>
      </c>
      <c r="O79" s="447">
        <f t="shared" si="17"/>
        <v>1169278.4500615732</v>
      </c>
    </row>
    <row r="80" spans="1:17" x14ac:dyDescent="0.25">
      <c r="A80" s="445">
        <v>40422</v>
      </c>
      <c r="B80" s="445"/>
      <c r="C80" s="446"/>
      <c r="D80" s="445"/>
      <c r="E80" s="445"/>
      <c r="F80" s="445"/>
      <c r="G80" s="445"/>
      <c r="H80" s="445"/>
      <c r="I80" s="445"/>
      <c r="J80" s="445"/>
      <c r="K80" s="445"/>
      <c r="L80" s="430">
        <f t="shared" si="16"/>
        <v>1146751.7157687026</v>
      </c>
      <c r="O80" s="447">
        <f t="shared" si="17"/>
        <v>1178649.8481218405</v>
      </c>
    </row>
    <row r="81" spans="1:17" x14ac:dyDescent="0.25">
      <c r="A81" s="445">
        <v>40452</v>
      </c>
      <c r="B81" s="445"/>
      <c r="C81" s="446"/>
      <c r="D81" s="445"/>
      <c r="E81" s="445"/>
      <c r="F81" s="445"/>
      <c r="G81" s="445"/>
      <c r="H81" s="445"/>
      <c r="I81" s="445"/>
      <c r="J81" s="445"/>
      <c r="K81" s="445"/>
      <c r="L81" s="430">
        <f t="shared" si="16"/>
        <v>1126747.6069240558</v>
      </c>
      <c r="O81" s="447">
        <f t="shared" si="17"/>
        <v>1188021.2461821078</v>
      </c>
    </row>
    <row r="82" spans="1:17" x14ac:dyDescent="0.25">
      <c r="A82" s="445">
        <v>40483</v>
      </c>
      <c r="B82" s="445"/>
      <c r="C82" s="446"/>
      <c r="D82" s="445"/>
      <c r="E82" s="445"/>
      <c r="F82" s="445"/>
      <c r="G82" s="445"/>
      <c r="H82" s="445"/>
      <c r="I82" s="445"/>
      <c r="J82" s="445"/>
      <c r="K82" s="445"/>
      <c r="L82" s="430">
        <f t="shared" si="16"/>
        <v>1106743.4980794091</v>
      </c>
      <c r="O82" s="447">
        <f t="shared" si="17"/>
        <v>1197392.6442423752</v>
      </c>
    </row>
    <row r="83" spans="1:17" x14ac:dyDescent="0.25">
      <c r="A83" s="445">
        <v>40513</v>
      </c>
      <c r="B83" s="445"/>
      <c r="C83" s="446"/>
      <c r="D83" s="445"/>
      <c r="E83" s="445"/>
      <c r="F83" s="445"/>
      <c r="G83" s="445"/>
      <c r="H83" s="445"/>
      <c r="I83" s="445"/>
      <c r="J83" s="445"/>
      <c r="K83" s="445"/>
      <c r="L83" s="430">
        <f t="shared" si="16"/>
        <v>1086739.3892347624</v>
      </c>
      <c r="M83" s="430">
        <f>SUM(L72:L83)</f>
        <v>14361143.854563832</v>
      </c>
      <c r="N83" s="430">
        <f>L83*12</f>
        <v>13040872.670817148</v>
      </c>
      <c r="O83" s="447">
        <f t="shared" si="17"/>
        <v>1206764.0423026425</v>
      </c>
      <c r="P83" s="430">
        <f>SUM(O72:O83)</f>
        <v>13862656.235654067</v>
      </c>
      <c r="Q83" s="430">
        <f>O83*12</f>
        <v>14481168.50763171</v>
      </c>
    </row>
    <row r="84" spans="1:17" x14ac:dyDescent="0.25">
      <c r="A84" s="445">
        <v>40544</v>
      </c>
      <c r="B84" s="445"/>
      <c r="C84" s="446"/>
      <c r="D84" s="445"/>
      <c r="E84" s="445"/>
      <c r="F84" s="445"/>
      <c r="G84" s="445"/>
      <c r="H84" s="445"/>
      <c r="I84" s="445"/>
      <c r="J84" s="445"/>
      <c r="K84" s="445"/>
      <c r="L84" s="430">
        <f t="shared" ref="L84:L95" si="18">L83+$M$9</f>
        <v>1155135.7695567275</v>
      </c>
      <c r="O84" s="447">
        <f>$Q$9+O83</f>
        <v>1230960.1780413017</v>
      </c>
    </row>
    <row r="85" spans="1:17" x14ac:dyDescent="0.25">
      <c r="A85" s="445">
        <v>40575</v>
      </c>
      <c r="B85" s="445"/>
      <c r="C85" s="446"/>
      <c r="D85" s="445"/>
      <c r="E85" s="445"/>
      <c r="F85" s="445"/>
      <c r="G85" s="445"/>
      <c r="H85" s="445"/>
      <c r="I85" s="445"/>
      <c r="J85" s="445"/>
      <c r="K85" s="445"/>
      <c r="L85" s="430">
        <f t="shared" si="18"/>
        <v>1223532.1498786926</v>
      </c>
      <c r="O85" s="447">
        <f t="shared" ref="O85:O95" si="19">$Q$9+O84</f>
        <v>1255156.3137799609</v>
      </c>
    </row>
    <row r="86" spans="1:17" x14ac:dyDescent="0.25">
      <c r="A86" s="445">
        <v>40603</v>
      </c>
      <c r="B86" s="445"/>
      <c r="C86" s="446"/>
      <c r="D86" s="445"/>
      <c r="E86" s="445"/>
      <c r="F86" s="445"/>
      <c r="G86" s="445"/>
      <c r="H86" s="445"/>
      <c r="I86" s="445"/>
      <c r="J86" s="445"/>
      <c r="K86" s="445"/>
      <c r="L86" s="430">
        <f t="shared" si="18"/>
        <v>1291928.5302006577</v>
      </c>
      <c r="O86" s="447">
        <f t="shared" si="19"/>
        <v>1279352.44951862</v>
      </c>
    </row>
    <row r="87" spans="1:17" x14ac:dyDescent="0.25">
      <c r="A87" s="445">
        <v>40634</v>
      </c>
      <c r="B87" s="445"/>
      <c r="C87" s="446"/>
      <c r="D87" s="445"/>
      <c r="E87" s="445"/>
      <c r="F87" s="445"/>
      <c r="G87" s="445"/>
      <c r="H87" s="445"/>
      <c r="I87" s="445"/>
      <c r="J87" s="445"/>
      <c r="K87" s="445"/>
      <c r="L87" s="430">
        <f t="shared" si="18"/>
        <v>1360324.9105226228</v>
      </c>
      <c r="O87" s="447">
        <f t="shared" si="19"/>
        <v>1303548.5852572792</v>
      </c>
    </row>
    <row r="88" spans="1:17" x14ac:dyDescent="0.25">
      <c r="A88" s="445">
        <v>40664</v>
      </c>
      <c r="B88" s="445"/>
      <c r="C88" s="446"/>
      <c r="D88" s="445"/>
      <c r="E88" s="445"/>
      <c r="F88" s="445"/>
      <c r="G88" s="445"/>
      <c r="H88" s="445"/>
      <c r="I88" s="445"/>
      <c r="J88" s="445"/>
      <c r="K88" s="445"/>
      <c r="L88" s="430">
        <f t="shared" si="18"/>
        <v>1428721.2908445878</v>
      </c>
      <c r="O88" s="447">
        <f t="shared" si="19"/>
        <v>1327744.7209959384</v>
      </c>
    </row>
    <row r="89" spans="1:17" x14ac:dyDescent="0.25">
      <c r="A89" s="445">
        <v>40695</v>
      </c>
      <c r="B89" s="445"/>
      <c r="C89" s="446"/>
      <c r="D89" s="445"/>
      <c r="E89" s="445"/>
      <c r="F89" s="445"/>
      <c r="G89" s="445"/>
      <c r="H89" s="445"/>
      <c r="I89" s="445"/>
      <c r="J89" s="445"/>
      <c r="K89" s="445"/>
      <c r="L89" s="430">
        <f t="shared" si="18"/>
        <v>1497117.6711665529</v>
      </c>
      <c r="O89" s="447">
        <f t="shared" si="19"/>
        <v>1351940.8567345976</v>
      </c>
    </row>
    <row r="90" spans="1:17" x14ac:dyDescent="0.25">
      <c r="A90" s="445">
        <v>40725</v>
      </c>
      <c r="B90" s="445"/>
      <c r="C90" s="446"/>
      <c r="D90" s="445"/>
      <c r="E90" s="445"/>
      <c r="F90" s="445"/>
      <c r="G90" s="445"/>
      <c r="H90" s="445"/>
      <c r="I90" s="445"/>
      <c r="J90" s="445"/>
      <c r="K90" s="445"/>
      <c r="L90" s="430">
        <f t="shared" si="18"/>
        <v>1565514.051488518</v>
      </c>
      <c r="O90" s="447">
        <f t="shared" si="19"/>
        <v>1376136.9924732568</v>
      </c>
    </row>
    <row r="91" spans="1:17" x14ac:dyDescent="0.25">
      <c r="A91" s="445">
        <v>40756</v>
      </c>
      <c r="B91" s="445"/>
      <c r="C91" s="446"/>
      <c r="D91" s="445"/>
      <c r="E91" s="445"/>
      <c r="F91" s="445"/>
      <c r="G91" s="445"/>
      <c r="H91" s="445"/>
      <c r="I91" s="445"/>
      <c r="J91" s="445"/>
      <c r="K91" s="445"/>
      <c r="L91" s="430">
        <f t="shared" si="18"/>
        <v>1633910.4318104831</v>
      </c>
      <c r="O91" s="447">
        <f t="shared" si="19"/>
        <v>1400333.128211916</v>
      </c>
    </row>
    <row r="92" spans="1:17" x14ac:dyDescent="0.25">
      <c r="A92" s="445">
        <v>40787</v>
      </c>
      <c r="B92" s="445"/>
      <c r="C92" s="446"/>
      <c r="D92" s="445"/>
      <c r="E92" s="445"/>
      <c r="F92" s="445"/>
      <c r="G92" s="445"/>
      <c r="H92" s="445"/>
      <c r="I92" s="445"/>
      <c r="J92" s="445"/>
      <c r="K92" s="445"/>
      <c r="L92" s="430">
        <f t="shared" si="18"/>
        <v>1702306.8121324482</v>
      </c>
      <c r="O92" s="447">
        <f t="shared" si="19"/>
        <v>1424529.2639505751</v>
      </c>
    </row>
    <row r="93" spans="1:17" x14ac:dyDescent="0.25">
      <c r="A93" s="445">
        <v>40817</v>
      </c>
      <c r="B93" s="445"/>
      <c r="C93" s="446"/>
      <c r="D93" s="445"/>
      <c r="E93" s="445"/>
      <c r="F93" s="445"/>
      <c r="G93" s="445"/>
      <c r="H93" s="445"/>
      <c r="I93" s="445"/>
      <c r="J93" s="445"/>
      <c r="K93" s="445"/>
      <c r="L93" s="430">
        <f t="shared" si="18"/>
        <v>1770703.1924544133</v>
      </c>
      <c r="O93" s="447">
        <f t="shared" si="19"/>
        <v>1448725.3996892343</v>
      </c>
    </row>
    <row r="94" spans="1:17" x14ac:dyDescent="0.25">
      <c r="A94" s="445">
        <v>40848</v>
      </c>
      <c r="B94" s="445"/>
      <c r="C94" s="446"/>
      <c r="D94" s="445"/>
      <c r="E94" s="445"/>
      <c r="F94" s="445"/>
      <c r="G94" s="445"/>
      <c r="H94" s="445"/>
      <c r="I94" s="445"/>
      <c r="J94" s="445"/>
      <c r="K94" s="445"/>
      <c r="L94" s="430">
        <f t="shared" si="18"/>
        <v>1839099.5727763784</v>
      </c>
      <c r="O94" s="447">
        <f t="shared" si="19"/>
        <v>1472921.5354278935</v>
      </c>
    </row>
    <row r="95" spans="1:17" x14ac:dyDescent="0.25">
      <c r="A95" s="445">
        <v>40878</v>
      </c>
      <c r="B95" s="445"/>
      <c r="C95" s="446"/>
      <c r="D95" s="445"/>
      <c r="E95" s="445"/>
      <c r="F95" s="445"/>
      <c r="G95" s="445"/>
      <c r="H95" s="445"/>
      <c r="I95" s="445"/>
      <c r="J95" s="445"/>
      <c r="K95" s="445"/>
      <c r="L95" s="430">
        <f t="shared" si="18"/>
        <v>1907495.9530983435</v>
      </c>
      <c r="M95" s="430">
        <f>SUM(L84:L95)</f>
        <v>18375790.335930426</v>
      </c>
      <c r="N95" s="430">
        <f>L95*12</f>
        <v>22889951.43718012</v>
      </c>
      <c r="O95" s="447">
        <f t="shared" si="19"/>
        <v>1497117.6711665527</v>
      </c>
      <c r="P95" s="430">
        <f>SUM(O84:O95)</f>
        <v>16368467.095247125</v>
      </c>
      <c r="Q95" s="430">
        <f>O95*12</f>
        <v>17965412.053998634</v>
      </c>
    </row>
    <row r="96" spans="1:17" x14ac:dyDescent="0.25">
      <c r="A96" s="445">
        <v>40909</v>
      </c>
      <c r="B96" s="445"/>
      <c r="C96" s="446"/>
      <c r="D96" s="445"/>
      <c r="E96" s="445"/>
      <c r="F96" s="445"/>
      <c r="G96" s="445"/>
      <c r="H96" s="445"/>
      <c r="I96" s="445"/>
      <c r="J96" s="445"/>
      <c r="K96" s="445"/>
      <c r="L96" s="430">
        <f t="shared" ref="L96:L107" si="20">L95+$M$10</f>
        <v>1934866.4112980689</v>
      </c>
      <c r="O96" s="447">
        <f>$Q$10+O95</f>
        <v>1545001.090427398</v>
      </c>
    </row>
    <row r="97" spans="1:17" x14ac:dyDescent="0.25">
      <c r="A97" s="445">
        <v>40940</v>
      </c>
      <c r="B97" s="445"/>
      <c r="C97" s="446"/>
      <c r="D97" s="445"/>
      <c r="E97" s="445"/>
      <c r="F97" s="445"/>
      <c r="G97" s="445"/>
      <c r="H97" s="445"/>
      <c r="I97" s="445"/>
      <c r="J97" s="445"/>
      <c r="K97" s="445"/>
      <c r="L97" s="430">
        <f t="shared" si="20"/>
        <v>1962236.8694977944</v>
      </c>
      <c r="O97" s="447">
        <f t="shared" ref="O97:O107" si="21">$Q$10+O96</f>
        <v>1592884.5096882433</v>
      </c>
    </row>
    <row r="98" spans="1:17" x14ac:dyDescent="0.25">
      <c r="A98" s="445">
        <v>40969</v>
      </c>
      <c r="B98" s="445"/>
      <c r="C98" s="446"/>
      <c r="D98" s="445"/>
      <c r="E98" s="445"/>
      <c r="F98" s="445"/>
      <c r="G98" s="445"/>
      <c r="H98" s="445"/>
      <c r="I98" s="445"/>
      <c r="J98" s="445"/>
      <c r="K98" s="445"/>
      <c r="L98" s="430">
        <f t="shared" si="20"/>
        <v>1989607.3276975199</v>
      </c>
      <c r="O98" s="447">
        <f t="shared" si="21"/>
        <v>1640767.9289490886</v>
      </c>
    </row>
    <row r="99" spans="1:17" x14ac:dyDescent="0.25">
      <c r="A99" s="445">
        <v>41000</v>
      </c>
      <c r="B99" s="445"/>
      <c r="C99" s="446"/>
      <c r="D99" s="445"/>
      <c r="E99" s="445"/>
      <c r="F99" s="445"/>
      <c r="G99" s="445"/>
      <c r="H99" s="445"/>
      <c r="I99" s="445"/>
      <c r="J99" s="445"/>
      <c r="K99" s="445"/>
      <c r="L99" s="430">
        <f t="shared" si="20"/>
        <v>2016977.7858972454</v>
      </c>
      <c r="O99" s="447">
        <f t="shared" si="21"/>
        <v>1688651.3482099338</v>
      </c>
    </row>
    <row r="100" spans="1:17" x14ac:dyDescent="0.25">
      <c r="A100" s="445">
        <v>41030</v>
      </c>
      <c r="B100" s="445"/>
      <c r="C100" s="446"/>
      <c r="D100" s="445"/>
      <c r="E100" s="445"/>
      <c r="F100" s="445"/>
      <c r="G100" s="445"/>
      <c r="H100" s="445"/>
      <c r="I100" s="445"/>
      <c r="J100" s="445"/>
      <c r="K100" s="445"/>
      <c r="L100" s="430">
        <f t="shared" si="20"/>
        <v>2044348.2440969709</v>
      </c>
      <c r="O100" s="447">
        <f t="shared" si="21"/>
        <v>1736534.7674707791</v>
      </c>
    </row>
    <row r="101" spans="1:17" x14ac:dyDescent="0.25">
      <c r="A101" s="445">
        <v>41061</v>
      </c>
      <c r="B101" s="445"/>
      <c r="C101" s="446"/>
      <c r="D101" s="445"/>
      <c r="E101" s="445"/>
      <c r="F101" s="445"/>
      <c r="G101" s="445"/>
      <c r="H101" s="445"/>
      <c r="I101" s="445"/>
      <c r="J101" s="445"/>
      <c r="K101" s="445"/>
      <c r="L101" s="430">
        <f t="shared" si="20"/>
        <v>2071718.7022966964</v>
      </c>
      <c r="O101" s="447">
        <f t="shared" si="21"/>
        <v>1784418.1867316244</v>
      </c>
    </row>
    <row r="102" spans="1:17" x14ac:dyDescent="0.25">
      <c r="A102" s="445">
        <v>41091</v>
      </c>
      <c r="B102" s="445"/>
      <c r="C102" s="446"/>
      <c r="D102" s="445"/>
      <c r="E102" s="445"/>
      <c r="F102" s="445"/>
      <c r="G102" s="445"/>
      <c r="H102" s="445"/>
      <c r="I102" s="445"/>
      <c r="J102" s="445"/>
      <c r="K102" s="445"/>
      <c r="L102" s="430">
        <f t="shared" si="20"/>
        <v>2099089.1604964221</v>
      </c>
      <c r="O102" s="447">
        <f t="shared" si="21"/>
        <v>1832301.6059924697</v>
      </c>
    </row>
    <row r="103" spans="1:17" x14ac:dyDescent="0.25">
      <c r="A103" s="445">
        <v>41122</v>
      </c>
      <c r="B103" s="445"/>
      <c r="C103" s="446"/>
      <c r="D103" s="445"/>
      <c r="E103" s="445"/>
      <c r="F103" s="445"/>
      <c r="G103" s="445"/>
      <c r="H103" s="445"/>
      <c r="I103" s="445"/>
      <c r="J103" s="445"/>
      <c r="K103" s="445"/>
      <c r="L103" s="430">
        <f t="shared" si="20"/>
        <v>2126459.6186961476</v>
      </c>
      <c r="O103" s="447">
        <f t="shared" si="21"/>
        <v>1880185.025253315</v>
      </c>
    </row>
    <row r="104" spans="1:17" x14ac:dyDescent="0.25">
      <c r="A104" s="445">
        <v>41153</v>
      </c>
      <c r="B104" s="445"/>
      <c r="C104" s="446"/>
      <c r="D104" s="445"/>
      <c r="E104" s="445"/>
      <c r="F104" s="445"/>
      <c r="G104" s="445"/>
      <c r="H104" s="445"/>
      <c r="I104" s="445"/>
      <c r="J104" s="445"/>
      <c r="K104" s="445"/>
      <c r="L104" s="430">
        <f t="shared" si="20"/>
        <v>2153830.0768958731</v>
      </c>
      <c r="O104" s="447">
        <f t="shared" si="21"/>
        <v>1928068.4445141603</v>
      </c>
    </row>
    <row r="105" spans="1:17" x14ac:dyDescent="0.25">
      <c r="A105" s="445">
        <v>41183</v>
      </c>
      <c r="B105" s="445"/>
      <c r="C105" s="446"/>
      <c r="D105" s="445"/>
      <c r="E105" s="445"/>
      <c r="F105" s="445"/>
      <c r="G105" s="445"/>
      <c r="H105" s="445"/>
      <c r="I105" s="445"/>
      <c r="J105" s="445"/>
      <c r="K105" s="445"/>
      <c r="L105" s="430">
        <f t="shared" si="20"/>
        <v>2181200.5350955985</v>
      </c>
      <c r="O105" s="447">
        <f t="shared" si="21"/>
        <v>1975951.8637750056</v>
      </c>
    </row>
    <row r="106" spans="1:17" x14ac:dyDescent="0.25">
      <c r="A106" s="445">
        <v>41214</v>
      </c>
      <c r="B106" s="445"/>
      <c r="C106" s="446"/>
      <c r="D106" s="445"/>
      <c r="E106" s="445"/>
      <c r="F106" s="445"/>
      <c r="G106" s="445"/>
      <c r="H106" s="445"/>
      <c r="I106" s="445"/>
      <c r="J106" s="445"/>
      <c r="K106" s="445"/>
      <c r="L106" s="430">
        <f t="shared" si="20"/>
        <v>2208570.993295324</v>
      </c>
      <c r="O106" s="447">
        <f t="shared" si="21"/>
        <v>2023835.2830358509</v>
      </c>
    </row>
    <row r="107" spans="1:17" x14ac:dyDescent="0.25">
      <c r="A107" s="445">
        <v>41244</v>
      </c>
      <c r="B107" s="445"/>
      <c r="C107" s="446"/>
      <c r="D107" s="445"/>
      <c r="E107" s="445"/>
      <c r="F107" s="445"/>
      <c r="G107" s="445"/>
      <c r="H107" s="445"/>
      <c r="I107" s="445"/>
      <c r="J107" s="445"/>
      <c r="K107" s="445"/>
      <c r="L107" s="430">
        <f t="shared" si="20"/>
        <v>2235941.4514950495</v>
      </c>
      <c r="M107" s="430">
        <f>SUM(L96:L107)</f>
        <v>25024847.176758707</v>
      </c>
      <c r="N107" s="430">
        <f>L107*12</f>
        <v>26831297.417940594</v>
      </c>
      <c r="O107" s="447">
        <f t="shared" si="21"/>
        <v>2071718.7022966961</v>
      </c>
      <c r="P107" s="430">
        <f>SUM(O96:O107)</f>
        <v>21700318.756344568</v>
      </c>
      <c r="Q107" s="430">
        <f>O107*12</f>
        <v>24860624.427560352</v>
      </c>
    </row>
    <row r="108" spans="1:17" x14ac:dyDescent="0.25">
      <c r="A108" s="445">
        <v>41275</v>
      </c>
      <c r="B108" s="445"/>
      <c r="C108" s="446"/>
      <c r="D108" s="445"/>
      <c r="E108" s="445"/>
      <c r="F108" s="445"/>
      <c r="G108" s="445"/>
      <c r="H108" s="445"/>
      <c r="I108" s="445"/>
      <c r="J108" s="445"/>
      <c r="K108" s="445"/>
      <c r="L108" s="430">
        <f t="shared" ref="L108:L119" si="22">L107+$M$11</f>
        <v>2298778.641428479</v>
      </c>
      <c r="O108" s="447">
        <f>$Q$11+O107</f>
        <v>2116822.5263632736</v>
      </c>
    </row>
    <row r="109" spans="1:17" x14ac:dyDescent="0.25">
      <c r="A109" s="445">
        <v>41306</v>
      </c>
      <c r="B109" s="445"/>
      <c r="C109" s="446"/>
      <c r="D109" s="445"/>
      <c r="E109" s="445"/>
      <c r="F109" s="445"/>
      <c r="G109" s="445"/>
      <c r="H109" s="445"/>
      <c r="I109" s="445"/>
      <c r="J109" s="445"/>
      <c r="K109" s="445"/>
      <c r="L109" s="430">
        <f t="shared" si="22"/>
        <v>2361615.8313619085</v>
      </c>
      <c r="O109" s="447">
        <f t="shared" ref="O109:O119" si="23">$Q$11+O108</f>
        <v>2161926.3504298511</v>
      </c>
    </row>
    <row r="110" spans="1:17" x14ac:dyDescent="0.25">
      <c r="A110" s="445">
        <v>41334</v>
      </c>
      <c r="B110" s="445"/>
      <c r="C110" s="446"/>
      <c r="D110" s="445"/>
      <c r="E110" s="445"/>
      <c r="F110" s="445"/>
      <c r="G110" s="445"/>
      <c r="H110" s="445"/>
      <c r="I110" s="445"/>
      <c r="J110" s="445"/>
      <c r="K110" s="445"/>
      <c r="L110" s="430">
        <f t="shared" si="22"/>
        <v>2424453.0212953379</v>
      </c>
      <c r="O110" s="447">
        <f t="shared" si="23"/>
        <v>2207030.1744964286</v>
      </c>
    </row>
    <row r="111" spans="1:17" x14ac:dyDescent="0.25">
      <c r="A111" s="445">
        <v>41365</v>
      </c>
      <c r="B111" s="445"/>
      <c r="C111" s="446"/>
      <c r="D111" s="445"/>
      <c r="E111" s="445"/>
      <c r="F111" s="445"/>
      <c r="G111" s="445"/>
      <c r="H111" s="445"/>
      <c r="I111" s="445"/>
      <c r="J111" s="445"/>
      <c r="K111" s="445"/>
      <c r="L111" s="430">
        <f t="shared" si="22"/>
        <v>2487290.2112287674</v>
      </c>
      <c r="O111" s="447">
        <f t="shared" si="23"/>
        <v>2252133.9985630061</v>
      </c>
    </row>
    <row r="112" spans="1:17" x14ac:dyDescent="0.25">
      <c r="A112" s="445">
        <v>41395</v>
      </c>
      <c r="B112" s="445"/>
      <c r="C112" s="446"/>
      <c r="D112" s="445"/>
      <c r="E112" s="445"/>
      <c r="F112" s="445"/>
      <c r="G112" s="445"/>
      <c r="H112" s="445"/>
      <c r="I112" s="445"/>
      <c r="J112" s="445"/>
      <c r="K112" s="445"/>
      <c r="L112" s="430">
        <f t="shared" si="22"/>
        <v>2550127.4011621969</v>
      </c>
      <c r="O112" s="447">
        <f t="shared" si="23"/>
        <v>2297237.8226295835</v>
      </c>
    </row>
    <row r="113" spans="1:17" x14ac:dyDescent="0.25">
      <c r="A113" s="445">
        <v>41426</v>
      </c>
      <c r="B113" s="445"/>
      <c r="C113" s="446"/>
      <c r="D113" s="445"/>
      <c r="E113" s="445"/>
      <c r="F113" s="445"/>
      <c r="G113" s="445"/>
      <c r="H113" s="445"/>
      <c r="I113" s="445"/>
      <c r="J113" s="445"/>
      <c r="K113" s="445"/>
      <c r="L113" s="430">
        <f t="shared" si="22"/>
        <v>2612964.5910956264</v>
      </c>
      <c r="O113" s="447">
        <f t="shared" si="23"/>
        <v>2342341.646696161</v>
      </c>
    </row>
    <row r="114" spans="1:17" x14ac:dyDescent="0.25">
      <c r="A114" s="445">
        <v>41456</v>
      </c>
      <c r="B114" s="445"/>
      <c r="C114" s="446"/>
      <c r="D114" s="445"/>
      <c r="E114" s="445"/>
      <c r="F114" s="445"/>
      <c r="G114" s="445"/>
      <c r="H114" s="445"/>
      <c r="I114" s="445"/>
      <c r="J114" s="445"/>
      <c r="K114" s="445"/>
      <c r="L114" s="430">
        <f t="shared" si="22"/>
        <v>2675801.7810290558</v>
      </c>
      <c r="O114" s="447">
        <f t="shared" si="23"/>
        <v>2387445.4707627385</v>
      </c>
    </row>
    <row r="115" spans="1:17" x14ac:dyDescent="0.25">
      <c r="A115" s="445">
        <v>41487</v>
      </c>
      <c r="B115" s="445"/>
      <c r="C115" s="446"/>
      <c r="D115" s="445"/>
      <c r="E115" s="445"/>
      <c r="F115" s="445"/>
      <c r="G115" s="445"/>
      <c r="H115" s="445"/>
      <c r="I115" s="445"/>
      <c r="J115" s="445"/>
      <c r="K115" s="445"/>
      <c r="L115" s="430">
        <f t="shared" si="22"/>
        <v>2738638.9709624853</v>
      </c>
      <c r="O115" s="447">
        <f t="shared" si="23"/>
        <v>2432549.294829316</v>
      </c>
    </row>
    <row r="116" spans="1:17" x14ac:dyDescent="0.25">
      <c r="A116" s="445">
        <v>41518</v>
      </c>
      <c r="B116" s="445"/>
      <c r="C116" s="446"/>
      <c r="D116" s="445"/>
      <c r="E116" s="445"/>
      <c r="F116" s="445"/>
      <c r="G116" s="445"/>
      <c r="H116" s="445"/>
      <c r="I116" s="445"/>
      <c r="J116" s="445"/>
      <c r="K116" s="445"/>
      <c r="L116" s="430">
        <f t="shared" si="22"/>
        <v>2801476.1608959148</v>
      </c>
      <c r="O116" s="447">
        <f t="shared" si="23"/>
        <v>2477653.1188958935</v>
      </c>
    </row>
    <row r="117" spans="1:17" x14ac:dyDescent="0.25">
      <c r="A117" s="445">
        <v>41548</v>
      </c>
      <c r="B117" s="445"/>
      <c r="C117" s="446"/>
      <c r="D117" s="445"/>
      <c r="E117" s="445"/>
      <c r="F117" s="445"/>
      <c r="G117" s="445"/>
      <c r="H117" s="445"/>
      <c r="I117" s="445"/>
      <c r="J117" s="445"/>
      <c r="K117" s="445"/>
      <c r="L117" s="430">
        <f t="shared" si="22"/>
        <v>2864313.3508293442</v>
      </c>
      <c r="O117" s="447">
        <f t="shared" si="23"/>
        <v>2522756.9429624709</v>
      </c>
    </row>
    <row r="118" spans="1:17" x14ac:dyDescent="0.25">
      <c r="A118" s="445">
        <v>41579</v>
      </c>
      <c r="B118" s="445"/>
      <c r="C118" s="446"/>
      <c r="D118" s="445"/>
      <c r="E118" s="445"/>
      <c r="F118" s="445"/>
      <c r="G118" s="445"/>
      <c r="H118" s="445"/>
      <c r="I118" s="445"/>
      <c r="J118" s="445"/>
      <c r="K118" s="445"/>
      <c r="L118" s="430">
        <f t="shared" si="22"/>
        <v>2927150.5407627737</v>
      </c>
      <c r="O118" s="447">
        <f t="shared" si="23"/>
        <v>2567860.7670290484</v>
      </c>
    </row>
    <row r="119" spans="1:17" x14ac:dyDescent="0.25">
      <c r="A119" s="445">
        <v>41609</v>
      </c>
      <c r="B119" s="445"/>
      <c r="C119" s="446"/>
      <c r="D119" s="445"/>
      <c r="E119" s="445"/>
      <c r="F119" s="445"/>
      <c r="G119" s="445"/>
      <c r="H119" s="445"/>
      <c r="I119" s="445"/>
      <c r="J119" s="445"/>
      <c r="K119" s="445"/>
      <c r="L119" s="430">
        <f t="shared" si="22"/>
        <v>2989987.7306962032</v>
      </c>
      <c r="M119" s="430">
        <f>SUM(L108:L119)</f>
        <v>31732598.232748099</v>
      </c>
      <c r="N119" s="430">
        <f>L119*12</f>
        <v>35879852.768354438</v>
      </c>
      <c r="O119" s="447">
        <f t="shared" si="23"/>
        <v>2612964.5910956259</v>
      </c>
      <c r="P119" s="430">
        <f>SUM(O108:O119)</f>
        <v>28378722.704753395</v>
      </c>
      <c r="Q119" s="430">
        <f>O119*12</f>
        <v>31355575.093147509</v>
      </c>
    </row>
    <row r="120" spans="1:17" x14ac:dyDescent="0.25">
      <c r="A120" s="445">
        <v>41640</v>
      </c>
      <c r="L120" s="430">
        <f t="shared" ref="L120:L131" si="24">L119+$M$12</f>
        <v>3035445.0670362976</v>
      </c>
      <c r="O120" s="447">
        <f>$Q$12+O119</f>
        <v>2667111.8542323881</v>
      </c>
    </row>
    <row r="121" spans="1:17" x14ac:dyDescent="0.25">
      <c r="A121" s="445">
        <v>41671</v>
      </c>
      <c r="L121" s="430">
        <f t="shared" si="24"/>
        <v>3080902.4033763921</v>
      </c>
      <c r="O121" s="447">
        <f t="shared" ref="O121:O131" si="25">$Q$12+O120</f>
        <v>2721259.1173691503</v>
      </c>
    </row>
    <row r="122" spans="1:17" x14ac:dyDescent="0.25">
      <c r="A122" s="445">
        <v>41699</v>
      </c>
      <c r="L122" s="430">
        <f t="shared" si="24"/>
        <v>3126359.7397164865</v>
      </c>
      <c r="O122" s="447">
        <f t="shared" si="25"/>
        <v>2775406.3805059125</v>
      </c>
    </row>
    <row r="123" spans="1:17" x14ac:dyDescent="0.25">
      <c r="A123" s="445">
        <v>41730</v>
      </c>
      <c r="L123" s="430">
        <f t="shared" si="24"/>
        <v>3171817.076056581</v>
      </c>
      <c r="O123" s="447">
        <f t="shared" si="25"/>
        <v>2829553.6436426747</v>
      </c>
    </row>
    <row r="124" spans="1:17" x14ac:dyDescent="0.25">
      <c r="A124" s="445">
        <v>41760</v>
      </c>
      <c r="L124" s="430">
        <f t="shared" si="24"/>
        <v>3217274.4123966754</v>
      </c>
      <c r="O124" s="447">
        <f t="shared" si="25"/>
        <v>2883700.9067794369</v>
      </c>
    </row>
    <row r="125" spans="1:17" x14ac:dyDescent="0.25">
      <c r="A125" s="445">
        <v>41791</v>
      </c>
      <c r="L125" s="430">
        <f t="shared" si="24"/>
        <v>3262731.7487367699</v>
      </c>
      <c r="O125" s="447">
        <f t="shared" si="25"/>
        <v>2937848.1699161991</v>
      </c>
    </row>
    <row r="126" spans="1:17" x14ac:dyDescent="0.25">
      <c r="A126" s="445">
        <v>41821</v>
      </c>
      <c r="L126" s="430">
        <f t="shared" si="24"/>
        <v>3308189.0850768643</v>
      </c>
      <c r="O126" s="447">
        <f t="shared" si="25"/>
        <v>2991995.4330529612</v>
      </c>
    </row>
    <row r="127" spans="1:17" x14ac:dyDescent="0.25">
      <c r="A127" s="445">
        <v>41852</v>
      </c>
      <c r="L127" s="430">
        <f t="shared" si="24"/>
        <v>3353646.4214169588</v>
      </c>
      <c r="O127" s="447">
        <f t="shared" si="25"/>
        <v>3046142.6961897234</v>
      </c>
    </row>
    <row r="128" spans="1:17" x14ac:dyDescent="0.25">
      <c r="A128" s="445">
        <v>41883</v>
      </c>
      <c r="L128" s="430">
        <f t="shared" si="24"/>
        <v>3399103.7577570532</v>
      </c>
      <c r="O128" s="447">
        <f t="shared" si="25"/>
        <v>3100289.9593264856</v>
      </c>
    </row>
    <row r="129" spans="1:17" x14ac:dyDescent="0.25">
      <c r="A129" s="445">
        <v>41913</v>
      </c>
      <c r="L129" s="430">
        <f t="shared" si="24"/>
        <v>3444561.0940971477</v>
      </c>
      <c r="O129" s="447">
        <f t="shared" si="25"/>
        <v>3154437.2224632478</v>
      </c>
    </row>
    <row r="130" spans="1:17" x14ac:dyDescent="0.25">
      <c r="A130" s="445">
        <v>41944</v>
      </c>
      <c r="L130" s="430">
        <f t="shared" si="24"/>
        <v>3490018.4304372421</v>
      </c>
      <c r="O130" s="447">
        <f t="shared" si="25"/>
        <v>3208584.48560001</v>
      </c>
    </row>
    <row r="131" spans="1:17" x14ac:dyDescent="0.25">
      <c r="A131" s="445">
        <v>41974</v>
      </c>
      <c r="L131" s="430">
        <f t="shared" si="24"/>
        <v>3535475.7667773366</v>
      </c>
      <c r="M131" s="430">
        <f>SUM(L120:L131)</f>
        <v>39425525.002881803</v>
      </c>
      <c r="N131" s="430">
        <f>L131*12</f>
        <v>42425709.201328039</v>
      </c>
      <c r="O131" s="447">
        <f t="shared" si="25"/>
        <v>3262731.7487367722</v>
      </c>
      <c r="P131" s="430">
        <f>SUM(O120:O131)</f>
        <v>35579061.617814958</v>
      </c>
      <c r="Q131" s="430">
        <f>O131*12</f>
        <v>39152780.984841265</v>
      </c>
    </row>
    <row r="132" spans="1:17" x14ac:dyDescent="0.25">
      <c r="A132" s="445">
        <v>42005</v>
      </c>
      <c r="L132" s="430">
        <f t="shared" ref="L132:L143" si="26">L131+$M$13</f>
        <v>3648093.8897865033</v>
      </c>
      <c r="O132" s="447">
        <f>$Q$13+O131</f>
        <v>3341769.4784114026</v>
      </c>
    </row>
    <row r="133" spans="1:17" x14ac:dyDescent="0.25">
      <c r="A133" s="445">
        <v>42036</v>
      </c>
      <c r="L133" s="430">
        <f t="shared" si="26"/>
        <v>3760712.01279567</v>
      </c>
      <c r="O133" s="447">
        <f t="shared" ref="O133:O143" si="27">$Q$13+O132</f>
        <v>3420807.2080860329</v>
      </c>
    </row>
    <row r="134" spans="1:17" x14ac:dyDescent="0.25">
      <c r="A134" s="445">
        <v>42064</v>
      </c>
      <c r="L134" s="430">
        <f t="shared" si="26"/>
        <v>3873330.1358048366</v>
      </c>
      <c r="O134" s="447">
        <f t="shared" si="27"/>
        <v>3499844.9377606632</v>
      </c>
    </row>
    <row r="135" spans="1:17" x14ac:dyDescent="0.25">
      <c r="A135" s="445">
        <v>42095</v>
      </c>
      <c r="L135" s="430">
        <f t="shared" si="26"/>
        <v>3985948.2588140033</v>
      </c>
      <c r="O135" s="447">
        <f t="shared" si="27"/>
        <v>3578882.6674352936</v>
      </c>
    </row>
    <row r="136" spans="1:17" x14ac:dyDescent="0.25">
      <c r="A136" s="445">
        <v>42125</v>
      </c>
      <c r="L136" s="430">
        <f t="shared" si="26"/>
        <v>4098566.38182317</v>
      </c>
      <c r="O136" s="447">
        <f t="shared" si="27"/>
        <v>3657920.3971099239</v>
      </c>
    </row>
    <row r="137" spans="1:17" x14ac:dyDescent="0.25">
      <c r="A137" s="445">
        <v>42156</v>
      </c>
      <c r="L137" s="430">
        <f t="shared" si="26"/>
        <v>4211184.5048323367</v>
      </c>
      <c r="O137" s="447">
        <f t="shared" si="27"/>
        <v>3736958.1267845542</v>
      </c>
    </row>
    <row r="138" spans="1:17" x14ac:dyDescent="0.25">
      <c r="A138" s="445">
        <v>42186</v>
      </c>
      <c r="L138" s="430">
        <f t="shared" si="26"/>
        <v>4323802.6278415034</v>
      </c>
      <c r="O138" s="447">
        <f t="shared" si="27"/>
        <v>3815995.8564591845</v>
      </c>
    </row>
    <row r="139" spans="1:17" x14ac:dyDescent="0.25">
      <c r="A139" s="445">
        <v>42217</v>
      </c>
      <c r="L139" s="430">
        <f t="shared" si="26"/>
        <v>4436420.75085067</v>
      </c>
      <c r="O139" s="447">
        <f t="shared" si="27"/>
        <v>3895033.5861338149</v>
      </c>
    </row>
    <row r="140" spans="1:17" x14ac:dyDescent="0.25">
      <c r="A140" s="445">
        <v>42248</v>
      </c>
      <c r="L140" s="430">
        <f t="shared" si="26"/>
        <v>4549038.8738598367</v>
      </c>
      <c r="O140" s="447">
        <f t="shared" si="27"/>
        <v>3974071.3158084452</v>
      </c>
    </row>
    <row r="141" spans="1:17" x14ac:dyDescent="0.25">
      <c r="A141" s="445">
        <v>42278</v>
      </c>
      <c r="L141" s="430">
        <f t="shared" si="26"/>
        <v>4661656.9968690034</v>
      </c>
      <c r="O141" s="447">
        <f t="shared" si="27"/>
        <v>4053109.0454830755</v>
      </c>
    </row>
    <row r="142" spans="1:17" x14ac:dyDescent="0.25">
      <c r="A142" s="445">
        <v>42309</v>
      </c>
      <c r="L142" s="430">
        <f t="shared" si="26"/>
        <v>4774275.1198781701</v>
      </c>
      <c r="O142" s="447">
        <f t="shared" si="27"/>
        <v>4132146.7751577059</v>
      </c>
    </row>
    <row r="143" spans="1:17" x14ac:dyDescent="0.25">
      <c r="A143" s="445">
        <v>42339</v>
      </c>
      <c r="L143" s="430">
        <f t="shared" si="26"/>
        <v>4886893.2428873368</v>
      </c>
      <c r="M143" s="430">
        <f>SUM(L132:L143)</f>
        <v>51209922.796043038</v>
      </c>
      <c r="N143" s="430">
        <f>L143*12</f>
        <v>58642718.914648041</v>
      </c>
      <c r="O143" s="447">
        <f t="shared" si="27"/>
        <v>4211184.5048323357</v>
      </c>
      <c r="P143" s="430">
        <f>SUM(O132:O143)</f>
        <v>45317723.899462432</v>
      </c>
      <c r="Q143" s="430">
        <f>O143*12</f>
        <v>50534214.057988033</v>
      </c>
    </row>
    <row r="144" spans="1:17" x14ac:dyDescent="0.25">
      <c r="A144" s="445">
        <v>42370</v>
      </c>
      <c r="L144" s="430">
        <f t="shared" ref="L144:L155" si="28">L143+$M$14</f>
        <v>4974680.1792275533</v>
      </c>
      <c r="O144" s="447">
        <f>$Q$14+O143</f>
        <v>4311387.0345070278</v>
      </c>
    </row>
    <row r="145" spans="1:17" x14ac:dyDescent="0.25">
      <c r="A145" s="445">
        <v>42401</v>
      </c>
      <c r="L145" s="430">
        <f t="shared" si="28"/>
        <v>5062467.1155677699</v>
      </c>
      <c r="O145" s="447">
        <f t="shared" ref="O145:O155" si="29">$Q$14+O144</f>
        <v>4411589.5641817199</v>
      </c>
    </row>
    <row r="146" spans="1:17" x14ac:dyDescent="0.25">
      <c r="A146" s="445">
        <v>42430</v>
      </c>
      <c r="L146" s="430">
        <f t="shared" si="28"/>
        <v>5150254.0519079864</v>
      </c>
      <c r="O146" s="447">
        <f t="shared" si="29"/>
        <v>4511792.093856412</v>
      </c>
    </row>
    <row r="147" spans="1:17" x14ac:dyDescent="0.25">
      <c r="A147" s="445">
        <v>42461</v>
      </c>
      <c r="L147" s="430">
        <f t="shared" si="28"/>
        <v>5238040.9882482029</v>
      </c>
      <c r="O147" s="447">
        <f t="shared" si="29"/>
        <v>4611994.6235311041</v>
      </c>
    </row>
    <row r="148" spans="1:17" x14ac:dyDescent="0.25">
      <c r="A148" s="445">
        <v>42491</v>
      </c>
      <c r="L148" s="430">
        <f t="shared" si="28"/>
        <v>5325827.9245884195</v>
      </c>
      <c r="O148" s="447">
        <f t="shared" si="29"/>
        <v>4712197.1532057961</v>
      </c>
    </row>
    <row r="149" spans="1:17" x14ac:dyDescent="0.25">
      <c r="A149" s="445">
        <v>42522</v>
      </c>
      <c r="L149" s="430">
        <f t="shared" si="28"/>
        <v>5413614.860928636</v>
      </c>
      <c r="O149" s="447">
        <f t="shared" si="29"/>
        <v>4812399.6828804882</v>
      </c>
    </row>
    <row r="150" spans="1:17" x14ac:dyDescent="0.25">
      <c r="A150" s="445">
        <v>42552</v>
      </c>
      <c r="L150" s="430">
        <f t="shared" si="28"/>
        <v>5501401.7972688526</v>
      </c>
      <c r="O150" s="447">
        <f t="shared" si="29"/>
        <v>4912602.2125551803</v>
      </c>
    </row>
    <row r="151" spans="1:17" x14ac:dyDescent="0.25">
      <c r="A151" s="445">
        <v>42583</v>
      </c>
      <c r="L151" s="430">
        <f t="shared" si="28"/>
        <v>5589188.7336090691</v>
      </c>
      <c r="O151" s="447">
        <f t="shared" si="29"/>
        <v>5012804.7422298724</v>
      </c>
    </row>
    <row r="152" spans="1:17" x14ac:dyDescent="0.25">
      <c r="A152" s="445">
        <v>42614</v>
      </c>
      <c r="L152" s="430">
        <f t="shared" si="28"/>
        <v>5676975.6699492857</v>
      </c>
      <c r="O152" s="447">
        <f t="shared" si="29"/>
        <v>5113007.2719045645</v>
      </c>
    </row>
    <row r="153" spans="1:17" x14ac:dyDescent="0.25">
      <c r="A153" s="445">
        <v>42644</v>
      </c>
      <c r="L153" s="430">
        <f t="shared" si="28"/>
        <v>5764762.6062895022</v>
      </c>
      <c r="O153" s="447">
        <f t="shared" si="29"/>
        <v>5213209.8015792565</v>
      </c>
    </row>
    <row r="154" spans="1:17" x14ac:dyDescent="0.25">
      <c r="A154" s="445">
        <v>42675</v>
      </c>
      <c r="L154" s="430">
        <f t="shared" si="28"/>
        <v>5852549.5426297188</v>
      </c>
      <c r="O154" s="447">
        <f t="shared" si="29"/>
        <v>5313412.3312539486</v>
      </c>
    </row>
    <row r="155" spans="1:17" x14ac:dyDescent="0.25">
      <c r="A155" s="445">
        <v>42705</v>
      </c>
      <c r="L155" s="430">
        <f t="shared" si="28"/>
        <v>5940336.4789699353</v>
      </c>
      <c r="M155" s="430">
        <f>SUM(L144:L155)</f>
        <v>65490099.949184924</v>
      </c>
      <c r="N155" s="430">
        <f>L155*12</f>
        <v>71284037.747639224</v>
      </c>
      <c r="O155" s="447">
        <f t="shared" si="29"/>
        <v>5413614.8609286407</v>
      </c>
      <c r="P155" s="430">
        <f>SUM(O144:O155)</f>
        <v>58350011.372614011</v>
      </c>
      <c r="Q155" s="430">
        <f>O155*12</f>
        <v>64963378.331143692</v>
      </c>
    </row>
    <row r="156" spans="1:17" x14ac:dyDescent="0.25">
      <c r="A156" s="445">
        <v>42736</v>
      </c>
      <c r="L156" s="430">
        <f t="shared" ref="L156:L167" si="30">L155+$M$15</f>
        <v>6149150.0981131941</v>
      </c>
      <c r="O156" s="447">
        <f>$Q$15+O155</f>
        <v>5561915.1386703784</v>
      </c>
    </row>
    <row r="157" spans="1:17" x14ac:dyDescent="0.25">
      <c r="A157" s="445">
        <v>42767</v>
      </c>
      <c r="L157" s="430">
        <f t="shared" si="30"/>
        <v>6357963.7172564529</v>
      </c>
      <c r="O157" s="447">
        <f t="shared" ref="O157:O167" si="31">$Q$15+O156</f>
        <v>5710215.416412116</v>
      </c>
    </row>
    <row r="158" spans="1:17" x14ac:dyDescent="0.25">
      <c r="A158" s="445">
        <v>42795</v>
      </c>
      <c r="L158" s="430">
        <f t="shared" si="30"/>
        <v>6566777.3363997117</v>
      </c>
      <c r="O158" s="447">
        <f t="shared" si="31"/>
        <v>5858515.6941538537</v>
      </c>
    </row>
    <row r="159" spans="1:17" x14ac:dyDescent="0.25">
      <c r="A159" s="445">
        <v>42826</v>
      </c>
      <c r="L159" s="430">
        <f t="shared" si="30"/>
        <v>6775590.9555429704</v>
      </c>
      <c r="O159" s="447">
        <f t="shared" si="31"/>
        <v>6006815.9718955914</v>
      </c>
    </row>
    <row r="160" spans="1:17" x14ac:dyDescent="0.25">
      <c r="A160" s="445">
        <v>42856</v>
      </c>
      <c r="L160" s="430">
        <f t="shared" si="30"/>
        <v>6984404.5746862292</v>
      </c>
      <c r="O160" s="447">
        <f t="shared" si="31"/>
        <v>6155116.249637329</v>
      </c>
    </row>
    <row r="161" spans="1:17" x14ac:dyDescent="0.25">
      <c r="A161" s="445">
        <v>42887</v>
      </c>
      <c r="L161" s="430">
        <f t="shared" si="30"/>
        <v>7193218.193829488</v>
      </c>
      <c r="O161" s="447">
        <f t="shared" si="31"/>
        <v>6303416.5273790667</v>
      </c>
    </row>
    <row r="162" spans="1:17" x14ac:dyDescent="0.25">
      <c r="A162" s="445">
        <v>42917</v>
      </c>
      <c r="L162" s="430">
        <f t="shared" si="30"/>
        <v>7402031.8129727468</v>
      </c>
      <c r="O162" s="447">
        <f t="shared" si="31"/>
        <v>6451716.8051208043</v>
      </c>
    </row>
    <row r="163" spans="1:17" x14ac:dyDescent="0.25">
      <c r="A163" s="445">
        <v>42948</v>
      </c>
      <c r="L163" s="430">
        <f t="shared" si="30"/>
        <v>7610845.4321160056</v>
      </c>
      <c r="O163" s="447">
        <f t="shared" si="31"/>
        <v>6600017.082862542</v>
      </c>
    </row>
    <row r="164" spans="1:17" x14ac:dyDescent="0.25">
      <c r="A164" s="445">
        <v>42979</v>
      </c>
      <c r="L164" s="430">
        <f t="shared" si="30"/>
        <v>7819659.0512592643</v>
      </c>
      <c r="O164" s="447">
        <f t="shared" si="31"/>
        <v>6748317.3606042797</v>
      </c>
    </row>
    <row r="165" spans="1:17" x14ac:dyDescent="0.25">
      <c r="A165" s="445">
        <v>43009</v>
      </c>
      <c r="L165" s="430">
        <f t="shared" si="30"/>
        <v>8028472.6704025231</v>
      </c>
      <c r="O165" s="447">
        <f t="shared" si="31"/>
        <v>6896617.6383460173</v>
      </c>
    </row>
    <row r="166" spans="1:17" x14ac:dyDescent="0.25">
      <c r="A166" s="445">
        <v>43040</v>
      </c>
      <c r="L166" s="430">
        <f t="shared" si="30"/>
        <v>8237286.2895457819</v>
      </c>
      <c r="O166" s="447">
        <f t="shared" si="31"/>
        <v>7044917.916087755</v>
      </c>
    </row>
    <row r="167" spans="1:17" x14ac:dyDescent="0.25">
      <c r="A167" s="445">
        <v>43070</v>
      </c>
      <c r="L167" s="430">
        <f t="shared" si="30"/>
        <v>8446099.9086890407</v>
      </c>
      <c r="M167" s="430">
        <f>SUM(L156:L167)</f>
        <v>87571500.040813401</v>
      </c>
      <c r="N167" s="430">
        <f>L167*12</f>
        <v>101353198.90426849</v>
      </c>
      <c r="O167" s="447">
        <f t="shared" si="31"/>
        <v>7193218.1938294927</v>
      </c>
      <c r="P167" s="430">
        <f>SUM(O156:O167)</f>
        <v>76530799.99499923</v>
      </c>
      <c r="Q167" s="430">
        <f>O167*12</f>
        <v>86318618.325953916</v>
      </c>
    </row>
    <row r="168" spans="1:17" x14ac:dyDescent="0.25">
      <c r="A168" s="445">
        <v>43101</v>
      </c>
      <c r="L168" s="430">
        <f t="shared" ref="L168:L179" si="32">L167+$M$16</f>
        <v>8415612.450412279</v>
      </c>
      <c r="M168" s="430"/>
      <c r="N168" s="430"/>
      <c r="O168" s="447">
        <f>$Q$16+O167</f>
        <v>7282381.2742627412</v>
      </c>
      <c r="P168" s="430"/>
      <c r="Q168" s="430"/>
    </row>
    <row r="169" spans="1:17" x14ac:dyDescent="0.25">
      <c r="A169" s="445">
        <v>43132</v>
      </c>
      <c r="L169" s="430">
        <f t="shared" si="32"/>
        <v>8385124.9921355173</v>
      </c>
      <c r="O169" s="447">
        <f t="shared" ref="O169:O179" si="33">$Q$16+O168</f>
        <v>7371544.3546959898</v>
      </c>
    </row>
    <row r="170" spans="1:17" x14ac:dyDescent="0.25">
      <c r="A170" s="445">
        <v>43160</v>
      </c>
      <c r="L170" s="430">
        <f t="shared" si="32"/>
        <v>8354637.5338587556</v>
      </c>
      <c r="O170" s="447">
        <f t="shared" si="33"/>
        <v>7460707.4351292383</v>
      </c>
    </row>
    <row r="171" spans="1:17" x14ac:dyDescent="0.25">
      <c r="A171" s="445">
        <v>43191</v>
      </c>
      <c r="L171" s="430">
        <f t="shared" si="32"/>
        <v>8324150.0755819939</v>
      </c>
      <c r="O171" s="447">
        <f t="shared" si="33"/>
        <v>7549870.5155624868</v>
      </c>
    </row>
    <row r="172" spans="1:17" x14ac:dyDescent="0.25">
      <c r="A172" s="445">
        <v>43221</v>
      </c>
      <c r="L172" s="430">
        <f t="shared" si="32"/>
        <v>8293662.6173052322</v>
      </c>
      <c r="O172" s="447">
        <f t="shared" si="33"/>
        <v>7639033.5959957354</v>
      </c>
    </row>
    <row r="173" spans="1:17" x14ac:dyDescent="0.25">
      <c r="A173" s="445">
        <v>43252</v>
      </c>
      <c r="L173" s="430">
        <f t="shared" si="32"/>
        <v>8263175.1590284705</v>
      </c>
      <c r="O173" s="447">
        <f t="shared" si="33"/>
        <v>7728196.6764289839</v>
      </c>
    </row>
    <row r="174" spans="1:17" x14ac:dyDescent="0.25">
      <c r="A174" s="445">
        <v>43282</v>
      </c>
      <c r="L174" s="430">
        <f t="shared" si="32"/>
        <v>8232687.7007517088</v>
      </c>
      <c r="O174" s="447">
        <f t="shared" si="33"/>
        <v>7817359.7568622325</v>
      </c>
    </row>
    <row r="175" spans="1:17" x14ac:dyDescent="0.25">
      <c r="A175" s="445">
        <v>43313</v>
      </c>
      <c r="L175" s="430">
        <f t="shared" si="32"/>
        <v>8202200.2424749471</v>
      </c>
      <c r="O175" s="447">
        <f t="shared" si="33"/>
        <v>7906522.837295481</v>
      </c>
    </row>
    <row r="176" spans="1:17" x14ac:dyDescent="0.25">
      <c r="A176" s="445">
        <v>43344</v>
      </c>
      <c r="L176" s="430">
        <f t="shared" si="32"/>
        <v>8171712.7841981854</v>
      </c>
      <c r="O176" s="447">
        <f t="shared" si="33"/>
        <v>7995685.9177287295</v>
      </c>
    </row>
    <row r="177" spans="1:17" x14ac:dyDescent="0.25">
      <c r="A177" s="445">
        <v>43374</v>
      </c>
      <c r="L177" s="430">
        <f t="shared" si="32"/>
        <v>8141225.3259214237</v>
      </c>
      <c r="O177" s="447">
        <f t="shared" si="33"/>
        <v>8084848.9981619781</v>
      </c>
    </row>
    <row r="178" spans="1:17" x14ac:dyDescent="0.25">
      <c r="A178" s="445">
        <v>43405</v>
      </c>
      <c r="L178" s="430">
        <f t="shared" si="32"/>
        <v>8110737.867644662</v>
      </c>
      <c r="O178" s="447">
        <f t="shared" si="33"/>
        <v>8174012.0785952266</v>
      </c>
    </row>
    <row r="179" spans="1:17" x14ac:dyDescent="0.25">
      <c r="A179" s="445">
        <v>43435</v>
      </c>
      <c r="L179" s="430">
        <f t="shared" si="32"/>
        <v>8080250.4093679003</v>
      </c>
      <c r="M179" s="430">
        <f>SUM(L168:L179)</f>
        <v>98975177.15868108</v>
      </c>
      <c r="N179" s="430">
        <f>L179*12</f>
        <v>96963004.912414804</v>
      </c>
      <c r="O179" s="447">
        <f t="shared" si="33"/>
        <v>8263175.1590284752</v>
      </c>
      <c r="P179" s="430">
        <f>SUM(O168:O179)</f>
        <v>93273338.59974727</v>
      </c>
      <c r="Q179" s="430">
        <f>O179*12</f>
        <v>99158101.908341706</v>
      </c>
    </row>
    <row r="180" spans="1:17" x14ac:dyDescent="0.25">
      <c r="A180" s="445">
        <v>43466</v>
      </c>
      <c r="L180" s="430">
        <f t="shared" ref="L180:L191" si="34">L179+$M$17</f>
        <v>8159992.0216205949</v>
      </c>
      <c r="O180" s="447">
        <f>$Q$17+O179</f>
        <v>8287802.2360164411</v>
      </c>
    </row>
    <row r="181" spans="1:17" x14ac:dyDescent="0.25">
      <c r="A181" s="445">
        <v>43497</v>
      </c>
      <c r="L181" s="430">
        <f t="shared" si="34"/>
        <v>8239733.6338732895</v>
      </c>
      <c r="O181" s="447">
        <f t="shared" ref="O181:O191" si="35">$Q$17+O180</f>
        <v>8312429.3130044071</v>
      </c>
    </row>
    <row r="182" spans="1:17" x14ac:dyDescent="0.25">
      <c r="A182" s="445">
        <v>43525</v>
      </c>
      <c r="L182" s="430">
        <f t="shared" si="34"/>
        <v>8319475.246125984</v>
      </c>
      <c r="O182" s="447">
        <f t="shared" si="35"/>
        <v>8337056.3899923731</v>
      </c>
    </row>
    <row r="183" spans="1:17" x14ac:dyDescent="0.25">
      <c r="A183" s="445">
        <v>43556</v>
      </c>
      <c r="L183" s="430">
        <f t="shared" si="34"/>
        <v>8399216.8583786786</v>
      </c>
      <c r="O183" s="447">
        <f t="shared" si="35"/>
        <v>8361683.466980339</v>
      </c>
    </row>
    <row r="184" spans="1:17" x14ac:dyDescent="0.25">
      <c r="A184" s="445">
        <v>43586</v>
      </c>
      <c r="L184" s="430">
        <f t="shared" si="34"/>
        <v>8478958.470631374</v>
      </c>
      <c r="O184" s="447">
        <f t="shared" si="35"/>
        <v>8386310.543968305</v>
      </c>
    </row>
    <row r="185" spans="1:17" x14ac:dyDescent="0.25">
      <c r="A185" s="445">
        <v>43617</v>
      </c>
      <c r="L185" s="430">
        <f t="shared" si="34"/>
        <v>8558700.0828840695</v>
      </c>
      <c r="O185" s="447">
        <f t="shared" si="35"/>
        <v>8410937.62095627</v>
      </c>
    </row>
    <row r="186" spans="1:17" x14ac:dyDescent="0.25">
      <c r="A186" s="445">
        <v>43647</v>
      </c>
      <c r="L186" s="430">
        <f t="shared" si="34"/>
        <v>8638441.695136765</v>
      </c>
      <c r="O186" s="447">
        <f t="shared" si="35"/>
        <v>8435564.6979442351</v>
      </c>
    </row>
    <row r="187" spans="1:17" x14ac:dyDescent="0.25">
      <c r="A187" s="445">
        <v>43678</v>
      </c>
      <c r="L187" s="430">
        <f t="shared" si="34"/>
        <v>8718183.3073894605</v>
      </c>
      <c r="O187" s="447">
        <f t="shared" si="35"/>
        <v>8460191.7749322001</v>
      </c>
    </row>
    <row r="188" spans="1:17" x14ac:dyDescent="0.25">
      <c r="A188" s="445">
        <v>43709</v>
      </c>
      <c r="L188" s="430">
        <f t="shared" si="34"/>
        <v>8797924.919642156</v>
      </c>
      <c r="O188" s="447">
        <f t="shared" si="35"/>
        <v>8484818.8519201651</v>
      </c>
    </row>
    <row r="189" spans="1:17" x14ac:dyDescent="0.25">
      <c r="A189" s="445">
        <v>43739</v>
      </c>
      <c r="L189" s="430">
        <f t="shared" si="34"/>
        <v>8877666.5318948515</v>
      </c>
      <c r="O189" s="447">
        <f t="shared" si="35"/>
        <v>8509445.9289081302</v>
      </c>
    </row>
    <row r="190" spans="1:17" x14ac:dyDescent="0.25">
      <c r="A190" s="445">
        <v>43770</v>
      </c>
      <c r="L190" s="430">
        <f t="shared" si="34"/>
        <v>8957408.144147547</v>
      </c>
      <c r="O190" s="447">
        <f t="shared" si="35"/>
        <v>8534073.0058960952</v>
      </c>
    </row>
    <row r="191" spans="1:17" x14ac:dyDescent="0.25">
      <c r="A191" s="445">
        <v>43800</v>
      </c>
      <c r="L191" s="430">
        <f t="shared" si="34"/>
        <v>9037149.7564002424</v>
      </c>
      <c r="M191" s="430">
        <f>SUM(L180:L191)</f>
        <v>103182850.668125</v>
      </c>
      <c r="N191" s="430">
        <f>L191*12</f>
        <v>108445797.07680291</v>
      </c>
      <c r="O191" s="447">
        <f t="shared" si="35"/>
        <v>8558700.0828840602</v>
      </c>
      <c r="P191" s="430">
        <f>SUM(O180:O191)</f>
        <v>101079013.913403</v>
      </c>
      <c r="Q191" s="430">
        <f>O191*12</f>
        <v>102704400.99460873</v>
      </c>
    </row>
    <row r="192" spans="1:17" x14ac:dyDescent="0.25">
      <c r="A192" s="445">
        <v>43831</v>
      </c>
      <c r="L192" s="430">
        <f t="shared" ref="L192:L203" si="36">L191+$M$18</f>
        <v>9036349.4881358817</v>
      </c>
      <c r="O192" s="447">
        <f>$Q$18+O191</f>
        <v>8598170.7548782285</v>
      </c>
    </row>
    <row r="193" spans="1:17" x14ac:dyDescent="0.25">
      <c r="A193" s="445">
        <v>43862</v>
      </c>
      <c r="L193" s="430">
        <f t="shared" si="36"/>
        <v>9035549.219871521</v>
      </c>
      <c r="O193" s="447">
        <f t="shared" ref="O193:O203" si="37">$Q$18+O192</f>
        <v>8637641.4268723968</v>
      </c>
    </row>
    <row r="194" spans="1:17" x14ac:dyDescent="0.25">
      <c r="A194" s="445">
        <v>43891</v>
      </c>
      <c r="L194" s="430">
        <f t="shared" si="36"/>
        <v>9034748.9516071603</v>
      </c>
      <c r="O194" s="447">
        <f t="shared" si="37"/>
        <v>8677112.0988665652</v>
      </c>
    </row>
    <row r="195" spans="1:17" x14ac:dyDescent="0.25">
      <c r="A195" s="445">
        <v>43922</v>
      </c>
      <c r="L195" s="430">
        <f t="shared" si="36"/>
        <v>9033948.6833427995</v>
      </c>
      <c r="O195" s="447">
        <f t="shared" si="37"/>
        <v>8716582.7708607335</v>
      </c>
    </row>
    <row r="196" spans="1:17" x14ac:dyDescent="0.25">
      <c r="A196" s="445">
        <v>43952</v>
      </c>
      <c r="L196" s="430">
        <f t="shared" si="36"/>
        <v>9033148.4150784388</v>
      </c>
      <c r="O196" s="447">
        <f t="shared" si="37"/>
        <v>8756053.4428549018</v>
      </c>
    </row>
    <row r="197" spans="1:17" x14ac:dyDescent="0.25">
      <c r="A197" s="445">
        <v>43983</v>
      </c>
      <c r="L197" s="430">
        <f t="shared" si="36"/>
        <v>9032348.1468140781</v>
      </c>
      <c r="O197" s="447">
        <f t="shared" si="37"/>
        <v>8795524.1148490701</v>
      </c>
    </row>
    <row r="198" spans="1:17" x14ac:dyDescent="0.25">
      <c r="A198" s="445">
        <v>44013</v>
      </c>
      <c r="L198" s="430">
        <f t="shared" si="36"/>
        <v>9031547.8785497174</v>
      </c>
      <c r="O198" s="447">
        <f t="shared" si="37"/>
        <v>8834994.7868432384</v>
      </c>
    </row>
    <row r="199" spans="1:17" x14ac:dyDescent="0.25">
      <c r="A199" s="445">
        <v>44044</v>
      </c>
      <c r="L199" s="430">
        <f t="shared" si="36"/>
        <v>9030747.6102853566</v>
      </c>
      <c r="O199" s="447">
        <f t="shared" si="37"/>
        <v>8874465.4588374067</v>
      </c>
    </row>
    <row r="200" spans="1:17" x14ac:dyDescent="0.25">
      <c r="A200" s="445">
        <v>44075</v>
      </c>
      <c r="L200" s="430">
        <f t="shared" si="36"/>
        <v>9029947.3420209959</v>
      </c>
      <c r="O200" s="447">
        <f t="shared" si="37"/>
        <v>8913936.130831575</v>
      </c>
    </row>
    <row r="201" spans="1:17" x14ac:dyDescent="0.25">
      <c r="A201" s="445">
        <v>44105</v>
      </c>
      <c r="L201" s="430">
        <f t="shared" si="36"/>
        <v>9029147.0737566352</v>
      </c>
      <c r="O201" s="447">
        <f t="shared" si="37"/>
        <v>8953406.8028257433</v>
      </c>
    </row>
    <row r="202" spans="1:17" x14ac:dyDescent="0.25">
      <c r="A202" s="445">
        <v>44136</v>
      </c>
      <c r="L202" s="430">
        <f t="shared" si="36"/>
        <v>9028346.8054922745</v>
      </c>
      <c r="O202" s="447">
        <f t="shared" si="37"/>
        <v>8992877.4748199116</v>
      </c>
    </row>
    <row r="203" spans="1:17" x14ac:dyDescent="0.25">
      <c r="A203" s="445">
        <v>44166</v>
      </c>
      <c r="L203" s="430">
        <f t="shared" si="36"/>
        <v>9027546.5372279137</v>
      </c>
      <c r="M203" s="430">
        <f>SUM(L192:L203)</f>
        <v>108383376.15218277</v>
      </c>
      <c r="N203" s="430">
        <f>L203*12</f>
        <v>108330558.44673496</v>
      </c>
      <c r="O203" s="447">
        <f t="shared" si="37"/>
        <v>9032348.14681408</v>
      </c>
      <c r="P203" s="430">
        <f>SUM(O192:O203)</f>
        <v>105783113.41015385</v>
      </c>
      <c r="Q203" s="430">
        <f>O203*12</f>
        <v>108388177.76176897</v>
      </c>
    </row>
    <row r="204" spans="1:17" x14ac:dyDescent="0.25">
      <c r="A204" s="445">
        <v>44197</v>
      </c>
      <c r="L204" s="430">
        <f t="shared" ref="L204:L215" si="38">L203+$M$19</f>
        <v>9080476.7894129101</v>
      </c>
      <c r="O204" s="447">
        <f>$Q$19+O203</f>
        <v>9058413.1387743987</v>
      </c>
    </row>
    <row r="205" spans="1:17" x14ac:dyDescent="0.25">
      <c r="A205" s="445">
        <v>44228</v>
      </c>
      <c r="L205" s="430">
        <f t="shared" si="38"/>
        <v>9133407.0415979065</v>
      </c>
      <c r="O205" s="447">
        <f t="shared" ref="O205:O215" si="39">$Q$19+O204</f>
        <v>9084478.1307347175</v>
      </c>
    </row>
    <row r="206" spans="1:17" x14ac:dyDescent="0.25">
      <c r="A206" s="445">
        <v>44256</v>
      </c>
      <c r="L206" s="430">
        <f t="shared" si="38"/>
        <v>9186337.2937829029</v>
      </c>
      <c r="O206" s="447">
        <f t="shared" si="39"/>
        <v>9110543.1226950362</v>
      </c>
    </row>
    <row r="207" spans="1:17" x14ac:dyDescent="0.25">
      <c r="A207" s="445">
        <v>44287</v>
      </c>
      <c r="L207" s="430">
        <f t="shared" si="38"/>
        <v>9239267.5459678993</v>
      </c>
      <c r="O207" s="447">
        <f t="shared" si="39"/>
        <v>9136608.114655355</v>
      </c>
    </row>
    <row r="208" spans="1:17" x14ac:dyDescent="0.25">
      <c r="A208" s="445">
        <v>44317</v>
      </c>
      <c r="L208" s="430">
        <f t="shared" si="38"/>
        <v>9292197.7981528956</v>
      </c>
      <c r="O208" s="447">
        <f t="shared" si="39"/>
        <v>9162673.1066156738</v>
      </c>
    </row>
    <row r="209" spans="1:17" x14ac:dyDescent="0.25">
      <c r="A209" s="445">
        <v>44348</v>
      </c>
      <c r="L209" s="430">
        <f t="shared" si="38"/>
        <v>9345128.050337892</v>
      </c>
      <c r="O209" s="447">
        <f t="shared" si="39"/>
        <v>9188738.0985759925</v>
      </c>
    </row>
    <row r="210" spans="1:17" x14ac:dyDescent="0.25">
      <c r="A210" s="445">
        <v>44378</v>
      </c>
      <c r="L210" s="430">
        <f t="shared" si="38"/>
        <v>9398058.3025228884</v>
      </c>
      <c r="O210" s="447">
        <f t="shared" si="39"/>
        <v>9214803.0905363113</v>
      </c>
    </row>
    <row r="211" spans="1:17" x14ac:dyDescent="0.25">
      <c r="A211" s="445">
        <v>44409</v>
      </c>
      <c r="L211" s="430">
        <f t="shared" si="38"/>
        <v>9450988.5547078848</v>
      </c>
      <c r="O211" s="447">
        <f t="shared" si="39"/>
        <v>9240868.08249663</v>
      </c>
    </row>
    <row r="212" spans="1:17" x14ac:dyDescent="0.25">
      <c r="A212" s="445">
        <v>44440</v>
      </c>
      <c r="L212" s="430">
        <f t="shared" si="38"/>
        <v>9503918.8068928812</v>
      </c>
      <c r="O212" s="447">
        <f t="shared" si="39"/>
        <v>9266933.0744569488</v>
      </c>
    </row>
    <row r="213" spans="1:17" x14ac:dyDescent="0.25">
      <c r="A213" s="445">
        <v>44470</v>
      </c>
      <c r="L213" s="430">
        <f t="shared" si="38"/>
        <v>9556849.0590778776</v>
      </c>
      <c r="O213" s="447">
        <f t="shared" si="39"/>
        <v>9292998.0664172675</v>
      </c>
    </row>
    <row r="214" spans="1:17" x14ac:dyDescent="0.25">
      <c r="A214" s="445">
        <v>44501</v>
      </c>
      <c r="L214" s="430">
        <f t="shared" si="38"/>
        <v>9609779.3112628739</v>
      </c>
      <c r="O214" s="447">
        <f t="shared" si="39"/>
        <v>9319063.0583775863</v>
      </c>
    </row>
    <row r="215" spans="1:17" x14ac:dyDescent="0.25">
      <c r="A215" s="445">
        <v>44531</v>
      </c>
      <c r="L215" s="430">
        <f t="shared" si="38"/>
        <v>9662709.5634478703</v>
      </c>
      <c r="M215" s="430">
        <f>SUM(L204:L215)</f>
        <v>112459118.11716467</v>
      </c>
      <c r="N215" s="430">
        <f>L215*12</f>
        <v>115952514.76137444</v>
      </c>
      <c r="O215" s="447">
        <f t="shared" si="39"/>
        <v>9345128.0503379051</v>
      </c>
      <c r="P215" s="430">
        <f>SUM(O204:O215)</f>
        <v>110421247.1346738</v>
      </c>
      <c r="Q215" s="430">
        <f>O215*12</f>
        <v>112141536.60405487</v>
      </c>
    </row>
    <row r="216" spans="1:17" x14ac:dyDescent="0.25">
      <c r="L216" s="433">
        <f>SUM(L24:L215)</f>
        <v>787857121.46605492</v>
      </c>
      <c r="O216" s="433">
        <f>SUM(O24:O215)</f>
        <v>731627562.40747273</v>
      </c>
    </row>
  </sheetData>
  <mergeCells count="2">
    <mergeCell ref="S2:T2"/>
    <mergeCell ref="V2:W2"/>
  </mergeCells>
  <pageMargins left="0.7" right="0.7" top="0.75" bottom="0.75" header="0.3" footer="0.3"/>
  <pageSetup scale="54" fitToHeight="0" orientation="landscape" r:id="rId1"/>
  <rowBreaks count="4" manualBreakCount="4">
    <brk id="71" max="15" man="1"/>
    <brk id="107" max="15" man="1"/>
    <brk id="143" max="15" man="1"/>
    <brk id="179"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38"/>
  <sheetViews>
    <sheetView topLeftCell="A16" workbookViewId="0">
      <selection activeCell="E10" sqref="E10"/>
    </sheetView>
  </sheetViews>
  <sheetFormatPr defaultRowHeight="13.2" x14ac:dyDescent="0.25"/>
  <cols>
    <col min="1" max="1" width="13.44140625" customWidth="1"/>
    <col min="2" max="2" width="12.44140625" bestFit="1" customWidth="1"/>
    <col min="6" max="6" width="9.44140625" customWidth="1"/>
    <col min="10" max="10" width="19.5546875" bestFit="1" customWidth="1"/>
    <col min="11" max="11" width="19.21875" bestFit="1" customWidth="1"/>
    <col min="12" max="15" width="19.5546875" customWidth="1"/>
    <col min="16" max="16" width="25.77734375" bestFit="1" customWidth="1"/>
    <col min="17" max="17" width="14.5546875" bestFit="1" customWidth="1"/>
    <col min="18" max="18" width="13.5546875" bestFit="1" customWidth="1"/>
    <col min="19" max="19" width="12.44140625" bestFit="1" customWidth="1"/>
    <col min="20" max="20" width="12" bestFit="1" customWidth="1"/>
    <col min="21" max="24" width="14.5546875" bestFit="1" customWidth="1"/>
  </cols>
  <sheetData>
    <row r="1" spans="1:21" x14ac:dyDescent="0.25">
      <c r="A1" t="s">
        <v>205</v>
      </c>
      <c r="D1" s="178" t="s">
        <v>211</v>
      </c>
      <c r="G1" s="283" t="s">
        <v>212</v>
      </c>
    </row>
    <row r="2" spans="1:21" ht="66" x14ac:dyDescent="0.25">
      <c r="B2" s="84" t="s">
        <v>0</v>
      </c>
      <c r="C2" s="11" t="s">
        <v>3</v>
      </c>
      <c r="D2" s="11" t="s">
        <v>4</v>
      </c>
      <c r="E2" s="29" t="s">
        <v>6</v>
      </c>
      <c r="F2" s="11" t="s">
        <v>5</v>
      </c>
      <c r="G2" s="11" t="s">
        <v>155</v>
      </c>
      <c r="H2" s="11" t="s">
        <v>156</v>
      </c>
      <c r="I2" s="238" t="s">
        <v>200</v>
      </c>
      <c r="J2" s="11" t="s">
        <v>206</v>
      </c>
      <c r="K2" s="11" t="s">
        <v>207</v>
      </c>
      <c r="L2" s="11" t="s">
        <v>208</v>
      </c>
      <c r="M2" s="11" t="s">
        <v>209</v>
      </c>
      <c r="N2" s="11" t="s">
        <v>210</v>
      </c>
      <c r="O2" s="11"/>
      <c r="P2" t="s">
        <v>16</v>
      </c>
    </row>
    <row r="3" spans="1:21" ht="15" thickBot="1" x14ac:dyDescent="0.35">
      <c r="A3" s="49">
        <v>42736</v>
      </c>
      <c r="B3" s="273">
        <v>82012700.427619055</v>
      </c>
      <c r="C3" s="102">
        <v>608.9</v>
      </c>
      <c r="D3" s="102">
        <v>0</v>
      </c>
      <c r="E3" s="262">
        <v>158.36073791092818</v>
      </c>
      <c r="F3" s="53">
        <v>31</v>
      </c>
      <c r="G3" s="50">
        <v>0</v>
      </c>
      <c r="H3" s="50">
        <v>0</v>
      </c>
      <c r="I3" s="240">
        <v>133</v>
      </c>
      <c r="J3" s="210">
        <f>$Q$18+$Q$19*$C3+$Q$20*$D3+$Q$21*$E3+$Q$22*$F3+$Q$23*$G3+$Q$24*$H3+$Q$25*$I3</f>
        <v>81757854.762206227</v>
      </c>
      <c r="K3" s="210">
        <f t="shared" ref="K3:K38" si="0">$Q$18+$Q$21*$E3+$Q$22*$F3+$Q$23*$G3+$Q$24*$H3+$Q$25*$I3+$Q$20*D3</f>
        <v>71743057.313677192</v>
      </c>
      <c r="L3" s="282">
        <f>1-(K3/J3)</f>
        <v>0.1224933980674664</v>
      </c>
      <c r="M3" s="210">
        <f>$Q$18+$Q$19*$C3+$Q$21*$E3+$Q$22*$F3+$Q$23*$G3+$Q$24*$H3+$Q$25*$I3</f>
        <v>81757854.762206227</v>
      </c>
      <c r="N3" s="282">
        <f>1-(M3/J3)</f>
        <v>0</v>
      </c>
      <c r="O3" s="282">
        <v>301593274</v>
      </c>
    </row>
    <row r="4" spans="1:21" ht="14.4" x14ac:dyDescent="0.3">
      <c r="A4" s="52">
        <v>42767</v>
      </c>
      <c r="B4" s="255">
        <v>72369248.909999996</v>
      </c>
      <c r="C4" s="102">
        <v>510.4</v>
      </c>
      <c r="D4" s="102">
        <v>0</v>
      </c>
      <c r="E4" s="262">
        <v>158.72558740981373</v>
      </c>
      <c r="F4" s="53">
        <v>28</v>
      </c>
      <c r="G4" s="53">
        <v>0</v>
      </c>
      <c r="H4" s="53">
        <v>0</v>
      </c>
      <c r="I4" s="240">
        <v>134</v>
      </c>
      <c r="J4" s="210">
        <f t="shared" ref="J4:J38" si="1">$Q$18+$Q$19*$C4+$Q$20*$D4+$Q$21*$E4+$Q$22*$F4+$Q$23*$G4+$Q$24*$H4+$Q$25*$I4</f>
        <v>74992002.617983878</v>
      </c>
      <c r="K4" s="210">
        <f t="shared" si="0"/>
        <v>66597270.120481461</v>
      </c>
      <c r="L4" s="282">
        <f t="shared" ref="L4:L38" si="2">1-(K4/J4)</f>
        <v>0.11194170317421648</v>
      </c>
      <c r="M4" s="210">
        <f t="shared" ref="M4:M38" si="3">$Q$18+$Q$19*$C4+$Q$21*$E4+$Q$22*$F4+$Q$23*$G4+$Q$24*$H4+$Q$25*$I4</f>
        <v>74992002.617983878</v>
      </c>
      <c r="N4" s="282">
        <f t="shared" ref="N4:N38" si="4">1-(M4/J4)</f>
        <v>0</v>
      </c>
      <c r="O4" s="282"/>
      <c r="P4" s="214" t="s">
        <v>17</v>
      </c>
      <c r="Q4" s="214"/>
    </row>
    <row r="5" spans="1:21" ht="14.4" x14ac:dyDescent="0.3">
      <c r="A5" s="52">
        <v>42795</v>
      </c>
      <c r="B5" s="255">
        <v>79451353.716190502</v>
      </c>
      <c r="C5" s="102">
        <v>574</v>
      </c>
      <c r="D5" s="102">
        <v>0</v>
      </c>
      <c r="E5" s="262">
        <v>159.09127749051643</v>
      </c>
      <c r="F5" s="53">
        <v>31</v>
      </c>
      <c r="G5" s="53">
        <v>0</v>
      </c>
      <c r="H5" s="53">
        <v>0</v>
      </c>
      <c r="I5" s="240">
        <v>135</v>
      </c>
      <c r="J5" s="210">
        <f t="shared" si="1"/>
        <v>81344632.977168232</v>
      </c>
      <c r="K5" s="210">
        <f t="shared" si="0"/>
        <v>71903848.389459789</v>
      </c>
      <c r="L5" s="282">
        <f t="shared" si="2"/>
        <v>0.11605909624496402</v>
      </c>
      <c r="M5" s="210">
        <f t="shared" si="3"/>
        <v>81344632.977168232</v>
      </c>
      <c r="N5" s="282">
        <f t="shared" si="4"/>
        <v>0</v>
      </c>
      <c r="O5" s="282"/>
      <c r="P5" s="211" t="s">
        <v>18</v>
      </c>
      <c r="Q5" s="278">
        <v>0.95363956380611548</v>
      </c>
    </row>
    <row r="6" spans="1:21" ht="14.4" x14ac:dyDescent="0.3">
      <c r="A6" s="52">
        <v>42826</v>
      </c>
      <c r="B6" s="255">
        <v>69081772.14952381</v>
      </c>
      <c r="C6" s="102">
        <v>257.49999999999994</v>
      </c>
      <c r="D6" s="102">
        <v>0</v>
      </c>
      <c r="E6" s="262">
        <v>159.45781008966438</v>
      </c>
      <c r="F6" s="53">
        <v>30</v>
      </c>
      <c r="G6" s="53">
        <v>1</v>
      </c>
      <c r="H6" s="53">
        <v>0</v>
      </c>
      <c r="I6" s="240">
        <v>136</v>
      </c>
      <c r="J6" s="210">
        <f t="shared" si="1"/>
        <v>70851214.055997998</v>
      </c>
      <c r="K6" s="210">
        <f t="shared" si="0"/>
        <v>66616018.879456341</v>
      </c>
      <c r="L6" s="282">
        <f t="shared" si="2"/>
        <v>5.9775901273820486E-2</v>
      </c>
      <c r="M6" s="210">
        <f t="shared" si="3"/>
        <v>70851214.055997998</v>
      </c>
      <c r="N6" s="282">
        <f t="shared" si="4"/>
        <v>0</v>
      </c>
      <c r="O6" s="282"/>
      <c r="P6" s="211" t="s">
        <v>19</v>
      </c>
      <c r="Q6" s="278">
        <v>0.9094284176563181</v>
      </c>
    </row>
    <row r="7" spans="1:21" ht="14.4" x14ac:dyDescent="0.3">
      <c r="A7" s="52">
        <v>42856</v>
      </c>
      <c r="B7" s="255">
        <v>72897646.65476191</v>
      </c>
      <c r="C7" s="102">
        <v>177</v>
      </c>
      <c r="D7" s="102">
        <v>9</v>
      </c>
      <c r="E7" s="262">
        <v>159.82518714834748</v>
      </c>
      <c r="F7" s="53">
        <v>31</v>
      </c>
      <c r="G7" s="53">
        <v>0</v>
      </c>
      <c r="H7" s="53">
        <v>1</v>
      </c>
      <c r="I7" s="240">
        <v>137</v>
      </c>
      <c r="J7" s="210">
        <f t="shared" si="1"/>
        <v>73756781.066095889</v>
      </c>
      <c r="K7" s="210">
        <f t="shared" si="0"/>
        <v>70845598.36222063</v>
      </c>
      <c r="L7" s="282">
        <f t="shared" si="2"/>
        <v>3.9470034643546259E-2</v>
      </c>
      <c r="M7" s="210">
        <f t="shared" si="3"/>
        <v>72555670.337599128</v>
      </c>
      <c r="N7" s="282">
        <f t="shared" si="4"/>
        <v>1.628474983771877E-2</v>
      </c>
      <c r="O7" s="282"/>
      <c r="P7" s="211" t="s">
        <v>20</v>
      </c>
      <c r="Q7" s="278">
        <v>0.90546591092878204</v>
      </c>
    </row>
    <row r="8" spans="1:21" ht="14.4" x14ac:dyDescent="0.3">
      <c r="A8" s="52">
        <v>42887</v>
      </c>
      <c r="B8" s="255">
        <v>81183346.153333336</v>
      </c>
      <c r="C8" s="102">
        <v>26.699999999999996</v>
      </c>
      <c r="D8" s="102">
        <v>68.2</v>
      </c>
      <c r="E8" s="262">
        <v>160.19341061212776</v>
      </c>
      <c r="F8" s="53">
        <v>30</v>
      </c>
      <c r="G8" s="53">
        <v>0</v>
      </c>
      <c r="H8" s="53">
        <v>0</v>
      </c>
      <c r="I8" s="240">
        <v>138</v>
      </c>
      <c r="J8" s="210">
        <f t="shared" si="1"/>
        <v>79948522.522984713</v>
      </c>
      <c r="K8" s="210">
        <f t="shared" si="0"/>
        <v>79509378.013417095</v>
      </c>
      <c r="L8" s="282">
        <f t="shared" si="2"/>
        <v>5.4928408394460115E-3</v>
      </c>
      <c r="M8" s="210">
        <f t="shared" si="3"/>
        <v>70846772.33593142</v>
      </c>
      <c r="N8" s="282">
        <f t="shared" si="4"/>
        <v>0.11384513309094102</v>
      </c>
      <c r="O8" s="282"/>
      <c r="P8" s="211" t="s">
        <v>21</v>
      </c>
      <c r="Q8" s="276">
        <v>2039349.2936540649</v>
      </c>
    </row>
    <row r="9" spans="1:21" ht="15" thickBot="1" x14ac:dyDescent="0.35">
      <c r="A9" s="52">
        <v>42917</v>
      </c>
      <c r="B9" s="255">
        <v>88137885.460000008</v>
      </c>
      <c r="C9" s="102">
        <v>0</v>
      </c>
      <c r="D9" s="102">
        <v>116.49999999999999</v>
      </c>
      <c r="E9" s="262">
        <v>160.56248243104969</v>
      </c>
      <c r="F9" s="53">
        <v>31</v>
      </c>
      <c r="G9" s="53">
        <v>0</v>
      </c>
      <c r="H9" s="53">
        <v>0</v>
      </c>
      <c r="I9" s="240">
        <v>139</v>
      </c>
      <c r="J9" s="210">
        <f t="shared" si="1"/>
        <v>87780431.827687085</v>
      </c>
      <c r="K9" s="210">
        <f t="shared" si="0"/>
        <v>87780431.827687085</v>
      </c>
      <c r="L9" s="282">
        <f t="shared" si="2"/>
        <v>0</v>
      </c>
      <c r="M9" s="210">
        <f t="shared" si="3"/>
        <v>72232720.731034458</v>
      </c>
      <c r="N9" s="282">
        <f t="shared" si="4"/>
        <v>0.17712046720358787</v>
      </c>
      <c r="O9" s="282"/>
      <c r="P9" s="212" t="s">
        <v>22</v>
      </c>
      <c r="Q9" s="277">
        <v>168</v>
      </c>
    </row>
    <row r="10" spans="1:21" ht="14.4" x14ac:dyDescent="0.3">
      <c r="A10" s="52">
        <v>42948</v>
      </c>
      <c r="B10" s="255">
        <v>85524767.550000012</v>
      </c>
      <c r="C10" s="102">
        <v>11.6</v>
      </c>
      <c r="D10" s="102">
        <v>75.2</v>
      </c>
      <c r="E10" s="262">
        <v>160.93240455965039</v>
      </c>
      <c r="F10" s="53">
        <v>31</v>
      </c>
      <c r="G10" s="53">
        <v>0</v>
      </c>
      <c r="H10" s="53">
        <v>0</v>
      </c>
      <c r="I10" s="240">
        <v>140</v>
      </c>
      <c r="J10" s="210">
        <f t="shared" si="1"/>
        <v>82543202.576960459</v>
      </c>
      <c r="K10" s="210">
        <f t="shared" si="0"/>
        <v>82352413.202017218</v>
      </c>
      <c r="L10" s="282">
        <f t="shared" si="2"/>
        <v>2.311388085110444E-3</v>
      </c>
      <c r="M10" s="210">
        <f t="shared" si="3"/>
        <v>72507255.156631902</v>
      </c>
      <c r="N10" s="282">
        <f t="shared" si="4"/>
        <v>0.12158417782459296</v>
      </c>
      <c r="O10" s="282"/>
    </row>
    <row r="11" spans="1:21" ht="15" thickBot="1" x14ac:dyDescent="0.35">
      <c r="A11" s="52">
        <v>42979</v>
      </c>
      <c r="B11" s="255">
        <v>79856801.436666667</v>
      </c>
      <c r="C11" s="102">
        <v>49.1</v>
      </c>
      <c r="D11" s="102">
        <v>71.499999999999986</v>
      </c>
      <c r="E11" s="262">
        <v>161.30317895697016</v>
      </c>
      <c r="F11" s="53">
        <v>30</v>
      </c>
      <c r="G11" s="53">
        <v>0</v>
      </c>
      <c r="H11" s="53">
        <v>0</v>
      </c>
      <c r="I11" s="240">
        <v>141</v>
      </c>
      <c r="J11" s="210">
        <f t="shared" si="1"/>
        <v>81008587.214458972</v>
      </c>
      <c r="K11" s="210">
        <f t="shared" si="0"/>
        <v>80201021.842932001</v>
      </c>
      <c r="L11" s="282">
        <f t="shared" si="2"/>
        <v>9.9688860069742091E-3</v>
      </c>
      <c r="M11" s="210">
        <f t="shared" si="3"/>
        <v>71466429.760290205</v>
      </c>
      <c r="N11" s="282">
        <f t="shared" si="4"/>
        <v>0.11779192530425486</v>
      </c>
      <c r="O11" s="282"/>
      <c r="P11" t="s">
        <v>23</v>
      </c>
    </row>
    <row r="12" spans="1:21" ht="14.4" x14ac:dyDescent="0.3">
      <c r="A12" s="52">
        <v>43009</v>
      </c>
      <c r="B12" s="255">
        <v>75272544.020000011</v>
      </c>
      <c r="C12" s="102">
        <v>153.99999999999997</v>
      </c>
      <c r="D12" s="102">
        <v>8.1</v>
      </c>
      <c r="E12" s="262">
        <v>161.67480758656268</v>
      </c>
      <c r="F12" s="53">
        <v>31</v>
      </c>
      <c r="G12" s="53">
        <v>0</v>
      </c>
      <c r="H12" s="53">
        <v>0</v>
      </c>
      <c r="I12" s="240">
        <v>142</v>
      </c>
      <c r="J12" s="210">
        <f t="shared" si="1"/>
        <v>76099691.184659243</v>
      </c>
      <c r="K12" s="210">
        <f t="shared" si="0"/>
        <v>73566797.758688688</v>
      </c>
      <c r="L12" s="282">
        <f t="shared" si="2"/>
        <v>3.3283885736466123E-2</v>
      </c>
      <c r="M12" s="210">
        <f t="shared" si="3"/>
        <v>75018691.529012144</v>
      </c>
      <c r="N12" s="282">
        <f t="shared" si="4"/>
        <v>1.4205046549058964E-2</v>
      </c>
      <c r="O12" s="282"/>
      <c r="P12" s="213"/>
      <c r="Q12" s="213" t="s">
        <v>27</v>
      </c>
      <c r="R12" s="213" t="s">
        <v>28</v>
      </c>
      <c r="S12" s="213" t="s">
        <v>29</v>
      </c>
      <c r="T12" s="213" t="s">
        <v>30</v>
      </c>
      <c r="U12" s="213" t="s">
        <v>31</v>
      </c>
    </row>
    <row r="13" spans="1:21" ht="14.4" x14ac:dyDescent="0.3">
      <c r="A13" s="52">
        <v>43040</v>
      </c>
      <c r="B13" s="255">
        <v>77511184.826666668</v>
      </c>
      <c r="C13" s="102">
        <v>414.2</v>
      </c>
      <c r="D13" s="102">
        <v>0</v>
      </c>
      <c r="E13" s="262">
        <v>162.04729241650554</v>
      </c>
      <c r="F13" s="53">
        <v>30</v>
      </c>
      <c r="G13" s="53">
        <v>0</v>
      </c>
      <c r="H13" s="53">
        <v>0</v>
      </c>
      <c r="I13" s="240">
        <v>143</v>
      </c>
      <c r="J13" s="210">
        <f t="shared" si="1"/>
        <v>77641924.632937491</v>
      </c>
      <c r="K13" s="210">
        <f t="shared" si="0"/>
        <v>70829428.15867123</v>
      </c>
      <c r="L13" s="282">
        <f t="shared" si="2"/>
        <v>8.7742498739865615E-2</v>
      </c>
      <c r="M13" s="210">
        <f t="shared" si="3"/>
        <v>77641924.632937491</v>
      </c>
      <c r="N13" s="282">
        <f t="shared" si="4"/>
        <v>0</v>
      </c>
      <c r="O13" s="282"/>
      <c r="P13" s="211" t="s">
        <v>24</v>
      </c>
      <c r="Q13" s="211">
        <v>7</v>
      </c>
      <c r="R13" s="211">
        <v>6681589372874797</v>
      </c>
      <c r="S13" s="211">
        <v>954512767553542.37</v>
      </c>
      <c r="T13" s="211">
        <v>229.50835927584825</v>
      </c>
      <c r="U13" s="211">
        <v>5.2145963421947718E-80</v>
      </c>
    </row>
    <row r="14" spans="1:21" ht="14.4" x14ac:dyDescent="0.3">
      <c r="A14" s="55">
        <v>43070</v>
      </c>
      <c r="B14" s="272">
        <v>81896985.716666654</v>
      </c>
      <c r="C14" s="274">
        <v>718.49999999999989</v>
      </c>
      <c r="D14" s="274">
        <v>0</v>
      </c>
      <c r="E14" s="271">
        <v>162.42063541941036</v>
      </c>
      <c r="F14" s="56">
        <v>31</v>
      </c>
      <c r="G14" s="56">
        <v>0</v>
      </c>
      <c r="H14" s="56">
        <v>0</v>
      </c>
      <c r="I14" s="240">
        <v>144</v>
      </c>
      <c r="J14" s="210">
        <f t="shared" si="1"/>
        <v>84475024.253200367</v>
      </c>
      <c r="K14" s="210">
        <f t="shared" si="0"/>
        <v>72657596.158655927</v>
      </c>
      <c r="L14" s="282">
        <f t="shared" si="2"/>
        <v>0.13989256823559582</v>
      </c>
      <c r="M14" s="210">
        <f t="shared" si="3"/>
        <v>84475024.253200367</v>
      </c>
      <c r="N14" s="282">
        <f t="shared" si="4"/>
        <v>0</v>
      </c>
      <c r="O14" s="282"/>
      <c r="P14" s="211" t="s">
        <v>25</v>
      </c>
      <c r="Q14" s="211">
        <v>160</v>
      </c>
      <c r="R14" s="211">
        <v>665431286644373.25</v>
      </c>
      <c r="S14" s="211">
        <v>4158945541527.333</v>
      </c>
      <c r="T14" s="211"/>
      <c r="U14" s="211"/>
    </row>
    <row r="15" spans="1:21" ht="15" thickBot="1" x14ac:dyDescent="0.35">
      <c r="A15" s="49">
        <v>43101</v>
      </c>
      <c r="B15" s="255">
        <v>87797855.87333335</v>
      </c>
      <c r="C15" s="102">
        <v>732.29999999999984</v>
      </c>
      <c r="D15" s="102">
        <v>0</v>
      </c>
      <c r="E15" s="275">
        <v>162.79483857243417</v>
      </c>
      <c r="F15" s="50">
        <v>31</v>
      </c>
      <c r="G15" s="50">
        <v>0</v>
      </c>
      <c r="H15" s="50">
        <v>0</v>
      </c>
      <c r="I15" s="240">
        <v>145</v>
      </c>
      <c r="J15" s="210">
        <f t="shared" si="1"/>
        <v>84788825.050666243</v>
      </c>
      <c r="K15" s="210">
        <f t="shared" si="0"/>
        <v>72744423.389378995</v>
      </c>
      <c r="L15" s="282">
        <f t="shared" si="2"/>
        <v>0.14205175804818637</v>
      </c>
      <c r="M15" s="210">
        <f t="shared" si="3"/>
        <v>84788825.050666243</v>
      </c>
      <c r="N15" s="282">
        <f t="shared" si="4"/>
        <v>0</v>
      </c>
      <c r="O15" s="282"/>
      <c r="P15" s="212" t="s">
        <v>10</v>
      </c>
      <c r="Q15" s="212">
        <v>167</v>
      </c>
      <c r="R15" s="212">
        <v>7347020659519170</v>
      </c>
      <c r="S15" s="212"/>
      <c r="T15" s="212"/>
      <c r="U15" s="212"/>
    </row>
    <row r="16" spans="1:21" ht="15" thickBot="1" x14ac:dyDescent="0.35">
      <c r="A16" s="52">
        <v>43132</v>
      </c>
      <c r="B16" s="255">
        <v>75524407.346666679</v>
      </c>
      <c r="C16" s="102">
        <v>555.00000000000023</v>
      </c>
      <c r="D16" s="102">
        <v>0</v>
      </c>
      <c r="E16" s="275">
        <v>163.16990385728852</v>
      </c>
      <c r="F16" s="53">
        <v>28</v>
      </c>
      <c r="G16" s="53">
        <v>0</v>
      </c>
      <c r="H16" s="53">
        <v>0</v>
      </c>
      <c r="I16" s="240">
        <v>146</v>
      </c>
      <c r="J16" s="210">
        <f t="shared" si="1"/>
        <v>76734275.935641125</v>
      </c>
      <c r="K16" s="210">
        <f t="shared" si="0"/>
        <v>67605991.186201781</v>
      </c>
      <c r="L16" s="282">
        <f t="shared" si="2"/>
        <v>0.11895967790320272</v>
      </c>
      <c r="M16" s="210">
        <f t="shared" si="3"/>
        <v>76734275.935641125</v>
      </c>
      <c r="N16" s="282">
        <f t="shared" si="4"/>
        <v>0</v>
      </c>
      <c r="O16" s="282"/>
    </row>
    <row r="17" spans="1:24" ht="14.4" x14ac:dyDescent="0.3">
      <c r="A17" s="52">
        <v>43160</v>
      </c>
      <c r="B17" s="255">
        <v>80653977.300000027</v>
      </c>
      <c r="C17" s="102">
        <v>553.99999999999989</v>
      </c>
      <c r="D17" s="102">
        <v>0</v>
      </c>
      <c r="E17" s="275">
        <v>163.5458332602509</v>
      </c>
      <c r="F17" s="53">
        <v>31</v>
      </c>
      <c r="G17" s="53">
        <v>0</v>
      </c>
      <c r="H17" s="53">
        <v>0</v>
      </c>
      <c r="I17" s="240">
        <v>147</v>
      </c>
      <c r="J17" s="210">
        <f t="shared" si="1"/>
        <v>82031778.779992536</v>
      </c>
      <c r="K17" s="210">
        <f t="shared" si="0"/>
        <v>72919941.390462086</v>
      </c>
      <c r="L17" s="282">
        <f t="shared" si="2"/>
        <v>0.11107692073785458</v>
      </c>
      <c r="M17" s="210">
        <f t="shared" si="3"/>
        <v>82031778.779992536</v>
      </c>
      <c r="N17" s="282">
        <f t="shared" si="4"/>
        <v>0</v>
      </c>
      <c r="O17" s="282"/>
      <c r="P17" s="213"/>
      <c r="Q17" s="213" t="s">
        <v>32</v>
      </c>
      <c r="R17" s="213" t="s">
        <v>21</v>
      </c>
      <c r="S17" s="213" t="s">
        <v>33</v>
      </c>
      <c r="T17" s="213" t="s">
        <v>34</v>
      </c>
      <c r="U17" s="213" t="s">
        <v>35</v>
      </c>
      <c r="V17" s="213" t="s">
        <v>36</v>
      </c>
      <c r="W17" s="213" t="s">
        <v>37</v>
      </c>
      <c r="X17" s="213" t="s">
        <v>38</v>
      </c>
    </row>
    <row r="18" spans="1:24" ht="14.4" x14ac:dyDescent="0.3">
      <c r="A18" s="52">
        <v>43191</v>
      </c>
      <c r="B18" s="255">
        <v>74875482.756666675</v>
      </c>
      <c r="C18" s="102">
        <v>437.20000000000005</v>
      </c>
      <c r="D18" s="102">
        <v>0</v>
      </c>
      <c r="E18" s="275">
        <v>163.92262877217499</v>
      </c>
      <c r="F18" s="53">
        <v>30</v>
      </c>
      <c r="G18" s="53">
        <v>1</v>
      </c>
      <c r="H18" s="53">
        <v>0</v>
      </c>
      <c r="I18" s="240">
        <v>148</v>
      </c>
      <c r="J18" s="210">
        <f t="shared" si="1"/>
        <v>74830286.552215397</v>
      </c>
      <c r="K18" s="210">
        <f t="shared" si="0"/>
        <v>67639500.800044447</v>
      </c>
      <c r="L18" s="282">
        <f t="shared" si="2"/>
        <v>9.6094590619445697E-2</v>
      </c>
      <c r="M18" s="210">
        <f t="shared" si="3"/>
        <v>74830286.552215397</v>
      </c>
      <c r="N18" s="282">
        <f t="shared" si="4"/>
        <v>0</v>
      </c>
      <c r="O18" s="282"/>
      <c r="P18" s="211" t="s">
        <v>26</v>
      </c>
      <c r="Q18" s="276">
        <v>-71987767.634349868</v>
      </c>
      <c r="R18" s="276">
        <v>8770105.250615241</v>
      </c>
      <c r="S18" s="276">
        <v>-8.2083128511256778</v>
      </c>
      <c r="T18" s="276">
        <v>7.0329408383354689E-14</v>
      </c>
      <c r="U18" s="276">
        <v>-89307862.175161093</v>
      </c>
      <c r="V18" s="276">
        <v>-54667673.093538642</v>
      </c>
      <c r="W18" s="276">
        <v>-89307862.175161093</v>
      </c>
      <c r="X18" s="276">
        <v>-54667673.093538642</v>
      </c>
    </row>
    <row r="19" spans="1:24" ht="14.4" x14ac:dyDescent="0.3">
      <c r="A19" s="52">
        <v>43221</v>
      </c>
      <c r="B19" s="255">
        <v>79075609.466666639</v>
      </c>
      <c r="C19" s="102">
        <v>75.3</v>
      </c>
      <c r="D19" s="102">
        <v>43.4</v>
      </c>
      <c r="E19" s="275">
        <v>164.30029238850122</v>
      </c>
      <c r="F19" s="53">
        <v>31</v>
      </c>
      <c r="G19" s="53">
        <v>0</v>
      </c>
      <c r="H19" s="53">
        <v>1</v>
      </c>
      <c r="I19" s="240">
        <v>149</v>
      </c>
      <c r="J19" s="210">
        <f t="shared" si="1"/>
        <v>77705884.544778839</v>
      </c>
      <c r="K19" s="210">
        <f t="shared" si="0"/>
        <v>76467398.343638688</v>
      </c>
      <c r="L19" s="282">
        <f t="shared" si="2"/>
        <v>1.5938126287288523E-2</v>
      </c>
      <c r="M19" s="210">
        <f t="shared" si="3"/>
        <v>71913861.698472202</v>
      </c>
      <c r="N19" s="282">
        <f t="shared" si="4"/>
        <v>7.4537763519941902E-2</v>
      </c>
      <c r="O19" s="282"/>
      <c r="P19" s="211" t="s">
        <v>3</v>
      </c>
      <c r="Q19" s="276">
        <v>16447.359908899725</v>
      </c>
      <c r="R19" s="276">
        <v>921.80496134869952</v>
      </c>
      <c r="S19" s="276">
        <v>17.842559541918146</v>
      </c>
      <c r="T19" s="276">
        <v>6.8504030200684409E-40</v>
      </c>
      <c r="U19" s="276">
        <v>14626.885852715703</v>
      </c>
      <c r="V19" s="276">
        <v>18267.833965083748</v>
      </c>
      <c r="W19" s="276">
        <v>14626.885852715703</v>
      </c>
      <c r="X19" s="276">
        <v>18267.833965083748</v>
      </c>
    </row>
    <row r="20" spans="1:24" ht="14.4" x14ac:dyDescent="0.3">
      <c r="A20" s="52">
        <v>43252</v>
      </c>
      <c r="B20" s="255">
        <v>83439065.196666688</v>
      </c>
      <c r="C20" s="102">
        <v>14.799999999999999</v>
      </c>
      <c r="D20" s="102">
        <v>60.5</v>
      </c>
      <c r="E20" s="275">
        <v>164.67882610926736</v>
      </c>
      <c r="F20" s="53">
        <v>30</v>
      </c>
      <c r="G20" s="53">
        <v>0</v>
      </c>
      <c r="H20" s="53">
        <v>0</v>
      </c>
      <c r="I20" s="240">
        <v>150</v>
      </c>
      <c r="J20" s="210">
        <f t="shared" si="1"/>
        <v>79763492.85274905</v>
      </c>
      <c r="K20" s="210">
        <f t="shared" si="0"/>
        <v>79520071.926097333</v>
      </c>
      <c r="L20" s="282">
        <f t="shared" si="2"/>
        <v>3.0517836913322993E-3</v>
      </c>
      <c r="M20" s="210">
        <f t="shared" si="3"/>
        <v>71689359.622298539</v>
      </c>
      <c r="N20" s="282">
        <f t="shared" si="4"/>
        <v>0.10122592356074633</v>
      </c>
      <c r="O20" s="282"/>
      <c r="P20" s="211" t="s">
        <v>4</v>
      </c>
      <c r="Q20" s="276">
        <v>133456.74761075221</v>
      </c>
      <c r="R20" s="276">
        <v>4857.2586470302558</v>
      </c>
      <c r="S20" s="276">
        <v>27.475734217354908</v>
      </c>
      <c r="T20" s="276">
        <v>1.8175163921847463E-62</v>
      </c>
      <c r="U20" s="276">
        <v>123864.13993140479</v>
      </c>
      <c r="V20" s="276">
        <v>143049.35529009963</v>
      </c>
      <c r="W20" s="276">
        <v>123864.13993140479</v>
      </c>
      <c r="X20" s="276">
        <v>143049.35529009963</v>
      </c>
    </row>
    <row r="21" spans="1:24" ht="14.4" x14ac:dyDescent="0.3">
      <c r="A21" s="52">
        <v>43282</v>
      </c>
      <c r="B21" s="255">
        <v>97473832.093333334</v>
      </c>
      <c r="C21" s="102">
        <v>0</v>
      </c>
      <c r="D21" s="102">
        <v>167.8</v>
      </c>
      <c r="E21" s="275">
        <v>165.05823193911908</v>
      </c>
      <c r="F21" s="53">
        <v>31</v>
      </c>
      <c r="G21" s="53">
        <v>0</v>
      </c>
      <c r="H21" s="53">
        <v>0</v>
      </c>
      <c r="I21" s="240">
        <v>151</v>
      </c>
      <c r="J21" s="210">
        <f t="shared" si="1"/>
        <v>95672513.957042202</v>
      </c>
      <c r="K21" s="210">
        <f t="shared" si="0"/>
        <v>95672513.957042217</v>
      </c>
      <c r="L21" s="282">
        <f t="shared" si="2"/>
        <v>0</v>
      </c>
      <c r="M21" s="210">
        <f t="shared" si="3"/>
        <v>73278471.707957998</v>
      </c>
      <c r="N21" s="282">
        <f t="shared" si="4"/>
        <v>0.23406975862617474</v>
      </c>
      <c r="O21" s="282"/>
      <c r="P21" s="211" t="s">
        <v>6</v>
      </c>
      <c r="Q21" s="276">
        <v>719963.20606056566</v>
      </c>
      <c r="R21" s="276">
        <v>47817.138014491524</v>
      </c>
      <c r="S21" s="276">
        <v>15.056593429794411</v>
      </c>
      <c r="T21" s="276">
        <v>1.7900482348346579E-32</v>
      </c>
      <c r="U21" s="276">
        <v>625529.06560097286</v>
      </c>
      <c r="V21" s="276">
        <v>814397.34652015846</v>
      </c>
      <c r="W21" s="276">
        <v>625529.06560097286</v>
      </c>
      <c r="X21" s="276">
        <v>814397.34652015846</v>
      </c>
    </row>
    <row r="22" spans="1:24" ht="14.4" x14ac:dyDescent="0.3">
      <c r="A22" s="52">
        <v>43313</v>
      </c>
      <c r="B22" s="255">
        <v>96389281.906666666</v>
      </c>
      <c r="C22" s="102">
        <v>1.2</v>
      </c>
      <c r="D22" s="102">
        <v>162.4</v>
      </c>
      <c r="E22" s="275">
        <v>165.4385118873206</v>
      </c>
      <c r="F22" s="53">
        <v>31</v>
      </c>
      <c r="G22" s="53">
        <v>0</v>
      </c>
      <c r="H22" s="53">
        <v>0</v>
      </c>
      <c r="I22" s="240">
        <v>152</v>
      </c>
      <c r="J22" s="210">
        <f t="shared" si="1"/>
        <v>95062786.651496574</v>
      </c>
      <c r="K22" s="210">
        <f t="shared" si="0"/>
        <v>95043049.819605917</v>
      </c>
      <c r="L22" s="282">
        <f t="shared" si="2"/>
        <v>2.076189073124679E-4</v>
      </c>
      <c r="M22" s="210">
        <f t="shared" si="3"/>
        <v>73389410.839510426</v>
      </c>
      <c r="N22" s="282">
        <f t="shared" si="4"/>
        <v>0.22799011658938095</v>
      </c>
      <c r="O22" s="282"/>
      <c r="P22" s="211" t="s">
        <v>5</v>
      </c>
      <c r="Q22" s="276">
        <v>1741960.0456989997</v>
      </c>
      <c r="R22" s="276">
        <v>202810.3781436453</v>
      </c>
      <c r="S22" s="276">
        <v>8.589107035071029</v>
      </c>
      <c r="T22" s="276">
        <v>7.4148598122891316E-15</v>
      </c>
      <c r="U22" s="276">
        <v>1341429.5135187628</v>
      </c>
      <c r="V22" s="276">
        <v>2142490.5778792365</v>
      </c>
      <c r="W22" s="276">
        <v>1341429.5135187628</v>
      </c>
      <c r="X22" s="276">
        <v>2142490.5778792365</v>
      </c>
    </row>
    <row r="23" spans="1:24" ht="14.4" x14ac:dyDescent="0.3">
      <c r="A23" s="52">
        <v>43344</v>
      </c>
      <c r="B23" s="255">
        <v>82760039.920000017</v>
      </c>
      <c r="C23" s="102">
        <v>41.399999999999991</v>
      </c>
      <c r="D23" s="102">
        <v>76.399999999999977</v>
      </c>
      <c r="E23" s="275">
        <v>165.8196679677653</v>
      </c>
      <c r="F23" s="53">
        <v>30</v>
      </c>
      <c r="G23" s="53">
        <v>0</v>
      </c>
      <c r="H23" s="53">
        <v>0</v>
      </c>
      <c r="I23" s="240">
        <v>153</v>
      </c>
      <c r="J23" s="210">
        <f t="shared" si="1"/>
        <v>82596563.262251168</v>
      </c>
      <c r="K23" s="210">
        <f t="shared" si="0"/>
        <v>81915642.562022731</v>
      </c>
      <c r="L23" s="282">
        <f t="shared" si="2"/>
        <v>8.2439350178100668E-3</v>
      </c>
      <c r="M23" s="210">
        <f t="shared" si="3"/>
        <v>72400467.74478972</v>
      </c>
      <c r="N23" s="282">
        <f t="shared" si="4"/>
        <v>0.12344454920101178</v>
      </c>
      <c r="O23" s="282"/>
      <c r="P23" s="211" t="s">
        <v>155</v>
      </c>
      <c r="Q23" s="276">
        <v>-3627174.1784667852</v>
      </c>
      <c r="R23" s="276">
        <v>599658.10883249424</v>
      </c>
      <c r="S23" s="276">
        <v>-6.0487369803582256</v>
      </c>
      <c r="T23" s="276">
        <v>9.9646252038256126E-9</v>
      </c>
      <c r="U23" s="276">
        <v>-4811439.9130672067</v>
      </c>
      <c r="V23" s="276">
        <v>-2442908.4438663637</v>
      </c>
      <c r="W23" s="276">
        <v>-4811439.9130672067</v>
      </c>
      <c r="X23" s="276">
        <v>-2442908.4438663637</v>
      </c>
    </row>
    <row r="24" spans="1:24" ht="14.4" x14ac:dyDescent="0.3">
      <c r="A24" s="52">
        <v>43374</v>
      </c>
      <c r="B24" s="255">
        <v>78741372.843333334</v>
      </c>
      <c r="C24" s="102">
        <v>289.40000000000003</v>
      </c>
      <c r="D24" s="102">
        <v>8.1999999999999993</v>
      </c>
      <c r="E24" s="275">
        <v>166.2017021989864</v>
      </c>
      <c r="F24" s="53">
        <v>31</v>
      </c>
      <c r="G24" s="53">
        <v>0</v>
      </c>
      <c r="H24" s="53">
        <v>0</v>
      </c>
      <c r="I24" s="240">
        <v>154</v>
      </c>
      <c r="J24" s="210">
        <f t="shared" si="1"/>
        <v>79408183.697192878</v>
      </c>
      <c r="K24" s="210">
        <f t="shared" si="0"/>
        <v>74648317.739557311</v>
      </c>
      <c r="L24" s="282">
        <f t="shared" si="2"/>
        <v>5.994175582439154E-2</v>
      </c>
      <c r="M24" s="210">
        <f t="shared" si="3"/>
        <v>78313838.366784722</v>
      </c>
      <c r="N24" s="282">
        <f t="shared" si="4"/>
        <v>1.3781266356389987E-2</v>
      </c>
      <c r="O24" s="282"/>
      <c r="P24" s="211" t="s">
        <v>156</v>
      </c>
      <c r="Q24" s="276">
        <v>-2422578.1638548952</v>
      </c>
      <c r="R24" s="276">
        <v>627346.10322530475</v>
      </c>
      <c r="S24" s="276">
        <v>-3.8616294122175359</v>
      </c>
      <c r="T24" s="276">
        <v>1.6319725804017854E-4</v>
      </c>
      <c r="U24" s="276">
        <v>-3661524.9617749713</v>
      </c>
      <c r="V24" s="276">
        <v>-1183631.3659348192</v>
      </c>
      <c r="W24" s="276">
        <v>-3661524.9617749713</v>
      </c>
      <c r="X24" s="276">
        <v>-1183631.3659348192</v>
      </c>
    </row>
    <row r="25" spans="1:24" ht="15" thickBot="1" x14ac:dyDescent="0.35">
      <c r="A25" s="52">
        <v>43405</v>
      </c>
      <c r="B25" s="255">
        <v>81188914.796666682</v>
      </c>
      <c r="C25" s="102">
        <v>494.1</v>
      </c>
      <c r="D25" s="102">
        <v>0</v>
      </c>
      <c r="E25" s="275">
        <v>166.58461660416765</v>
      </c>
      <c r="F25" s="53">
        <v>30</v>
      </c>
      <c r="G25" s="53">
        <v>0</v>
      </c>
      <c r="H25" s="53">
        <v>0</v>
      </c>
      <c r="I25" s="240">
        <v>155</v>
      </c>
      <c r="J25" s="210">
        <f t="shared" si="1"/>
        <v>80031751.906192616</v>
      </c>
      <c r="K25" s="210">
        <f t="shared" si="0"/>
        <v>71905111.375205263</v>
      </c>
      <c r="L25" s="282">
        <f t="shared" si="2"/>
        <v>0.10154270445701108</v>
      </c>
      <c r="M25" s="210">
        <f t="shared" si="3"/>
        <v>80031751.906192616</v>
      </c>
      <c r="N25" s="282">
        <f t="shared" si="4"/>
        <v>0</v>
      </c>
      <c r="O25" s="282"/>
      <c r="P25" s="212" t="s">
        <v>200</v>
      </c>
      <c r="Q25" s="277">
        <v>-182585.27104594547</v>
      </c>
      <c r="R25" s="277">
        <v>10492.590212870597</v>
      </c>
      <c r="S25" s="277">
        <v>-17.401353463892992</v>
      </c>
      <c r="T25" s="277">
        <v>9.7165156569495604E-39</v>
      </c>
      <c r="U25" s="277">
        <v>-203307.10382579273</v>
      </c>
      <c r="V25" s="277">
        <v>-161863.43826609821</v>
      </c>
      <c r="W25" s="277">
        <v>-203307.10382579273</v>
      </c>
      <c r="X25" s="277">
        <v>-161863.43826609821</v>
      </c>
    </row>
    <row r="26" spans="1:24" ht="14.4" x14ac:dyDescent="0.3">
      <c r="A26" s="55">
        <v>43435</v>
      </c>
      <c r="B26" s="272">
        <v>79969358.379999995</v>
      </c>
      <c r="C26" s="274">
        <v>563.60000000000014</v>
      </c>
      <c r="D26" s="274">
        <v>0</v>
      </c>
      <c r="E26" s="271">
        <v>165.66904812779856</v>
      </c>
      <c r="F26" s="56">
        <v>31</v>
      </c>
      <c r="G26" s="56">
        <v>0</v>
      </c>
      <c r="H26" s="56">
        <v>0</v>
      </c>
      <c r="I26" s="240">
        <v>156</v>
      </c>
      <c r="J26" s="210">
        <f t="shared" si="1"/>
        <v>82075042.578899518</v>
      </c>
      <c r="K26" s="210">
        <f t="shared" si="0"/>
        <v>72805310.534243628</v>
      </c>
      <c r="L26" s="282">
        <f t="shared" si="2"/>
        <v>0.11294215334393287</v>
      </c>
      <c r="M26" s="210">
        <f t="shared" si="3"/>
        <v>82075042.578899518</v>
      </c>
      <c r="N26" s="282">
        <f t="shared" si="4"/>
        <v>0</v>
      </c>
      <c r="O26" s="282"/>
    </row>
    <row r="27" spans="1:24" ht="14.4" x14ac:dyDescent="0.3">
      <c r="A27" s="49">
        <v>43466</v>
      </c>
      <c r="B27" s="255">
        <v>87984415.116500005</v>
      </c>
      <c r="C27" s="102">
        <v>764.5</v>
      </c>
      <c r="D27" s="102">
        <v>0</v>
      </c>
      <c r="E27" s="275">
        <v>166.05073534388285</v>
      </c>
      <c r="F27" s="50">
        <v>31</v>
      </c>
      <c r="G27" s="50">
        <v>0</v>
      </c>
      <c r="H27" s="50">
        <v>0</v>
      </c>
      <c r="I27" s="240">
        <v>157</v>
      </c>
      <c r="J27" s="210">
        <f t="shared" si="1"/>
        <v>85471532.665355906</v>
      </c>
      <c r="K27" s="210">
        <f t="shared" si="0"/>
        <v>72897526.015002072</v>
      </c>
      <c r="L27" s="282">
        <f t="shared" si="2"/>
        <v>0.14711338685810704</v>
      </c>
      <c r="M27" s="210">
        <f t="shared" si="3"/>
        <v>85471532.665355906</v>
      </c>
      <c r="N27" s="282">
        <f t="shared" si="4"/>
        <v>0</v>
      </c>
      <c r="O27" s="282"/>
    </row>
    <row r="28" spans="1:24" ht="14.4" x14ac:dyDescent="0.3">
      <c r="A28" s="52">
        <v>43497</v>
      </c>
      <c r="B28" s="255">
        <v>78131310.016000018</v>
      </c>
      <c r="C28" s="102">
        <v>621.70000000000016</v>
      </c>
      <c r="D28" s="102">
        <v>0</v>
      </c>
      <c r="E28" s="275">
        <v>166.4333019344343</v>
      </c>
      <c r="F28" s="53">
        <v>28</v>
      </c>
      <c r="G28" s="53">
        <v>0</v>
      </c>
      <c r="H28" s="53">
        <v>0</v>
      </c>
      <c r="I28" s="240">
        <v>158</v>
      </c>
      <c r="J28" s="210">
        <f t="shared" si="1"/>
        <v>77989818.131287158</v>
      </c>
      <c r="K28" s="210">
        <f t="shared" si="0"/>
        <v>67764494.475924194</v>
      </c>
      <c r="L28" s="282">
        <f t="shared" si="2"/>
        <v>0.13111100782604435</v>
      </c>
      <c r="M28" s="210">
        <f t="shared" si="3"/>
        <v>77989818.131287158</v>
      </c>
      <c r="N28" s="282">
        <f t="shared" si="4"/>
        <v>0</v>
      </c>
      <c r="O28" s="282"/>
    </row>
    <row r="29" spans="1:24" ht="14.4" x14ac:dyDescent="0.3">
      <c r="A29" s="52">
        <v>43525</v>
      </c>
      <c r="B29" s="255">
        <v>82148719.597800002</v>
      </c>
      <c r="C29" s="102">
        <v>593.90000000000009</v>
      </c>
      <c r="D29" s="102">
        <v>0</v>
      </c>
      <c r="E29" s="275">
        <v>166.81674992545592</v>
      </c>
      <c r="F29" s="53">
        <v>31</v>
      </c>
      <c r="G29" s="53">
        <v>0</v>
      </c>
      <c r="H29" s="53">
        <v>0</v>
      </c>
      <c r="I29" s="240">
        <v>159</v>
      </c>
      <c r="J29" s="210">
        <f t="shared" si="1"/>
        <v>82851944.836844221</v>
      </c>
      <c r="K29" s="210">
        <f t="shared" si="0"/>
        <v>73083857.786948666</v>
      </c>
      <c r="L29" s="282">
        <f t="shared" si="2"/>
        <v>0.11789810207993678</v>
      </c>
      <c r="M29" s="210">
        <f t="shared" si="3"/>
        <v>82851944.836844221</v>
      </c>
      <c r="N29" s="282">
        <f t="shared" si="4"/>
        <v>0</v>
      </c>
      <c r="O29" s="282"/>
    </row>
    <row r="30" spans="1:24" ht="14.4" x14ac:dyDescent="0.3">
      <c r="A30" s="52">
        <v>43556</v>
      </c>
      <c r="B30" s="255">
        <v>75655659.954600006</v>
      </c>
      <c r="C30" s="102">
        <v>346.8</v>
      </c>
      <c r="D30" s="102">
        <v>0</v>
      </c>
      <c r="E30" s="275">
        <v>167.2010813476185</v>
      </c>
      <c r="F30" s="53">
        <v>30</v>
      </c>
      <c r="G30" s="53">
        <v>1</v>
      </c>
      <c r="H30" s="53">
        <v>0</v>
      </c>
      <c r="I30" s="240">
        <v>160</v>
      </c>
      <c r="J30" s="210">
        <f t="shared" si="1"/>
        <v>73512787.191033334</v>
      </c>
      <c r="K30" s="210">
        <f t="shared" si="0"/>
        <v>67808842.774626911</v>
      </c>
      <c r="L30" s="282">
        <f t="shared" si="2"/>
        <v>7.7591186980625837E-2</v>
      </c>
      <c r="M30" s="210">
        <f t="shared" si="3"/>
        <v>73512787.191033334</v>
      </c>
      <c r="N30" s="282">
        <f t="shared" si="4"/>
        <v>0</v>
      </c>
      <c r="O30" s="282"/>
    </row>
    <row r="31" spans="1:24" ht="14.4" x14ac:dyDescent="0.3">
      <c r="A31" s="52">
        <v>43586</v>
      </c>
      <c r="B31" s="255">
        <v>77223397.31220001</v>
      </c>
      <c r="C31" s="102">
        <v>180.99999999999997</v>
      </c>
      <c r="D31" s="102">
        <v>0</v>
      </c>
      <c r="E31" s="275">
        <v>167.58629823627126</v>
      </c>
      <c r="F31" s="53">
        <v>31</v>
      </c>
      <c r="G31" s="53">
        <v>0</v>
      </c>
      <c r="H31" s="53">
        <v>1</v>
      </c>
      <c r="I31" s="240">
        <v>161</v>
      </c>
      <c r="J31" s="210">
        <f t="shared" si="1"/>
        <v>73827127.693585843</v>
      </c>
      <c r="K31" s="210">
        <f t="shared" si="0"/>
        <v>70850155.550074995</v>
      </c>
      <c r="L31" s="282">
        <f t="shared" si="2"/>
        <v>4.0323553638258236E-2</v>
      </c>
      <c r="M31" s="210">
        <f t="shared" si="3"/>
        <v>73827127.693585843</v>
      </c>
      <c r="N31" s="282">
        <f t="shared" si="4"/>
        <v>0</v>
      </c>
      <c r="O31" s="282"/>
    </row>
    <row r="32" spans="1:24" ht="14.4" x14ac:dyDescent="0.3">
      <c r="A32" s="52">
        <v>43617</v>
      </c>
      <c r="B32" s="255">
        <v>80032755.939400002</v>
      </c>
      <c r="C32" s="102">
        <v>35.5</v>
      </c>
      <c r="D32" s="102">
        <v>41.300000000000004</v>
      </c>
      <c r="E32" s="275">
        <v>167.97240263145272</v>
      </c>
      <c r="F32" s="53">
        <v>30</v>
      </c>
      <c r="G32" s="53">
        <v>0</v>
      </c>
      <c r="H32" s="53">
        <v>0</v>
      </c>
      <c r="I32" s="240">
        <v>162</v>
      </c>
      <c r="J32" s="210">
        <f t="shared" si="1"/>
        <v>77721814.308503866</v>
      </c>
      <c r="K32" s="210">
        <f t="shared" si="0"/>
        <v>77137933.031737924</v>
      </c>
      <c r="L32" s="282">
        <f t="shared" si="2"/>
        <v>7.5124504228416544E-3</v>
      </c>
      <c r="M32" s="210">
        <f t="shared" si="3"/>
        <v>72210050.632179797</v>
      </c>
      <c r="N32" s="282">
        <f t="shared" si="4"/>
        <v>7.0916559596074791E-2</v>
      </c>
      <c r="O32" s="282"/>
    </row>
    <row r="33" spans="1:15" ht="14.4" x14ac:dyDescent="0.3">
      <c r="A33" s="52">
        <v>43647</v>
      </c>
      <c r="B33" s="255">
        <v>100042634.05870001</v>
      </c>
      <c r="C33" s="102">
        <v>0</v>
      </c>
      <c r="D33" s="102">
        <v>166.90000000000003</v>
      </c>
      <c r="E33" s="275">
        <v>168.35939657790149</v>
      </c>
      <c r="F33" s="53">
        <v>31</v>
      </c>
      <c r="G33" s="53">
        <v>0</v>
      </c>
      <c r="H33" s="53">
        <v>0</v>
      </c>
      <c r="I33" s="240">
        <v>163</v>
      </c>
      <c r="J33" s="210">
        <f t="shared" si="1"/>
        <v>95738096.708712742</v>
      </c>
      <c r="K33" s="210">
        <f t="shared" si="0"/>
        <v>95738096.708712742</v>
      </c>
      <c r="L33" s="282">
        <f t="shared" si="2"/>
        <v>0</v>
      </c>
      <c r="M33" s="210">
        <f t="shared" si="3"/>
        <v>73464165.532478198</v>
      </c>
      <c r="N33" s="282">
        <f t="shared" si="4"/>
        <v>0.23265483586961133</v>
      </c>
      <c r="O33" s="282"/>
    </row>
    <row r="34" spans="1:15" ht="14.4" x14ac:dyDescent="0.3">
      <c r="A34" s="52">
        <v>43678</v>
      </c>
      <c r="B34" s="255">
        <v>90919603.181299984</v>
      </c>
      <c r="C34" s="102">
        <v>0.89999999999999991</v>
      </c>
      <c r="D34" s="102">
        <v>103.30000000000003</v>
      </c>
      <c r="E34" s="275">
        <v>168.74728212506704</v>
      </c>
      <c r="F34" s="53">
        <v>31</v>
      </c>
      <c r="G34" s="53">
        <v>0</v>
      </c>
      <c r="H34" s="53">
        <v>0</v>
      </c>
      <c r="I34" s="240">
        <v>164</v>
      </c>
      <c r="J34" s="210">
        <f t="shared" si="1"/>
        <v>87361728.235662833</v>
      </c>
      <c r="K34" s="210">
        <f t="shared" si="0"/>
        <v>87346925.611744806</v>
      </c>
      <c r="L34" s="282">
        <f t="shared" si="2"/>
        <v>1.6944060307610975E-4</v>
      </c>
      <c r="M34" s="210">
        <f t="shared" si="3"/>
        <v>73575646.207472131</v>
      </c>
      <c r="N34" s="282">
        <f t="shared" si="4"/>
        <v>0.15780459368892086</v>
      </c>
      <c r="O34" s="282"/>
    </row>
    <row r="35" spans="1:15" ht="14.4" x14ac:dyDescent="0.3">
      <c r="A35" s="52">
        <v>43709</v>
      </c>
      <c r="B35" s="255">
        <v>78853075.256099999</v>
      </c>
      <c r="C35" s="102">
        <v>38.400000000000006</v>
      </c>
      <c r="D35" s="102">
        <v>25.400000000000002</v>
      </c>
      <c r="E35" s="275">
        <v>169.13606132712064</v>
      </c>
      <c r="F35" s="53">
        <v>30</v>
      </c>
      <c r="G35" s="53">
        <v>0</v>
      </c>
      <c r="H35" s="53">
        <v>0</v>
      </c>
      <c r="I35" s="240">
        <v>165</v>
      </c>
      <c r="J35" s="210">
        <f t="shared" si="1"/>
        <v>75937584.99738422</v>
      </c>
      <c r="K35" s="210">
        <f t="shared" si="0"/>
        <v>75306006.376882464</v>
      </c>
      <c r="L35" s="282">
        <f t="shared" si="2"/>
        <v>8.3170754050647666E-3</v>
      </c>
      <c r="M35" s="210">
        <f t="shared" si="3"/>
        <v>72547783.608071119</v>
      </c>
      <c r="N35" s="282">
        <f t="shared" si="4"/>
        <v>4.4639309894169865E-2</v>
      </c>
      <c r="O35" s="282"/>
    </row>
    <row r="36" spans="1:15" ht="14.4" x14ac:dyDescent="0.3">
      <c r="A36" s="52">
        <v>43739</v>
      </c>
      <c r="B36" s="255">
        <v>76543565.261400014</v>
      </c>
      <c r="C36" s="102">
        <v>236.5</v>
      </c>
      <c r="D36" s="102">
        <v>5.0999999999999996</v>
      </c>
      <c r="E36" s="275">
        <v>169.52573624296616</v>
      </c>
      <c r="F36" s="53">
        <v>31</v>
      </c>
      <c r="G36" s="53">
        <v>0</v>
      </c>
      <c r="H36" s="53">
        <v>0</v>
      </c>
      <c r="I36" s="240">
        <v>166</v>
      </c>
      <c r="J36" s="210">
        <f t="shared" si="1"/>
        <v>78326561.395225555</v>
      </c>
      <c r="K36" s="210">
        <f t="shared" si="0"/>
        <v>74436760.776770756</v>
      </c>
      <c r="L36" s="282">
        <f t="shared" si="2"/>
        <v>4.9661322406678532E-2</v>
      </c>
      <c r="M36" s="210">
        <f t="shared" si="3"/>
        <v>77645931.982410699</v>
      </c>
      <c r="N36" s="282">
        <f t="shared" si="4"/>
        <v>8.6896373425674467E-3</v>
      </c>
      <c r="O36" s="282"/>
    </row>
    <row r="37" spans="1:15" ht="14.4" x14ac:dyDescent="0.3">
      <c r="A37" s="52">
        <v>43770</v>
      </c>
      <c r="B37" s="255">
        <v>81736788.885900006</v>
      </c>
      <c r="C37" s="102">
        <v>513.30000000000007</v>
      </c>
      <c r="D37" s="102">
        <v>0</v>
      </c>
      <c r="E37" s="275">
        <v>169.91630893625103</v>
      </c>
      <c r="F37" s="53">
        <v>30</v>
      </c>
      <c r="G37" s="53">
        <v>0</v>
      </c>
      <c r="H37" s="53">
        <v>0</v>
      </c>
      <c r="I37" s="240">
        <v>167</v>
      </c>
      <c r="J37" s="210">
        <f t="shared" si="1"/>
        <v>80555213.85690628</v>
      </c>
      <c r="K37" s="210">
        <f t="shared" si="0"/>
        <v>72112784.015668049</v>
      </c>
      <c r="L37" s="282">
        <f t="shared" si="2"/>
        <v>0.10480302189048729</v>
      </c>
      <c r="M37" s="210">
        <f t="shared" si="3"/>
        <v>80555213.85690628</v>
      </c>
      <c r="N37" s="282">
        <f t="shared" si="4"/>
        <v>0</v>
      </c>
      <c r="O37" s="282"/>
    </row>
    <row r="38" spans="1:15" ht="14.4" x14ac:dyDescent="0.3">
      <c r="A38" s="55">
        <v>43800</v>
      </c>
      <c r="B38" s="272">
        <v>80426235.329640001</v>
      </c>
      <c r="C38" s="274">
        <v>582.4</v>
      </c>
      <c r="D38" s="274">
        <v>0</v>
      </c>
      <c r="E38" s="271">
        <v>168.65109099409895</v>
      </c>
      <c r="F38" s="56">
        <v>31</v>
      </c>
      <c r="G38" s="56">
        <v>0</v>
      </c>
      <c r="H38" s="56">
        <v>0</v>
      </c>
      <c r="I38" s="240">
        <v>168</v>
      </c>
      <c r="J38" s="210">
        <f t="shared" si="1"/>
        <v>82340190.835267141</v>
      </c>
      <c r="K38" s="210">
        <f t="shared" si="0"/>
        <v>72761248.424323961</v>
      </c>
      <c r="L38" s="282">
        <f t="shared" si="2"/>
        <v>0.1163337407136591</v>
      </c>
      <c r="M38" s="210">
        <f t="shared" si="3"/>
        <v>82340190.835267141</v>
      </c>
      <c r="N38" s="282">
        <f t="shared" si="4"/>
        <v>0</v>
      </c>
      <c r="O38" s="282"/>
    </row>
  </sheetData>
  <hyperlinks>
    <hyperlink ref="G1"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2:D18"/>
  <sheetViews>
    <sheetView workbookViewId="0">
      <selection activeCell="D13" sqref="D13:D14"/>
    </sheetView>
  </sheetViews>
  <sheetFormatPr defaultRowHeight="13.2" x14ac:dyDescent="0.25"/>
  <cols>
    <col min="2" max="2" width="12" bestFit="1" customWidth="1"/>
    <col min="3" max="3" width="16.44140625" bestFit="1" customWidth="1"/>
    <col min="4" max="4" width="11.44140625" bestFit="1" customWidth="1"/>
  </cols>
  <sheetData>
    <row r="2" spans="1:4" ht="26.4" x14ac:dyDescent="0.25">
      <c r="B2" s="178" t="s">
        <v>152</v>
      </c>
      <c r="C2" s="198" t="s">
        <v>159</v>
      </c>
      <c r="D2" s="178" t="s">
        <v>158</v>
      </c>
    </row>
    <row r="3" spans="1:4" x14ac:dyDescent="0.25">
      <c r="A3">
        <v>2011</v>
      </c>
      <c r="B3" s="199">
        <v>0</v>
      </c>
      <c r="C3" s="200">
        <f>'Rate Class Load Model'!B22</f>
        <v>2.5875109408273634E-3</v>
      </c>
      <c r="D3" s="191"/>
    </row>
    <row r="4" spans="1:4" x14ac:dyDescent="0.25">
      <c r="A4">
        <v>2012</v>
      </c>
      <c r="B4" s="199">
        <v>3486.38</v>
      </c>
      <c r="C4" s="200">
        <f>'Rate Class Load Model'!B23</f>
        <v>2.5926387713965985E-3</v>
      </c>
      <c r="D4" s="191"/>
    </row>
    <row r="5" spans="1:4" x14ac:dyDescent="0.25">
      <c r="A5">
        <v>2013</v>
      </c>
      <c r="B5" s="199">
        <v>13589.76</v>
      </c>
      <c r="C5" s="200">
        <f>'Rate Class Load Model'!B24</f>
        <v>2.6096018347677905E-3</v>
      </c>
      <c r="D5" s="191"/>
    </row>
    <row r="6" spans="1:4" x14ac:dyDescent="0.25">
      <c r="A6">
        <v>2014</v>
      </c>
      <c r="B6" s="199">
        <v>12736.7</v>
      </c>
      <c r="C6" s="200">
        <f>'Rate Class Load Model'!B25</f>
        <v>2.7483766607446962E-3</v>
      </c>
      <c r="D6" s="191"/>
    </row>
    <row r="7" spans="1:4" x14ac:dyDescent="0.25">
      <c r="A7">
        <v>2015</v>
      </c>
      <c r="B7" s="199">
        <v>12397.7</v>
      </c>
      <c r="C7" s="200">
        <f>'Rate Class Load Model'!B26</f>
        <v>2.7333673059924063E-3</v>
      </c>
      <c r="D7" s="191">
        <v>6792377.5999999996</v>
      </c>
    </row>
    <row r="8" spans="1:4" x14ac:dyDescent="0.25">
      <c r="A8">
        <v>2016</v>
      </c>
      <c r="B8" s="269">
        <v>12437.3</v>
      </c>
      <c r="C8" s="200">
        <f>'Rate Class Load Model'!B27</f>
        <v>2.7103529501072746E-3</v>
      </c>
      <c r="D8" s="270">
        <v>6607289</v>
      </c>
    </row>
    <row r="9" spans="1:4" x14ac:dyDescent="0.25">
      <c r="A9">
        <v>2017</v>
      </c>
      <c r="B9" s="269">
        <v>12330</v>
      </c>
      <c r="C9" s="200">
        <f>'Rate Class Load Model'!B28</f>
        <v>2.7283113072927531E-3</v>
      </c>
      <c r="D9" s="270">
        <v>6489035</v>
      </c>
    </row>
    <row r="10" spans="1:4" x14ac:dyDescent="0.25">
      <c r="A10">
        <v>2018</v>
      </c>
      <c r="B10" s="269">
        <v>12258</v>
      </c>
      <c r="C10" s="200">
        <f>'Rate Class Load Model'!B29</f>
        <v>2.710092625916601E-3</v>
      </c>
      <c r="D10" s="270">
        <v>6330357</v>
      </c>
    </row>
    <row r="11" spans="1:4" x14ac:dyDescent="0.25">
      <c r="A11">
        <v>2019</v>
      </c>
      <c r="B11" s="269">
        <v>10962.46</v>
      </c>
      <c r="C11" s="200">
        <f>'Rate Class Load Model'!B30</f>
        <v>2.6961033718966303E-3</v>
      </c>
      <c r="D11" s="270">
        <v>6085994.9199999999</v>
      </c>
    </row>
    <row r="12" spans="1:4" x14ac:dyDescent="0.25">
      <c r="A12">
        <v>2020</v>
      </c>
      <c r="B12" s="269">
        <v>11674.01</v>
      </c>
      <c r="C12" s="200">
        <f>'Rate Class Load Model'!B31</f>
        <v>2.7385931089906842E-3</v>
      </c>
      <c r="D12" s="270">
        <v>6029967.5800000001</v>
      </c>
    </row>
    <row r="13" spans="1:4" x14ac:dyDescent="0.25">
      <c r="A13">
        <v>2021</v>
      </c>
      <c r="B13" s="202">
        <f>B16</f>
        <v>11674.01</v>
      </c>
      <c r="D13" s="202">
        <f>D16</f>
        <v>6029967.5800000001</v>
      </c>
    </row>
    <row r="14" spans="1:4" x14ac:dyDescent="0.25">
      <c r="A14">
        <v>2022</v>
      </c>
      <c r="B14" s="202">
        <f>B13</f>
        <v>11674.01</v>
      </c>
      <c r="D14" s="202">
        <f>D13</f>
        <v>6029967.5800000001</v>
      </c>
    </row>
    <row r="16" spans="1:4" x14ac:dyDescent="0.25">
      <c r="A16" s="198"/>
      <c r="B16" s="201">
        <f>B12</f>
        <v>11674.01</v>
      </c>
      <c r="D16" s="201">
        <f>D12</f>
        <v>6029967.5800000001</v>
      </c>
    </row>
    <row r="18" spans="2:4" x14ac:dyDescent="0.25">
      <c r="B18" s="216"/>
      <c r="D18" s="216"/>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3:G47"/>
  <sheetViews>
    <sheetView workbookViewId="0">
      <selection activeCell="A23" sqref="A23"/>
    </sheetView>
  </sheetViews>
  <sheetFormatPr defaultRowHeight="13.2" x14ac:dyDescent="0.25"/>
  <cols>
    <col min="1" max="1" width="35.44140625" customWidth="1"/>
    <col min="2" max="2" width="15.77734375" bestFit="1" customWidth="1"/>
    <col min="3" max="4" width="15" bestFit="1" customWidth="1"/>
    <col min="5" max="5" width="2.44140625" customWidth="1"/>
    <col min="6" max="7" width="12.44140625" bestFit="1" customWidth="1"/>
  </cols>
  <sheetData>
    <row r="3" spans="1:7" x14ac:dyDescent="0.25">
      <c r="C3" s="256">
        <v>2016</v>
      </c>
      <c r="D3" s="256">
        <v>2017</v>
      </c>
      <c r="F3" s="256">
        <v>2016</v>
      </c>
      <c r="G3" s="256">
        <v>2017</v>
      </c>
    </row>
    <row r="4" spans="1:7" x14ac:dyDescent="0.25">
      <c r="A4" s="178" t="s">
        <v>187</v>
      </c>
      <c r="C4" s="191"/>
      <c r="D4" s="191"/>
      <c r="F4" s="191">
        <v>905675275.53094542</v>
      </c>
      <c r="G4" s="191">
        <v>924712893.60938478</v>
      </c>
    </row>
    <row r="5" spans="1:7" x14ac:dyDescent="0.25">
      <c r="C5" s="191"/>
      <c r="D5" s="191"/>
    </row>
    <row r="6" spans="1:7" x14ac:dyDescent="0.25">
      <c r="A6" s="178" t="s">
        <v>173</v>
      </c>
      <c r="B6" s="178" t="s">
        <v>175</v>
      </c>
      <c r="C6" s="191">
        <v>917974538.04612613</v>
      </c>
      <c r="D6" s="191">
        <v>939079536.90440321</v>
      </c>
      <c r="F6" s="216">
        <f>C6-F4</f>
        <v>12299262.515180707</v>
      </c>
      <c r="G6" s="216">
        <f>D6-G4</f>
        <v>14366643.295018435</v>
      </c>
    </row>
    <row r="7" spans="1:7" x14ac:dyDescent="0.25">
      <c r="C7" s="191"/>
      <c r="D7" s="191"/>
    </row>
    <row r="8" spans="1:7" x14ac:dyDescent="0.25">
      <c r="A8" s="178" t="s">
        <v>174</v>
      </c>
      <c r="B8" s="178" t="s">
        <v>176</v>
      </c>
      <c r="C8" s="191">
        <v>915084672.3981235</v>
      </c>
      <c r="D8" s="191">
        <v>934762154.78963637</v>
      </c>
      <c r="F8" s="216">
        <f>C8-C6</f>
        <v>-2889865.6480026245</v>
      </c>
      <c r="G8" s="216">
        <f>D8-D6</f>
        <v>-4317382.1147668362</v>
      </c>
    </row>
    <row r="9" spans="1:7" x14ac:dyDescent="0.25">
      <c r="C9" s="191"/>
      <c r="D9" s="191"/>
    </row>
    <row r="10" spans="1:7" x14ac:dyDescent="0.25">
      <c r="A10" s="178" t="s">
        <v>178</v>
      </c>
      <c r="B10" s="178" t="s">
        <v>179</v>
      </c>
      <c r="C10" s="191">
        <v>918491576.43463004</v>
      </c>
      <c r="D10" s="191">
        <v>945357099.97549295</v>
      </c>
      <c r="F10" s="216">
        <f>C10-C8</f>
        <v>3406904.0365065336</v>
      </c>
      <c r="G10" s="216">
        <f>D10-D8</f>
        <v>10594945.185856581</v>
      </c>
    </row>
    <row r="11" spans="1:7" x14ac:dyDescent="0.25">
      <c r="C11" s="191"/>
      <c r="D11" s="191"/>
    </row>
    <row r="12" spans="1:7" ht="26.4" x14ac:dyDescent="0.25">
      <c r="A12" s="69" t="s">
        <v>180</v>
      </c>
      <c r="B12" s="178" t="s">
        <v>181</v>
      </c>
      <c r="C12" s="191">
        <v>918409781.26822126</v>
      </c>
      <c r="D12" s="191">
        <v>945064481.60007703</v>
      </c>
      <c r="F12" s="216">
        <f>C12-C10</f>
        <v>-81795.166408777237</v>
      </c>
      <c r="G12" s="216">
        <f>D12-D10</f>
        <v>-292618.37541592121</v>
      </c>
    </row>
    <row r="13" spans="1:7" x14ac:dyDescent="0.25">
      <c r="C13" s="191"/>
      <c r="D13" s="191"/>
    </row>
    <row r="14" spans="1:7" x14ac:dyDescent="0.25">
      <c r="A14" s="178" t="s">
        <v>184</v>
      </c>
      <c r="B14" s="178" t="s">
        <v>185</v>
      </c>
      <c r="C14" s="191">
        <v>918409781.26822126</v>
      </c>
      <c r="D14" s="191">
        <v>945064481.60007703</v>
      </c>
      <c r="F14" s="216">
        <f>C14-C12</f>
        <v>0</v>
      </c>
      <c r="G14" s="216">
        <f>D14-D12</f>
        <v>0</v>
      </c>
    </row>
    <row r="15" spans="1:7" x14ac:dyDescent="0.25">
      <c r="C15" s="191"/>
      <c r="D15" s="191"/>
    </row>
    <row r="16" spans="1:7" x14ac:dyDescent="0.25">
      <c r="A16" s="178" t="s">
        <v>182</v>
      </c>
      <c r="B16" s="178" t="s">
        <v>183</v>
      </c>
      <c r="C16" s="191">
        <v>918016380.33114135</v>
      </c>
      <c r="D16" s="191">
        <v>946865299.87237036</v>
      </c>
      <c r="F16" s="216">
        <f>C16-C14</f>
        <v>-393400.93707990646</v>
      </c>
      <c r="G16" s="216">
        <f>D16-D14</f>
        <v>1800818.2722933292</v>
      </c>
    </row>
    <row r="17" spans="1:7" x14ac:dyDescent="0.25">
      <c r="C17" s="191"/>
      <c r="D17" s="191"/>
    </row>
    <row r="18" spans="1:7" x14ac:dyDescent="0.25">
      <c r="A18" s="178" t="s">
        <v>186</v>
      </c>
      <c r="B18" s="178" t="s">
        <v>183</v>
      </c>
      <c r="C18" s="191">
        <v>919214004.59023035</v>
      </c>
      <c r="D18" s="191">
        <v>944894984.11254215</v>
      </c>
      <c r="F18" s="216">
        <f>C18-C16</f>
        <v>1197624.2590889931</v>
      </c>
      <c r="G18" s="216">
        <f>D18-D16</f>
        <v>-1970315.7598282099</v>
      </c>
    </row>
    <row r="19" spans="1:7" x14ac:dyDescent="0.25">
      <c r="A19" s="178"/>
      <c r="B19" s="178"/>
      <c r="C19" s="191"/>
      <c r="D19" s="191"/>
      <c r="F19" s="216"/>
      <c r="G19" s="216"/>
    </row>
    <row r="20" spans="1:7" x14ac:dyDescent="0.25">
      <c r="A20" s="178"/>
      <c r="B20" s="178"/>
      <c r="C20" s="191"/>
      <c r="D20" s="191"/>
      <c r="F20" s="216"/>
      <c r="G20" s="216"/>
    </row>
    <row r="21" spans="1:7" x14ac:dyDescent="0.25">
      <c r="A21" s="178"/>
      <c r="B21" s="178"/>
      <c r="C21" s="191"/>
      <c r="D21" s="191"/>
      <c r="F21" s="216"/>
      <c r="G21" s="216"/>
    </row>
    <row r="22" spans="1:7" x14ac:dyDescent="0.25">
      <c r="A22" s="178"/>
      <c r="B22" s="178"/>
      <c r="C22" s="191"/>
      <c r="D22" s="191"/>
      <c r="F22" s="216"/>
      <c r="G22" s="216"/>
    </row>
    <row r="23" spans="1:7" x14ac:dyDescent="0.25">
      <c r="A23" s="178"/>
      <c r="B23" s="178"/>
      <c r="C23" s="191"/>
      <c r="D23" s="191"/>
      <c r="F23" s="216"/>
      <c r="G23" s="216"/>
    </row>
    <row r="24" spans="1:7" s="16" customFormat="1" x14ac:dyDescent="0.25">
      <c r="A24" s="16" t="s">
        <v>188</v>
      </c>
      <c r="C24" s="241"/>
      <c r="D24" s="241"/>
      <c r="F24" s="265">
        <f>SUM(F4:F23)</f>
        <v>919214004.59023035</v>
      </c>
      <c r="G24" s="265">
        <f>SUM(G4:G23)</f>
        <v>944894984.11254215</v>
      </c>
    </row>
    <row r="25" spans="1:7" x14ac:dyDescent="0.25">
      <c r="C25" s="191"/>
      <c r="D25" s="191"/>
    </row>
    <row r="26" spans="1:7" x14ac:dyDescent="0.25">
      <c r="C26" s="191"/>
      <c r="D26" s="191"/>
    </row>
    <row r="27" spans="1:7" x14ac:dyDescent="0.25">
      <c r="C27" s="191"/>
      <c r="D27" s="191"/>
    </row>
    <row r="28" spans="1:7" x14ac:dyDescent="0.25">
      <c r="C28" s="191"/>
      <c r="D28" s="191"/>
    </row>
    <row r="29" spans="1:7" x14ac:dyDescent="0.25">
      <c r="C29" s="191"/>
      <c r="D29" s="191"/>
    </row>
    <row r="30" spans="1:7" x14ac:dyDescent="0.25">
      <c r="C30" s="191"/>
      <c r="D30" s="191"/>
    </row>
    <row r="31" spans="1:7" x14ac:dyDescent="0.25">
      <c r="C31" s="191"/>
      <c r="D31" s="191"/>
    </row>
    <row r="32" spans="1:7" x14ac:dyDescent="0.25">
      <c r="C32" s="191"/>
      <c r="D32" s="191"/>
    </row>
    <row r="33" spans="3:4" x14ac:dyDescent="0.25">
      <c r="C33" s="191"/>
      <c r="D33" s="191"/>
    </row>
    <row r="34" spans="3:4" x14ac:dyDescent="0.25">
      <c r="C34" s="191"/>
      <c r="D34" s="191"/>
    </row>
    <row r="35" spans="3:4" x14ac:dyDescent="0.25">
      <c r="C35" s="191"/>
      <c r="D35" s="191"/>
    </row>
    <row r="36" spans="3:4" x14ac:dyDescent="0.25">
      <c r="C36" s="191"/>
      <c r="D36" s="191"/>
    </row>
    <row r="37" spans="3:4" x14ac:dyDescent="0.25">
      <c r="C37" s="191"/>
      <c r="D37" s="191"/>
    </row>
    <row r="38" spans="3:4" x14ac:dyDescent="0.25">
      <c r="C38" s="191"/>
      <c r="D38" s="191"/>
    </row>
    <row r="39" spans="3:4" x14ac:dyDescent="0.25">
      <c r="C39" s="191"/>
      <c r="D39" s="191"/>
    </row>
    <row r="40" spans="3:4" x14ac:dyDescent="0.25">
      <c r="C40" s="191"/>
      <c r="D40" s="191"/>
    </row>
    <row r="41" spans="3:4" x14ac:dyDescent="0.25">
      <c r="C41" s="191"/>
      <c r="D41" s="191"/>
    </row>
    <row r="42" spans="3:4" x14ac:dyDescent="0.25">
      <c r="C42" s="191"/>
      <c r="D42" s="191"/>
    </row>
    <row r="43" spans="3:4" x14ac:dyDescent="0.25">
      <c r="C43" s="191"/>
      <c r="D43" s="191"/>
    </row>
    <row r="44" spans="3:4" x14ac:dyDescent="0.25">
      <c r="C44" s="191"/>
      <c r="D44" s="191"/>
    </row>
    <row r="45" spans="3:4" x14ac:dyDescent="0.25">
      <c r="C45" s="191"/>
      <c r="D45" s="191"/>
    </row>
    <row r="46" spans="3:4" x14ac:dyDescent="0.25">
      <c r="C46" s="191"/>
      <c r="D46" s="191"/>
    </row>
    <row r="47" spans="3:4" x14ac:dyDescent="0.25">
      <c r="C47" s="191"/>
      <c r="D47" s="191"/>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L81"/>
  <sheetViews>
    <sheetView workbookViewId="0">
      <selection activeCell="E63" sqref="E63"/>
    </sheetView>
  </sheetViews>
  <sheetFormatPr defaultRowHeight="13.2" x14ac:dyDescent="0.25"/>
  <cols>
    <col min="4" max="4" width="30.5546875" bestFit="1" customWidth="1"/>
    <col min="5" max="5" width="12.44140625" bestFit="1" customWidth="1"/>
    <col min="6" max="6" width="13.44140625" bestFit="1" customWidth="1"/>
    <col min="7" max="7" width="12.44140625" bestFit="1" customWidth="1"/>
    <col min="8" max="8" width="12.21875" bestFit="1" customWidth="1"/>
    <col min="9" max="9" width="12.77734375" bestFit="1" customWidth="1"/>
    <col min="10" max="12" width="12.44140625" bestFit="1" customWidth="1"/>
  </cols>
  <sheetData>
    <row r="2" spans="4:12" x14ac:dyDescent="0.25">
      <c r="D2" s="466" t="s">
        <v>317</v>
      </c>
      <c r="E2" s="466"/>
      <c r="F2" s="466"/>
      <c r="G2" s="466"/>
      <c r="H2" s="466"/>
      <c r="I2" s="466"/>
      <c r="J2" s="466"/>
      <c r="K2" s="466"/>
      <c r="L2" s="466"/>
    </row>
    <row r="3" spans="4:12" ht="13.8" thickBot="1" x14ac:dyDescent="0.3"/>
    <row r="4" spans="4:12" x14ac:dyDescent="0.25">
      <c r="D4" s="214" t="s">
        <v>17</v>
      </c>
      <c r="E4" s="214"/>
    </row>
    <row r="5" spans="4:12" x14ac:dyDescent="0.25">
      <c r="D5" s="211" t="s">
        <v>18</v>
      </c>
      <c r="E5" s="472">
        <v>0.95023337091850368</v>
      </c>
    </row>
    <row r="6" spans="4:12" x14ac:dyDescent="0.25">
      <c r="D6" s="211" t="s">
        <v>19</v>
      </c>
      <c r="E6" s="472">
        <v>0.90294345920714258</v>
      </c>
      <c r="F6" s="452">
        <f>E6-E60</f>
        <v>-1.1370795490685759E-2</v>
      </c>
    </row>
    <row r="7" spans="4:12" x14ac:dyDescent="0.25">
      <c r="D7" s="211" t="s">
        <v>20</v>
      </c>
      <c r="E7" s="472">
        <v>0.89500246950590878</v>
      </c>
    </row>
    <row r="8" spans="4:12" x14ac:dyDescent="0.25">
      <c r="D8" s="211" t="s">
        <v>21</v>
      </c>
      <c r="E8" s="471">
        <v>2068852.5407114995</v>
      </c>
    </row>
    <row r="9" spans="4:12" ht="13.8" thickBot="1" x14ac:dyDescent="0.3">
      <c r="D9" s="212" t="s">
        <v>22</v>
      </c>
      <c r="E9" s="212">
        <v>120</v>
      </c>
    </row>
    <row r="11" spans="4:12" ht="13.8" thickBot="1" x14ac:dyDescent="0.3">
      <c r="D11" t="s">
        <v>23</v>
      </c>
    </row>
    <row r="12" spans="4:12" x14ac:dyDescent="0.25">
      <c r="D12" s="213"/>
      <c r="E12" s="213" t="s">
        <v>27</v>
      </c>
      <c r="F12" s="213" t="s">
        <v>28</v>
      </c>
      <c r="G12" s="213" t="s">
        <v>29</v>
      </c>
      <c r="H12" s="213" t="s">
        <v>30</v>
      </c>
      <c r="I12" s="213" t="s">
        <v>31</v>
      </c>
    </row>
    <row r="13" spans="4:12" x14ac:dyDescent="0.25">
      <c r="D13" s="211" t="s">
        <v>24</v>
      </c>
      <c r="E13" s="211">
        <v>9</v>
      </c>
      <c r="F13" s="211">
        <v>4380135111400384</v>
      </c>
      <c r="G13" s="211">
        <v>486681679044487.12</v>
      </c>
      <c r="H13" s="211">
        <v>113.70666543829584</v>
      </c>
      <c r="I13" s="211">
        <v>1.6613093252871921E-51</v>
      </c>
    </row>
    <row r="14" spans="4:12" x14ac:dyDescent="0.25">
      <c r="D14" s="211" t="s">
        <v>25</v>
      </c>
      <c r="E14" s="211">
        <v>110</v>
      </c>
      <c r="F14" s="211">
        <v>470816591872926.94</v>
      </c>
      <c r="G14" s="211">
        <v>4280150835208.4268</v>
      </c>
      <c r="H14" s="211"/>
      <c r="I14" s="211"/>
    </row>
    <row r="15" spans="4:12" ht="13.8" thickBot="1" x14ac:dyDescent="0.3">
      <c r="D15" s="212" t="s">
        <v>10</v>
      </c>
      <c r="E15" s="212">
        <v>119</v>
      </c>
      <c r="F15" s="212">
        <v>4850951703273311</v>
      </c>
      <c r="G15" s="212"/>
      <c r="H15" s="212"/>
      <c r="I15" s="212"/>
    </row>
    <row r="16" spans="4:12" ht="13.8" thickBot="1" x14ac:dyDescent="0.3"/>
    <row r="17" spans="4:12" x14ac:dyDescent="0.25">
      <c r="D17" s="213"/>
      <c r="E17" s="213" t="s">
        <v>32</v>
      </c>
      <c r="F17" s="213" t="s">
        <v>21</v>
      </c>
      <c r="G17" s="213" t="s">
        <v>33</v>
      </c>
      <c r="H17" s="213" t="s">
        <v>34</v>
      </c>
      <c r="I17" s="213" t="s">
        <v>35</v>
      </c>
      <c r="J17" s="213" t="s">
        <v>36</v>
      </c>
      <c r="K17" s="213" t="s">
        <v>37</v>
      </c>
      <c r="L17" s="213" t="s">
        <v>38</v>
      </c>
    </row>
    <row r="18" spans="4:12" x14ac:dyDescent="0.25">
      <c r="D18" s="211" t="s">
        <v>26</v>
      </c>
      <c r="E18" s="471">
        <v>-59011249.233977541</v>
      </c>
      <c r="F18" s="471">
        <v>17293553.957177151</v>
      </c>
      <c r="G18" s="469">
        <v>-3.4123263141921596</v>
      </c>
      <c r="H18" s="469">
        <v>9.0220516417604103E-4</v>
      </c>
      <c r="I18" s="211">
        <v>-93283014.070994139</v>
      </c>
      <c r="J18" s="211">
        <v>-24739484.396960944</v>
      </c>
      <c r="K18" s="211">
        <v>-93283014.070994139</v>
      </c>
      <c r="L18" s="211">
        <v>-24739484.396960944</v>
      </c>
    </row>
    <row r="19" spans="4:12" x14ac:dyDescent="0.25">
      <c r="D19" s="211" t="s">
        <v>3</v>
      </c>
      <c r="E19" s="471">
        <v>14056.505221607167</v>
      </c>
      <c r="F19" s="471">
        <v>1215.1342337079734</v>
      </c>
      <c r="G19" s="469">
        <v>11.567862077849492</v>
      </c>
      <c r="H19" s="469">
        <v>9.8999760590353287E-21</v>
      </c>
      <c r="I19" s="211">
        <v>11648.394384114181</v>
      </c>
      <c r="J19" s="211">
        <v>16464.616059100154</v>
      </c>
      <c r="K19" s="211">
        <v>11648.394384114181</v>
      </c>
      <c r="L19" s="211">
        <v>16464.616059100154</v>
      </c>
    </row>
    <row r="20" spans="4:12" x14ac:dyDescent="0.25">
      <c r="D20" s="211" t="s">
        <v>4</v>
      </c>
      <c r="E20" s="471">
        <v>123984.13891595755</v>
      </c>
      <c r="F20" s="471">
        <v>6484.986386437371</v>
      </c>
      <c r="G20" s="469">
        <v>19.118642897270625</v>
      </c>
      <c r="H20" s="469">
        <v>9.2985298507326671E-37</v>
      </c>
      <c r="I20" s="211">
        <v>111132.41804021489</v>
      </c>
      <c r="J20" s="211">
        <v>136835.8597917002</v>
      </c>
      <c r="K20" s="211">
        <v>111132.41804021489</v>
      </c>
      <c r="L20" s="211">
        <v>136835.8597917002</v>
      </c>
    </row>
    <row r="21" spans="4:12" x14ac:dyDescent="0.25">
      <c r="D21" s="211" t="s">
        <v>254</v>
      </c>
      <c r="E21" s="471">
        <v>519199.50880638621</v>
      </c>
      <c r="F21" s="471">
        <v>118704.44979260441</v>
      </c>
      <c r="G21" s="469">
        <v>4.3738841274569777</v>
      </c>
      <c r="H21" s="469">
        <v>2.7850931766056404E-5</v>
      </c>
      <c r="I21" s="211">
        <v>283955.15137277736</v>
      </c>
      <c r="J21" s="211">
        <v>754443.866239995</v>
      </c>
      <c r="K21" s="211">
        <v>283955.15137277736</v>
      </c>
      <c r="L21" s="211">
        <v>754443.866239995</v>
      </c>
    </row>
    <row r="22" spans="4:12" x14ac:dyDescent="0.25">
      <c r="D22" s="211" t="s">
        <v>5</v>
      </c>
      <c r="E22" s="471">
        <v>2118055.3004018185</v>
      </c>
      <c r="F22" s="471">
        <v>271653.75158599485</v>
      </c>
      <c r="G22" s="469">
        <v>7.7968932438296399</v>
      </c>
      <c r="H22" s="469">
        <v>3.8793383960566149E-12</v>
      </c>
      <c r="I22" s="211">
        <v>1579701.3267476817</v>
      </c>
      <c r="J22" s="211">
        <v>2656409.274055955</v>
      </c>
      <c r="K22" s="211">
        <v>1579701.3267476817</v>
      </c>
      <c r="L22" s="211">
        <v>2656409.274055955</v>
      </c>
    </row>
    <row r="23" spans="4:12" x14ac:dyDescent="0.25">
      <c r="D23" s="211" t="s">
        <v>97</v>
      </c>
      <c r="E23" s="471">
        <v>-1778951.7087120952</v>
      </c>
      <c r="F23" s="471">
        <v>767877.26318570809</v>
      </c>
      <c r="G23" s="469">
        <v>-2.3167136129695023</v>
      </c>
      <c r="H23" s="469">
        <v>2.2371452757410756E-2</v>
      </c>
      <c r="I23" s="211">
        <v>-3300704.2098323544</v>
      </c>
      <c r="J23" s="211">
        <v>-257199.20759183564</v>
      </c>
      <c r="K23" s="211">
        <v>-3300704.2098323544</v>
      </c>
      <c r="L23" s="211">
        <v>-257199.20759183564</v>
      </c>
    </row>
    <row r="24" spans="4:12" x14ac:dyDescent="0.25">
      <c r="D24" s="211" t="s">
        <v>98</v>
      </c>
      <c r="E24" s="471">
        <v>-4190279.030240031</v>
      </c>
      <c r="F24" s="471">
        <v>742714.21789638337</v>
      </c>
      <c r="G24" s="469">
        <v>-5.6418457184087734</v>
      </c>
      <c r="H24" s="469">
        <v>1.3227842352173607E-7</v>
      </c>
      <c r="I24" s="211">
        <v>-5662164.2818131819</v>
      </c>
      <c r="J24" s="211">
        <v>-2718393.77866688</v>
      </c>
      <c r="K24" s="211">
        <v>-5662164.2818131819</v>
      </c>
      <c r="L24" s="211">
        <v>-2718393.77866688</v>
      </c>
    </row>
    <row r="25" spans="4:12" x14ac:dyDescent="0.25">
      <c r="D25" s="211" t="s">
        <v>85</v>
      </c>
      <c r="E25" s="471">
        <v>-3150225.6767492034</v>
      </c>
      <c r="F25" s="471">
        <v>814390.23501078214</v>
      </c>
      <c r="G25" s="469">
        <v>-3.868201681847887</v>
      </c>
      <c r="H25" s="469">
        <v>1.8613209593574254E-4</v>
      </c>
      <c r="I25" s="211">
        <v>-4764155.9706011955</v>
      </c>
      <c r="J25" s="211">
        <v>-1536295.3828972108</v>
      </c>
      <c r="K25" s="211">
        <v>-4764155.9706011955</v>
      </c>
      <c r="L25" s="211">
        <v>-1536295.3828972108</v>
      </c>
    </row>
    <row r="26" spans="4:12" x14ac:dyDescent="0.25">
      <c r="D26" s="211" t="s">
        <v>103</v>
      </c>
      <c r="E26" s="471">
        <v>-1930403.2172383599</v>
      </c>
      <c r="F26" s="471">
        <v>831522.83198348235</v>
      </c>
      <c r="G26" s="469">
        <v>-2.3215276153435869</v>
      </c>
      <c r="H26" s="469">
        <v>2.2100520140623355E-2</v>
      </c>
      <c r="I26" s="211">
        <v>-3578286.2969636158</v>
      </c>
      <c r="J26" s="211">
        <v>-282520.13751310389</v>
      </c>
      <c r="K26" s="211">
        <v>-3578286.2969636158</v>
      </c>
      <c r="L26" s="211">
        <v>-282520.13751310389</v>
      </c>
    </row>
    <row r="27" spans="4:12" ht="13.8" thickBot="1" x14ac:dyDescent="0.3">
      <c r="D27" s="467" t="s">
        <v>316</v>
      </c>
      <c r="E27" s="470">
        <v>-147249.17197393018</v>
      </c>
      <c r="F27" s="470">
        <v>32159.902718337878</v>
      </c>
      <c r="G27" s="468">
        <v>-4.5786572572549264</v>
      </c>
      <c r="H27" s="468">
        <v>1.2385244441754316E-5</v>
      </c>
      <c r="I27" s="212">
        <v>-210982.55065788672</v>
      </c>
      <c r="J27" s="212">
        <v>-83515.793289973633</v>
      </c>
      <c r="K27" s="212">
        <v>-210982.55065788672</v>
      </c>
      <c r="L27" s="212">
        <v>-83515.793289973633</v>
      </c>
    </row>
    <row r="29" spans="4:12" x14ac:dyDescent="0.25">
      <c r="D29" s="466" t="s">
        <v>318</v>
      </c>
      <c r="E29" s="466"/>
      <c r="F29" s="466"/>
      <c r="G29" s="466"/>
      <c r="H29" s="466"/>
      <c r="I29" s="466"/>
      <c r="J29" s="466"/>
      <c r="K29" s="466"/>
      <c r="L29" s="466"/>
    </row>
    <row r="30" spans="4:12" ht="13.8" thickBot="1" x14ac:dyDescent="0.3"/>
    <row r="31" spans="4:12" x14ac:dyDescent="0.25">
      <c r="D31" s="214" t="s">
        <v>17</v>
      </c>
      <c r="E31" s="214"/>
    </row>
    <row r="32" spans="4:12" x14ac:dyDescent="0.25">
      <c r="D32" s="211" t="s">
        <v>18</v>
      </c>
      <c r="E32" s="472">
        <v>0.95619781148977134</v>
      </c>
    </row>
    <row r="33" spans="4:12" x14ac:dyDescent="0.25">
      <c r="D33" s="211" t="s">
        <v>19</v>
      </c>
      <c r="E33" s="472">
        <v>0.91431425469782834</v>
      </c>
    </row>
    <row r="34" spans="4:12" x14ac:dyDescent="0.25">
      <c r="D34" s="211" t="s">
        <v>20</v>
      </c>
      <c r="E34" s="472">
        <v>0.90730360280946887</v>
      </c>
    </row>
    <row r="35" spans="4:12" x14ac:dyDescent="0.25">
      <c r="D35" s="211" t="s">
        <v>21</v>
      </c>
      <c r="E35" s="471">
        <v>1943888.8205202862</v>
      </c>
    </row>
    <row r="36" spans="4:12" ht="13.8" thickBot="1" x14ac:dyDescent="0.3">
      <c r="D36" s="212" t="s">
        <v>22</v>
      </c>
      <c r="E36" s="212">
        <v>120</v>
      </c>
    </row>
    <row r="38" spans="4:12" ht="13.8" thickBot="1" x14ac:dyDescent="0.3">
      <c r="D38" t="s">
        <v>23</v>
      </c>
    </row>
    <row r="39" spans="4:12" x14ac:dyDescent="0.25">
      <c r="D39" s="213"/>
      <c r="E39" s="213" t="s">
        <v>27</v>
      </c>
      <c r="F39" s="213" t="s">
        <v>28</v>
      </c>
      <c r="G39" s="213" t="s">
        <v>29</v>
      </c>
      <c r="H39" s="213" t="s">
        <v>30</v>
      </c>
      <c r="I39" s="213" t="s">
        <v>31</v>
      </c>
    </row>
    <row r="40" spans="4:12" x14ac:dyDescent="0.25">
      <c r="D40" s="211" t="s">
        <v>24</v>
      </c>
      <c r="E40" s="211">
        <v>9</v>
      </c>
      <c r="F40" s="211">
        <v>4435294291153498.5</v>
      </c>
      <c r="G40" s="211">
        <v>492810476794833.19</v>
      </c>
      <c r="H40" s="211">
        <v>130.41786545070912</v>
      </c>
      <c r="I40" s="211">
        <v>1.831071626149417E-54</v>
      </c>
    </row>
    <row r="41" spans="4:12" x14ac:dyDescent="0.25">
      <c r="D41" s="211" t="s">
        <v>25</v>
      </c>
      <c r="E41" s="211">
        <v>110</v>
      </c>
      <c r="F41" s="211">
        <v>415657412119812.44</v>
      </c>
      <c r="G41" s="211">
        <v>3778703746543.7495</v>
      </c>
      <c r="H41" s="211"/>
      <c r="I41" s="211"/>
    </row>
    <row r="42" spans="4:12" ht="13.8" thickBot="1" x14ac:dyDescent="0.3">
      <c r="D42" s="212" t="s">
        <v>10</v>
      </c>
      <c r="E42" s="212">
        <v>119</v>
      </c>
      <c r="F42" s="212">
        <v>4850951703273311</v>
      </c>
      <c r="G42" s="212"/>
      <c r="H42" s="212"/>
      <c r="I42" s="212"/>
    </row>
    <row r="43" spans="4:12" ht="13.8" thickBot="1" x14ac:dyDescent="0.3"/>
    <row r="44" spans="4:12" x14ac:dyDescent="0.25">
      <c r="D44" s="213"/>
      <c r="E44" s="213" t="s">
        <v>32</v>
      </c>
      <c r="F44" s="213" t="s">
        <v>21</v>
      </c>
      <c r="G44" s="213" t="s">
        <v>33</v>
      </c>
      <c r="H44" s="213" t="s">
        <v>34</v>
      </c>
      <c r="I44" s="213" t="s">
        <v>35</v>
      </c>
      <c r="J44" s="213" t="s">
        <v>36</v>
      </c>
      <c r="K44" s="213" t="s">
        <v>37</v>
      </c>
      <c r="L44" s="213" t="s">
        <v>38</v>
      </c>
    </row>
    <row r="45" spans="4:12" x14ac:dyDescent="0.25">
      <c r="D45" s="211" t="s">
        <v>26</v>
      </c>
      <c r="E45" s="471">
        <v>-54304947.101722836</v>
      </c>
      <c r="F45" s="471">
        <v>13108095.834382253</v>
      </c>
      <c r="G45" s="469">
        <v>-4.1428555137110097</v>
      </c>
      <c r="H45" s="469">
        <v>6.7574031442972223E-5</v>
      </c>
      <c r="I45" s="211">
        <v>-80282116.341165572</v>
      </c>
      <c r="J45" s="211">
        <v>-28327777.862280101</v>
      </c>
      <c r="K45" s="211">
        <v>-80282116.341165572</v>
      </c>
      <c r="L45" s="211">
        <v>-28327777.862280101</v>
      </c>
    </row>
    <row r="46" spans="4:12" x14ac:dyDescent="0.25">
      <c r="D46" s="211" t="s">
        <v>3</v>
      </c>
      <c r="E46" s="471">
        <v>14709.226276821963</v>
      </c>
      <c r="F46" s="471">
        <v>1142.8302762404558</v>
      </c>
      <c r="G46" s="469">
        <v>12.870875564489408</v>
      </c>
      <c r="H46" s="469">
        <v>1.107609426050588E-23</v>
      </c>
      <c r="I46" s="211">
        <v>12444.404911998878</v>
      </c>
      <c r="J46" s="211">
        <v>16974.047641645047</v>
      </c>
      <c r="K46" s="211">
        <v>12444.404911998878</v>
      </c>
      <c r="L46" s="211">
        <v>16974.047641645047</v>
      </c>
    </row>
    <row r="47" spans="4:12" x14ac:dyDescent="0.25">
      <c r="D47" s="211" t="s">
        <v>4</v>
      </c>
      <c r="E47" s="471">
        <v>132533.74547309804</v>
      </c>
      <c r="F47" s="471">
        <v>6171.1297814562722</v>
      </c>
      <c r="G47" s="469">
        <v>21.476415205421677</v>
      </c>
      <c r="H47" s="469">
        <v>3.7801328701908699E-41</v>
      </c>
      <c r="I47" s="211">
        <v>120304.01472067485</v>
      </c>
      <c r="J47" s="211">
        <v>144763.47622552121</v>
      </c>
      <c r="K47" s="211">
        <v>120304.01472067485</v>
      </c>
      <c r="L47" s="211">
        <v>144763.47622552121</v>
      </c>
    </row>
    <row r="48" spans="4:12" x14ac:dyDescent="0.25">
      <c r="D48" s="211" t="s">
        <v>254</v>
      </c>
      <c r="E48" s="471">
        <v>436412.11888755218</v>
      </c>
      <c r="F48" s="471">
        <v>75540.931322910823</v>
      </c>
      <c r="G48" s="469">
        <v>5.777160954265236</v>
      </c>
      <c r="H48" s="469">
        <v>7.1659409814635824E-8</v>
      </c>
      <c r="I48" s="211">
        <v>286707.72381186159</v>
      </c>
      <c r="J48" s="211">
        <v>586116.51396324276</v>
      </c>
      <c r="K48" s="211">
        <v>286707.72381186159</v>
      </c>
      <c r="L48" s="211">
        <v>586116.51396324276</v>
      </c>
    </row>
    <row r="49" spans="4:12" x14ac:dyDescent="0.25">
      <c r="D49" s="211" t="s">
        <v>5</v>
      </c>
      <c r="E49" s="471">
        <v>2285681.9205450453</v>
      </c>
      <c r="F49" s="471">
        <v>257251.2185191568</v>
      </c>
      <c r="G49" s="469">
        <v>8.885018829851866</v>
      </c>
      <c r="H49" s="469">
        <v>1.3894707587659122E-14</v>
      </c>
      <c r="I49" s="211">
        <v>1775870.3868975316</v>
      </c>
      <c r="J49" s="211">
        <v>2795493.4541925588</v>
      </c>
      <c r="K49" s="211">
        <v>1775870.3868975316</v>
      </c>
      <c r="L49" s="211">
        <v>2795493.4541925588</v>
      </c>
    </row>
    <row r="50" spans="4:12" x14ac:dyDescent="0.25">
      <c r="D50" s="211" t="s">
        <v>97</v>
      </c>
      <c r="E50" s="471">
        <v>-1870527.9993510512</v>
      </c>
      <c r="F50" s="471">
        <v>721824.26947057841</v>
      </c>
      <c r="G50" s="469">
        <v>-2.5913897308038547</v>
      </c>
      <c r="H50" s="469">
        <v>1.0855099690180559E-2</v>
      </c>
      <c r="I50" s="211">
        <v>-3301014.2763884063</v>
      </c>
      <c r="J50" s="211">
        <v>-440041.72231369605</v>
      </c>
      <c r="K50" s="211">
        <v>-3301014.2763884063</v>
      </c>
      <c r="L50" s="211">
        <v>-440041.72231369605</v>
      </c>
    </row>
    <row r="51" spans="4:12" x14ac:dyDescent="0.25">
      <c r="D51" s="211" t="s">
        <v>98</v>
      </c>
      <c r="E51" s="471">
        <v>-4606047.2944520982</v>
      </c>
      <c r="F51" s="471">
        <v>702224.28660740156</v>
      </c>
      <c r="G51" s="469">
        <v>-6.559225282145845</v>
      </c>
      <c r="H51" s="469">
        <v>1.8250766457517462E-9</v>
      </c>
      <c r="I51" s="211">
        <v>-5997691.0059208199</v>
      </c>
      <c r="J51" s="211">
        <v>-3214403.5829833765</v>
      </c>
      <c r="K51" s="211">
        <v>-5997691.0059208199</v>
      </c>
      <c r="L51" s="211">
        <v>-3214403.5829833765</v>
      </c>
    </row>
    <row r="52" spans="4:12" x14ac:dyDescent="0.25">
      <c r="D52" s="211" t="s">
        <v>85</v>
      </c>
      <c r="E52" s="471">
        <v>-3545784.0668222518</v>
      </c>
      <c r="F52" s="471">
        <v>769226.13452260627</v>
      </c>
      <c r="G52" s="469">
        <v>-4.6095470599459292</v>
      </c>
      <c r="H52" s="469">
        <v>1.09387978112914E-5</v>
      </c>
      <c r="I52" s="211">
        <v>-5070209.7143280394</v>
      </c>
      <c r="J52" s="211">
        <v>-2021358.4193164639</v>
      </c>
      <c r="K52" s="211">
        <v>-5070209.7143280394</v>
      </c>
      <c r="L52" s="211">
        <v>-2021358.4193164639</v>
      </c>
    </row>
    <row r="53" spans="4:12" x14ac:dyDescent="0.25">
      <c r="D53" s="211" t="s">
        <v>103</v>
      </c>
      <c r="E53" s="471">
        <v>-2256442.2729577958</v>
      </c>
      <c r="F53" s="471">
        <v>784295.9904812522</v>
      </c>
      <c r="G53" s="469">
        <v>-2.8770289537923293</v>
      </c>
      <c r="H53" s="469">
        <v>4.8228746121499041E-3</v>
      </c>
      <c r="I53" s="211">
        <v>-3810732.8378091641</v>
      </c>
      <c r="J53" s="211">
        <v>-702151.70810642769</v>
      </c>
      <c r="K53" s="211">
        <v>-3810732.8378091641</v>
      </c>
      <c r="L53" s="211">
        <v>-702151.70810642769</v>
      </c>
    </row>
    <row r="54" spans="4:12" ht="13.8" thickBot="1" x14ac:dyDescent="0.3">
      <c r="D54" s="467" t="s">
        <v>315</v>
      </c>
      <c r="E54" s="468">
        <v>-1.6023357702698657</v>
      </c>
      <c r="F54" s="468">
        <v>0.25876628607050567</v>
      </c>
      <c r="G54" s="468">
        <v>-6.1922122645964768</v>
      </c>
      <c r="H54" s="468">
        <v>1.0480350945694678E-8</v>
      </c>
      <c r="I54" s="212">
        <v>-2.1151498121907277</v>
      </c>
      <c r="J54" s="212">
        <v>-1.0895217283490037</v>
      </c>
      <c r="K54" s="212">
        <v>-2.1151498121907277</v>
      </c>
      <c r="L54" s="212">
        <v>-1.0895217283490037</v>
      </c>
    </row>
    <row r="56" spans="4:12" x14ac:dyDescent="0.25">
      <c r="D56" s="466" t="s">
        <v>322</v>
      </c>
      <c r="E56" s="466"/>
      <c r="F56" s="466"/>
      <c r="G56" s="466"/>
      <c r="H56" s="466"/>
      <c r="I56" s="466"/>
      <c r="J56" s="466"/>
      <c r="K56" s="466"/>
      <c r="L56" s="466"/>
    </row>
    <row r="57" spans="4:12" ht="13.8" thickBot="1" x14ac:dyDescent="0.3"/>
    <row r="58" spans="4:12" x14ac:dyDescent="0.25">
      <c r="D58" s="214" t="s">
        <v>17</v>
      </c>
      <c r="E58" s="214"/>
    </row>
    <row r="59" spans="4:12" x14ac:dyDescent="0.25">
      <c r="D59" s="211" t="s">
        <v>18</v>
      </c>
      <c r="E59" s="472">
        <v>0.95619781148977134</v>
      </c>
    </row>
    <row r="60" spans="4:12" x14ac:dyDescent="0.25">
      <c r="D60" s="211" t="s">
        <v>19</v>
      </c>
      <c r="E60" s="472">
        <v>0.91431425469782834</v>
      </c>
    </row>
    <row r="61" spans="4:12" x14ac:dyDescent="0.25">
      <c r="D61" s="211" t="s">
        <v>20</v>
      </c>
      <c r="E61" s="472">
        <v>0.90730360280946887</v>
      </c>
    </row>
    <row r="62" spans="4:12" x14ac:dyDescent="0.25">
      <c r="D62" s="211" t="s">
        <v>21</v>
      </c>
      <c r="E62" s="471">
        <v>1943888.8205202862</v>
      </c>
    </row>
    <row r="63" spans="4:12" ht="13.8" thickBot="1" x14ac:dyDescent="0.3">
      <c r="D63" s="212" t="s">
        <v>22</v>
      </c>
      <c r="E63" s="212">
        <v>120</v>
      </c>
    </row>
    <row r="65" spans="4:12" ht="13.8" thickBot="1" x14ac:dyDescent="0.3">
      <c r="D65" t="s">
        <v>23</v>
      </c>
    </row>
    <row r="66" spans="4:12" x14ac:dyDescent="0.25">
      <c r="D66" s="213"/>
      <c r="E66" s="213" t="s">
        <v>27</v>
      </c>
      <c r="F66" s="213" t="s">
        <v>28</v>
      </c>
      <c r="G66" s="213" t="s">
        <v>29</v>
      </c>
      <c r="H66" s="213" t="s">
        <v>30</v>
      </c>
      <c r="I66" s="213" t="s">
        <v>31</v>
      </c>
    </row>
    <row r="67" spans="4:12" x14ac:dyDescent="0.25">
      <c r="D67" s="211" t="s">
        <v>24</v>
      </c>
      <c r="E67" s="211">
        <v>9</v>
      </c>
      <c r="F67" s="211">
        <v>4435294291153498.5</v>
      </c>
      <c r="G67" s="211">
        <v>492810476794833.19</v>
      </c>
      <c r="H67" s="211">
        <v>130.41786545070912</v>
      </c>
      <c r="I67" s="211">
        <v>1.831071626149417E-54</v>
      </c>
    </row>
    <row r="68" spans="4:12" x14ac:dyDescent="0.25">
      <c r="D68" s="211" t="s">
        <v>25</v>
      </c>
      <c r="E68" s="211">
        <v>110</v>
      </c>
      <c r="F68" s="211">
        <v>415657412119812.44</v>
      </c>
      <c r="G68" s="211">
        <v>3778703746543.7495</v>
      </c>
      <c r="H68" s="211"/>
      <c r="I68" s="211"/>
    </row>
    <row r="69" spans="4:12" ht="13.8" thickBot="1" x14ac:dyDescent="0.3">
      <c r="D69" s="212" t="s">
        <v>10</v>
      </c>
      <c r="E69" s="212">
        <v>119</v>
      </c>
      <c r="F69" s="212">
        <v>4850951703273311</v>
      </c>
      <c r="G69" s="212"/>
      <c r="H69" s="212"/>
      <c r="I69" s="212"/>
    </row>
    <row r="70" spans="4:12" ht="13.8" thickBot="1" x14ac:dyDescent="0.3"/>
    <row r="71" spans="4:12" x14ac:dyDescent="0.25">
      <c r="D71" s="213"/>
      <c r="E71" s="213" t="s">
        <v>32</v>
      </c>
      <c r="F71" s="213" t="s">
        <v>21</v>
      </c>
      <c r="G71" s="213" t="s">
        <v>33</v>
      </c>
      <c r="H71" s="213" t="s">
        <v>34</v>
      </c>
      <c r="I71" s="213" t="s">
        <v>35</v>
      </c>
      <c r="J71" s="213" t="s">
        <v>36</v>
      </c>
      <c r="K71" s="213" t="s">
        <v>37</v>
      </c>
      <c r="L71" s="213" t="s">
        <v>38</v>
      </c>
    </row>
    <row r="72" spans="4:12" x14ac:dyDescent="0.25">
      <c r="D72" s="211" t="s">
        <v>26</v>
      </c>
      <c r="E72" s="471">
        <v>-54304947.101722836</v>
      </c>
      <c r="F72" s="471">
        <v>13108095.834382253</v>
      </c>
      <c r="G72" s="469">
        <v>-4.1428555137110097</v>
      </c>
      <c r="H72" s="469">
        <v>6.7574031442972223E-5</v>
      </c>
      <c r="I72" s="211">
        <v>-80282116.341165572</v>
      </c>
      <c r="J72" s="211">
        <v>-28327777.862280101</v>
      </c>
      <c r="K72" s="211">
        <v>-80282116.341165572</v>
      </c>
      <c r="L72" s="211">
        <v>-28327777.862280101</v>
      </c>
    </row>
    <row r="73" spans="4:12" x14ac:dyDescent="0.25">
      <c r="D73" s="211" t="s">
        <v>3</v>
      </c>
      <c r="E73" s="471">
        <v>14709.226276821963</v>
      </c>
      <c r="F73" s="471">
        <v>1142.8302762404558</v>
      </c>
      <c r="G73" s="469">
        <v>12.870875564489408</v>
      </c>
      <c r="H73" s="469">
        <v>1.107609426050588E-23</v>
      </c>
      <c r="I73" s="211">
        <v>12444.404911998878</v>
      </c>
      <c r="J73" s="211">
        <v>16974.047641645047</v>
      </c>
      <c r="K73" s="211">
        <v>12444.404911998878</v>
      </c>
      <c r="L73" s="211">
        <v>16974.047641645047</v>
      </c>
    </row>
    <row r="74" spans="4:12" x14ac:dyDescent="0.25">
      <c r="D74" s="211" t="s">
        <v>4</v>
      </c>
      <c r="E74" s="471">
        <v>132533.74547309804</v>
      </c>
      <c r="F74" s="471">
        <v>6171.1297814562722</v>
      </c>
      <c r="G74" s="469">
        <v>21.476415205421677</v>
      </c>
      <c r="H74" s="469">
        <v>3.7801328701908699E-41</v>
      </c>
      <c r="I74" s="211">
        <v>120304.01472067485</v>
      </c>
      <c r="J74" s="211">
        <v>144763.47622552121</v>
      </c>
      <c r="K74" s="211">
        <v>120304.01472067485</v>
      </c>
      <c r="L74" s="211">
        <v>144763.47622552121</v>
      </c>
    </row>
    <row r="75" spans="4:12" x14ac:dyDescent="0.25">
      <c r="D75" s="211" t="s">
        <v>254</v>
      </c>
      <c r="E75" s="471">
        <v>436412.11888755218</v>
      </c>
      <c r="F75" s="471">
        <v>75540.931322910823</v>
      </c>
      <c r="G75" s="469">
        <v>5.777160954265236</v>
      </c>
      <c r="H75" s="469">
        <v>7.1659409814635824E-8</v>
      </c>
      <c r="I75" s="211">
        <v>286707.72381186159</v>
      </c>
      <c r="J75" s="211">
        <v>586116.51396324276</v>
      </c>
      <c r="K75" s="211">
        <v>286707.72381186159</v>
      </c>
      <c r="L75" s="211">
        <v>586116.51396324276</v>
      </c>
    </row>
    <row r="76" spans="4:12" x14ac:dyDescent="0.25">
      <c r="D76" s="211" t="s">
        <v>5</v>
      </c>
      <c r="E76" s="471">
        <v>2285681.9205450453</v>
      </c>
      <c r="F76" s="471">
        <v>257251.2185191568</v>
      </c>
      <c r="G76" s="469">
        <v>8.885018829851866</v>
      </c>
      <c r="H76" s="469">
        <v>1.3894707587659122E-14</v>
      </c>
      <c r="I76" s="211">
        <v>1775870.3868975316</v>
      </c>
      <c r="J76" s="211">
        <v>2795493.4541925588</v>
      </c>
      <c r="K76" s="211">
        <v>1775870.3868975316</v>
      </c>
      <c r="L76" s="211">
        <v>2795493.4541925588</v>
      </c>
    </row>
    <row r="77" spans="4:12" x14ac:dyDescent="0.25">
      <c r="D77" s="211" t="s">
        <v>97</v>
      </c>
      <c r="E77" s="471">
        <v>-1870527.9993510512</v>
      </c>
      <c r="F77" s="471">
        <v>721824.26947057841</v>
      </c>
      <c r="G77" s="469">
        <v>-2.5913897308038547</v>
      </c>
      <c r="H77" s="469">
        <v>1.0855099690180559E-2</v>
      </c>
      <c r="I77" s="211">
        <v>-3301014.2763884063</v>
      </c>
      <c r="J77" s="211">
        <v>-440041.72231369605</v>
      </c>
      <c r="K77" s="211">
        <v>-3301014.2763884063</v>
      </c>
      <c r="L77" s="211">
        <v>-440041.72231369605</v>
      </c>
    </row>
    <row r="78" spans="4:12" x14ac:dyDescent="0.25">
      <c r="D78" s="211" t="s">
        <v>98</v>
      </c>
      <c r="E78" s="471">
        <v>-4606047.2944520982</v>
      </c>
      <c r="F78" s="471">
        <v>702224.28660740156</v>
      </c>
      <c r="G78" s="469">
        <v>-6.559225282145845</v>
      </c>
      <c r="H78" s="469">
        <v>1.8250766457517462E-9</v>
      </c>
      <c r="I78" s="211">
        <v>-5997691.0059208199</v>
      </c>
      <c r="J78" s="211">
        <v>-3214403.5829833765</v>
      </c>
      <c r="K78" s="211">
        <v>-5997691.0059208199</v>
      </c>
      <c r="L78" s="211">
        <v>-3214403.5829833765</v>
      </c>
    </row>
    <row r="79" spans="4:12" x14ac:dyDescent="0.25">
      <c r="D79" s="211" t="s">
        <v>85</v>
      </c>
      <c r="E79" s="471">
        <v>-3545784.0668222518</v>
      </c>
      <c r="F79" s="471">
        <v>769226.13452260627</v>
      </c>
      <c r="G79" s="469">
        <v>-4.6095470599459292</v>
      </c>
      <c r="H79" s="469">
        <v>1.09387978112914E-5</v>
      </c>
      <c r="I79" s="211">
        <v>-5070209.7143280394</v>
      </c>
      <c r="J79" s="211">
        <v>-2021358.4193164639</v>
      </c>
      <c r="K79" s="211">
        <v>-5070209.7143280394</v>
      </c>
      <c r="L79" s="211">
        <v>-2021358.4193164639</v>
      </c>
    </row>
    <row r="80" spans="4:12" x14ac:dyDescent="0.25">
      <c r="D80" s="211" t="s">
        <v>103</v>
      </c>
      <c r="E80" s="471">
        <v>-2256442.2729577958</v>
      </c>
      <c r="F80" s="471">
        <v>784295.9904812522</v>
      </c>
      <c r="G80" s="469">
        <v>-2.8770289537923293</v>
      </c>
      <c r="H80" s="469">
        <v>4.8228746121499041E-3</v>
      </c>
      <c r="I80" s="211">
        <v>-3810732.8378091641</v>
      </c>
      <c r="J80" s="211">
        <v>-702151.70810642769</v>
      </c>
      <c r="K80" s="211">
        <v>-3810732.8378091641</v>
      </c>
      <c r="L80" s="211">
        <v>-702151.70810642769</v>
      </c>
    </row>
    <row r="81" spans="4:12" ht="13.8" thickBot="1" x14ac:dyDescent="0.3">
      <c r="D81" s="467" t="s">
        <v>315</v>
      </c>
      <c r="E81" s="468">
        <v>-1.6023357702698657</v>
      </c>
      <c r="F81" s="468">
        <v>0.25876628607050567</v>
      </c>
      <c r="G81" s="468">
        <v>-6.1922122645964768</v>
      </c>
      <c r="H81" s="468">
        <v>1.0480350945694678E-8</v>
      </c>
      <c r="I81" s="212">
        <v>-2.1151498121907277</v>
      </c>
      <c r="J81" s="212">
        <v>-1.0895217283490037</v>
      </c>
      <c r="K81" s="212">
        <v>-2.1151498121907277</v>
      </c>
      <c r="L81" s="212">
        <v>-1.0895217283490037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Z50"/>
  <sheetViews>
    <sheetView topLeftCell="P31" workbookViewId="0">
      <selection activeCell="P25" sqref="P25:Z38"/>
    </sheetView>
  </sheetViews>
  <sheetFormatPr defaultRowHeight="13.2" x14ac:dyDescent="0.25"/>
  <cols>
    <col min="10" max="10" width="32.21875" bestFit="1" customWidth="1"/>
    <col min="11" max="11" width="32.21875" customWidth="1"/>
    <col min="12" max="14" width="15.21875" bestFit="1" customWidth="1"/>
    <col min="15" max="25" width="12.44140625" bestFit="1" customWidth="1"/>
    <col min="26" max="26" width="16.21875" bestFit="1" customWidth="1"/>
  </cols>
  <sheetData>
    <row r="2" spans="10:26" x14ac:dyDescent="0.25">
      <c r="J2" t="s">
        <v>288</v>
      </c>
      <c r="L2">
        <v>2011</v>
      </c>
      <c r="M2">
        <v>2012</v>
      </c>
      <c r="N2">
        <v>2013</v>
      </c>
      <c r="O2">
        <v>2014</v>
      </c>
      <c r="P2">
        <v>2015</v>
      </c>
      <c r="Q2">
        <v>2016</v>
      </c>
      <c r="R2">
        <v>2017</v>
      </c>
      <c r="S2">
        <v>2018</v>
      </c>
      <c r="T2">
        <v>2019</v>
      </c>
      <c r="U2">
        <v>2020</v>
      </c>
      <c r="V2">
        <v>2021</v>
      </c>
      <c r="W2">
        <v>2022</v>
      </c>
      <c r="X2">
        <v>2023</v>
      </c>
      <c r="Y2">
        <v>2024</v>
      </c>
      <c r="Z2">
        <v>2025</v>
      </c>
    </row>
    <row r="3" spans="10:26" x14ac:dyDescent="0.25">
      <c r="J3">
        <v>2006</v>
      </c>
      <c r="L3">
        <v>129.11000000000001</v>
      </c>
      <c r="M3">
        <v>120.16</v>
      </c>
      <c r="N3">
        <v>120.16</v>
      </c>
      <c r="O3">
        <v>93.98</v>
      </c>
      <c r="P3">
        <v>93.98</v>
      </c>
      <c r="Q3">
        <v>93.98</v>
      </c>
      <c r="R3">
        <v>93.98</v>
      </c>
      <c r="S3">
        <v>93.98</v>
      </c>
      <c r="T3">
        <v>93.98</v>
      </c>
      <c r="U3">
        <v>57.52</v>
      </c>
      <c r="V3">
        <v>39.26</v>
      </c>
      <c r="W3">
        <v>39.26</v>
      </c>
      <c r="X3">
        <v>39.26</v>
      </c>
      <c r="Y3">
        <v>1.1000000000000001</v>
      </c>
      <c r="Z3">
        <v>1.1000000000000001</v>
      </c>
    </row>
    <row r="4" spans="10:26" x14ac:dyDescent="0.25">
      <c r="J4">
        <v>2007</v>
      </c>
      <c r="L4">
        <v>180.57</v>
      </c>
      <c r="M4">
        <v>167.07</v>
      </c>
      <c r="N4">
        <v>193.4</v>
      </c>
      <c r="O4">
        <v>167.07</v>
      </c>
      <c r="P4">
        <v>136.83000000000001</v>
      </c>
      <c r="Q4">
        <v>121.7</v>
      </c>
      <c r="R4">
        <v>103.75</v>
      </c>
      <c r="S4">
        <v>103.75</v>
      </c>
      <c r="T4">
        <v>97.89</v>
      </c>
      <c r="U4">
        <v>97.89</v>
      </c>
      <c r="V4">
        <v>97.89</v>
      </c>
      <c r="W4">
        <v>18.440000000000001</v>
      </c>
      <c r="X4">
        <v>18.23</v>
      </c>
      <c r="Y4">
        <v>18.23</v>
      </c>
      <c r="Z4" t="s">
        <v>290</v>
      </c>
    </row>
    <row r="5" spans="10:26" x14ac:dyDescent="0.25">
      <c r="J5">
        <v>2008</v>
      </c>
      <c r="L5">
        <v>620.95000000000005</v>
      </c>
      <c r="M5">
        <v>614.39</v>
      </c>
      <c r="N5">
        <v>680.54</v>
      </c>
      <c r="O5">
        <v>605.07000000000005</v>
      </c>
      <c r="P5">
        <v>601.91999999999996</v>
      </c>
      <c r="Q5">
        <v>579.79999999999995</v>
      </c>
      <c r="R5">
        <v>542.45000000000005</v>
      </c>
      <c r="S5">
        <v>539.07000000000005</v>
      </c>
      <c r="T5">
        <v>539.07000000000005</v>
      </c>
      <c r="U5">
        <v>531.64</v>
      </c>
      <c r="V5">
        <v>306.79000000000002</v>
      </c>
      <c r="W5">
        <v>303.14</v>
      </c>
      <c r="X5">
        <v>274.82</v>
      </c>
      <c r="Y5">
        <v>209.76</v>
      </c>
      <c r="Z5">
        <v>209.76</v>
      </c>
    </row>
    <row r="6" spans="10:26" x14ac:dyDescent="0.25">
      <c r="J6">
        <v>2009</v>
      </c>
      <c r="L6" s="452">
        <v>1576.58</v>
      </c>
      <c r="M6" s="452">
        <v>1573.98</v>
      </c>
      <c r="N6" s="452">
        <v>1763.5</v>
      </c>
      <c r="O6" s="452">
        <v>1516.1</v>
      </c>
      <c r="P6" s="452">
        <v>1513.44</v>
      </c>
      <c r="Q6" s="452">
        <v>1513.44</v>
      </c>
      <c r="R6" s="452">
        <v>1505.52</v>
      </c>
      <c r="S6">
        <v>801.1</v>
      </c>
      <c r="T6">
        <v>796.1</v>
      </c>
      <c r="U6">
        <v>434.04</v>
      </c>
      <c r="V6">
        <v>422.81</v>
      </c>
      <c r="W6">
        <v>180.32</v>
      </c>
      <c r="X6">
        <v>179.78</v>
      </c>
      <c r="Y6">
        <v>167.31</v>
      </c>
      <c r="Z6">
        <v>166.26</v>
      </c>
    </row>
    <row r="7" spans="10:26" x14ac:dyDescent="0.25">
      <c r="J7">
        <v>2010</v>
      </c>
      <c r="L7">
        <v>888.44</v>
      </c>
      <c r="M7">
        <v>888.16</v>
      </c>
      <c r="N7" s="452">
        <v>1002.13</v>
      </c>
      <c r="O7">
        <v>859.54</v>
      </c>
      <c r="P7">
        <v>808.53</v>
      </c>
      <c r="Q7">
        <v>808.08</v>
      </c>
      <c r="R7">
        <v>808.08</v>
      </c>
      <c r="S7">
        <v>742.47</v>
      </c>
      <c r="T7">
        <v>737.22</v>
      </c>
      <c r="U7">
        <v>464.16</v>
      </c>
      <c r="V7">
        <v>464.16</v>
      </c>
      <c r="W7">
        <v>463.83</v>
      </c>
      <c r="X7">
        <v>316.47000000000003</v>
      </c>
      <c r="Y7">
        <v>316.47000000000003</v>
      </c>
      <c r="Z7">
        <v>308.02999999999997</v>
      </c>
    </row>
    <row r="8" spans="10:26" x14ac:dyDescent="0.25">
      <c r="J8">
        <v>2011</v>
      </c>
      <c r="L8" s="452">
        <v>1164.98</v>
      </c>
      <c r="M8">
        <v>927.24</v>
      </c>
      <c r="N8" s="452">
        <v>1012.88</v>
      </c>
      <c r="O8">
        <v>886.44</v>
      </c>
      <c r="P8">
        <v>868.12</v>
      </c>
      <c r="Q8">
        <v>844.29</v>
      </c>
      <c r="R8">
        <v>768.64</v>
      </c>
      <c r="S8">
        <v>765.67</v>
      </c>
      <c r="T8">
        <v>697.95</v>
      </c>
      <c r="U8">
        <v>689.14</v>
      </c>
      <c r="V8">
        <v>677.24</v>
      </c>
      <c r="W8">
        <v>677.24</v>
      </c>
      <c r="X8">
        <v>437.67</v>
      </c>
      <c r="Y8">
        <v>296.26</v>
      </c>
      <c r="Z8">
        <v>296.12</v>
      </c>
    </row>
    <row r="9" spans="10:26" x14ac:dyDescent="0.25">
      <c r="J9">
        <v>2012</v>
      </c>
      <c r="L9">
        <v>15</v>
      </c>
      <c r="M9" s="452">
        <v>3646.77</v>
      </c>
      <c r="N9" s="452">
        <v>1045.46</v>
      </c>
      <c r="O9" s="452">
        <v>1038.6400000000001</v>
      </c>
      <c r="P9" s="452">
        <v>1011.72</v>
      </c>
      <c r="Q9">
        <v>999.6</v>
      </c>
      <c r="R9">
        <v>935.45</v>
      </c>
      <c r="S9">
        <v>907.56</v>
      </c>
      <c r="T9">
        <v>718.27</v>
      </c>
      <c r="U9">
        <v>682.7</v>
      </c>
      <c r="V9">
        <v>532.04</v>
      </c>
      <c r="W9">
        <v>518.48</v>
      </c>
      <c r="X9">
        <v>518.04999999999995</v>
      </c>
      <c r="Y9">
        <v>317.98</v>
      </c>
      <c r="Z9">
        <v>279.5</v>
      </c>
    </row>
    <row r="10" spans="10:26" x14ac:dyDescent="0.25">
      <c r="J10">
        <v>2013</v>
      </c>
      <c r="L10" t="s">
        <v>289</v>
      </c>
      <c r="M10" t="s">
        <v>289</v>
      </c>
      <c r="N10" s="452">
        <v>2341.46</v>
      </c>
      <c r="O10" s="452">
        <v>1752.27</v>
      </c>
      <c r="P10" s="452">
        <v>1750.66</v>
      </c>
      <c r="Q10" s="452">
        <v>1737.45</v>
      </c>
      <c r="R10" s="452">
        <v>1560.92</v>
      </c>
      <c r="S10" s="452">
        <v>1533.18</v>
      </c>
      <c r="T10" s="452">
        <v>1532.92</v>
      </c>
      <c r="U10" s="452">
        <v>1532.91</v>
      </c>
      <c r="V10" s="452">
        <v>1472.88</v>
      </c>
      <c r="W10" s="452">
        <v>1337</v>
      </c>
      <c r="X10" s="452">
        <v>1107.67</v>
      </c>
      <c r="Y10" s="452">
        <v>1101.47</v>
      </c>
      <c r="Z10">
        <v>833.76</v>
      </c>
    </row>
    <row r="11" spans="10:26" x14ac:dyDescent="0.25">
      <c r="J11">
        <v>2014</v>
      </c>
      <c r="L11" t="s">
        <v>289</v>
      </c>
      <c r="M11" t="s">
        <v>289</v>
      </c>
      <c r="N11" t="s">
        <v>289</v>
      </c>
      <c r="O11" s="452">
        <v>5343.15</v>
      </c>
      <c r="P11" s="452">
        <v>4098.3500000000004</v>
      </c>
      <c r="Q11" s="452">
        <v>4086.62</v>
      </c>
      <c r="R11" s="452">
        <v>4038.46</v>
      </c>
      <c r="S11" s="452">
        <v>3990.41</v>
      </c>
      <c r="T11" s="452">
        <v>3981.2</v>
      </c>
      <c r="U11" s="452">
        <v>3954.86</v>
      </c>
      <c r="V11" s="452">
        <v>3951.87</v>
      </c>
      <c r="W11" s="452">
        <v>3915.95</v>
      </c>
      <c r="X11" s="452">
        <v>3799.23</v>
      </c>
      <c r="Y11" s="452">
        <v>3680.08</v>
      </c>
      <c r="Z11" s="452">
        <v>3635.36</v>
      </c>
    </row>
    <row r="13" spans="10:26" x14ac:dyDescent="0.25">
      <c r="J13" s="178" t="s">
        <v>293</v>
      </c>
      <c r="K13" s="178"/>
      <c r="L13">
        <v>2011</v>
      </c>
      <c r="M13">
        <v>2012</v>
      </c>
      <c r="N13">
        <v>2013</v>
      </c>
      <c r="O13">
        <v>2014</v>
      </c>
      <c r="P13">
        <v>2015</v>
      </c>
      <c r="Q13">
        <v>2016</v>
      </c>
      <c r="R13">
        <v>2017</v>
      </c>
      <c r="S13">
        <v>2018</v>
      </c>
      <c r="T13">
        <v>2019</v>
      </c>
      <c r="U13">
        <v>2020</v>
      </c>
      <c r="V13">
        <v>2021</v>
      </c>
      <c r="W13">
        <v>2022</v>
      </c>
      <c r="X13">
        <v>2023</v>
      </c>
      <c r="Y13">
        <v>2024</v>
      </c>
      <c r="Z13">
        <v>2025</v>
      </c>
    </row>
    <row r="14" spans="10:26" x14ac:dyDescent="0.25">
      <c r="J14" s="178">
        <v>2015</v>
      </c>
      <c r="K14" s="178"/>
      <c r="L14">
        <v>0</v>
      </c>
      <c r="M14">
        <v>0</v>
      </c>
      <c r="N14">
        <v>0</v>
      </c>
      <c r="O14">
        <v>0</v>
      </c>
      <c r="P14" s="410"/>
      <c r="Q14" s="410"/>
      <c r="R14" s="410"/>
      <c r="S14" s="410"/>
      <c r="T14" s="410"/>
      <c r="U14" s="410"/>
      <c r="V14" s="410"/>
      <c r="W14" s="410"/>
      <c r="X14" s="410"/>
      <c r="Y14" s="410"/>
      <c r="Z14" s="410"/>
    </row>
    <row r="15" spans="10:26" x14ac:dyDescent="0.25">
      <c r="J15" s="178">
        <v>2016</v>
      </c>
      <c r="K15" s="178"/>
      <c r="L15">
        <v>0</v>
      </c>
      <c r="M15">
        <v>0</v>
      </c>
      <c r="N15">
        <v>0</v>
      </c>
      <c r="O15">
        <v>0</v>
      </c>
      <c r="P15">
        <v>0</v>
      </c>
    </row>
    <row r="16" spans="10:26" x14ac:dyDescent="0.25">
      <c r="J16" s="178">
        <v>2017</v>
      </c>
      <c r="K16" s="178"/>
      <c r="L16">
        <v>0</v>
      </c>
      <c r="M16">
        <v>0</v>
      </c>
      <c r="N16">
        <v>0</v>
      </c>
      <c r="O16">
        <v>0</v>
      </c>
      <c r="P16">
        <v>0</v>
      </c>
      <c r="Q16">
        <v>0</v>
      </c>
    </row>
    <row r="17" spans="9:26" x14ac:dyDescent="0.25">
      <c r="J17" s="178">
        <v>2018</v>
      </c>
      <c r="K17" s="178"/>
      <c r="L17">
        <v>0</v>
      </c>
      <c r="M17">
        <v>0</v>
      </c>
      <c r="N17">
        <v>0</v>
      </c>
      <c r="O17">
        <v>0</v>
      </c>
      <c r="P17">
        <v>0</v>
      </c>
      <c r="Q17">
        <v>0</v>
      </c>
      <c r="R17">
        <v>0</v>
      </c>
    </row>
    <row r="18" spans="9:26" x14ac:dyDescent="0.25">
      <c r="J18" s="178">
        <v>2019</v>
      </c>
      <c r="K18" s="178"/>
      <c r="L18">
        <v>0</v>
      </c>
      <c r="M18">
        <v>0</v>
      </c>
      <c r="N18">
        <v>0</v>
      </c>
      <c r="O18">
        <v>0</v>
      </c>
      <c r="P18">
        <v>0</v>
      </c>
      <c r="Q18">
        <v>0</v>
      </c>
      <c r="R18">
        <v>0</v>
      </c>
      <c r="S18">
        <v>0</v>
      </c>
    </row>
    <row r="24" spans="9:26" x14ac:dyDescent="0.25">
      <c r="K24">
        <v>2010</v>
      </c>
      <c r="L24">
        <v>2011</v>
      </c>
      <c r="M24">
        <v>2012</v>
      </c>
      <c r="N24">
        <v>2013</v>
      </c>
      <c r="O24">
        <v>2014</v>
      </c>
      <c r="P24">
        <v>2015</v>
      </c>
      <c r="Q24">
        <v>2016</v>
      </c>
      <c r="R24">
        <v>2017</v>
      </c>
      <c r="S24">
        <v>2018</v>
      </c>
      <c r="T24">
        <v>2019</v>
      </c>
      <c r="U24">
        <v>2020</v>
      </c>
      <c r="V24">
        <v>2021</v>
      </c>
      <c r="W24">
        <v>2022</v>
      </c>
      <c r="X24">
        <v>2023</v>
      </c>
      <c r="Y24">
        <v>2024</v>
      </c>
      <c r="Z24">
        <v>2025</v>
      </c>
    </row>
    <row r="25" spans="9:26" x14ac:dyDescent="0.25">
      <c r="I25" s="455" t="s">
        <v>291</v>
      </c>
      <c r="J25">
        <v>2006</v>
      </c>
      <c r="K25" s="410">
        <v>463043.42715370021</v>
      </c>
      <c r="L25" s="410">
        <v>463043.43</v>
      </c>
      <c r="M25" s="410">
        <v>423558.67</v>
      </c>
      <c r="N25" s="410">
        <v>423558.67</v>
      </c>
      <c r="O25" s="410">
        <v>397998.63</v>
      </c>
      <c r="P25" s="410">
        <v>397998.63</v>
      </c>
      <c r="Q25" s="410">
        <v>376020.92</v>
      </c>
      <c r="R25" s="410">
        <v>376020.92</v>
      </c>
      <c r="S25" s="410">
        <v>376020.92</v>
      </c>
      <c r="T25" s="410">
        <v>376020.92</v>
      </c>
      <c r="U25" s="410">
        <v>340369.53</v>
      </c>
      <c r="V25" s="410">
        <v>295854.38</v>
      </c>
      <c r="W25" s="410">
        <v>295854.38</v>
      </c>
      <c r="X25" s="410">
        <v>295854.38</v>
      </c>
      <c r="Y25" s="410">
        <v>159858.84</v>
      </c>
      <c r="Z25" s="410">
        <v>159858.84</v>
      </c>
    </row>
    <row r="26" spans="9:26" x14ac:dyDescent="0.25">
      <c r="J26">
        <v>2007</v>
      </c>
      <c r="K26" s="410">
        <v>1375496.831751832</v>
      </c>
      <c r="L26" s="410">
        <v>1374565.2</v>
      </c>
      <c r="M26" s="410">
        <v>1319405.8600000001</v>
      </c>
      <c r="N26" s="410">
        <v>1319449.1599999999</v>
      </c>
      <c r="O26" s="410">
        <v>1319405.8600000001</v>
      </c>
      <c r="P26" s="410">
        <v>451386.63</v>
      </c>
      <c r="Q26" s="410">
        <v>311034.57</v>
      </c>
      <c r="R26" s="410">
        <v>164898.26999999999</v>
      </c>
      <c r="S26" s="410">
        <v>164898.26999999999</v>
      </c>
      <c r="T26" s="410">
        <v>164898.26999999999</v>
      </c>
      <c r="U26" s="410">
        <v>164898.26999999999</v>
      </c>
      <c r="V26" s="410">
        <v>164898.26999999999</v>
      </c>
      <c r="W26" s="410">
        <v>24849.72</v>
      </c>
      <c r="X26" s="410">
        <v>20321.68</v>
      </c>
      <c r="Y26" s="410">
        <v>20321.68</v>
      </c>
      <c r="Z26" s="410" t="s">
        <v>290</v>
      </c>
    </row>
    <row r="27" spans="9:26" x14ac:dyDescent="0.25">
      <c r="J27">
        <v>2008</v>
      </c>
      <c r="K27" s="410">
        <v>2083518.3959945007</v>
      </c>
      <c r="L27" s="410">
        <v>2083518.4</v>
      </c>
      <c r="M27" s="410">
        <v>1953835.15</v>
      </c>
      <c r="N27" s="410">
        <v>1952703</v>
      </c>
      <c r="O27" s="410">
        <v>1818843.91</v>
      </c>
      <c r="P27" s="410">
        <v>1718921.23</v>
      </c>
      <c r="Q27" s="410">
        <v>1280426.25</v>
      </c>
      <c r="R27" s="410">
        <v>950424.38</v>
      </c>
      <c r="S27" s="410">
        <v>850075.15</v>
      </c>
      <c r="T27" s="410">
        <v>850075.15</v>
      </c>
      <c r="U27" s="410">
        <v>837270.34</v>
      </c>
      <c r="V27" s="410">
        <v>816336.56</v>
      </c>
      <c r="W27" s="410">
        <v>807916.89</v>
      </c>
      <c r="X27" s="410">
        <v>750621.03</v>
      </c>
      <c r="Y27" s="410">
        <v>248605.87</v>
      </c>
      <c r="Z27" s="410">
        <v>248605.87</v>
      </c>
    </row>
    <row r="28" spans="9:26" x14ac:dyDescent="0.25">
      <c r="J28">
        <v>2009</v>
      </c>
      <c r="K28" s="410">
        <v>6230628.8779311981</v>
      </c>
      <c r="L28" s="410">
        <v>6230628.8799999999</v>
      </c>
      <c r="M28" s="410">
        <v>6227931.46</v>
      </c>
      <c r="N28" s="410">
        <v>6110635.9800000004</v>
      </c>
      <c r="O28" s="410">
        <v>5806438.0099999998</v>
      </c>
      <c r="P28" s="410">
        <v>5738137.9100000001</v>
      </c>
      <c r="Q28" s="410">
        <v>5736647.6500000004</v>
      </c>
      <c r="R28" s="410">
        <v>4440683.2300000004</v>
      </c>
      <c r="S28" s="410">
        <v>2892856.07</v>
      </c>
      <c r="T28" s="410">
        <v>2377810.81</v>
      </c>
      <c r="U28" s="410">
        <v>401134.84</v>
      </c>
      <c r="V28" s="410">
        <v>364394.89</v>
      </c>
      <c r="W28" s="410">
        <v>363951.5</v>
      </c>
      <c r="X28" s="410">
        <v>358715.99</v>
      </c>
      <c r="Y28" s="410">
        <v>315313.2</v>
      </c>
      <c r="Z28" s="410">
        <v>288380.15000000002</v>
      </c>
    </row>
    <row r="29" spans="9:26" x14ac:dyDescent="0.25">
      <c r="J29">
        <v>2010</v>
      </c>
      <c r="K29" s="410">
        <v>4170819.6032697526</v>
      </c>
      <c r="L29" s="410">
        <v>2995440.3</v>
      </c>
      <c r="M29" s="410">
        <v>2991631.44</v>
      </c>
      <c r="N29" s="410">
        <v>2989542.01</v>
      </c>
      <c r="O29" s="410">
        <v>2866698.41</v>
      </c>
      <c r="P29" s="410">
        <v>2447090.15</v>
      </c>
      <c r="Q29" s="410">
        <v>2432987.33</v>
      </c>
      <c r="R29" s="410">
        <v>2367567.9300000002</v>
      </c>
      <c r="S29" s="410">
        <v>2215013.5099999998</v>
      </c>
      <c r="T29" s="410">
        <v>937585.67</v>
      </c>
      <c r="U29" s="410">
        <v>587167.73</v>
      </c>
      <c r="V29" s="410">
        <v>587167.73</v>
      </c>
      <c r="W29" s="410">
        <v>583421.39</v>
      </c>
      <c r="X29" s="410">
        <v>582752.76</v>
      </c>
      <c r="Y29" s="410">
        <v>582752.76</v>
      </c>
      <c r="Z29" s="410">
        <v>564899.48</v>
      </c>
    </row>
    <row r="30" spans="9:26" x14ac:dyDescent="0.25">
      <c r="J30">
        <v>2011</v>
      </c>
      <c r="K30" s="410">
        <v>0</v>
      </c>
      <c r="L30" s="410">
        <v>4286049.6900000004</v>
      </c>
      <c r="M30" s="410">
        <v>4273421.38</v>
      </c>
      <c r="N30" s="410">
        <v>4269479.78</v>
      </c>
      <c r="O30" s="410">
        <v>4164654.72</v>
      </c>
      <c r="P30" s="410">
        <v>4044924.87</v>
      </c>
      <c r="Q30" s="410">
        <v>3842745.46</v>
      </c>
      <c r="R30" s="410">
        <v>3585982.4</v>
      </c>
      <c r="S30" s="410">
        <v>3582790.41</v>
      </c>
      <c r="T30" s="410">
        <v>3120827.28</v>
      </c>
      <c r="U30" s="410">
        <v>2930516.1</v>
      </c>
      <c r="V30" s="410">
        <v>2832862.62</v>
      </c>
      <c r="W30" s="410">
        <v>2827300.45</v>
      </c>
      <c r="X30" s="410">
        <v>1442284.73</v>
      </c>
      <c r="Y30" s="410">
        <v>593243.99</v>
      </c>
      <c r="Z30" s="410">
        <v>592204.13</v>
      </c>
    </row>
    <row r="31" spans="9:26" x14ac:dyDescent="0.25">
      <c r="J31">
        <v>2012</v>
      </c>
      <c r="K31" s="410">
        <v>0</v>
      </c>
      <c r="L31" s="456">
        <v>153118.66</v>
      </c>
      <c r="M31" s="410">
        <v>5903679</v>
      </c>
      <c r="N31" s="410">
        <v>5801327.04</v>
      </c>
      <c r="O31" s="410">
        <v>5778849.0199999996</v>
      </c>
      <c r="P31" s="410">
        <v>5681217.0800000001</v>
      </c>
      <c r="Q31" s="410">
        <v>5580103.1100000003</v>
      </c>
      <c r="R31" s="410">
        <v>5264741.51</v>
      </c>
      <c r="S31" s="410">
        <v>5005437</v>
      </c>
      <c r="T31" s="410">
        <v>3249973.59</v>
      </c>
      <c r="U31" s="410">
        <v>3075156.75</v>
      </c>
      <c r="V31" s="410">
        <v>2095101.86</v>
      </c>
      <c r="W31" s="410">
        <v>1923659.78</v>
      </c>
      <c r="X31" s="410">
        <v>1918862.27</v>
      </c>
      <c r="Y31" s="410">
        <v>765196.13</v>
      </c>
      <c r="Z31" s="410">
        <v>637197.06999999995</v>
      </c>
    </row>
    <row r="32" spans="9:26" x14ac:dyDescent="0.25">
      <c r="J32">
        <v>2013</v>
      </c>
      <c r="K32" s="410">
        <v>0</v>
      </c>
      <c r="L32" s="410">
        <v>0</v>
      </c>
      <c r="M32" s="410">
        <v>0</v>
      </c>
      <c r="N32" s="410">
        <v>6994577.8200000003</v>
      </c>
      <c r="O32" s="410">
        <v>6908924.9199999999</v>
      </c>
      <c r="P32" s="410">
        <v>6895581.3399999999</v>
      </c>
      <c r="Q32" s="410">
        <v>6806731.7199999997</v>
      </c>
      <c r="R32" s="410">
        <v>6111009.04</v>
      </c>
      <c r="S32" s="410">
        <v>5938031.5700000003</v>
      </c>
      <c r="T32" s="410">
        <v>5933062.1699999999</v>
      </c>
      <c r="U32" s="410">
        <v>5930968.1399999997</v>
      </c>
      <c r="V32" s="410">
        <v>5643124.2599999998</v>
      </c>
      <c r="W32" s="410">
        <v>4878787.08</v>
      </c>
      <c r="X32" s="410">
        <v>3496169.06</v>
      </c>
      <c r="Y32" s="410">
        <v>3440850.8</v>
      </c>
      <c r="Z32" s="410">
        <v>1878196.35</v>
      </c>
    </row>
    <row r="33" spans="9:26" x14ac:dyDescent="0.25">
      <c r="J33">
        <v>2014</v>
      </c>
      <c r="K33" s="410">
        <v>0</v>
      </c>
      <c r="L33" s="410">
        <v>0</v>
      </c>
      <c r="M33" s="410">
        <v>0</v>
      </c>
      <c r="N33" s="410">
        <v>0</v>
      </c>
      <c r="O33" s="410">
        <v>33821560.079999998</v>
      </c>
      <c r="P33" s="410">
        <v>33152890.469999999</v>
      </c>
      <c r="Q33" s="410">
        <v>33032221.41</v>
      </c>
      <c r="R33" s="410">
        <v>32854801.32</v>
      </c>
      <c r="S33" s="410">
        <v>32675045.449999999</v>
      </c>
      <c r="T33" s="410">
        <v>32618967.93</v>
      </c>
      <c r="U33" s="410">
        <v>32459292.93</v>
      </c>
      <c r="V33" s="410">
        <v>32449097.960000001</v>
      </c>
      <c r="W33" s="410">
        <v>32187773.120000001</v>
      </c>
      <c r="X33" s="410">
        <v>31425935.489999998</v>
      </c>
      <c r="Y33" s="410">
        <v>30673044.82</v>
      </c>
      <c r="Z33" s="410">
        <v>30367888.379999999</v>
      </c>
    </row>
    <row r="34" spans="9:26" x14ac:dyDescent="0.25">
      <c r="I34" s="455" t="s">
        <v>292</v>
      </c>
      <c r="J34" s="178">
        <v>2015</v>
      </c>
      <c r="K34" s="410">
        <v>0</v>
      </c>
      <c r="L34" s="410">
        <v>0</v>
      </c>
      <c r="M34" s="410">
        <v>0</v>
      </c>
      <c r="N34" s="410">
        <v>0</v>
      </c>
      <c r="O34" s="410">
        <v>0</v>
      </c>
      <c r="P34" s="410">
        <v>9522225</v>
      </c>
      <c r="Q34" s="410">
        <v>9486358</v>
      </c>
      <c r="R34" s="410">
        <v>9482555</v>
      </c>
      <c r="S34" s="410">
        <v>9481982</v>
      </c>
      <c r="T34" s="410">
        <v>9469641</v>
      </c>
      <c r="U34" s="410">
        <v>9309700</v>
      </c>
      <c r="V34" s="410">
        <v>9309006</v>
      </c>
      <c r="W34" s="410">
        <v>9307892</v>
      </c>
      <c r="X34" s="410">
        <v>9262140</v>
      </c>
      <c r="Y34" s="410">
        <v>8675903</v>
      </c>
      <c r="Z34" s="410">
        <v>6713423</v>
      </c>
    </row>
    <row r="35" spans="9:26" x14ac:dyDescent="0.25">
      <c r="I35" s="410"/>
      <c r="J35" s="178">
        <v>2016</v>
      </c>
      <c r="K35" s="410">
        <v>0</v>
      </c>
      <c r="L35" s="410">
        <v>0</v>
      </c>
      <c r="M35" s="410">
        <v>0</v>
      </c>
      <c r="N35" s="410">
        <v>0</v>
      </c>
      <c r="O35" s="410">
        <v>0</v>
      </c>
      <c r="P35" s="410">
        <v>0</v>
      </c>
      <c r="Q35" s="410">
        <v>12181475</v>
      </c>
      <c r="R35" s="410">
        <v>12181342</v>
      </c>
      <c r="S35" s="410">
        <v>12207408</v>
      </c>
      <c r="T35" s="410">
        <v>12109967</v>
      </c>
      <c r="U35" s="410">
        <v>12077836</v>
      </c>
      <c r="V35" s="410">
        <v>11432197</v>
      </c>
      <c r="W35" s="410">
        <v>11326628</v>
      </c>
      <c r="X35" s="410">
        <v>11292271</v>
      </c>
      <c r="Y35" s="410">
        <v>11242534</v>
      </c>
      <c r="Z35" s="410">
        <v>11176819</v>
      </c>
    </row>
    <row r="36" spans="9:26" x14ac:dyDescent="0.25">
      <c r="I36" s="410"/>
      <c r="J36" s="178">
        <v>2017</v>
      </c>
      <c r="K36" s="410">
        <v>0</v>
      </c>
      <c r="L36" s="410">
        <v>0</v>
      </c>
      <c r="M36" s="410">
        <v>0</v>
      </c>
      <c r="N36" s="410">
        <v>0</v>
      </c>
      <c r="O36" s="410">
        <v>0</v>
      </c>
      <c r="P36" s="410">
        <v>0</v>
      </c>
      <c r="Q36" s="410">
        <v>0</v>
      </c>
      <c r="R36" s="410">
        <v>16387248</v>
      </c>
      <c r="S36" s="410">
        <v>15261381</v>
      </c>
      <c r="T36" s="410">
        <v>15084685</v>
      </c>
      <c r="U36" s="410">
        <v>15051708</v>
      </c>
      <c r="V36" s="410">
        <v>14941638</v>
      </c>
      <c r="W36" s="410">
        <v>14164205</v>
      </c>
      <c r="X36" s="410">
        <v>14112518</v>
      </c>
      <c r="Y36" s="410">
        <v>14075129</v>
      </c>
      <c r="Z36" s="410">
        <v>13887751</v>
      </c>
    </row>
    <row r="37" spans="9:26" x14ac:dyDescent="0.25">
      <c r="I37" s="410"/>
      <c r="J37" s="178">
        <v>2018</v>
      </c>
      <c r="K37" s="410">
        <v>0</v>
      </c>
      <c r="L37" s="410">
        <v>0</v>
      </c>
      <c r="M37" s="410">
        <v>0</v>
      </c>
      <c r="N37" s="410">
        <v>0</v>
      </c>
      <c r="O37" s="410">
        <v>0</v>
      </c>
      <c r="P37" s="410">
        <v>0</v>
      </c>
      <c r="Q37" s="410">
        <v>0</v>
      </c>
      <c r="R37" s="410">
        <v>0</v>
      </c>
      <c r="S37" s="410">
        <v>10834881</v>
      </c>
      <c r="T37" s="410">
        <v>10842199</v>
      </c>
      <c r="U37" s="410">
        <v>10764337</v>
      </c>
      <c r="V37" s="410">
        <v>10610889</v>
      </c>
      <c r="W37" s="454">
        <f>V37</f>
        <v>10610889</v>
      </c>
      <c r="X37" s="454">
        <f t="shared" ref="X37:Z37" si="0">W37</f>
        <v>10610889</v>
      </c>
      <c r="Y37" s="454">
        <f t="shared" si="0"/>
        <v>10610889</v>
      </c>
      <c r="Z37" s="454">
        <f t="shared" si="0"/>
        <v>10610889</v>
      </c>
    </row>
    <row r="38" spans="9:26" x14ac:dyDescent="0.25">
      <c r="I38" s="410"/>
      <c r="J38" s="178">
        <v>2019</v>
      </c>
      <c r="K38" s="410">
        <v>0</v>
      </c>
      <c r="L38" s="410">
        <v>0</v>
      </c>
      <c r="M38" s="410">
        <v>0</v>
      </c>
      <c r="N38" s="410">
        <v>0</v>
      </c>
      <c r="O38" s="410">
        <v>0</v>
      </c>
      <c r="P38" s="410">
        <v>0</v>
      </c>
      <c r="Q38" s="410">
        <v>0</v>
      </c>
      <c r="R38" s="410">
        <v>0</v>
      </c>
      <c r="S38" s="410">
        <v>0</v>
      </c>
      <c r="T38" s="410">
        <v>4761595</v>
      </c>
      <c r="U38" s="410">
        <v>4721504</v>
      </c>
      <c r="V38" s="410">
        <v>4593501</v>
      </c>
      <c r="W38" s="454">
        <f>V38</f>
        <v>4593501</v>
      </c>
      <c r="X38" s="454">
        <f t="shared" ref="X38:Z38" si="1">W38</f>
        <v>4593501</v>
      </c>
      <c r="Y38" s="454">
        <f t="shared" si="1"/>
        <v>4593501</v>
      </c>
      <c r="Z38" s="454">
        <f t="shared" si="1"/>
        <v>4593501</v>
      </c>
    </row>
    <row r="39" spans="9:26" x14ac:dyDescent="0.25">
      <c r="J39" t="s">
        <v>309</v>
      </c>
      <c r="K39" s="410">
        <f>SUM(K25:K38)</f>
        <v>14323507.136100983</v>
      </c>
      <c r="L39" s="410">
        <f t="shared" ref="L39:Z39" si="2">SUM(L25:L38)</f>
        <v>17586364.560000002</v>
      </c>
      <c r="M39" s="410">
        <f t="shared" si="2"/>
        <v>23093462.960000001</v>
      </c>
      <c r="N39" s="410">
        <f t="shared" si="2"/>
        <v>29861273.460000001</v>
      </c>
      <c r="O39" s="410">
        <f t="shared" si="2"/>
        <v>62883373.560000002</v>
      </c>
      <c r="P39" s="410">
        <f t="shared" si="2"/>
        <v>70050373.310000002</v>
      </c>
      <c r="Q39" s="410">
        <f t="shared" si="2"/>
        <v>81066751.420000002</v>
      </c>
      <c r="R39" s="410">
        <f t="shared" si="2"/>
        <v>94167274</v>
      </c>
      <c r="S39" s="410">
        <f t="shared" si="2"/>
        <v>101485820.34999999</v>
      </c>
      <c r="T39" s="410">
        <f t="shared" si="2"/>
        <v>101897308.78999999</v>
      </c>
      <c r="U39" s="410">
        <f t="shared" si="2"/>
        <v>98651859.629999995</v>
      </c>
      <c r="V39" s="410">
        <f t="shared" si="2"/>
        <v>96136069.530000001</v>
      </c>
      <c r="W39" s="410">
        <f t="shared" si="2"/>
        <v>93896629.310000002</v>
      </c>
      <c r="X39" s="410">
        <f t="shared" si="2"/>
        <v>90162836.390000001</v>
      </c>
      <c r="Y39" s="410">
        <f t="shared" si="2"/>
        <v>85997144.090000004</v>
      </c>
      <c r="Z39" s="410">
        <f t="shared" si="2"/>
        <v>81719613.269999996</v>
      </c>
    </row>
    <row r="40" spans="9:26" x14ac:dyDescent="0.25">
      <c r="J40" s="178"/>
      <c r="K40" s="178"/>
    </row>
    <row r="41" spans="9:26" x14ac:dyDescent="0.25">
      <c r="J41" s="178" t="s">
        <v>138</v>
      </c>
      <c r="K41" s="119">
        <f>SUMIF($J25:$J38,"&lt;"&amp;K24,K25:K38)</f>
        <v>10152687.532831231</v>
      </c>
      <c r="L41" s="119">
        <f t="shared" ref="L41:Z41" si="3">SUMIF($J25:$J38,"&lt;"&amp;L24,L25:L38)</f>
        <v>13147196.210000001</v>
      </c>
      <c r="M41" s="119">
        <f t="shared" si="3"/>
        <v>17189783.960000001</v>
      </c>
      <c r="N41" s="119">
        <f t="shared" si="3"/>
        <v>22866695.640000001</v>
      </c>
      <c r="O41" s="119">
        <f t="shared" si="3"/>
        <v>29061813.480000004</v>
      </c>
      <c r="P41" s="119">
        <f t="shared" si="3"/>
        <v>60528148.310000002</v>
      </c>
      <c r="Q41" s="119">
        <f t="shared" si="3"/>
        <v>68885276.420000002</v>
      </c>
      <c r="R41" s="119">
        <f t="shared" si="3"/>
        <v>77780026</v>
      </c>
      <c r="S41" s="119">
        <f t="shared" si="3"/>
        <v>90650939.349999994</v>
      </c>
      <c r="T41" s="119">
        <f t="shared" si="3"/>
        <v>97135713.789999992</v>
      </c>
      <c r="U41" s="119">
        <f t="shared" si="3"/>
        <v>98651859.629999995</v>
      </c>
      <c r="V41" s="119">
        <f t="shared" si="3"/>
        <v>96136069.530000001</v>
      </c>
      <c r="W41" s="119">
        <f t="shared" si="3"/>
        <v>93896629.310000002</v>
      </c>
      <c r="X41" s="119">
        <f t="shared" si="3"/>
        <v>90162836.390000001</v>
      </c>
      <c r="Y41" s="119">
        <f t="shared" si="3"/>
        <v>85997144.090000004</v>
      </c>
      <c r="Z41" s="119">
        <f t="shared" si="3"/>
        <v>81719613.269999996</v>
      </c>
    </row>
    <row r="43" spans="9:26" x14ac:dyDescent="0.25">
      <c r="J43" t="s">
        <v>310</v>
      </c>
      <c r="K43" s="119">
        <f>SUMIF($J25:$J38,"="&amp;K24,K25:K38)</f>
        <v>4170819.6032697526</v>
      </c>
      <c r="L43" s="119">
        <f t="shared" ref="L43:Z43" si="4">SUMIF($J25:$J38,"="&amp;L24,L25:L38)</f>
        <v>4286049.6900000004</v>
      </c>
      <c r="M43" s="119">
        <f t="shared" si="4"/>
        <v>5903679</v>
      </c>
      <c r="N43" s="119">
        <f t="shared" si="4"/>
        <v>6994577.8200000003</v>
      </c>
      <c r="O43" s="119">
        <f t="shared" si="4"/>
        <v>33821560.079999998</v>
      </c>
      <c r="P43" s="119">
        <f t="shared" si="4"/>
        <v>9522225</v>
      </c>
      <c r="Q43" s="119">
        <f t="shared" si="4"/>
        <v>12181475</v>
      </c>
      <c r="R43" s="119">
        <f t="shared" si="4"/>
        <v>16387248</v>
      </c>
      <c r="S43" s="119">
        <f t="shared" si="4"/>
        <v>10834881</v>
      </c>
      <c r="T43" s="119">
        <f t="shared" si="4"/>
        <v>4761595</v>
      </c>
      <c r="U43" s="119">
        <f t="shared" si="4"/>
        <v>0</v>
      </c>
      <c r="V43" s="119">
        <f t="shared" si="4"/>
        <v>0</v>
      </c>
      <c r="W43" s="119">
        <f t="shared" si="4"/>
        <v>0</v>
      </c>
      <c r="X43" s="119">
        <f t="shared" si="4"/>
        <v>0</v>
      </c>
      <c r="Y43" s="119">
        <f t="shared" si="4"/>
        <v>0</v>
      </c>
      <c r="Z43" s="119">
        <f t="shared" si="4"/>
        <v>0</v>
      </c>
    </row>
    <row r="45" spans="9:26" x14ac:dyDescent="0.25">
      <c r="J45" s="178" t="s">
        <v>10</v>
      </c>
      <c r="K45" s="410">
        <f>SUM(K43,K41)</f>
        <v>14323507.136100983</v>
      </c>
      <c r="L45" s="410">
        <f t="shared" ref="L45:Z45" si="5">SUM(L43,L41)</f>
        <v>17433245.900000002</v>
      </c>
      <c r="M45" s="410">
        <f t="shared" si="5"/>
        <v>23093462.960000001</v>
      </c>
      <c r="N45" s="410">
        <f t="shared" si="5"/>
        <v>29861273.460000001</v>
      </c>
      <c r="O45" s="410">
        <f t="shared" si="5"/>
        <v>62883373.560000002</v>
      </c>
      <c r="P45" s="410">
        <f t="shared" si="5"/>
        <v>70050373.310000002</v>
      </c>
      <c r="Q45" s="410">
        <f t="shared" si="5"/>
        <v>81066751.420000002</v>
      </c>
      <c r="R45" s="410">
        <f t="shared" si="5"/>
        <v>94167274</v>
      </c>
      <c r="S45" s="410">
        <f t="shared" si="5"/>
        <v>101485820.34999999</v>
      </c>
      <c r="T45" s="410">
        <f t="shared" si="5"/>
        <v>101897308.78999999</v>
      </c>
      <c r="U45" s="410">
        <f t="shared" si="5"/>
        <v>98651859.629999995</v>
      </c>
      <c r="V45" s="410">
        <f t="shared" si="5"/>
        <v>96136069.530000001</v>
      </c>
      <c r="W45" s="410">
        <f t="shared" si="5"/>
        <v>93896629.310000002</v>
      </c>
      <c r="X45" s="410">
        <f t="shared" si="5"/>
        <v>90162836.390000001</v>
      </c>
      <c r="Y45" s="410">
        <f t="shared" si="5"/>
        <v>85997144.090000004</v>
      </c>
      <c r="Z45" s="410">
        <f t="shared" si="5"/>
        <v>81719613.269999996</v>
      </c>
    </row>
    <row r="46" spans="9:26" x14ac:dyDescent="0.25">
      <c r="J46" s="178" t="s">
        <v>94</v>
      </c>
      <c r="K46" s="410">
        <f>K39-K45</f>
        <v>0</v>
      </c>
      <c r="L46" s="410">
        <f t="shared" ref="L46:Z46" si="6">L39-L45</f>
        <v>153118.66000000015</v>
      </c>
      <c r="M46" s="410">
        <f t="shared" si="6"/>
        <v>0</v>
      </c>
      <c r="N46" s="410">
        <f t="shared" si="6"/>
        <v>0</v>
      </c>
      <c r="O46" s="410">
        <f t="shared" si="6"/>
        <v>0</v>
      </c>
      <c r="P46" s="410">
        <f t="shared" si="6"/>
        <v>0</v>
      </c>
      <c r="Q46" s="410">
        <f t="shared" si="6"/>
        <v>0</v>
      </c>
      <c r="R46" s="410">
        <f t="shared" si="6"/>
        <v>0</v>
      </c>
      <c r="S46" s="410">
        <f t="shared" si="6"/>
        <v>0</v>
      </c>
      <c r="T46" s="410">
        <f t="shared" si="6"/>
        <v>0</v>
      </c>
      <c r="U46" s="410">
        <f t="shared" si="6"/>
        <v>0</v>
      </c>
      <c r="V46" s="410">
        <f t="shared" si="6"/>
        <v>0</v>
      </c>
      <c r="W46" s="410">
        <f t="shared" si="6"/>
        <v>0</v>
      </c>
      <c r="X46" s="410">
        <f t="shared" si="6"/>
        <v>0</v>
      </c>
      <c r="Y46" s="410">
        <f t="shared" si="6"/>
        <v>0</v>
      </c>
      <c r="Z46" s="410">
        <f t="shared" si="6"/>
        <v>0</v>
      </c>
    </row>
    <row r="48" spans="9:26" x14ac:dyDescent="0.25">
      <c r="J48" s="145" t="s">
        <v>140</v>
      </c>
      <c r="K48" s="457">
        <f>K43/2</f>
        <v>2085409.8016348763</v>
      </c>
      <c r="L48" s="457">
        <f t="shared" ref="L48:Z48" si="7">L43/2</f>
        <v>2143024.8450000002</v>
      </c>
      <c r="M48" s="457">
        <f t="shared" si="7"/>
        <v>2951839.5</v>
      </c>
      <c r="N48" s="457">
        <f t="shared" si="7"/>
        <v>3497288.91</v>
      </c>
      <c r="O48" s="457">
        <f t="shared" si="7"/>
        <v>16910780.039999999</v>
      </c>
      <c r="P48" s="457">
        <f t="shared" si="7"/>
        <v>4761112.5</v>
      </c>
      <c r="Q48" s="457">
        <f t="shared" si="7"/>
        <v>6090737.5</v>
      </c>
      <c r="R48" s="457">
        <f t="shared" si="7"/>
        <v>8193624</v>
      </c>
      <c r="S48" s="457">
        <f t="shared" si="7"/>
        <v>5417440.5</v>
      </c>
      <c r="T48" s="457">
        <f t="shared" si="7"/>
        <v>2380797.5</v>
      </c>
      <c r="U48" s="457">
        <f t="shared" si="7"/>
        <v>0</v>
      </c>
      <c r="V48" s="457">
        <f t="shared" si="7"/>
        <v>0</v>
      </c>
      <c r="W48" s="457">
        <f t="shared" si="7"/>
        <v>0</v>
      </c>
      <c r="X48" s="457">
        <f t="shared" si="7"/>
        <v>0</v>
      </c>
      <c r="Y48" s="457">
        <f t="shared" si="7"/>
        <v>0</v>
      </c>
      <c r="Z48" s="457">
        <f t="shared" si="7"/>
        <v>0</v>
      </c>
    </row>
    <row r="50" spans="10:26" x14ac:dyDescent="0.25">
      <c r="J50" s="145" t="s">
        <v>142</v>
      </c>
      <c r="K50" s="242">
        <f>K48+K41</f>
        <v>12238097.334466107</v>
      </c>
      <c r="L50" s="242">
        <f t="shared" ref="L50:Z50" si="8">L48+L41</f>
        <v>15290221.055000002</v>
      </c>
      <c r="M50" s="242">
        <f t="shared" si="8"/>
        <v>20141623.460000001</v>
      </c>
      <c r="N50" s="242">
        <f t="shared" si="8"/>
        <v>26363984.550000001</v>
      </c>
      <c r="O50" s="242">
        <f t="shared" si="8"/>
        <v>45972593.520000003</v>
      </c>
      <c r="P50" s="242">
        <f t="shared" si="8"/>
        <v>65289260.810000002</v>
      </c>
      <c r="Q50" s="242">
        <f t="shared" si="8"/>
        <v>74976013.920000002</v>
      </c>
      <c r="R50" s="242">
        <f t="shared" si="8"/>
        <v>85973650</v>
      </c>
      <c r="S50" s="242">
        <f t="shared" si="8"/>
        <v>96068379.849999994</v>
      </c>
      <c r="T50" s="242">
        <f t="shared" si="8"/>
        <v>99516511.289999992</v>
      </c>
      <c r="U50" s="242">
        <f t="shared" si="8"/>
        <v>98651859.629999995</v>
      </c>
      <c r="V50" s="242">
        <f t="shared" si="8"/>
        <v>96136069.530000001</v>
      </c>
      <c r="W50" s="242">
        <f t="shared" si="8"/>
        <v>93896629.310000002</v>
      </c>
      <c r="X50" s="242">
        <f t="shared" si="8"/>
        <v>90162836.390000001</v>
      </c>
      <c r="Y50" s="242">
        <f t="shared" si="8"/>
        <v>85997144.090000004</v>
      </c>
      <c r="Z50" s="242">
        <f t="shared" si="8"/>
        <v>81719613.269999996</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Y176"/>
  <sheetViews>
    <sheetView zoomScale="85" zoomScaleNormal="85" workbookViewId="0">
      <selection activeCell="B129" sqref="B129:B139"/>
    </sheetView>
  </sheetViews>
  <sheetFormatPr defaultRowHeight="13.2" x14ac:dyDescent="0.25"/>
  <cols>
    <col min="2" max="2" width="23.77734375" style="191" bestFit="1" customWidth="1"/>
    <col min="3" max="3" width="12.5546875" style="191" customWidth="1"/>
    <col min="4" max="4" width="16.21875" style="191" bestFit="1" customWidth="1"/>
    <col min="5" max="6" width="17.21875" customWidth="1"/>
    <col min="7" max="7" width="14" bestFit="1" customWidth="1"/>
    <col min="8" max="8" width="11.44140625" bestFit="1" customWidth="1"/>
    <col min="9" max="9" width="12.77734375" bestFit="1" customWidth="1"/>
    <col min="23" max="23" width="13" bestFit="1" customWidth="1"/>
    <col min="24" max="24" width="16.77734375" bestFit="1" customWidth="1"/>
  </cols>
  <sheetData>
    <row r="1" spans="1:25" ht="39.6" x14ac:dyDescent="0.25">
      <c r="B1" s="175" t="s">
        <v>120</v>
      </c>
      <c r="C1" s="175" t="s">
        <v>124</v>
      </c>
      <c r="D1" s="175" t="s">
        <v>122</v>
      </c>
      <c r="E1" s="69" t="s">
        <v>123</v>
      </c>
      <c r="F1" s="69" t="s">
        <v>127</v>
      </c>
      <c r="G1" s="69" t="s">
        <v>125</v>
      </c>
      <c r="H1" s="69" t="s">
        <v>126</v>
      </c>
    </row>
    <row r="2" spans="1:25" x14ac:dyDescent="0.25">
      <c r="B2" s="191" t="s">
        <v>121</v>
      </c>
      <c r="C2" s="191" t="s">
        <v>121</v>
      </c>
      <c r="D2" s="191" t="s">
        <v>121</v>
      </c>
      <c r="E2" t="s">
        <v>121</v>
      </c>
      <c r="S2" s="476" t="s">
        <v>95</v>
      </c>
      <c r="T2" s="476">
        <v>1</v>
      </c>
      <c r="W2" s="474" t="s">
        <v>312</v>
      </c>
      <c r="X2" t="s">
        <v>314</v>
      </c>
    </row>
    <row r="3" spans="1:25" x14ac:dyDescent="0.25">
      <c r="A3">
        <v>2010</v>
      </c>
      <c r="B3" s="192">
        <f>INDEX('CDM Results - update'!$K$41:$Z$41,MATCH('Negative Impact Var'!A3,'CDM Results - update'!$K$24:$Z$24,0))</f>
        <v>10152687.532831231</v>
      </c>
      <c r="C3" s="192">
        <f>INDEX('CDM Results - update'!$K$43:$Z$43,MATCH('Negative Impact Var'!A3,'CDM Results - update'!$K$24:$Z$24,0))</f>
        <v>4170819.6032697526</v>
      </c>
      <c r="D3" s="191">
        <f>C3/2</f>
        <v>2085409.8016348763</v>
      </c>
      <c r="E3" s="241">
        <f>B3+D3</f>
        <v>12238097.334466107</v>
      </c>
      <c r="F3" s="191">
        <f t="shared" ref="F3:F15" si="0">INDEX($B$21:$B$176,MATCH(DATE(A3,12,1),$A$21:$A$176,0))*12</f>
        <v>3849987.3260951564</v>
      </c>
      <c r="G3" s="191">
        <f>E3</f>
        <v>12238097.334466107</v>
      </c>
      <c r="H3" s="458">
        <f t="shared" ref="H3:H15" si="1">D3/Total_for_half_Yr</f>
        <v>26736.02309788303</v>
      </c>
      <c r="I3" s="458"/>
      <c r="S3" s="476" t="s">
        <v>96</v>
      </c>
      <c r="T3" s="476">
        <v>2</v>
      </c>
      <c r="V3">
        <v>1</v>
      </c>
      <c r="W3" s="34">
        <v>1</v>
      </c>
      <c r="X3" s="473">
        <v>921746535.57842469</v>
      </c>
      <c r="Y3">
        <f>GETPIVOTDATA("Purchased",$W$2,"Month",V3)/GETPIVOTDATA("Purchased",$W$2)</f>
        <v>8.8754764073251613E-2</v>
      </c>
    </row>
    <row r="4" spans="1:25" x14ac:dyDescent="0.25">
      <c r="A4">
        <v>2011</v>
      </c>
      <c r="B4" s="192">
        <f>INDEX('CDM Results - update'!$K$41:$Z$41,MATCH('Negative Impact Var'!A4,'CDM Results - update'!$K$24:$Z$24,0))</f>
        <v>13147196.210000001</v>
      </c>
      <c r="C4" s="192">
        <f>INDEX('CDM Results - update'!$K$43:$Z$43,MATCH('Negative Impact Var'!A4,'CDM Results - update'!$K$24:$Z$24,0))</f>
        <v>4286049.6900000004</v>
      </c>
      <c r="D4" s="191">
        <f t="shared" ref="D4:D15" si="2">C4/2</f>
        <v>2143024.8450000002</v>
      </c>
      <c r="E4" s="241">
        <f t="shared" ref="E4:E15" si="3">B4+D4</f>
        <v>15290221.055000002</v>
      </c>
      <c r="F4" s="191">
        <f t="shared" si="0"/>
        <v>3956353.5599999996</v>
      </c>
      <c r="G4" s="191">
        <f t="shared" ref="G4:G10" si="4">E4-F3</f>
        <v>11440233.728904845</v>
      </c>
      <c r="H4" s="458">
        <f t="shared" si="1"/>
        <v>27474.677500000002</v>
      </c>
      <c r="S4" s="476" t="s">
        <v>97</v>
      </c>
      <c r="T4" s="476">
        <v>3</v>
      </c>
      <c r="V4">
        <v>2</v>
      </c>
      <c r="W4" s="34">
        <v>2</v>
      </c>
      <c r="X4" s="473">
        <v>825952132.23137903</v>
      </c>
      <c r="Y4">
        <f t="shared" ref="Y4:Y14" si="5">GETPIVOTDATA("Purchased",$W$2,"Month",V4)/GETPIVOTDATA("Purchased",$W$2)</f>
        <v>7.9530742782767963E-2</v>
      </c>
    </row>
    <row r="5" spans="1:25" x14ac:dyDescent="0.25">
      <c r="A5">
        <v>2012</v>
      </c>
      <c r="B5" s="192">
        <f>INDEX('CDM Results - update'!$K$41:$Z$41,MATCH('Negative Impact Var'!A5,'CDM Results - update'!$K$24:$Z$24,0))</f>
        <v>17189783.960000001</v>
      </c>
      <c r="C5" s="192">
        <f>INDEX('CDM Results - update'!$K$43:$Z$43,MATCH('Negative Impact Var'!A5,'CDM Results - update'!$K$24:$Z$24,0))</f>
        <v>5903679</v>
      </c>
      <c r="D5" s="191">
        <f t="shared" si="2"/>
        <v>2951839.5</v>
      </c>
      <c r="E5" s="241">
        <f t="shared" si="3"/>
        <v>20141623.460000001</v>
      </c>
      <c r="F5" s="191">
        <f t="shared" si="0"/>
        <v>5449549.8461538451</v>
      </c>
      <c r="G5" s="191">
        <f t="shared" si="4"/>
        <v>16185269.900000002</v>
      </c>
      <c r="H5" s="458">
        <f t="shared" si="1"/>
        <v>37844.096153846156</v>
      </c>
      <c r="S5" s="476" t="s">
        <v>98</v>
      </c>
      <c r="T5" s="476">
        <v>4</v>
      </c>
      <c r="V5">
        <v>3</v>
      </c>
      <c r="W5" s="34">
        <v>3</v>
      </c>
      <c r="X5" s="473">
        <v>855488475.67059779</v>
      </c>
      <c r="Y5">
        <f t="shared" si="5"/>
        <v>8.2374790568517792E-2</v>
      </c>
    </row>
    <row r="6" spans="1:25" x14ac:dyDescent="0.25">
      <c r="A6">
        <v>2013</v>
      </c>
      <c r="B6" s="192">
        <f>INDEX('CDM Results - update'!$K$41:$Z$41,MATCH('Negative Impact Var'!A6,'CDM Results - update'!$K$24:$Z$24,0))</f>
        <v>22866695.640000001</v>
      </c>
      <c r="C6" s="192">
        <f>INDEX('CDM Results - update'!$K$43:$Z$43,MATCH('Negative Impact Var'!A6,'CDM Results - update'!$K$24:$Z$24,0))</f>
        <v>6994577.8200000003</v>
      </c>
      <c r="D6" s="191">
        <f t="shared" si="2"/>
        <v>3497288.91</v>
      </c>
      <c r="E6" s="241">
        <f t="shared" si="3"/>
        <v>26363984.550000001</v>
      </c>
      <c r="F6" s="191">
        <f t="shared" si="0"/>
        <v>6456533.3723076899</v>
      </c>
      <c r="G6" s="191">
        <f t="shared" si="4"/>
        <v>20914434.703846157</v>
      </c>
      <c r="H6" s="458">
        <f t="shared" si="1"/>
        <v>44837.037307692306</v>
      </c>
      <c r="S6" s="476" t="s">
        <v>85</v>
      </c>
      <c r="T6" s="476">
        <v>5</v>
      </c>
      <c r="V6">
        <v>4</v>
      </c>
      <c r="W6" s="34">
        <v>4</v>
      </c>
      <c r="X6" s="473">
        <v>773913641.81217813</v>
      </c>
      <c r="Y6">
        <f t="shared" si="5"/>
        <v>7.4519968386978136E-2</v>
      </c>
    </row>
    <row r="7" spans="1:25" x14ac:dyDescent="0.25">
      <c r="A7">
        <v>2014</v>
      </c>
      <c r="B7" s="192">
        <f>INDEX('CDM Results - update'!$K$41:$Z$41,MATCH('Negative Impact Var'!A7,'CDM Results - update'!$K$24:$Z$24,0))</f>
        <v>29061813.480000004</v>
      </c>
      <c r="C7" s="192">
        <f>INDEX('CDM Results - update'!$K$43:$Z$43,MATCH('Negative Impact Var'!A7,'CDM Results - update'!$K$24:$Z$24,0))</f>
        <v>33821560.079999998</v>
      </c>
      <c r="D7" s="191">
        <f t="shared" si="2"/>
        <v>16910780.039999999</v>
      </c>
      <c r="E7" s="241">
        <f t="shared" si="3"/>
        <v>45972593.520000003</v>
      </c>
      <c r="F7" s="191">
        <f t="shared" si="0"/>
        <v>31219901.612307683</v>
      </c>
      <c r="G7" s="191">
        <f t="shared" si="4"/>
        <v>39516060.147692315</v>
      </c>
      <c r="H7" s="458">
        <f t="shared" si="1"/>
        <v>216804.87230769231</v>
      </c>
      <c r="S7" s="476" t="s">
        <v>99</v>
      </c>
      <c r="T7" s="476">
        <v>6</v>
      </c>
      <c r="V7">
        <v>5</v>
      </c>
      <c r="W7" s="34">
        <v>5</v>
      </c>
      <c r="X7" s="473">
        <v>811106319.47881794</v>
      </c>
      <c r="Y7">
        <f t="shared" si="5"/>
        <v>7.8101242852505276E-2</v>
      </c>
    </row>
    <row r="8" spans="1:25" x14ac:dyDescent="0.25">
      <c r="A8">
        <v>2015</v>
      </c>
      <c r="B8" s="192">
        <f>INDEX('CDM Results - update'!$K$41:$Z$41,MATCH('Negative Impact Var'!A8,'CDM Results - update'!$K$24:$Z$24,0))</f>
        <v>60528148.310000002</v>
      </c>
      <c r="C8" s="192">
        <f>INDEX('CDM Results - update'!$K$43:$Z$43,MATCH('Negative Impact Var'!A8,'CDM Results - update'!$K$24:$Z$24,0))</f>
        <v>9522225</v>
      </c>
      <c r="D8" s="191">
        <f t="shared" si="2"/>
        <v>4761112.5</v>
      </c>
      <c r="E8" s="241">
        <f t="shared" si="3"/>
        <v>65289260.810000002</v>
      </c>
      <c r="F8" s="191">
        <f t="shared" si="0"/>
        <v>8789746.1538461559</v>
      </c>
      <c r="G8" s="191">
        <f t="shared" si="4"/>
        <v>34069359.19769232</v>
      </c>
      <c r="H8" s="458">
        <f t="shared" si="1"/>
        <v>61039.903846153844</v>
      </c>
      <c r="S8" s="476" t="s">
        <v>100</v>
      </c>
      <c r="T8" s="476">
        <v>7</v>
      </c>
      <c r="V8">
        <v>6</v>
      </c>
      <c r="W8" s="34">
        <v>6</v>
      </c>
      <c r="X8" s="473">
        <v>874097873.22598159</v>
      </c>
      <c r="Y8">
        <f t="shared" si="5"/>
        <v>8.4166685222656037E-2</v>
      </c>
    </row>
    <row r="9" spans="1:25" x14ac:dyDescent="0.25">
      <c r="A9">
        <v>2016</v>
      </c>
      <c r="B9" s="192">
        <f>INDEX('CDM Results - update'!$K$41:$Z$41,MATCH('Negative Impact Var'!A9,'CDM Results - update'!$K$24:$Z$24,0))</f>
        <v>68885276.420000002</v>
      </c>
      <c r="C9" s="192">
        <f>INDEX('CDM Results - update'!$K$43:$Z$43,MATCH('Negative Impact Var'!A9,'CDM Results - update'!$K$24:$Z$24,0))</f>
        <v>12181475</v>
      </c>
      <c r="D9" s="191">
        <f t="shared" si="2"/>
        <v>6090737.5</v>
      </c>
      <c r="E9" s="241">
        <f t="shared" si="3"/>
        <v>74976013.920000002</v>
      </c>
      <c r="F9" s="191">
        <f t="shared" si="0"/>
        <v>11244438.461538464</v>
      </c>
      <c r="G9" s="191">
        <f t="shared" si="4"/>
        <v>66186267.766153842</v>
      </c>
      <c r="H9" s="458">
        <f t="shared" si="1"/>
        <v>78086.378205128203</v>
      </c>
      <c r="S9" s="476" t="s">
        <v>101</v>
      </c>
      <c r="T9" s="476">
        <v>8</v>
      </c>
      <c r="V9">
        <v>7</v>
      </c>
      <c r="W9" s="34">
        <v>7</v>
      </c>
      <c r="X9" s="473">
        <v>1009804295.5244504</v>
      </c>
      <c r="Y9">
        <f t="shared" si="5"/>
        <v>9.7233825731914691E-2</v>
      </c>
    </row>
    <row r="10" spans="1:25" x14ac:dyDescent="0.25">
      <c r="A10">
        <v>2017</v>
      </c>
      <c r="B10" s="192">
        <f>INDEX('CDM Results - update'!$K$41:$Z$41,MATCH('Negative Impact Var'!A10,'CDM Results - update'!$K$24:$Z$24,0))</f>
        <v>77780026</v>
      </c>
      <c r="C10" s="192">
        <f>INDEX('CDM Results - update'!$K$43:$Z$43,MATCH('Negative Impact Var'!A10,'CDM Results - update'!$K$24:$Z$24,0))</f>
        <v>16387248</v>
      </c>
      <c r="D10" s="191">
        <f t="shared" si="2"/>
        <v>8193624</v>
      </c>
      <c r="E10" s="241">
        <f t="shared" si="3"/>
        <v>85973650</v>
      </c>
      <c r="F10" s="191">
        <f t="shared" si="0"/>
        <v>15126690.46153846</v>
      </c>
      <c r="G10" s="191">
        <f t="shared" si="4"/>
        <v>74729211.538461536</v>
      </c>
      <c r="H10" s="458">
        <f t="shared" si="1"/>
        <v>105046.46153846153</v>
      </c>
      <c r="S10" s="476" t="s">
        <v>102</v>
      </c>
      <c r="T10" s="476">
        <v>9</v>
      </c>
      <c r="V10">
        <v>8</v>
      </c>
      <c r="W10" s="34">
        <v>8</v>
      </c>
      <c r="X10" s="473">
        <v>963839887.72320926</v>
      </c>
      <c r="Y10">
        <f t="shared" si="5"/>
        <v>9.2807923368630155E-2</v>
      </c>
    </row>
    <row r="11" spans="1:25" x14ac:dyDescent="0.25">
      <c r="A11">
        <v>2018</v>
      </c>
      <c r="B11" s="192">
        <f>INDEX('CDM Results - update'!$K$41:$Z$41,MATCH('Negative Impact Var'!A11,'CDM Results - update'!$K$24:$Z$24,0))</f>
        <v>90650939.349999994</v>
      </c>
      <c r="C11" s="192">
        <f>INDEX('CDM Results - update'!$K$43:$Z$43,MATCH('Negative Impact Var'!A11,'CDM Results - update'!$K$24:$Z$24,0))</f>
        <v>10834881</v>
      </c>
      <c r="D11" s="191">
        <f t="shared" si="2"/>
        <v>5417440.5</v>
      </c>
      <c r="E11" s="241">
        <f t="shared" si="3"/>
        <v>96068379.849999994</v>
      </c>
      <c r="F11" s="191">
        <f t="shared" si="0"/>
        <v>10001428.615384616</v>
      </c>
      <c r="G11" s="191">
        <f t="shared" ref="G11:G15" si="6">E11-F10</f>
        <v>80941689.38846153</v>
      </c>
      <c r="H11" s="458">
        <f t="shared" si="1"/>
        <v>69454.36538461539</v>
      </c>
      <c r="S11" s="476" t="s">
        <v>103</v>
      </c>
      <c r="T11" s="476">
        <v>10</v>
      </c>
      <c r="V11">
        <v>9</v>
      </c>
      <c r="W11" s="34">
        <v>9</v>
      </c>
      <c r="X11" s="473">
        <v>845927645.98445368</v>
      </c>
      <c r="Y11">
        <f t="shared" si="5"/>
        <v>8.1454180454582553E-2</v>
      </c>
    </row>
    <row r="12" spans="1:25" x14ac:dyDescent="0.25">
      <c r="A12">
        <v>2019</v>
      </c>
      <c r="B12" s="192">
        <f>INDEX('CDM Results - update'!$K$41:$Z$41,MATCH('Negative Impact Var'!A12,'CDM Results - update'!$K$24:$Z$24,0))</f>
        <v>97135713.789999992</v>
      </c>
      <c r="C12" s="192">
        <f>INDEX('CDM Results - update'!$K$43:$Z$43,MATCH('Negative Impact Var'!A12,'CDM Results - update'!$K$24:$Z$24,0))</f>
        <v>4761595</v>
      </c>
      <c r="D12" s="191">
        <f t="shared" si="2"/>
        <v>2380797.5</v>
      </c>
      <c r="E12" s="241">
        <f t="shared" si="3"/>
        <v>99516511.289999992</v>
      </c>
      <c r="F12" s="191">
        <f t="shared" si="0"/>
        <v>4395318.461538461</v>
      </c>
      <c r="G12" s="191">
        <f t="shared" si="6"/>
        <v>89515082.674615383</v>
      </c>
      <c r="H12" s="458">
        <f t="shared" si="1"/>
        <v>30523.044871794871</v>
      </c>
      <c r="S12" s="476" t="s">
        <v>104</v>
      </c>
      <c r="T12" s="476">
        <v>11</v>
      </c>
      <c r="V12">
        <v>10</v>
      </c>
      <c r="W12" s="34">
        <v>10</v>
      </c>
      <c r="X12" s="473">
        <v>812561363.37310731</v>
      </c>
      <c r="Y12">
        <f t="shared" si="5"/>
        <v>7.8241348697842508E-2</v>
      </c>
    </row>
    <row r="13" spans="1:25" x14ac:dyDescent="0.25">
      <c r="A13">
        <v>2020</v>
      </c>
      <c r="B13" s="192">
        <f>INDEX('CDM Results - update'!$K$41:$Z$41,MATCH('Negative Impact Var'!A13,'CDM Results - update'!$K$24:$Z$24,0))</f>
        <v>98651859.629999995</v>
      </c>
      <c r="C13" s="192">
        <f>INDEX('CDM Results - update'!$K$43:$Z$43,MATCH('Negative Impact Var'!A13,'CDM Results - update'!$K$24:$Z$24,0))</f>
        <v>0</v>
      </c>
      <c r="D13" s="191">
        <f t="shared" si="2"/>
        <v>0</v>
      </c>
      <c r="E13" s="241">
        <f t="shared" si="3"/>
        <v>98651859.629999995</v>
      </c>
      <c r="F13" s="191">
        <f t="shared" si="0"/>
        <v>0</v>
      </c>
      <c r="G13" s="191">
        <f t="shared" si="6"/>
        <v>94256541.168461531</v>
      </c>
      <c r="H13" s="458">
        <f t="shared" si="1"/>
        <v>0</v>
      </c>
      <c r="S13" s="476" t="s">
        <v>105</v>
      </c>
      <c r="T13" s="476">
        <v>12</v>
      </c>
      <c r="V13">
        <v>11</v>
      </c>
      <c r="W13" s="34">
        <v>11</v>
      </c>
      <c r="X13" s="473">
        <v>830036025.65364528</v>
      </c>
      <c r="Y13">
        <f t="shared" si="5"/>
        <v>7.9923979950690796E-2</v>
      </c>
    </row>
    <row r="14" spans="1:25" x14ac:dyDescent="0.25">
      <c r="A14">
        <v>2021</v>
      </c>
      <c r="B14" s="192">
        <f>INDEX('CDM Results - update'!$K$41:$Z$41,MATCH('Negative Impact Var'!A14,'CDM Results - update'!$K$24:$Z$24,0))</f>
        <v>96136069.530000001</v>
      </c>
      <c r="C14" s="192">
        <f>INDEX('CDM Results - update'!$K$43:$Z$43,MATCH('Negative Impact Var'!A14,'CDM Results - update'!$K$24:$Z$24,0))</f>
        <v>0</v>
      </c>
      <c r="D14" s="191">
        <f t="shared" si="2"/>
        <v>0</v>
      </c>
      <c r="E14" s="241">
        <f t="shared" si="3"/>
        <v>96136069.530000001</v>
      </c>
      <c r="F14" s="191">
        <f t="shared" si="0"/>
        <v>0</v>
      </c>
      <c r="G14" s="191">
        <f t="shared" si="6"/>
        <v>96136069.530000001</v>
      </c>
      <c r="H14" s="458">
        <f t="shared" si="1"/>
        <v>0</v>
      </c>
      <c r="S14" s="476" t="s">
        <v>10</v>
      </c>
      <c r="T14" s="476">
        <f>SUM(T2:T13)</f>
        <v>78</v>
      </c>
      <c r="V14">
        <v>12</v>
      </c>
      <c r="W14" s="34">
        <v>12</v>
      </c>
      <c r="X14" s="473">
        <v>860844780.17282081</v>
      </c>
      <c r="Y14">
        <f t="shared" si="5"/>
        <v>8.2890547909662521E-2</v>
      </c>
    </row>
    <row r="15" spans="1:25" x14ac:dyDescent="0.25">
      <c r="A15">
        <v>2022</v>
      </c>
      <c r="B15" s="192">
        <f>INDEX('CDM Results - update'!$K$41:$Z$41,MATCH('Negative Impact Var'!A15,'CDM Results - update'!$K$24:$Z$24,0))</f>
        <v>93896629.310000002</v>
      </c>
      <c r="C15" s="192">
        <f>INDEX('CDM Results - update'!$K$43:$Z$43,MATCH('Negative Impact Var'!A15,'CDM Results - update'!$K$24:$Z$24,0))</f>
        <v>0</v>
      </c>
      <c r="D15" s="191">
        <f t="shared" si="2"/>
        <v>0</v>
      </c>
      <c r="E15" s="241">
        <f t="shared" si="3"/>
        <v>93896629.310000002</v>
      </c>
      <c r="F15" s="191">
        <f t="shared" si="0"/>
        <v>0</v>
      </c>
      <c r="G15" s="191">
        <f t="shared" si="6"/>
        <v>93896629.310000002</v>
      </c>
      <c r="H15" s="458">
        <f t="shared" si="1"/>
        <v>0</v>
      </c>
      <c r="S15" s="322"/>
      <c r="T15" s="322"/>
      <c r="W15" s="34" t="s">
        <v>313</v>
      </c>
      <c r="X15" s="473">
        <v>10385318976.429066</v>
      </c>
    </row>
    <row r="16" spans="1:25" ht="13.8" thickBot="1" x14ac:dyDescent="0.3">
      <c r="B16" s="192"/>
      <c r="C16" s="192"/>
      <c r="E16" s="479"/>
      <c r="F16" s="191"/>
      <c r="G16" s="191"/>
      <c r="H16" s="458"/>
      <c r="S16" s="322"/>
      <c r="T16" s="322"/>
      <c r="W16" s="34"/>
      <c r="X16" s="473"/>
    </row>
    <row r="17" spans="1:24" x14ac:dyDescent="0.25">
      <c r="B17" s="192"/>
      <c r="C17" s="192"/>
      <c r="D17" s="465"/>
      <c r="E17" s="462" t="s">
        <v>321</v>
      </c>
      <c r="F17" s="459">
        <v>2</v>
      </c>
      <c r="G17" s="191"/>
      <c r="H17" s="458"/>
      <c r="S17" s="322"/>
      <c r="T17" s="322"/>
      <c r="W17" s="34"/>
      <c r="X17" s="473"/>
    </row>
    <row r="18" spans="1:24" x14ac:dyDescent="0.25">
      <c r="D18" s="464">
        <v>1</v>
      </c>
      <c r="E18" s="478" t="s">
        <v>319</v>
      </c>
      <c r="F18" s="461"/>
      <c r="G18" s="191"/>
      <c r="H18" s="191"/>
      <c r="S18" s="322"/>
      <c r="T18" s="322"/>
    </row>
    <row r="19" spans="1:24" ht="13.8" thickBot="1" x14ac:dyDescent="0.3">
      <c r="D19" s="463">
        <v>2</v>
      </c>
      <c r="E19" s="460" t="s">
        <v>320</v>
      </c>
      <c r="F19" s="388"/>
    </row>
    <row r="20" spans="1:24" ht="26.4" x14ac:dyDescent="0.25">
      <c r="B20" s="477" t="s">
        <v>311</v>
      </c>
      <c r="D20" s="175" t="s">
        <v>120</v>
      </c>
      <c r="E20" t="s">
        <v>315</v>
      </c>
    </row>
    <row r="21" spans="1:24" s="51" customFormat="1" x14ac:dyDescent="0.25">
      <c r="A21" s="49">
        <v>40179</v>
      </c>
      <c r="B21" s="239">
        <f>INDEX($H$3:$H$15,MATCH(YEAR(A21),$A$3:$A$15,0))</f>
        <v>26736.02309788303</v>
      </c>
      <c r="C21" s="193">
        <f>INDEX($H$3:$H$15,MATCH(YEAR(A21),$A$3:$A$15,0))</f>
        <v>26736.02309788303</v>
      </c>
      <c r="D21" s="193">
        <f>INDEX($B$3:$B$15,MATCH(YEAR(A21),$A$3:$A$15,0))*IF($F$17=1,INDEX($Y$3:$Y$14,MATCH(MONTH(A21),$V$3:$V$14,0)),1/12)</f>
        <v>846057.29440260259</v>
      </c>
      <c r="E21" s="193">
        <f>B21+D21</f>
        <v>872793.31750048557</v>
      </c>
      <c r="F21" s="475"/>
    </row>
    <row r="22" spans="1:24" s="54" customFormat="1" x14ac:dyDescent="0.25">
      <c r="A22" s="52">
        <v>40210</v>
      </c>
      <c r="B22" s="240">
        <f>B21+INDEX($H$3:$H$15,MATCH(YEAR(A21),$A$3:$A$15,0))</f>
        <v>53472.046195766059</v>
      </c>
      <c r="C22" s="194"/>
      <c r="D22" s="194">
        <f t="shared" ref="D22:D32" si="7">INDEX($B$3:$B$15,MATCH(YEAR(A22),$A$3:$A$15,0))*IF($F$17=1,INDEX($Y$3:$Y$14,MATCH(MONTH(A22),$V$3:$V$14,0)),1/12)</f>
        <v>846057.29440260259</v>
      </c>
      <c r="E22" s="194">
        <f t="shared" ref="E22:E32" si="8">B22+D22</f>
        <v>899529.34059836867</v>
      </c>
      <c r="F22" s="196"/>
    </row>
    <row r="23" spans="1:24" s="54" customFormat="1" x14ac:dyDescent="0.25">
      <c r="A23" s="52">
        <v>40238</v>
      </c>
      <c r="B23" s="240">
        <f t="shared" ref="B23:B32" si="9">B22+INDEX($H$3:$H$15,MATCH(YEAR(A22),$A$3:$A$15,0))</f>
        <v>80208.069293649081</v>
      </c>
      <c r="C23" s="194"/>
      <c r="D23" s="194">
        <f t="shared" si="7"/>
        <v>846057.29440260259</v>
      </c>
      <c r="E23" s="194">
        <f t="shared" si="8"/>
        <v>926265.36369625165</v>
      </c>
      <c r="F23" s="196"/>
    </row>
    <row r="24" spans="1:24" s="54" customFormat="1" x14ac:dyDescent="0.25">
      <c r="A24" s="52">
        <v>40269</v>
      </c>
      <c r="B24" s="240">
        <f t="shared" si="9"/>
        <v>106944.09239153212</v>
      </c>
      <c r="C24" s="194"/>
      <c r="D24" s="194">
        <f t="shared" si="7"/>
        <v>846057.29440260259</v>
      </c>
      <c r="E24" s="194">
        <f t="shared" si="8"/>
        <v>953001.38679413474</v>
      </c>
      <c r="F24" s="196"/>
    </row>
    <row r="25" spans="1:24" s="54" customFormat="1" x14ac:dyDescent="0.25">
      <c r="A25" s="52">
        <v>40299</v>
      </c>
      <c r="B25" s="240">
        <f t="shared" si="9"/>
        <v>133680.11548941516</v>
      </c>
      <c r="C25" s="194"/>
      <c r="D25" s="194">
        <f t="shared" si="7"/>
        <v>846057.29440260259</v>
      </c>
      <c r="E25" s="194">
        <f t="shared" si="8"/>
        <v>979737.40989201772</v>
      </c>
      <c r="F25" s="196"/>
    </row>
    <row r="26" spans="1:24" s="54" customFormat="1" x14ac:dyDescent="0.25">
      <c r="A26" s="52">
        <v>40330</v>
      </c>
      <c r="B26" s="240">
        <f t="shared" si="9"/>
        <v>160416.13858729819</v>
      </c>
      <c r="C26" s="194"/>
      <c r="D26" s="194">
        <f t="shared" si="7"/>
        <v>846057.29440260259</v>
      </c>
      <c r="E26" s="194">
        <f t="shared" si="8"/>
        <v>1006473.4329899008</v>
      </c>
      <c r="F26" s="196"/>
    </row>
    <row r="27" spans="1:24" s="54" customFormat="1" x14ac:dyDescent="0.25">
      <c r="A27" s="52">
        <v>40360</v>
      </c>
      <c r="B27" s="240">
        <f t="shared" si="9"/>
        <v>187152.16168518123</v>
      </c>
      <c r="C27" s="194"/>
      <c r="D27" s="194">
        <f t="shared" si="7"/>
        <v>846057.29440260259</v>
      </c>
      <c r="E27" s="194">
        <f t="shared" si="8"/>
        <v>1033209.4560877838</v>
      </c>
      <c r="F27" s="196"/>
    </row>
    <row r="28" spans="1:24" s="54" customFormat="1" x14ac:dyDescent="0.25">
      <c r="A28" s="52">
        <v>40391</v>
      </c>
      <c r="B28" s="240">
        <f t="shared" si="9"/>
        <v>213888.18478306427</v>
      </c>
      <c r="C28" s="194"/>
      <c r="D28" s="194">
        <f t="shared" si="7"/>
        <v>846057.29440260259</v>
      </c>
      <c r="E28" s="194">
        <f t="shared" si="8"/>
        <v>1059945.4791856669</v>
      </c>
      <c r="F28" s="196"/>
    </row>
    <row r="29" spans="1:24" s="54" customFormat="1" x14ac:dyDescent="0.25">
      <c r="A29" s="52">
        <v>40422</v>
      </c>
      <c r="B29" s="240">
        <f t="shared" si="9"/>
        <v>240624.2078809473</v>
      </c>
      <c r="C29" s="194"/>
      <c r="D29" s="194">
        <f t="shared" si="7"/>
        <v>846057.29440260259</v>
      </c>
      <c r="E29" s="194">
        <f t="shared" si="8"/>
        <v>1086681.5022835499</v>
      </c>
      <c r="F29" s="196"/>
    </row>
    <row r="30" spans="1:24" s="54" customFormat="1" x14ac:dyDescent="0.25">
      <c r="A30" s="52">
        <v>40452</v>
      </c>
      <c r="B30" s="240">
        <f t="shared" si="9"/>
        <v>267360.23097883031</v>
      </c>
      <c r="C30" s="194"/>
      <c r="D30" s="194">
        <f t="shared" si="7"/>
        <v>846057.29440260259</v>
      </c>
      <c r="E30" s="194">
        <f t="shared" si="8"/>
        <v>1113417.5253814328</v>
      </c>
      <c r="F30" s="196"/>
    </row>
    <row r="31" spans="1:24" s="54" customFormat="1" x14ac:dyDescent="0.25">
      <c r="A31" s="52">
        <v>40483</v>
      </c>
      <c r="B31" s="240">
        <f t="shared" si="9"/>
        <v>294096.25407671335</v>
      </c>
      <c r="C31" s="194" t="s">
        <v>94</v>
      </c>
      <c r="D31" s="194">
        <f t="shared" si="7"/>
        <v>846057.29440260259</v>
      </c>
      <c r="E31" s="194">
        <f t="shared" si="8"/>
        <v>1140153.5484793158</v>
      </c>
      <c r="F31" s="196"/>
    </row>
    <row r="32" spans="1:24" s="57" customFormat="1" x14ac:dyDescent="0.25">
      <c r="A32" s="55">
        <v>40513</v>
      </c>
      <c r="B32" s="240">
        <f t="shared" si="9"/>
        <v>320832.27717459638</v>
      </c>
      <c r="C32" s="195">
        <f>SUM(B21:B32)</f>
        <v>2085409.8016348763</v>
      </c>
      <c r="D32" s="195">
        <f t="shared" si="7"/>
        <v>846057.29440260259</v>
      </c>
      <c r="E32" s="195">
        <f t="shared" si="8"/>
        <v>1166889.571577199</v>
      </c>
      <c r="F32" s="196"/>
    </row>
    <row r="33" spans="1:5" s="51" customFormat="1" x14ac:dyDescent="0.25">
      <c r="A33" s="49">
        <v>40544</v>
      </c>
      <c r="B33" s="239">
        <f>INDEX($H$3:$H$15,MATCH(YEAR(A33),$A$3:$A$15,0))</f>
        <v>27474.677500000002</v>
      </c>
      <c r="C33" s="193">
        <f>INDEX($H$3:$H$15,MATCH(YEAR(A33),$A$3:$A$15,0))</f>
        <v>27474.677500000002</v>
      </c>
      <c r="D33" s="193">
        <f>INDEX($B$3:$B$15,MATCH(YEAR(A33),$A$3:$A$15,0))*IF($F$17=1,INDEX($Y$3:$Y$14,MATCH(MONTH(A33),$V$3:$V$14,0)),1/12)</f>
        <v>1095599.6841666666</v>
      </c>
      <c r="E33" s="193">
        <f>B33+D33</f>
        <v>1123074.3616666666</v>
      </c>
    </row>
    <row r="34" spans="1:5" s="54" customFormat="1" x14ac:dyDescent="0.25">
      <c r="A34" s="52">
        <v>40575</v>
      </c>
      <c r="B34" s="240">
        <f>B33+INDEX($H$3:$H$15,MATCH(YEAR(A33),$A$3:$A$15,0))</f>
        <v>54949.355000000003</v>
      </c>
      <c r="C34" s="194"/>
      <c r="D34" s="194">
        <f t="shared" ref="D34:D44" si="10">INDEX($B$3:$B$15,MATCH(YEAR(A34),$A$3:$A$15,0))*IF($F$17=1,INDEX($Y$3:$Y$14,MATCH(MONTH(A34),$V$3:$V$14,0)),1/12)</f>
        <v>1095599.6841666666</v>
      </c>
      <c r="E34" s="194">
        <f t="shared" ref="E34:E44" si="11">B34+D34</f>
        <v>1150549.0391666666</v>
      </c>
    </row>
    <row r="35" spans="1:5" s="54" customFormat="1" x14ac:dyDescent="0.25">
      <c r="A35" s="52">
        <v>40603</v>
      </c>
      <c r="B35" s="240">
        <f t="shared" ref="B35:B44" si="12">B34+INDEX($H$3:$H$15,MATCH(YEAR(A34),$A$3:$A$15,0))</f>
        <v>82424.032500000001</v>
      </c>
      <c r="C35" s="194"/>
      <c r="D35" s="194">
        <f t="shared" si="10"/>
        <v>1095599.6841666666</v>
      </c>
      <c r="E35" s="194">
        <f t="shared" si="11"/>
        <v>1178023.7166666666</v>
      </c>
    </row>
    <row r="36" spans="1:5" s="54" customFormat="1" x14ac:dyDescent="0.25">
      <c r="A36" s="52">
        <v>40634</v>
      </c>
      <c r="B36" s="240">
        <f t="shared" si="12"/>
        <v>109898.71</v>
      </c>
      <c r="C36" s="194"/>
      <c r="D36" s="194">
        <f t="shared" si="10"/>
        <v>1095599.6841666666</v>
      </c>
      <c r="E36" s="194">
        <f t="shared" si="11"/>
        <v>1205498.3941666665</v>
      </c>
    </row>
    <row r="37" spans="1:5" s="54" customFormat="1" x14ac:dyDescent="0.25">
      <c r="A37" s="52">
        <v>40664</v>
      </c>
      <c r="B37" s="240">
        <f t="shared" si="12"/>
        <v>137373.38750000001</v>
      </c>
      <c r="C37" s="194"/>
      <c r="D37" s="194">
        <f t="shared" si="10"/>
        <v>1095599.6841666666</v>
      </c>
      <c r="E37" s="194">
        <f t="shared" si="11"/>
        <v>1232973.0716666665</v>
      </c>
    </row>
    <row r="38" spans="1:5" s="54" customFormat="1" x14ac:dyDescent="0.25">
      <c r="A38" s="52">
        <v>40695</v>
      </c>
      <c r="B38" s="240">
        <f t="shared" si="12"/>
        <v>164848.065</v>
      </c>
      <c r="C38" s="194"/>
      <c r="D38" s="194">
        <f t="shared" si="10"/>
        <v>1095599.6841666666</v>
      </c>
      <c r="E38" s="194">
        <f t="shared" si="11"/>
        <v>1260447.7491666665</v>
      </c>
    </row>
    <row r="39" spans="1:5" s="54" customFormat="1" x14ac:dyDescent="0.25">
      <c r="A39" s="52">
        <v>40725</v>
      </c>
      <c r="B39" s="240">
        <f t="shared" si="12"/>
        <v>192322.74249999999</v>
      </c>
      <c r="C39" s="194"/>
      <c r="D39" s="194">
        <f t="shared" si="10"/>
        <v>1095599.6841666666</v>
      </c>
      <c r="E39" s="194">
        <f t="shared" si="11"/>
        <v>1287922.4266666665</v>
      </c>
    </row>
    <row r="40" spans="1:5" s="54" customFormat="1" x14ac:dyDescent="0.25">
      <c r="A40" s="52">
        <v>40756</v>
      </c>
      <c r="B40" s="240">
        <f t="shared" si="12"/>
        <v>219797.41999999998</v>
      </c>
      <c r="C40" s="194"/>
      <c r="D40" s="194">
        <f t="shared" si="10"/>
        <v>1095599.6841666666</v>
      </c>
      <c r="E40" s="194">
        <f t="shared" si="11"/>
        <v>1315397.1041666665</v>
      </c>
    </row>
    <row r="41" spans="1:5" s="54" customFormat="1" x14ac:dyDescent="0.25">
      <c r="A41" s="52">
        <v>40787</v>
      </c>
      <c r="B41" s="240">
        <f t="shared" si="12"/>
        <v>247272.09749999997</v>
      </c>
      <c r="C41" s="194"/>
      <c r="D41" s="194">
        <f t="shared" si="10"/>
        <v>1095599.6841666666</v>
      </c>
      <c r="E41" s="194">
        <f t="shared" si="11"/>
        <v>1342871.7816666665</v>
      </c>
    </row>
    <row r="42" spans="1:5" s="54" customFormat="1" x14ac:dyDescent="0.25">
      <c r="A42" s="52">
        <v>40817</v>
      </c>
      <c r="B42" s="240">
        <f t="shared" si="12"/>
        <v>274746.77499999997</v>
      </c>
      <c r="C42" s="194"/>
      <c r="D42" s="194">
        <f t="shared" si="10"/>
        <v>1095599.6841666666</v>
      </c>
      <c r="E42" s="194">
        <f t="shared" si="11"/>
        <v>1370346.4591666665</v>
      </c>
    </row>
    <row r="43" spans="1:5" s="54" customFormat="1" x14ac:dyDescent="0.25">
      <c r="A43" s="52">
        <v>40848</v>
      </c>
      <c r="B43" s="240">
        <f t="shared" si="12"/>
        <v>302221.45249999996</v>
      </c>
      <c r="C43" s="194" t="s">
        <v>94</v>
      </c>
      <c r="D43" s="194">
        <f t="shared" si="10"/>
        <v>1095599.6841666666</v>
      </c>
      <c r="E43" s="194">
        <f t="shared" si="11"/>
        <v>1397821.1366666665</v>
      </c>
    </row>
    <row r="44" spans="1:5" s="57" customFormat="1" x14ac:dyDescent="0.25">
      <c r="A44" s="55">
        <v>40878</v>
      </c>
      <c r="B44" s="240">
        <f t="shared" si="12"/>
        <v>329696.12999999995</v>
      </c>
      <c r="C44" s="195">
        <f>SUM(B33:B44)</f>
        <v>2143024.8449999997</v>
      </c>
      <c r="D44" s="195">
        <f t="shared" si="10"/>
        <v>1095599.6841666666</v>
      </c>
      <c r="E44" s="195">
        <f t="shared" si="11"/>
        <v>1425295.8141666665</v>
      </c>
    </row>
    <row r="45" spans="1:5" s="51" customFormat="1" x14ac:dyDescent="0.25">
      <c r="A45" s="49">
        <v>40909</v>
      </c>
      <c r="B45" s="239">
        <f>INDEX($H$3:$H$15,MATCH(YEAR(A45),$A$3:$A$15,0))</f>
        <v>37844.096153846156</v>
      </c>
      <c r="C45" s="193">
        <f>INDEX($H$3:$H$15,MATCH(YEAR(A45),$A$3:$A$15,0))</f>
        <v>37844.096153846156</v>
      </c>
      <c r="D45" s="193">
        <f>INDEX($B$3:$B$15,MATCH(YEAR(A45),$A$3:$A$15,0))*IF($F$17=1,INDEX($Y$3:$Y$14,MATCH(MONTH(A45),$V$3:$V$14,0)),1/12)</f>
        <v>1432481.9966666666</v>
      </c>
      <c r="E45" s="193">
        <f>B45+D45</f>
        <v>1470326.0928205128</v>
      </c>
    </row>
    <row r="46" spans="1:5" s="54" customFormat="1" x14ac:dyDescent="0.25">
      <c r="A46" s="52">
        <v>40940</v>
      </c>
      <c r="B46" s="240">
        <f>B45+INDEX($H$3:$H$15,MATCH(YEAR(A45),$A$3:$A$15,0))</f>
        <v>75688.192307692312</v>
      </c>
      <c r="C46" s="194"/>
      <c r="D46" s="194">
        <f t="shared" ref="D46:D56" si="13">INDEX($B$3:$B$15,MATCH(YEAR(A46),$A$3:$A$15,0))*IF($F$17=1,INDEX($Y$3:$Y$14,MATCH(MONTH(A46),$V$3:$V$14,0)),1/12)</f>
        <v>1432481.9966666666</v>
      </c>
      <c r="E46" s="194">
        <f t="shared" ref="E46:E56" si="14">B46+D46</f>
        <v>1508170.1889743588</v>
      </c>
    </row>
    <row r="47" spans="1:5" s="54" customFormat="1" x14ac:dyDescent="0.25">
      <c r="A47" s="52">
        <v>40969</v>
      </c>
      <c r="B47" s="240">
        <f t="shared" ref="B47:B56" si="15">B46+INDEX($H$3:$H$15,MATCH(YEAR(A46),$A$3:$A$15,0))</f>
        <v>113532.28846153847</v>
      </c>
      <c r="C47" s="194"/>
      <c r="D47" s="194">
        <f t="shared" si="13"/>
        <v>1432481.9966666666</v>
      </c>
      <c r="E47" s="194">
        <f t="shared" si="14"/>
        <v>1546014.2851282051</v>
      </c>
    </row>
    <row r="48" spans="1:5" s="54" customFormat="1" x14ac:dyDescent="0.25">
      <c r="A48" s="52">
        <v>41000</v>
      </c>
      <c r="B48" s="240">
        <f t="shared" si="15"/>
        <v>151376.38461538462</v>
      </c>
      <c r="C48" s="194"/>
      <c r="D48" s="194">
        <f t="shared" si="13"/>
        <v>1432481.9966666666</v>
      </c>
      <c r="E48" s="194">
        <f t="shared" si="14"/>
        <v>1583858.3812820511</v>
      </c>
    </row>
    <row r="49" spans="1:5" s="54" customFormat="1" x14ac:dyDescent="0.25">
      <c r="A49" s="52">
        <v>41030</v>
      </c>
      <c r="B49" s="240">
        <f t="shared" si="15"/>
        <v>189220.48076923078</v>
      </c>
      <c r="C49" s="194"/>
      <c r="D49" s="194">
        <f t="shared" si="13"/>
        <v>1432481.9966666666</v>
      </c>
      <c r="E49" s="194">
        <f t="shared" si="14"/>
        <v>1621702.4774358973</v>
      </c>
    </row>
    <row r="50" spans="1:5" s="54" customFormat="1" x14ac:dyDescent="0.25">
      <c r="A50" s="52">
        <v>41061</v>
      </c>
      <c r="B50" s="240">
        <f t="shared" si="15"/>
        <v>227064.57692307694</v>
      </c>
      <c r="C50" s="194"/>
      <c r="D50" s="194">
        <f t="shared" si="13"/>
        <v>1432481.9966666666</v>
      </c>
      <c r="E50" s="194">
        <f t="shared" si="14"/>
        <v>1659546.5735897436</v>
      </c>
    </row>
    <row r="51" spans="1:5" s="54" customFormat="1" x14ac:dyDescent="0.25">
      <c r="A51" s="52">
        <v>41091</v>
      </c>
      <c r="B51" s="240">
        <f t="shared" si="15"/>
        <v>264908.67307692312</v>
      </c>
      <c r="C51" s="194"/>
      <c r="D51" s="194">
        <f t="shared" si="13"/>
        <v>1432481.9966666666</v>
      </c>
      <c r="E51" s="194">
        <f t="shared" si="14"/>
        <v>1697390.6697435896</v>
      </c>
    </row>
    <row r="52" spans="1:5" s="54" customFormat="1" x14ac:dyDescent="0.25">
      <c r="A52" s="52">
        <v>41122</v>
      </c>
      <c r="B52" s="240">
        <f t="shared" si="15"/>
        <v>302752.76923076925</v>
      </c>
      <c r="C52" s="194"/>
      <c r="D52" s="194">
        <f t="shared" si="13"/>
        <v>1432481.9966666666</v>
      </c>
      <c r="E52" s="194">
        <f t="shared" si="14"/>
        <v>1735234.7658974358</v>
      </c>
    </row>
    <row r="53" spans="1:5" s="54" customFormat="1" x14ac:dyDescent="0.25">
      <c r="A53" s="52">
        <v>41153</v>
      </c>
      <c r="B53" s="240">
        <f t="shared" si="15"/>
        <v>340596.86538461538</v>
      </c>
      <c r="C53" s="194"/>
      <c r="D53" s="194">
        <f t="shared" si="13"/>
        <v>1432481.9966666666</v>
      </c>
      <c r="E53" s="194">
        <f t="shared" si="14"/>
        <v>1773078.8620512821</v>
      </c>
    </row>
    <row r="54" spans="1:5" s="54" customFormat="1" x14ac:dyDescent="0.25">
      <c r="A54" s="52">
        <v>41183</v>
      </c>
      <c r="B54" s="240">
        <f t="shared" si="15"/>
        <v>378440.9615384615</v>
      </c>
      <c r="C54" s="194"/>
      <c r="D54" s="194">
        <f t="shared" si="13"/>
        <v>1432481.9966666666</v>
      </c>
      <c r="E54" s="194">
        <f t="shared" si="14"/>
        <v>1810922.9582051281</v>
      </c>
    </row>
    <row r="55" spans="1:5" s="54" customFormat="1" x14ac:dyDescent="0.25">
      <c r="A55" s="52">
        <v>41214</v>
      </c>
      <c r="B55" s="240">
        <f t="shared" si="15"/>
        <v>416285.05769230763</v>
      </c>
      <c r="C55" s="194" t="s">
        <v>94</v>
      </c>
      <c r="D55" s="194">
        <f t="shared" si="13"/>
        <v>1432481.9966666666</v>
      </c>
      <c r="E55" s="194">
        <f t="shared" si="14"/>
        <v>1848767.0543589741</v>
      </c>
    </row>
    <row r="56" spans="1:5" s="57" customFormat="1" x14ac:dyDescent="0.25">
      <c r="A56" s="55">
        <v>41244</v>
      </c>
      <c r="B56" s="240">
        <f t="shared" si="15"/>
        <v>454129.15384615376</v>
      </c>
      <c r="C56" s="195">
        <f>SUM(B45:B56)</f>
        <v>2951839.5</v>
      </c>
      <c r="D56" s="195">
        <f t="shared" si="13"/>
        <v>1432481.9966666666</v>
      </c>
      <c r="E56" s="195">
        <f t="shared" si="14"/>
        <v>1886611.1505128203</v>
      </c>
    </row>
    <row r="57" spans="1:5" s="51" customFormat="1" x14ac:dyDescent="0.25">
      <c r="A57" s="49">
        <v>41275</v>
      </c>
      <c r="B57" s="239">
        <f>INDEX($H$3:$H$15,MATCH(YEAR(A57),$A$3:$A$15,0))</f>
        <v>44837.037307692306</v>
      </c>
      <c r="C57" s="193">
        <f>INDEX($H$3:$H$15,MATCH(YEAR(A57),$A$3:$A$15,0))</f>
        <v>44837.037307692306</v>
      </c>
      <c r="D57" s="193">
        <f>INDEX($B$3:$B$15,MATCH(YEAR(A57),$A$3:$A$15,0))*IF($F$17=1,INDEX($Y$3:$Y$14,MATCH(MONTH(A57),$V$3:$V$14,0)),1/12)</f>
        <v>1905557.97</v>
      </c>
      <c r="E57" s="193">
        <f>B57+D57</f>
        <v>1950395.0073076922</v>
      </c>
    </row>
    <row r="58" spans="1:5" s="54" customFormat="1" x14ac:dyDescent="0.25">
      <c r="A58" s="52">
        <v>41306</v>
      </c>
      <c r="B58" s="240">
        <f>B57+INDEX($H$3:$H$15,MATCH(YEAR(A57),$A$3:$A$15,0))</f>
        <v>89674.074615384612</v>
      </c>
      <c r="C58" s="194"/>
      <c r="D58" s="194">
        <f t="shared" ref="D58:D68" si="16">INDEX($B$3:$B$15,MATCH(YEAR(A58),$A$3:$A$15,0))*IF($F$17=1,INDEX($Y$3:$Y$14,MATCH(MONTH(A58),$V$3:$V$14,0)),1/12)</f>
        <v>1905557.97</v>
      </c>
      <c r="E58" s="194">
        <f t="shared" ref="E58:E68" si="17">B58+D58</f>
        <v>1995232.0446153847</v>
      </c>
    </row>
    <row r="59" spans="1:5" s="54" customFormat="1" x14ac:dyDescent="0.25">
      <c r="A59" s="52">
        <v>41334</v>
      </c>
      <c r="B59" s="240">
        <f t="shared" ref="B59:B68" si="18">B58+INDEX($H$3:$H$15,MATCH(YEAR(A58),$A$3:$A$15,0))</f>
        <v>134511.11192307691</v>
      </c>
      <c r="C59" s="194"/>
      <c r="D59" s="194">
        <f t="shared" si="16"/>
        <v>1905557.97</v>
      </c>
      <c r="E59" s="194">
        <f t="shared" si="17"/>
        <v>2040069.0819230769</v>
      </c>
    </row>
    <row r="60" spans="1:5" s="54" customFormat="1" x14ac:dyDescent="0.25">
      <c r="A60" s="52">
        <v>41365</v>
      </c>
      <c r="B60" s="240">
        <f t="shared" si="18"/>
        <v>179348.14923076922</v>
      </c>
      <c r="C60" s="194"/>
      <c r="D60" s="194">
        <f t="shared" si="16"/>
        <v>1905557.97</v>
      </c>
      <c r="E60" s="194">
        <f t="shared" si="17"/>
        <v>2084906.1192307691</v>
      </c>
    </row>
    <row r="61" spans="1:5" s="54" customFormat="1" x14ac:dyDescent="0.25">
      <c r="A61" s="52">
        <v>41395</v>
      </c>
      <c r="B61" s="240">
        <f t="shared" si="18"/>
        <v>224185.18653846154</v>
      </c>
      <c r="C61" s="194"/>
      <c r="D61" s="194">
        <f t="shared" si="16"/>
        <v>1905557.97</v>
      </c>
      <c r="E61" s="194">
        <f t="shared" si="17"/>
        <v>2129743.1565384613</v>
      </c>
    </row>
    <row r="62" spans="1:5" s="54" customFormat="1" x14ac:dyDescent="0.25">
      <c r="A62" s="52">
        <v>41426</v>
      </c>
      <c r="B62" s="240">
        <f t="shared" si="18"/>
        <v>269022.22384615382</v>
      </c>
      <c r="C62" s="194"/>
      <c r="D62" s="194">
        <f t="shared" si="16"/>
        <v>1905557.97</v>
      </c>
      <c r="E62" s="194">
        <f t="shared" si="17"/>
        <v>2174580.193846154</v>
      </c>
    </row>
    <row r="63" spans="1:5" s="54" customFormat="1" x14ac:dyDescent="0.25">
      <c r="A63" s="52">
        <v>41456</v>
      </c>
      <c r="B63" s="240">
        <f t="shared" si="18"/>
        <v>313859.26115384611</v>
      </c>
      <c r="C63" s="194"/>
      <c r="D63" s="194">
        <f t="shared" si="16"/>
        <v>1905557.97</v>
      </c>
      <c r="E63" s="194">
        <f t="shared" si="17"/>
        <v>2219417.2311538463</v>
      </c>
    </row>
    <row r="64" spans="1:5" s="54" customFormat="1" x14ac:dyDescent="0.25">
      <c r="A64" s="52">
        <v>41487</v>
      </c>
      <c r="B64" s="240">
        <f t="shared" si="18"/>
        <v>358696.29846153839</v>
      </c>
      <c r="C64" s="194"/>
      <c r="D64" s="194">
        <f t="shared" si="16"/>
        <v>1905557.97</v>
      </c>
      <c r="E64" s="194">
        <f t="shared" si="17"/>
        <v>2264254.2684615385</v>
      </c>
    </row>
    <row r="65" spans="1:5" s="54" customFormat="1" x14ac:dyDescent="0.25">
      <c r="A65" s="52">
        <v>41518</v>
      </c>
      <c r="B65" s="240">
        <f t="shared" si="18"/>
        <v>403533.33576923067</v>
      </c>
      <c r="C65" s="194"/>
      <c r="D65" s="194">
        <f t="shared" si="16"/>
        <v>1905557.97</v>
      </c>
      <c r="E65" s="194">
        <f t="shared" si="17"/>
        <v>2309091.3057692307</v>
      </c>
    </row>
    <row r="66" spans="1:5" s="54" customFormat="1" x14ac:dyDescent="0.25">
      <c r="A66" s="52">
        <v>41548</v>
      </c>
      <c r="B66" s="240">
        <f t="shared" si="18"/>
        <v>448370.37307692296</v>
      </c>
      <c r="C66" s="194"/>
      <c r="D66" s="194">
        <f t="shared" si="16"/>
        <v>1905557.97</v>
      </c>
      <c r="E66" s="194">
        <f t="shared" si="17"/>
        <v>2353928.3430769229</v>
      </c>
    </row>
    <row r="67" spans="1:5" s="54" customFormat="1" x14ac:dyDescent="0.25">
      <c r="A67" s="52">
        <v>41579</v>
      </c>
      <c r="B67" s="240">
        <f t="shared" si="18"/>
        <v>493207.41038461524</v>
      </c>
      <c r="C67" s="194" t="s">
        <v>94</v>
      </c>
      <c r="D67" s="194">
        <f t="shared" si="16"/>
        <v>1905557.97</v>
      </c>
      <c r="E67" s="194">
        <f t="shared" si="17"/>
        <v>2398765.3803846152</v>
      </c>
    </row>
    <row r="68" spans="1:5" s="57" customFormat="1" x14ac:dyDescent="0.25">
      <c r="A68" s="55">
        <v>41609</v>
      </c>
      <c r="B68" s="240">
        <f t="shared" si="18"/>
        <v>538044.44769230753</v>
      </c>
      <c r="C68" s="195">
        <f>SUM(B57:B68)</f>
        <v>3497288.9099999997</v>
      </c>
      <c r="D68" s="195">
        <f t="shared" si="16"/>
        <v>1905557.97</v>
      </c>
      <c r="E68" s="195">
        <f t="shared" si="17"/>
        <v>2443602.4176923074</v>
      </c>
    </row>
    <row r="69" spans="1:5" s="51" customFormat="1" x14ac:dyDescent="0.25">
      <c r="A69" s="49">
        <v>41640</v>
      </c>
      <c r="B69" s="239">
        <f>INDEX($H$3:$H$15,MATCH(YEAR(A69),$A$3:$A$15,0))</f>
        <v>216804.87230769231</v>
      </c>
      <c r="C69" s="193">
        <f>INDEX($H$3:$H$15,MATCH(YEAR(A69),$A$3:$A$15,0))</f>
        <v>216804.87230769231</v>
      </c>
      <c r="D69" s="193">
        <f>INDEX($B$3:$B$15,MATCH(YEAR(A69),$A$3:$A$15,0))*IF($F$17=1,INDEX($Y$3:$Y$14,MATCH(MONTH(A69),$V$3:$V$14,0)),1/12)</f>
        <v>2421817.79</v>
      </c>
      <c r="E69" s="193">
        <f>B69+D69</f>
        <v>2638622.6623076922</v>
      </c>
    </row>
    <row r="70" spans="1:5" s="54" customFormat="1" x14ac:dyDescent="0.25">
      <c r="A70" s="52">
        <v>41671</v>
      </c>
      <c r="B70" s="240">
        <f>B69+INDEX($H$3:$H$15,MATCH(YEAR(A69),$A$3:$A$15,0))</f>
        <v>433609.74461538461</v>
      </c>
      <c r="C70" s="194"/>
      <c r="D70" s="194">
        <f t="shared" ref="D70:D80" si="19">INDEX($B$3:$B$15,MATCH(YEAR(A70),$A$3:$A$15,0))*IF($F$17=1,INDEX($Y$3:$Y$14,MATCH(MONTH(A70),$V$3:$V$14,0)),1/12)</f>
        <v>2421817.79</v>
      </c>
      <c r="E70" s="194">
        <f t="shared" ref="E70:E80" si="20">B70+D70</f>
        <v>2855427.5346153844</v>
      </c>
    </row>
    <row r="71" spans="1:5" s="54" customFormat="1" x14ac:dyDescent="0.25">
      <c r="A71" s="52">
        <v>41699</v>
      </c>
      <c r="B71" s="240">
        <f t="shared" ref="B71:B80" si="21">B70+INDEX($H$3:$H$15,MATCH(YEAR(A70),$A$3:$A$15,0))</f>
        <v>650414.61692307692</v>
      </c>
      <c r="C71" s="194"/>
      <c r="D71" s="194">
        <f t="shared" si="19"/>
        <v>2421817.79</v>
      </c>
      <c r="E71" s="194">
        <f t="shared" si="20"/>
        <v>3072232.4069230771</v>
      </c>
    </row>
    <row r="72" spans="1:5" s="54" customFormat="1" x14ac:dyDescent="0.25">
      <c r="A72" s="52">
        <v>41730</v>
      </c>
      <c r="B72" s="240">
        <f t="shared" si="21"/>
        <v>867219.48923076922</v>
      </c>
      <c r="C72" s="194"/>
      <c r="D72" s="194">
        <f t="shared" si="19"/>
        <v>2421817.79</v>
      </c>
      <c r="E72" s="194">
        <f t="shared" si="20"/>
        <v>3289037.2792307693</v>
      </c>
    </row>
    <row r="73" spans="1:5" s="54" customFormat="1" x14ac:dyDescent="0.25">
      <c r="A73" s="52">
        <v>41760</v>
      </c>
      <c r="B73" s="240">
        <f t="shared" si="21"/>
        <v>1084024.3615384614</v>
      </c>
      <c r="C73" s="194"/>
      <c r="D73" s="194">
        <f t="shared" si="19"/>
        <v>2421817.79</v>
      </c>
      <c r="E73" s="194">
        <f t="shared" si="20"/>
        <v>3505842.1515384614</v>
      </c>
    </row>
    <row r="74" spans="1:5" s="54" customFormat="1" x14ac:dyDescent="0.25">
      <c r="A74" s="52">
        <v>41791</v>
      </c>
      <c r="B74" s="240">
        <f t="shared" si="21"/>
        <v>1300829.2338461536</v>
      </c>
      <c r="C74" s="194"/>
      <c r="D74" s="194">
        <f t="shared" si="19"/>
        <v>2421817.79</v>
      </c>
      <c r="E74" s="194">
        <f t="shared" si="20"/>
        <v>3722647.0238461536</v>
      </c>
    </row>
    <row r="75" spans="1:5" s="54" customFormat="1" x14ac:dyDescent="0.25">
      <c r="A75" s="52">
        <v>41821</v>
      </c>
      <c r="B75" s="240">
        <f t="shared" si="21"/>
        <v>1517634.1061538458</v>
      </c>
      <c r="C75" s="194"/>
      <c r="D75" s="194">
        <f t="shared" si="19"/>
        <v>2421817.79</v>
      </c>
      <c r="E75" s="194">
        <f t="shared" si="20"/>
        <v>3939451.8961538458</v>
      </c>
    </row>
    <row r="76" spans="1:5" s="54" customFormat="1" x14ac:dyDescent="0.25">
      <c r="A76" s="52">
        <v>41852</v>
      </c>
      <c r="B76" s="240">
        <f t="shared" si="21"/>
        <v>1734438.978461538</v>
      </c>
      <c r="C76" s="194"/>
      <c r="D76" s="194">
        <f t="shared" si="19"/>
        <v>2421817.79</v>
      </c>
      <c r="E76" s="194">
        <f t="shared" si="20"/>
        <v>4156256.768461538</v>
      </c>
    </row>
    <row r="77" spans="1:5" s="54" customFormat="1" x14ac:dyDescent="0.25">
      <c r="A77" s="52">
        <v>41883</v>
      </c>
      <c r="B77" s="240">
        <f t="shared" si="21"/>
        <v>1951243.8507692302</v>
      </c>
      <c r="C77" s="194"/>
      <c r="D77" s="194">
        <f t="shared" si="19"/>
        <v>2421817.79</v>
      </c>
      <c r="E77" s="194">
        <f t="shared" si="20"/>
        <v>4373061.6407692302</v>
      </c>
    </row>
    <row r="78" spans="1:5" s="54" customFormat="1" x14ac:dyDescent="0.25">
      <c r="A78" s="52">
        <v>41913</v>
      </c>
      <c r="B78" s="240">
        <f t="shared" si="21"/>
        <v>2168048.7230769224</v>
      </c>
      <c r="C78" s="194"/>
      <c r="D78" s="194">
        <f t="shared" si="19"/>
        <v>2421817.79</v>
      </c>
      <c r="E78" s="194">
        <f t="shared" si="20"/>
        <v>4589866.5130769219</v>
      </c>
    </row>
    <row r="79" spans="1:5" s="54" customFormat="1" x14ac:dyDescent="0.25">
      <c r="A79" s="52">
        <v>41944</v>
      </c>
      <c r="B79" s="240">
        <f t="shared" si="21"/>
        <v>2384853.5953846145</v>
      </c>
      <c r="C79" s="194" t="s">
        <v>94</v>
      </c>
      <c r="D79" s="194">
        <f t="shared" si="19"/>
        <v>2421817.79</v>
      </c>
      <c r="E79" s="194">
        <f t="shared" si="20"/>
        <v>4806671.3853846146</v>
      </c>
    </row>
    <row r="80" spans="1:5" s="57" customFormat="1" x14ac:dyDescent="0.25">
      <c r="A80" s="55">
        <v>41974</v>
      </c>
      <c r="B80" s="240">
        <f t="shared" si="21"/>
        <v>2601658.4676923067</v>
      </c>
      <c r="C80" s="195">
        <f>SUM(B69:B80)</f>
        <v>16910780.039999995</v>
      </c>
      <c r="D80" s="195">
        <f t="shared" si="19"/>
        <v>2421817.79</v>
      </c>
      <c r="E80" s="195">
        <f t="shared" si="20"/>
        <v>5023476.2576923072</v>
      </c>
    </row>
    <row r="81" spans="1:5" s="51" customFormat="1" x14ac:dyDescent="0.25">
      <c r="A81" s="49">
        <v>42005</v>
      </c>
      <c r="B81" s="239">
        <f>INDEX($H$3:$H$15,MATCH(YEAR(A81),$A$3:$A$15,0))</f>
        <v>61039.903846153844</v>
      </c>
      <c r="C81" s="193">
        <f>INDEX($H$3:$H$15,MATCH(YEAR(A81),$A$3:$A$15,0))</f>
        <v>61039.903846153844</v>
      </c>
      <c r="D81" s="193">
        <f>INDEX($B$3:$B$15,MATCH(YEAR(A81),$A$3:$A$15,0))*IF($F$17=1,INDEX($Y$3:$Y$14,MATCH(MONTH(A81),$V$3:$V$14,0)),1/12)</f>
        <v>5044012.3591666669</v>
      </c>
      <c r="E81" s="193">
        <f>B81+D81</f>
        <v>5105052.2630128209</v>
      </c>
    </row>
    <row r="82" spans="1:5" s="54" customFormat="1" x14ac:dyDescent="0.25">
      <c r="A82" s="52">
        <v>42036</v>
      </c>
      <c r="B82" s="240">
        <f>B81+INDEX($H$3:$H$15,MATCH(YEAR(A81),$A$3:$A$15,0))</f>
        <v>122079.80769230769</v>
      </c>
      <c r="C82" s="194"/>
      <c r="D82" s="194">
        <f t="shared" ref="D82:D92" si="22">INDEX($B$3:$B$15,MATCH(YEAR(A82),$A$3:$A$15,0))*IF($F$17=1,INDEX($Y$3:$Y$14,MATCH(MONTH(A82),$V$3:$V$14,0)),1/12)</f>
        <v>5044012.3591666669</v>
      </c>
      <c r="E82" s="194">
        <f t="shared" ref="E82:E92" si="23">B82+D82</f>
        <v>5166092.1668589748</v>
      </c>
    </row>
    <row r="83" spans="1:5" s="54" customFormat="1" x14ac:dyDescent="0.25">
      <c r="A83" s="52">
        <v>42064</v>
      </c>
      <c r="B83" s="240">
        <f t="shared" ref="B83:B92" si="24">B82+INDEX($H$3:$H$15,MATCH(YEAR(A82),$A$3:$A$15,0))</f>
        <v>183119.71153846153</v>
      </c>
      <c r="C83" s="194"/>
      <c r="D83" s="194">
        <f t="shared" si="22"/>
        <v>5044012.3591666669</v>
      </c>
      <c r="E83" s="194">
        <f t="shared" si="23"/>
        <v>5227132.0707051288</v>
      </c>
    </row>
    <row r="84" spans="1:5" s="54" customFormat="1" x14ac:dyDescent="0.25">
      <c r="A84" s="52">
        <v>42095</v>
      </c>
      <c r="B84" s="240">
        <f t="shared" si="24"/>
        <v>244159.61538461538</v>
      </c>
      <c r="C84" s="194"/>
      <c r="D84" s="194">
        <f t="shared" si="22"/>
        <v>5044012.3591666669</v>
      </c>
      <c r="E84" s="194">
        <f t="shared" si="23"/>
        <v>5288171.9745512819</v>
      </c>
    </row>
    <row r="85" spans="1:5" s="54" customFormat="1" x14ac:dyDescent="0.25">
      <c r="A85" s="52">
        <v>42125</v>
      </c>
      <c r="B85" s="240">
        <f t="shared" si="24"/>
        <v>305199.51923076925</v>
      </c>
      <c r="C85" s="194"/>
      <c r="D85" s="194">
        <f t="shared" si="22"/>
        <v>5044012.3591666669</v>
      </c>
      <c r="E85" s="194">
        <f t="shared" si="23"/>
        <v>5349211.8783974359</v>
      </c>
    </row>
    <row r="86" spans="1:5" s="54" customFormat="1" x14ac:dyDescent="0.25">
      <c r="A86" s="52">
        <v>42156</v>
      </c>
      <c r="B86" s="240">
        <f t="shared" si="24"/>
        <v>366239.42307692312</v>
      </c>
      <c r="C86" s="194"/>
      <c r="D86" s="194">
        <f t="shared" si="22"/>
        <v>5044012.3591666669</v>
      </c>
      <c r="E86" s="194">
        <f t="shared" si="23"/>
        <v>5410251.7822435899</v>
      </c>
    </row>
    <row r="87" spans="1:5" s="54" customFormat="1" x14ac:dyDescent="0.25">
      <c r="A87" s="52">
        <v>42186</v>
      </c>
      <c r="B87" s="240">
        <f t="shared" si="24"/>
        <v>427279.32692307699</v>
      </c>
      <c r="C87" s="194"/>
      <c r="D87" s="194">
        <f t="shared" si="22"/>
        <v>5044012.3591666669</v>
      </c>
      <c r="E87" s="194">
        <f t="shared" si="23"/>
        <v>5471291.6860897439</v>
      </c>
    </row>
    <row r="88" spans="1:5" s="54" customFormat="1" x14ac:dyDescent="0.25">
      <c r="A88" s="52">
        <v>42217</v>
      </c>
      <c r="B88" s="240">
        <f t="shared" si="24"/>
        <v>488319.23076923087</v>
      </c>
      <c r="C88" s="194"/>
      <c r="D88" s="194">
        <f t="shared" si="22"/>
        <v>5044012.3591666669</v>
      </c>
      <c r="E88" s="194">
        <f t="shared" si="23"/>
        <v>5532331.5899358978</v>
      </c>
    </row>
    <row r="89" spans="1:5" s="54" customFormat="1" x14ac:dyDescent="0.25">
      <c r="A89" s="52">
        <v>42248</v>
      </c>
      <c r="B89" s="240">
        <f t="shared" si="24"/>
        <v>549359.13461538474</v>
      </c>
      <c r="C89" s="194"/>
      <c r="D89" s="194">
        <f t="shared" si="22"/>
        <v>5044012.3591666669</v>
      </c>
      <c r="E89" s="194">
        <f t="shared" si="23"/>
        <v>5593371.4937820518</v>
      </c>
    </row>
    <row r="90" spans="1:5" s="54" customFormat="1" x14ac:dyDescent="0.25">
      <c r="A90" s="52">
        <v>42278</v>
      </c>
      <c r="B90" s="240">
        <f t="shared" si="24"/>
        <v>610399.03846153861</v>
      </c>
      <c r="C90" s="194"/>
      <c r="D90" s="194">
        <f t="shared" si="22"/>
        <v>5044012.3591666669</v>
      </c>
      <c r="E90" s="194">
        <f t="shared" si="23"/>
        <v>5654411.3976282058</v>
      </c>
    </row>
    <row r="91" spans="1:5" s="54" customFormat="1" x14ac:dyDescent="0.25">
      <c r="A91" s="52">
        <v>42309</v>
      </c>
      <c r="B91" s="240">
        <f t="shared" si="24"/>
        <v>671438.94230769249</v>
      </c>
      <c r="C91" s="194" t="s">
        <v>94</v>
      </c>
      <c r="D91" s="194">
        <f t="shared" si="22"/>
        <v>5044012.3591666669</v>
      </c>
      <c r="E91" s="194">
        <f t="shared" si="23"/>
        <v>5715451.3014743589</v>
      </c>
    </row>
    <row r="92" spans="1:5" s="57" customFormat="1" x14ac:dyDescent="0.25">
      <c r="A92" s="55">
        <v>42339</v>
      </c>
      <c r="B92" s="240">
        <f t="shared" si="24"/>
        <v>732478.84615384636</v>
      </c>
      <c r="C92" s="195">
        <f>SUM(B81:B92)</f>
        <v>4761112.5000000009</v>
      </c>
      <c r="D92" s="195">
        <f t="shared" si="22"/>
        <v>5044012.3591666669</v>
      </c>
      <c r="E92" s="195">
        <f t="shared" si="23"/>
        <v>5776491.2053205129</v>
      </c>
    </row>
    <row r="93" spans="1:5" s="51" customFormat="1" x14ac:dyDescent="0.25">
      <c r="A93" s="49">
        <v>42370</v>
      </c>
      <c r="B93" s="239">
        <f>INDEX($H$3:$H$15,MATCH(YEAR(A93),$A$3:$A$15,0))</f>
        <v>78086.378205128203</v>
      </c>
      <c r="C93" s="193">
        <f>INDEX($H$3:$H$15,MATCH(YEAR(A93),$A$3:$A$15,0))</f>
        <v>78086.378205128203</v>
      </c>
      <c r="D93" s="193">
        <f>INDEX($B$3:$B$15,MATCH(YEAR(A93),$A$3:$A$15,0))*IF($F$17=1,INDEX($Y$3:$Y$14,MATCH(MONTH(A93),$V$3:$V$14,0)),1/12)</f>
        <v>5740439.7016666662</v>
      </c>
      <c r="E93" s="193">
        <f>B93+D93</f>
        <v>5818526.0798717942</v>
      </c>
    </row>
    <row r="94" spans="1:5" s="54" customFormat="1" x14ac:dyDescent="0.25">
      <c r="A94" s="52">
        <v>42401</v>
      </c>
      <c r="B94" s="240">
        <f>B93+INDEX($H$3:$H$15,MATCH(YEAR(A93),$A$3:$A$15,0))</f>
        <v>156172.75641025641</v>
      </c>
      <c r="C94" s="194"/>
      <c r="D94" s="194">
        <f t="shared" ref="D94:D104" si="25">INDEX($B$3:$B$15,MATCH(YEAR(A94),$A$3:$A$15,0))*IF($F$17=1,INDEX($Y$3:$Y$14,MATCH(MONTH(A94),$V$3:$V$14,0)),1/12)</f>
        <v>5740439.7016666662</v>
      </c>
      <c r="E94" s="194">
        <f t="shared" ref="E94:E104" si="26">B94+D94</f>
        <v>5896612.4580769222</v>
      </c>
    </row>
    <row r="95" spans="1:5" s="54" customFormat="1" x14ac:dyDescent="0.25">
      <c r="A95" s="52">
        <v>42430</v>
      </c>
      <c r="B95" s="240">
        <f t="shared" ref="B95:B104" si="27">B94+INDEX($H$3:$H$15,MATCH(YEAR(A94),$A$3:$A$15,0))</f>
        <v>234259.13461538462</v>
      </c>
      <c r="C95" s="194"/>
      <c r="D95" s="194">
        <f t="shared" si="25"/>
        <v>5740439.7016666662</v>
      </c>
      <c r="E95" s="194">
        <f t="shared" si="26"/>
        <v>5974698.8362820512</v>
      </c>
    </row>
    <row r="96" spans="1:5" s="54" customFormat="1" x14ac:dyDescent="0.25">
      <c r="A96" s="52">
        <v>42461</v>
      </c>
      <c r="B96" s="240">
        <f t="shared" si="27"/>
        <v>312345.51282051281</v>
      </c>
      <c r="C96" s="194"/>
      <c r="D96" s="194">
        <f t="shared" si="25"/>
        <v>5740439.7016666662</v>
      </c>
      <c r="E96" s="194">
        <f t="shared" si="26"/>
        <v>6052785.2144871792</v>
      </c>
    </row>
    <row r="97" spans="1:5" s="54" customFormat="1" x14ac:dyDescent="0.25">
      <c r="A97" s="52">
        <v>42491</v>
      </c>
      <c r="B97" s="240">
        <f t="shared" si="27"/>
        <v>390431.891025641</v>
      </c>
      <c r="C97" s="194"/>
      <c r="D97" s="194">
        <f t="shared" si="25"/>
        <v>5740439.7016666662</v>
      </c>
      <c r="E97" s="194">
        <f t="shared" si="26"/>
        <v>6130871.5926923072</v>
      </c>
    </row>
    <row r="98" spans="1:5" s="54" customFormat="1" x14ac:dyDescent="0.25">
      <c r="A98" s="52">
        <v>42522</v>
      </c>
      <c r="B98" s="240">
        <f t="shared" si="27"/>
        <v>468518.26923076919</v>
      </c>
      <c r="C98" s="194"/>
      <c r="D98" s="194">
        <f t="shared" si="25"/>
        <v>5740439.7016666662</v>
      </c>
      <c r="E98" s="194">
        <f t="shared" si="26"/>
        <v>6208957.9708974352</v>
      </c>
    </row>
    <row r="99" spans="1:5" s="54" customFormat="1" x14ac:dyDescent="0.25">
      <c r="A99" s="52">
        <v>42552</v>
      </c>
      <c r="B99" s="240">
        <f t="shared" si="27"/>
        <v>546604.64743589738</v>
      </c>
      <c r="C99" s="194"/>
      <c r="D99" s="194">
        <f t="shared" si="25"/>
        <v>5740439.7016666662</v>
      </c>
      <c r="E99" s="194">
        <f t="shared" si="26"/>
        <v>6287044.3491025632</v>
      </c>
    </row>
    <row r="100" spans="1:5" s="54" customFormat="1" x14ac:dyDescent="0.25">
      <c r="A100" s="52">
        <v>42583</v>
      </c>
      <c r="B100" s="240">
        <f t="shared" si="27"/>
        <v>624691.02564102563</v>
      </c>
      <c r="C100" s="194"/>
      <c r="D100" s="194">
        <f t="shared" si="25"/>
        <v>5740439.7016666662</v>
      </c>
      <c r="E100" s="194">
        <f t="shared" si="26"/>
        <v>6365130.7273076922</v>
      </c>
    </row>
    <row r="101" spans="1:5" s="54" customFormat="1" x14ac:dyDescent="0.25">
      <c r="A101" s="52">
        <v>42614</v>
      </c>
      <c r="B101" s="240">
        <f t="shared" si="27"/>
        <v>702777.40384615387</v>
      </c>
      <c r="C101" s="194"/>
      <c r="D101" s="194">
        <f t="shared" si="25"/>
        <v>5740439.7016666662</v>
      </c>
      <c r="E101" s="194">
        <f t="shared" si="26"/>
        <v>6443217.1055128202</v>
      </c>
    </row>
    <row r="102" spans="1:5" s="54" customFormat="1" x14ac:dyDescent="0.25">
      <c r="A102" s="52">
        <v>42644</v>
      </c>
      <c r="B102" s="240">
        <f t="shared" si="27"/>
        <v>780863.78205128212</v>
      </c>
      <c r="C102" s="194"/>
      <c r="D102" s="194">
        <f t="shared" si="25"/>
        <v>5740439.7016666662</v>
      </c>
      <c r="E102" s="194">
        <f t="shared" si="26"/>
        <v>6521303.4837179482</v>
      </c>
    </row>
    <row r="103" spans="1:5" s="54" customFormat="1" x14ac:dyDescent="0.25">
      <c r="A103" s="52">
        <v>42675</v>
      </c>
      <c r="B103" s="240">
        <f t="shared" si="27"/>
        <v>858950.16025641037</v>
      </c>
      <c r="C103" s="194" t="s">
        <v>94</v>
      </c>
      <c r="D103" s="194">
        <f t="shared" si="25"/>
        <v>5740439.7016666662</v>
      </c>
      <c r="E103" s="194">
        <f t="shared" si="26"/>
        <v>6599389.8619230762</v>
      </c>
    </row>
    <row r="104" spans="1:5" s="57" customFormat="1" x14ac:dyDescent="0.25">
      <c r="A104" s="55">
        <v>42705</v>
      </c>
      <c r="B104" s="240">
        <f t="shared" si="27"/>
        <v>937036.53846153861</v>
      </c>
      <c r="C104" s="195">
        <f>SUM(B93:B104)</f>
        <v>6090737.5</v>
      </c>
      <c r="D104" s="195">
        <f t="shared" si="25"/>
        <v>5740439.7016666662</v>
      </c>
      <c r="E104" s="195">
        <f t="shared" si="26"/>
        <v>6677476.2401282052</v>
      </c>
    </row>
    <row r="105" spans="1:5" s="51" customFormat="1" x14ac:dyDescent="0.25">
      <c r="A105" s="49">
        <v>42736</v>
      </c>
      <c r="B105" s="239">
        <f>INDEX($H$3:$H$15,MATCH(YEAR(A105),$A$3:$A$15,0))</f>
        <v>105046.46153846153</v>
      </c>
      <c r="C105" s="193">
        <f>INDEX($H$3:$H$15,MATCH(YEAR(A105),$A$3:$A$15,0))</f>
        <v>105046.46153846153</v>
      </c>
      <c r="D105" s="193">
        <f>INDEX($B$3:$B$15,MATCH(YEAR(A105),$A$3:$A$15,0))*IF($F$17=1,INDEX($Y$3:$Y$14,MATCH(MONTH(A105),$V$3:$V$14,0)),1/12)</f>
        <v>6481668.833333333</v>
      </c>
      <c r="E105" s="193">
        <f>B105+D105</f>
        <v>6586715.294871795</v>
      </c>
    </row>
    <row r="106" spans="1:5" s="54" customFormat="1" x14ac:dyDescent="0.25">
      <c r="A106" s="52">
        <v>42767</v>
      </c>
      <c r="B106" s="240">
        <f>B105+INDEX($H$3:$H$15,MATCH(YEAR(A105),$A$3:$A$15,0))</f>
        <v>210092.92307692306</v>
      </c>
      <c r="C106" s="194"/>
      <c r="D106" s="194">
        <f t="shared" ref="D106:D116" si="28">INDEX($B$3:$B$15,MATCH(YEAR(A106),$A$3:$A$15,0))*IF($F$17=1,INDEX($Y$3:$Y$14,MATCH(MONTH(A106),$V$3:$V$14,0)),1/12)</f>
        <v>6481668.833333333</v>
      </c>
      <c r="E106" s="194">
        <f t="shared" ref="E106:E116" si="29">B106+D106</f>
        <v>6691761.756410256</v>
      </c>
    </row>
    <row r="107" spans="1:5" s="54" customFormat="1" x14ac:dyDescent="0.25">
      <c r="A107" s="52">
        <v>42795</v>
      </c>
      <c r="B107" s="240">
        <f t="shared" ref="B107:B116" si="30">B106+INDEX($H$3:$H$15,MATCH(YEAR(A106),$A$3:$A$15,0))</f>
        <v>315139.38461538462</v>
      </c>
      <c r="C107" s="194"/>
      <c r="D107" s="194">
        <f t="shared" si="28"/>
        <v>6481668.833333333</v>
      </c>
      <c r="E107" s="194">
        <f t="shared" si="29"/>
        <v>6796808.217948718</v>
      </c>
    </row>
    <row r="108" spans="1:5" s="54" customFormat="1" x14ac:dyDescent="0.25">
      <c r="A108" s="52">
        <v>42826</v>
      </c>
      <c r="B108" s="240">
        <f t="shared" si="30"/>
        <v>420185.84615384613</v>
      </c>
      <c r="C108" s="194"/>
      <c r="D108" s="194">
        <f t="shared" si="28"/>
        <v>6481668.833333333</v>
      </c>
      <c r="E108" s="194">
        <f t="shared" si="29"/>
        <v>6901854.679487179</v>
      </c>
    </row>
    <row r="109" spans="1:5" s="54" customFormat="1" x14ac:dyDescent="0.25">
      <c r="A109" s="52">
        <v>42856</v>
      </c>
      <c r="B109" s="240">
        <f t="shared" si="30"/>
        <v>525232.30769230763</v>
      </c>
      <c r="C109" s="194"/>
      <c r="D109" s="194">
        <f t="shared" si="28"/>
        <v>6481668.833333333</v>
      </c>
      <c r="E109" s="194">
        <f t="shared" si="29"/>
        <v>7006901.141025641</v>
      </c>
    </row>
    <row r="110" spans="1:5" s="54" customFormat="1" x14ac:dyDescent="0.25">
      <c r="A110" s="52">
        <v>42887</v>
      </c>
      <c r="B110" s="240">
        <f t="shared" si="30"/>
        <v>630278.76923076913</v>
      </c>
      <c r="C110" s="194"/>
      <c r="D110" s="194">
        <f t="shared" si="28"/>
        <v>6481668.833333333</v>
      </c>
      <c r="E110" s="194">
        <f t="shared" si="29"/>
        <v>7111947.602564102</v>
      </c>
    </row>
    <row r="111" spans="1:5" s="54" customFormat="1" x14ac:dyDescent="0.25">
      <c r="A111" s="52">
        <v>42917</v>
      </c>
      <c r="B111" s="240">
        <f t="shared" si="30"/>
        <v>735325.23076923063</v>
      </c>
      <c r="C111" s="194"/>
      <c r="D111" s="194">
        <f t="shared" si="28"/>
        <v>6481668.833333333</v>
      </c>
      <c r="E111" s="194">
        <f t="shared" si="29"/>
        <v>7216994.064102564</v>
      </c>
    </row>
    <row r="112" spans="1:5" s="54" customFormat="1" x14ac:dyDescent="0.25">
      <c r="A112" s="52">
        <v>42948</v>
      </c>
      <c r="B112" s="240">
        <f t="shared" si="30"/>
        <v>840371.69230769214</v>
      </c>
      <c r="C112" s="194"/>
      <c r="D112" s="194">
        <f t="shared" si="28"/>
        <v>6481668.833333333</v>
      </c>
      <c r="E112" s="194">
        <f t="shared" si="29"/>
        <v>7322040.525641025</v>
      </c>
    </row>
    <row r="113" spans="1:5" s="54" customFormat="1" x14ac:dyDescent="0.25">
      <c r="A113" s="52">
        <v>42979</v>
      </c>
      <c r="B113" s="240">
        <f t="shared" si="30"/>
        <v>945418.15384615364</v>
      </c>
      <c r="C113" s="194"/>
      <c r="D113" s="194">
        <f t="shared" si="28"/>
        <v>6481668.833333333</v>
      </c>
      <c r="E113" s="194">
        <f t="shared" si="29"/>
        <v>7427086.987179487</v>
      </c>
    </row>
    <row r="114" spans="1:5" s="54" customFormat="1" x14ac:dyDescent="0.25">
      <c r="A114" s="52">
        <v>43009</v>
      </c>
      <c r="B114" s="240">
        <f t="shared" si="30"/>
        <v>1050464.6153846153</v>
      </c>
      <c r="C114" s="194"/>
      <c r="D114" s="194">
        <f t="shared" si="28"/>
        <v>6481668.833333333</v>
      </c>
      <c r="E114" s="194">
        <f t="shared" si="29"/>
        <v>7532133.448717948</v>
      </c>
    </row>
    <row r="115" spans="1:5" s="54" customFormat="1" x14ac:dyDescent="0.25">
      <c r="A115" s="52">
        <v>43040</v>
      </c>
      <c r="B115" s="240">
        <f t="shared" si="30"/>
        <v>1155511.0769230768</v>
      </c>
      <c r="C115" s="194" t="s">
        <v>94</v>
      </c>
      <c r="D115" s="194">
        <f t="shared" si="28"/>
        <v>6481668.833333333</v>
      </c>
      <c r="E115" s="194">
        <f t="shared" si="29"/>
        <v>7637179.91025641</v>
      </c>
    </row>
    <row r="116" spans="1:5" s="57" customFormat="1" x14ac:dyDescent="0.25">
      <c r="A116" s="55">
        <v>43070</v>
      </c>
      <c r="B116" s="240">
        <f t="shared" si="30"/>
        <v>1260557.5384615383</v>
      </c>
      <c r="C116" s="195">
        <f>SUM(B105:B116)</f>
        <v>8193623.9999999981</v>
      </c>
      <c r="D116" s="195">
        <f t="shared" si="28"/>
        <v>6481668.833333333</v>
      </c>
      <c r="E116" s="195">
        <f t="shared" si="29"/>
        <v>7742226.3717948711</v>
      </c>
    </row>
    <row r="117" spans="1:5" s="51" customFormat="1" x14ac:dyDescent="0.25">
      <c r="A117" s="49">
        <v>43101</v>
      </c>
      <c r="B117" s="239">
        <f>INDEX($H$3:$H$15,MATCH(YEAR(A117),$A$3:$A$15,0))</f>
        <v>69454.36538461539</v>
      </c>
      <c r="C117" s="193">
        <f>INDEX($H$3:$H$15,MATCH(YEAR(A117),$A$3:$A$15,0))</f>
        <v>69454.36538461539</v>
      </c>
      <c r="D117" s="193">
        <f>INDEX($B$3:$B$15,MATCH(YEAR(A117),$A$3:$A$15,0))*IF($F$17=1,INDEX($Y$3:$Y$14,MATCH(MONTH(A117),$V$3:$V$14,0)),1/12)</f>
        <v>7554244.9458333328</v>
      </c>
      <c r="E117" s="193">
        <f>B117+D117</f>
        <v>7623699.3112179479</v>
      </c>
    </row>
    <row r="118" spans="1:5" s="54" customFormat="1" x14ac:dyDescent="0.25">
      <c r="A118" s="52">
        <v>43132</v>
      </c>
      <c r="B118" s="240">
        <f>B117+INDEX($H$3:$H$15,MATCH(YEAR(A117),$A$3:$A$15,0))</f>
        <v>138908.73076923078</v>
      </c>
      <c r="C118" s="194"/>
      <c r="D118" s="194">
        <f t="shared" ref="D118:D128" si="31">INDEX($B$3:$B$15,MATCH(YEAR(A118),$A$3:$A$15,0))*IF($F$17=1,INDEX($Y$3:$Y$14,MATCH(MONTH(A118),$V$3:$V$14,0)),1/12)</f>
        <v>7554244.9458333328</v>
      </c>
      <c r="E118" s="194">
        <f t="shared" ref="E118:E128" si="32">B118+D118</f>
        <v>7693153.6766025638</v>
      </c>
    </row>
    <row r="119" spans="1:5" s="54" customFormat="1" x14ac:dyDescent="0.25">
      <c r="A119" s="52">
        <v>43160</v>
      </c>
      <c r="B119" s="240">
        <f t="shared" ref="B119:B128" si="33">B118+INDEX($H$3:$H$15,MATCH(YEAR(A118),$A$3:$A$15,0))</f>
        <v>208363.09615384619</v>
      </c>
      <c r="C119" s="194"/>
      <c r="D119" s="194">
        <f t="shared" si="31"/>
        <v>7554244.9458333328</v>
      </c>
      <c r="E119" s="194">
        <f t="shared" si="32"/>
        <v>7762608.0419871788</v>
      </c>
    </row>
    <row r="120" spans="1:5" s="54" customFormat="1" x14ac:dyDescent="0.25">
      <c r="A120" s="52">
        <v>43191</v>
      </c>
      <c r="B120" s="240">
        <f t="shared" si="33"/>
        <v>277817.46153846156</v>
      </c>
      <c r="C120" s="194"/>
      <c r="D120" s="194">
        <f t="shared" si="31"/>
        <v>7554244.9458333328</v>
      </c>
      <c r="E120" s="194">
        <f t="shared" si="32"/>
        <v>7832062.4073717948</v>
      </c>
    </row>
    <row r="121" spans="1:5" s="54" customFormat="1" x14ac:dyDescent="0.25">
      <c r="A121" s="52">
        <v>43221</v>
      </c>
      <c r="B121" s="240">
        <f t="shared" si="33"/>
        <v>347271.82692307694</v>
      </c>
      <c r="C121" s="194"/>
      <c r="D121" s="194">
        <f t="shared" si="31"/>
        <v>7554244.9458333328</v>
      </c>
      <c r="E121" s="194">
        <f t="shared" si="32"/>
        <v>7901516.7727564098</v>
      </c>
    </row>
    <row r="122" spans="1:5" s="54" customFormat="1" x14ac:dyDescent="0.25">
      <c r="A122" s="52">
        <v>43252</v>
      </c>
      <c r="B122" s="240">
        <f t="shared" si="33"/>
        <v>416726.19230769231</v>
      </c>
      <c r="C122" s="194"/>
      <c r="D122" s="194">
        <f t="shared" si="31"/>
        <v>7554244.9458333328</v>
      </c>
      <c r="E122" s="194">
        <f t="shared" si="32"/>
        <v>7970971.1381410249</v>
      </c>
    </row>
    <row r="123" spans="1:5" s="54" customFormat="1" x14ac:dyDescent="0.25">
      <c r="A123" s="52">
        <v>43282</v>
      </c>
      <c r="B123" s="240">
        <f t="shared" si="33"/>
        <v>486180.55769230769</v>
      </c>
      <c r="C123" s="194"/>
      <c r="D123" s="194">
        <f t="shared" si="31"/>
        <v>7554244.9458333328</v>
      </c>
      <c r="E123" s="194">
        <f t="shared" si="32"/>
        <v>8040425.5035256408</v>
      </c>
    </row>
    <row r="124" spans="1:5" s="54" customFormat="1" x14ac:dyDescent="0.25">
      <c r="A124" s="52">
        <v>43313</v>
      </c>
      <c r="B124" s="240">
        <f t="shared" si="33"/>
        <v>555634.92307692312</v>
      </c>
      <c r="C124" s="194"/>
      <c r="D124" s="194">
        <f t="shared" si="31"/>
        <v>7554244.9458333328</v>
      </c>
      <c r="E124" s="194">
        <f t="shared" si="32"/>
        <v>8109879.8689102558</v>
      </c>
    </row>
    <row r="125" spans="1:5" s="54" customFormat="1" x14ac:dyDescent="0.25">
      <c r="A125" s="52">
        <v>43344</v>
      </c>
      <c r="B125" s="240">
        <f t="shared" si="33"/>
        <v>625089.2884615385</v>
      </c>
      <c r="C125" s="194"/>
      <c r="D125" s="194">
        <f t="shared" si="31"/>
        <v>7554244.9458333328</v>
      </c>
      <c r="E125" s="194">
        <f t="shared" si="32"/>
        <v>8179334.2342948709</v>
      </c>
    </row>
    <row r="126" spans="1:5" s="54" customFormat="1" x14ac:dyDescent="0.25">
      <c r="A126" s="52">
        <v>43374</v>
      </c>
      <c r="B126" s="240">
        <f t="shared" si="33"/>
        <v>694543.65384615387</v>
      </c>
      <c r="C126" s="194"/>
      <c r="D126" s="194">
        <f t="shared" si="31"/>
        <v>7554244.9458333328</v>
      </c>
      <c r="E126" s="194">
        <f t="shared" si="32"/>
        <v>8248788.5996794868</v>
      </c>
    </row>
    <row r="127" spans="1:5" s="54" customFormat="1" x14ac:dyDescent="0.25">
      <c r="A127" s="52">
        <v>43405</v>
      </c>
      <c r="B127" s="240">
        <f t="shared" si="33"/>
        <v>763998.01923076925</v>
      </c>
      <c r="C127" s="194" t="s">
        <v>94</v>
      </c>
      <c r="D127" s="194">
        <f t="shared" si="31"/>
        <v>7554244.9458333328</v>
      </c>
      <c r="E127" s="194">
        <f t="shared" si="32"/>
        <v>8318242.9650641019</v>
      </c>
    </row>
    <row r="128" spans="1:5" s="57" customFormat="1" x14ac:dyDescent="0.25">
      <c r="A128" s="55">
        <v>43435</v>
      </c>
      <c r="B128" s="240">
        <f t="shared" si="33"/>
        <v>833452.38461538462</v>
      </c>
      <c r="C128" s="195">
        <f>SUM(B117:B128)</f>
        <v>5417440.5000000009</v>
      </c>
      <c r="D128" s="195">
        <f t="shared" si="31"/>
        <v>7554244.9458333328</v>
      </c>
      <c r="E128" s="195">
        <f t="shared" si="32"/>
        <v>8387697.3304487178</v>
      </c>
    </row>
    <row r="129" spans="1:5" s="51" customFormat="1" x14ac:dyDescent="0.25">
      <c r="A129" s="49">
        <v>43466</v>
      </c>
      <c r="B129" s="239">
        <f>INDEX($H$3:$H$15,MATCH(YEAR(A129),$A$3:$A$15,0))</f>
        <v>30523.044871794871</v>
      </c>
      <c r="C129" s="193">
        <f>INDEX($H$3:$H$15,MATCH(YEAR(A129),$A$3:$A$15,0))</f>
        <v>30523.044871794871</v>
      </c>
      <c r="D129" s="193">
        <f>INDEX($B$3:$B$15,MATCH(YEAR(A129),$A$3:$A$15,0))*IF($F$17=1,INDEX($Y$3:$Y$14,MATCH(MONTH(A129),$V$3:$V$14,0)),1/12)</f>
        <v>8094642.815833332</v>
      </c>
      <c r="E129" s="193">
        <f>B129+D129</f>
        <v>8125165.860705127</v>
      </c>
    </row>
    <row r="130" spans="1:5" s="54" customFormat="1" x14ac:dyDescent="0.25">
      <c r="A130" s="52">
        <v>43497</v>
      </c>
      <c r="B130" s="240">
        <f>B129+INDEX($H$3:$H$15,MATCH(YEAR(A129),$A$3:$A$15,0))</f>
        <v>61046.089743589742</v>
      </c>
      <c r="C130" s="194"/>
      <c r="D130" s="194">
        <f t="shared" ref="D130:D140" si="34">INDEX($B$3:$B$15,MATCH(YEAR(A130),$A$3:$A$15,0))*IF($F$17=1,INDEX($Y$3:$Y$14,MATCH(MONTH(A130),$V$3:$V$14,0)),1/12)</f>
        <v>8094642.815833332</v>
      </c>
      <c r="E130" s="194">
        <f t="shared" ref="E130:E140" si="35">B130+D130</f>
        <v>8155688.905576922</v>
      </c>
    </row>
    <row r="131" spans="1:5" s="54" customFormat="1" x14ac:dyDescent="0.25">
      <c r="A131" s="52">
        <v>43525</v>
      </c>
      <c r="B131" s="240">
        <f t="shared" ref="B131:B140" si="36">B130+INDEX($H$3:$H$15,MATCH(YEAR(A130),$A$3:$A$15,0))</f>
        <v>91569.13461538461</v>
      </c>
      <c r="C131" s="194"/>
      <c r="D131" s="194">
        <f t="shared" si="34"/>
        <v>8094642.815833332</v>
      </c>
      <c r="E131" s="194">
        <f t="shared" si="35"/>
        <v>8186211.950448717</v>
      </c>
    </row>
    <row r="132" spans="1:5" s="54" customFormat="1" x14ac:dyDescent="0.25">
      <c r="A132" s="52">
        <v>43556</v>
      </c>
      <c r="B132" s="240">
        <f t="shared" si="36"/>
        <v>122092.17948717948</v>
      </c>
      <c r="C132" s="194"/>
      <c r="D132" s="194">
        <f t="shared" si="34"/>
        <v>8094642.815833332</v>
      </c>
      <c r="E132" s="194">
        <f t="shared" si="35"/>
        <v>8216734.9953205111</v>
      </c>
    </row>
    <row r="133" spans="1:5" s="54" customFormat="1" x14ac:dyDescent="0.25">
      <c r="A133" s="52">
        <v>43586</v>
      </c>
      <c r="B133" s="240">
        <f t="shared" si="36"/>
        <v>152615.22435897434</v>
      </c>
      <c r="C133" s="194"/>
      <c r="D133" s="194">
        <f t="shared" si="34"/>
        <v>8094642.815833332</v>
      </c>
      <c r="E133" s="194">
        <f t="shared" si="35"/>
        <v>8247258.040192306</v>
      </c>
    </row>
    <row r="134" spans="1:5" s="54" customFormat="1" x14ac:dyDescent="0.25">
      <c r="A134" s="52">
        <v>43617</v>
      </c>
      <c r="B134" s="240">
        <f t="shared" si="36"/>
        <v>183138.26923076922</v>
      </c>
      <c r="C134" s="194"/>
      <c r="D134" s="194">
        <f t="shared" si="34"/>
        <v>8094642.815833332</v>
      </c>
      <c r="E134" s="194">
        <f t="shared" si="35"/>
        <v>8277781.085064101</v>
      </c>
    </row>
    <row r="135" spans="1:5" s="54" customFormat="1" x14ac:dyDescent="0.25">
      <c r="A135" s="52">
        <v>43647</v>
      </c>
      <c r="B135" s="240">
        <f t="shared" si="36"/>
        <v>213661.31410256409</v>
      </c>
      <c r="C135" s="194"/>
      <c r="D135" s="194">
        <f t="shared" si="34"/>
        <v>8094642.815833332</v>
      </c>
      <c r="E135" s="194">
        <f t="shared" si="35"/>
        <v>8308304.129935896</v>
      </c>
    </row>
    <row r="136" spans="1:5" s="54" customFormat="1" x14ac:dyDescent="0.25">
      <c r="A136" s="52">
        <v>43678</v>
      </c>
      <c r="B136" s="240">
        <f t="shared" si="36"/>
        <v>244184.35897435897</v>
      </c>
      <c r="C136" s="194"/>
      <c r="D136" s="194">
        <f t="shared" si="34"/>
        <v>8094642.815833332</v>
      </c>
      <c r="E136" s="194">
        <f t="shared" si="35"/>
        <v>8338827.174807691</v>
      </c>
    </row>
    <row r="137" spans="1:5" s="54" customFormat="1" x14ac:dyDescent="0.25">
      <c r="A137" s="52">
        <v>43709</v>
      </c>
      <c r="B137" s="240">
        <f t="shared" si="36"/>
        <v>274707.40384615381</v>
      </c>
      <c r="C137" s="194"/>
      <c r="D137" s="194">
        <f t="shared" si="34"/>
        <v>8094642.815833332</v>
      </c>
      <c r="E137" s="194">
        <f t="shared" si="35"/>
        <v>8369350.219679486</v>
      </c>
    </row>
    <row r="138" spans="1:5" s="54" customFormat="1" x14ac:dyDescent="0.25">
      <c r="A138" s="52">
        <v>43739</v>
      </c>
      <c r="B138" s="240">
        <f t="shared" si="36"/>
        <v>305230.44871794869</v>
      </c>
      <c r="C138" s="194"/>
      <c r="D138" s="194">
        <f t="shared" si="34"/>
        <v>8094642.815833332</v>
      </c>
      <c r="E138" s="194">
        <f t="shared" si="35"/>
        <v>8399873.2645512801</v>
      </c>
    </row>
    <row r="139" spans="1:5" s="54" customFormat="1" x14ac:dyDescent="0.25">
      <c r="A139" s="52">
        <v>43770</v>
      </c>
      <c r="B139" s="240">
        <f t="shared" si="36"/>
        <v>335753.49358974356</v>
      </c>
      <c r="C139" s="194" t="s">
        <v>94</v>
      </c>
      <c r="D139" s="194">
        <f t="shared" si="34"/>
        <v>8094642.815833332</v>
      </c>
      <c r="E139" s="194">
        <f t="shared" si="35"/>
        <v>8430396.309423076</v>
      </c>
    </row>
    <row r="140" spans="1:5" s="57" customFormat="1" x14ac:dyDescent="0.25">
      <c r="A140" s="55">
        <v>43800</v>
      </c>
      <c r="B140" s="240">
        <f t="shared" si="36"/>
        <v>366276.53846153844</v>
      </c>
      <c r="C140" s="195">
        <f>SUM(B129:B140)</f>
        <v>2380797.4999999995</v>
      </c>
      <c r="D140" s="195">
        <f t="shared" si="34"/>
        <v>8094642.815833332</v>
      </c>
      <c r="E140" s="195">
        <f t="shared" si="35"/>
        <v>8460919.35429487</v>
      </c>
    </row>
    <row r="141" spans="1:5" s="51" customFormat="1" x14ac:dyDescent="0.25">
      <c r="A141" s="49">
        <v>43831</v>
      </c>
      <c r="B141" s="239">
        <f>INDEX($H$3:$H$15,MATCH(YEAR(A141),$A$3:$A$15,0))</f>
        <v>0</v>
      </c>
      <c r="C141" s="193">
        <f>INDEX($H$3:$H$15,MATCH(YEAR(A141),$A$3:$A$15,0))</f>
        <v>0</v>
      </c>
      <c r="D141" s="193">
        <f>INDEX($B$3:$B$15,MATCH(YEAR(A141),$A$3:$A$15,0))*IF($F$17=1,INDEX($Y$3:$Y$14,MATCH(MONTH(A141),$V$3:$V$14,0)),1/12)</f>
        <v>8220988.3024999993</v>
      </c>
      <c r="E141" s="193">
        <f>B141+D141</f>
        <v>8220988.3024999993</v>
      </c>
    </row>
    <row r="142" spans="1:5" s="54" customFormat="1" x14ac:dyDescent="0.25">
      <c r="A142" s="52">
        <v>43862</v>
      </c>
      <c r="B142" s="240">
        <f>B141+INDEX($H$3:$H$15,MATCH(YEAR(A141),$A$3:$A$15,0))</f>
        <v>0</v>
      </c>
      <c r="C142" s="194"/>
      <c r="D142" s="194">
        <f t="shared" ref="D142:D152" si="37">INDEX($B$3:$B$15,MATCH(YEAR(A142),$A$3:$A$15,0))*IF($F$17=1,INDEX($Y$3:$Y$14,MATCH(MONTH(A142),$V$3:$V$14,0)),1/12)</f>
        <v>8220988.3024999993</v>
      </c>
      <c r="E142" s="194">
        <f t="shared" ref="E142:E152" si="38">B142+D142</f>
        <v>8220988.3024999993</v>
      </c>
    </row>
    <row r="143" spans="1:5" s="54" customFormat="1" x14ac:dyDescent="0.25">
      <c r="A143" s="52">
        <v>43891</v>
      </c>
      <c r="B143" s="240">
        <f t="shared" ref="B143:B152" si="39">B142+INDEX($H$3:$H$15,MATCH(YEAR(A142),$A$3:$A$15,0))</f>
        <v>0</v>
      </c>
      <c r="C143" s="194"/>
      <c r="D143" s="194">
        <f t="shared" si="37"/>
        <v>8220988.3024999993</v>
      </c>
      <c r="E143" s="194">
        <f t="shared" si="38"/>
        <v>8220988.3024999993</v>
      </c>
    </row>
    <row r="144" spans="1:5" s="54" customFormat="1" x14ac:dyDescent="0.25">
      <c r="A144" s="52">
        <v>43922</v>
      </c>
      <c r="B144" s="240">
        <f t="shared" si="39"/>
        <v>0</v>
      </c>
      <c r="C144" s="194"/>
      <c r="D144" s="194">
        <f t="shared" si="37"/>
        <v>8220988.3024999993</v>
      </c>
      <c r="E144" s="194">
        <f t="shared" si="38"/>
        <v>8220988.3024999993</v>
      </c>
    </row>
    <row r="145" spans="1:5" s="54" customFormat="1" x14ac:dyDescent="0.25">
      <c r="A145" s="52">
        <v>43952</v>
      </c>
      <c r="B145" s="240">
        <f t="shared" si="39"/>
        <v>0</v>
      </c>
      <c r="C145" s="194"/>
      <c r="D145" s="194">
        <f t="shared" si="37"/>
        <v>8220988.3024999993</v>
      </c>
      <c r="E145" s="194">
        <f t="shared" si="38"/>
        <v>8220988.3024999993</v>
      </c>
    </row>
    <row r="146" spans="1:5" s="54" customFormat="1" x14ac:dyDescent="0.25">
      <c r="A146" s="52">
        <v>43983</v>
      </c>
      <c r="B146" s="240">
        <f t="shared" si="39"/>
        <v>0</v>
      </c>
      <c r="C146" s="194"/>
      <c r="D146" s="194">
        <f t="shared" si="37"/>
        <v>8220988.3024999993</v>
      </c>
      <c r="E146" s="194">
        <f t="shared" si="38"/>
        <v>8220988.3024999993</v>
      </c>
    </row>
    <row r="147" spans="1:5" s="54" customFormat="1" x14ac:dyDescent="0.25">
      <c r="A147" s="52">
        <v>44013</v>
      </c>
      <c r="B147" s="240">
        <f t="shared" si="39"/>
        <v>0</v>
      </c>
      <c r="C147" s="194"/>
      <c r="D147" s="194">
        <f t="shared" si="37"/>
        <v>8220988.3024999993</v>
      </c>
      <c r="E147" s="194">
        <f t="shared" si="38"/>
        <v>8220988.3024999993</v>
      </c>
    </row>
    <row r="148" spans="1:5" s="54" customFormat="1" x14ac:dyDescent="0.25">
      <c r="A148" s="52">
        <v>44044</v>
      </c>
      <c r="B148" s="240">
        <f t="shared" si="39"/>
        <v>0</v>
      </c>
      <c r="C148" s="194"/>
      <c r="D148" s="194">
        <f t="shared" si="37"/>
        <v>8220988.3024999993</v>
      </c>
      <c r="E148" s="194">
        <f t="shared" si="38"/>
        <v>8220988.3024999993</v>
      </c>
    </row>
    <row r="149" spans="1:5" s="54" customFormat="1" x14ac:dyDescent="0.25">
      <c r="A149" s="52">
        <v>44075</v>
      </c>
      <c r="B149" s="240">
        <f t="shared" si="39"/>
        <v>0</v>
      </c>
      <c r="C149" s="194"/>
      <c r="D149" s="194">
        <f t="shared" si="37"/>
        <v>8220988.3024999993</v>
      </c>
      <c r="E149" s="194">
        <f t="shared" si="38"/>
        <v>8220988.3024999993</v>
      </c>
    </row>
    <row r="150" spans="1:5" s="54" customFormat="1" x14ac:dyDescent="0.25">
      <c r="A150" s="52">
        <v>44105</v>
      </c>
      <c r="B150" s="240">
        <f t="shared" si="39"/>
        <v>0</v>
      </c>
      <c r="C150" s="194"/>
      <c r="D150" s="194">
        <f t="shared" si="37"/>
        <v>8220988.3024999993</v>
      </c>
      <c r="E150" s="194">
        <f t="shared" si="38"/>
        <v>8220988.3024999993</v>
      </c>
    </row>
    <row r="151" spans="1:5" s="54" customFormat="1" x14ac:dyDescent="0.25">
      <c r="A151" s="52">
        <v>44136</v>
      </c>
      <c r="B151" s="240">
        <f t="shared" si="39"/>
        <v>0</v>
      </c>
      <c r="C151" s="194" t="s">
        <v>94</v>
      </c>
      <c r="D151" s="194">
        <f t="shared" si="37"/>
        <v>8220988.3024999993</v>
      </c>
      <c r="E151" s="194">
        <f t="shared" si="38"/>
        <v>8220988.3024999993</v>
      </c>
    </row>
    <row r="152" spans="1:5" s="57" customFormat="1" x14ac:dyDescent="0.25">
      <c r="A152" s="55">
        <v>44166</v>
      </c>
      <c r="B152" s="240">
        <f t="shared" si="39"/>
        <v>0</v>
      </c>
      <c r="C152" s="195">
        <f>SUM(B141:B152)</f>
        <v>0</v>
      </c>
      <c r="D152" s="195">
        <f t="shared" si="37"/>
        <v>8220988.3024999993</v>
      </c>
      <c r="E152" s="195">
        <f t="shared" si="38"/>
        <v>8220988.3024999993</v>
      </c>
    </row>
    <row r="153" spans="1:5" s="51" customFormat="1" x14ac:dyDescent="0.25">
      <c r="A153" s="49">
        <v>44197</v>
      </c>
      <c r="B153" s="239">
        <f>INDEX($H$3:$H$15,MATCH(YEAR(A153),$A$3:$A$15,0))</f>
        <v>0</v>
      </c>
      <c r="C153" s="193">
        <f>INDEX($H$3:$H$15,MATCH(YEAR(A153),$A$3:$A$15,0))</f>
        <v>0</v>
      </c>
      <c r="D153" s="193">
        <f>INDEX($B$3:$B$15,MATCH(YEAR(A153),$A$3:$A$15,0))*IF($F$17=1,INDEX($Y$3:$Y$14,MATCH(MONTH(A153),$V$3:$V$14,0)),1/12)</f>
        <v>8011339.1274999995</v>
      </c>
      <c r="E153" s="193">
        <f>B153+D153</f>
        <v>8011339.1274999995</v>
      </c>
    </row>
    <row r="154" spans="1:5" s="54" customFormat="1" x14ac:dyDescent="0.25">
      <c r="A154" s="52">
        <v>44228</v>
      </c>
      <c r="B154" s="240">
        <f>B153+INDEX($H$3:$H$15,MATCH(YEAR(A153),$A$3:$A$15,0))</f>
        <v>0</v>
      </c>
      <c r="C154" s="194"/>
      <c r="D154" s="194">
        <f t="shared" ref="D154:D164" si="40">INDEX($B$3:$B$15,MATCH(YEAR(A154),$A$3:$A$15,0))*IF($F$17=1,INDEX($Y$3:$Y$14,MATCH(MONTH(A154),$V$3:$V$14,0)),1/12)</f>
        <v>8011339.1274999995</v>
      </c>
      <c r="E154" s="194">
        <f t="shared" ref="E154:E164" si="41">B154+D154</f>
        <v>8011339.1274999995</v>
      </c>
    </row>
    <row r="155" spans="1:5" s="54" customFormat="1" x14ac:dyDescent="0.25">
      <c r="A155" s="52">
        <v>44256</v>
      </c>
      <c r="B155" s="240">
        <f t="shared" ref="B155:B164" si="42">B154+INDEX($H$3:$H$15,MATCH(YEAR(A154),$A$3:$A$15,0))</f>
        <v>0</v>
      </c>
      <c r="C155" s="194"/>
      <c r="D155" s="194">
        <f t="shared" si="40"/>
        <v>8011339.1274999995</v>
      </c>
      <c r="E155" s="194">
        <f t="shared" si="41"/>
        <v>8011339.1274999995</v>
      </c>
    </row>
    <row r="156" spans="1:5" s="54" customFormat="1" x14ac:dyDescent="0.25">
      <c r="A156" s="52">
        <v>44287</v>
      </c>
      <c r="B156" s="240">
        <f t="shared" si="42"/>
        <v>0</v>
      </c>
      <c r="C156" s="194"/>
      <c r="D156" s="194">
        <f t="shared" si="40"/>
        <v>8011339.1274999995</v>
      </c>
      <c r="E156" s="194">
        <f t="shared" si="41"/>
        <v>8011339.1274999995</v>
      </c>
    </row>
    <row r="157" spans="1:5" s="54" customFormat="1" x14ac:dyDescent="0.25">
      <c r="A157" s="52">
        <v>44317</v>
      </c>
      <c r="B157" s="240">
        <f t="shared" si="42"/>
        <v>0</v>
      </c>
      <c r="C157" s="194"/>
      <c r="D157" s="194">
        <f t="shared" si="40"/>
        <v>8011339.1274999995</v>
      </c>
      <c r="E157" s="194">
        <f t="shared" si="41"/>
        <v>8011339.1274999995</v>
      </c>
    </row>
    <row r="158" spans="1:5" s="54" customFormat="1" x14ac:dyDescent="0.25">
      <c r="A158" s="52">
        <v>44348</v>
      </c>
      <c r="B158" s="240">
        <f t="shared" si="42"/>
        <v>0</v>
      </c>
      <c r="C158" s="194"/>
      <c r="D158" s="194">
        <f t="shared" si="40"/>
        <v>8011339.1274999995</v>
      </c>
      <c r="E158" s="194">
        <f t="shared" si="41"/>
        <v>8011339.1274999995</v>
      </c>
    </row>
    <row r="159" spans="1:5" s="54" customFormat="1" x14ac:dyDescent="0.25">
      <c r="A159" s="52">
        <v>44378</v>
      </c>
      <c r="B159" s="240">
        <f t="shared" si="42"/>
        <v>0</v>
      </c>
      <c r="C159" s="194"/>
      <c r="D159" s="194">
        <f t="shared" si="40"/>
        <v>8011339.1274999995</v>
      </c>
      <c r="E159" s="194">
        <f t="shared" si="41"/>
        <v>8011339.1274999995</v>
      </c>
    </row>
    <row r="160" spans="1:5" s="54" customFormat="1" x14ac:dyDescent="0.25">
      <c r="A160" s="52">
        <v>44409</v>
      </c>
      <c r="B160" s="240">
        <f t="shared" si="42"/>
        <v>0</v>
      </c>
      <c r="C160" s="194"/>
      <c r="D160" s="194">
        <f t="shared" si="40"/>
        <v>8011339.1274999995</v>
      </c>
      <c r="E160" s="194">
        <f t="shared" si="41"/>
        <v>8011339.1274999995</v>
      </c>
    </row>
    <row r="161" spans="1:5" s="54" customFormat="1" x14ac:dyDescent="0.25">
      <c r="A161" s="52">
        <v>44440</v>
      </c>
      <c r="B161" s="240">
        <f t="shared" si="42"/>
        <v>0</v>
      </c>
      <c r="C161" s="194"/>
      <c r="D161" s="194">
        <f t="shared" si="40"/>
        <v>8011339.1274999995</v>
      </c>
      <c r="E161" s="194">
        <f t="shared" si="41"/>
        <v>8011339.1274999995</v>
      </c>
    </row>
    <row r="162" spans="1:5" s="54" customFormat="1" x14ac:dyDescent="0.25">
      <c r="A162" s="52">
        <v>44470</v>
      </c>
      <c r="B162" s="240">
        <f t="shared" si="42"/>
        <v>0</v>
      </c>
      <c r="C162" s="194"/>
      <c r="D162" s="194">
        <f t="shared" si="40"/>
        <v>8011339.1274999995</v>
      </c>
      <c r="E162" s="194">
        <f t="shared" si="41"/>
        <v>8011339.1274999995</v>
      </c>
    </row>
    <row r="163" spans="1:5" s="54" customFormat="1" x14ac:dyDescent="0.25">
      <c r="A163" s="52">
        <v>44501</v>
      </c>
      <c r="B163" s="240">
        <f t="shared" si="42"/>
        <v>0</v>
      </c>
      <c r="C163" s="194" t="s">
        <v>94</v>
      </c>
      <c r="D163" s="194">
        <f t="shared" si="40"/>
        <v>8011339.1274999995</v>
      </c>
      <c r="E163" s="194">
        <f t="shared" si="41"/>
        <v>8011339.1274999995</v>
      </c>
    </row>
    <row r="164" spans="1:5" s="57" customFormat="1" x14ac:dyDescent="0.25">
      <c r="A164" s="55">
        <v>44531</v>
      </c>
      <c r="B164" s="240">
        <f t="shared" si="42"/>
        <v>0</v>
      </c>
      <c r="C164" s="195">
        <f>SUM(B153:B164)</f>
        <v>0</v>
      </c>
      <c r="D164" s="195">
        <f t="shared" si="40"/>
        <v>8011339.1274999995</v>
      </c>
      <c r="E164" s="195">
        <f t="shared" si="41"/>
        <v>8011339.1274999995</v>
      </c>
    </row>
    <row r="165" spans="1:5" s="51" customFormat="1" x14ac:dyDescent="0.25">
      <c r="A165" s="49">
        <v>44562</v>
      </c>
      <c r="B165" s="239">
        <f>INDEX($H$3:$H$15,MATCH(YEAR(A165),$A$3:$A$15,0))</f>
        <v>0</v>
      </c>
      <c r="C165" s="193">
        <f>INDEX($H$3:$H$15,MATCH(YEAR(A165),$A$3:$A$15,0))</f>
        <v>0</v>
      </c>
      <c r="D165" s="193">
        <f>INDEX($B$3:$B$15,MATCH(YEAR(A165),$A$3:$A$15,0))*IF($F$17=1,INDEX($Y$3:$Y$14,MATCH(MONTH(A165),$V$3:$V$14,0)),1/12)</f>
        <v>7824719.1091666669</v>
      </c>
      <c r="E165" s="193">
        <f>B165+D165</f>
        <v>7824719.1091666669</v>
      </c>
    </row>
    <row r="166" spans="1:5" s="54" customFormat="1" x14ac:dyDescent="0.25">
      <c r="A166" s="52">
        <v>44593</v>
      </c>
      <c r="B166" s="240">
        <f>B165+INDEX($H$3:$H$15,MATCH(YEAR(A165),$A$3:$A$15,0))</f>
        <v>0</v>
      </c>
      <c r="C166" s="194"/>
      <c r="D166" s="194">
        <f t="shared" ref="D166:D176" si="43">INDEX($B$3:$B$15,MATCH(YEAR(A166),$A$3:$A$15,0))*IF($F$17=1,INDEX($Y$3:$Y$14,MATCH(MONTH(A166),$V$3:$V$14,0)),1/12)</f>
        <v>7824719.1091666669</v>
      </c>
      <c r="E166" s="194">
        <f t="shared" ref="E166:E176" si="44">B166+D166</f>
        <v>7824719.1091666669</v>
      </c>
    </row>
    <row r="167" spans="1:5" s="54" customFormat="1" x14ac:dyDescent="0.25">
      <c r="A167" s="52">
        <v>44621</v>
      </c>
      <c r="B167" s="240">
        <f t="shared" ref="B167:B176" si="45">B166+INDEX($H$3:$H$15,MATCH(YEAR(A166),$A$3:$A$15,0))</f>
        <v>0</v>
      </c>
      <c r="C167" s="194"/>
      <c r="D167" s="194">
        <f t="shared" si="43"/>
        <v>7824719.1091666669</v>
      </c>
      <c r="E167" s="194">
        <f t="shared" si="44"/>
        <v>7824719.1091666669</v>
      </c>
    </row>
    <row r="168" spans="1:5" s="54" customFormat="1" x14ac:dyDescent="0.25">
      <c r="A168" s="52">
        <v>44652</v>
      </c>
      <c r="B168" s="240">
        <f t="shared" si="45"/>
        <v>0</v>
      </c>
      <c r="C168" s="194"/>
      <c r="D168" s="194">
        <f t="shared" si="43"/>
        <v>7824719.1091666669</v>
      </c>
      <c r="E168" s="194">
        <f t="shared" si="44"/>
        <v>7824719.1091666669</v>
      </c>
    </row>
    <row r="169" spans="1:5" s="54" customFormat="1" x14ac:dyDescent="0.25">
      <c r="A169" s="52">
        <v>44682</v>
      </c>
      <c r="B169" s="240">
        <f t="shared" si="45"/>
        <v>0</v>
      </c>
      <c r="C169" s="194"/>
      <c r="D169" s="194">
        <f t="shared" si="43"/>
        <v>7824719.1091666669</v>
      </c>
      <c r="E169" s="194">
        <f t="shared" si="44"/>
        <v>7824719.1091666669</v>
      </c>
    </row>
    <row r="170" spans="1:5" s="54" customFormat="1" x14ac:dyDescent="0.25">
      <c r="A170" s="52">
        <v>44713</v>
      </c>
      <c r="B170" s="240">
        <f t="shared" si="45"/>
        <v>0</v>
      </c>
      <c r="C170" s="194"/>
      <c r="D170" s="194">
        <f t="shared" si="43"/>
        <v>7824719.1091666669</v>
      </c>
      <c r="E170" s="194">
        <f t="shared" si="44"/>
        <v>7824719.1091666669</v>
      </c>
    </row>
    <row r="171" spans="1:5" s="54" customFormat="1" x14ac:dyDescent="0.25">
      <c r="A171" s="52">
        <v>44743</v>
      </c>
      <c r="B171" s="240">
        <f t="shared" si="45"/>
        <v>0</v>
      </c>
      <c r="C171" s="194"/>
      <c r="D171" s="194">
        <f t="shared" si="43"/>
        <v>7824719.1091666669</v>
      </c>
      <c r="E171" s="194">
        <f t="shared" si="44"/>
        <v>7824719.1091666669</v>
      </c>
    </row>
    <row r="172" spans="1:5" s="54" customFormat="1" x14ac:dyDescent="0.25">
      <c r="A172" s="52">
        <v>44774</v>
      </c>
      <c r="B172" s="240">
        <f t="shared" si="45"/>
        <v>0</v>
      </c>
      <c r="C172" s="194"/>
      <c r="D172" s="194">
        <f t="shared" si="43"/>
        <v>7824719.1091666669</v>
      </c>
      <c r="E172" s="194">
        <f t="shared" si="44"/>
        <v>7824719.1091666669</v>
      </c>
    </row>
    <row r="173" spans="1:5" s="54" customFormat="1" x14ac:dyDescent="0.25">
      <c r="A173" s="52">
        <v>44805</v>
      </c>
      <c r="B173" s="240">
        <f t="shared" si="45"/>
        <v>0</v>
      </c>
      <c r="C173" s="194"/>
      <c r="D173" s="194">
        <f t="shared" si="43"/>
        <v>7824719.1091666669</v>
      </c>
      <c r="E173" s="194">
        <f t="shared" si="44"/>
        <v>7824719.1091666669</v>
      </c>
    </row>
    <row r="174" spans="1:5" s="54" customFormat="1" x14ac:dyDescent="0.25">
      <c r="A174" s="52">
        <v>44835</v>
      </c>
      <c r="B174" s="240">
        <f t="shared" si="45"/>
        <v>0</v>
      </c>
      <c r="C174" s="194"/>
      <c r="D174" s="194">
        <f t="shared" si="43"/>
        <v>7824719.1091666669</v>
      </c>
      <c r="E174" s="194">
        <f t="shared" si="44"/>
        <v>7824719.1091666669</v>
      </c>
    </row>
    <row r="175" spans="1:5" s="54" customFormat="1" x14ac:dyDescent="0.25">
      <c r="A175" s="52">
        <v>44866</v>
      </c>
      <c r="B175" s="240">
        <f t="shared" si="45"/>
        <v>0</v>
      </c>
      <c r="C175" s="194" t="s">
        <v>94</v>
      </c>
      <c r="D175" s="194">
        <f t="shared" si="43"/>
        <v>7824719.1091666669</v>
      </c>
      <c r="E175" s="194">
        <f t="shared" si="44"/>
        <v>7824719.1091666669</v>
      </c>
    </row>
    <row r="176" spans="1:5" s="57" customFormat="1" x14ac:dyDescent="0.25">
      <c r="A176" s="55">
        <v>44896</v>
      </c>
      <c r="B176" s="240">
        <f t="shared" si="45"/>
        <v>0</v>
      </c>
      <c r="C176" s="195">
        <f>SUM(B165:B176)</f>
        <v>0</v>
      </c>
      <c r="D176" s="195">
        <f t="shared" si="43"/>
        <v>7824719.1091666669</v>
      </c>
      <c r="E176" s="195">
        <f t="shared" si="44"/>
        <v>7824719.1091666669</v>
      </c>
    </row>
  </sheetData>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6"/>
    <pageSetUpPr fitToPage="1"/>
  </sheetPr>
  <dimension ref="A1:Q72"/>
  <sheetViews>
    <sheetView tabSelected="1" zoomScaleNormal="100" workbookViewId="0">
      <pane xSplit="1" ySplit="3" topLeftCell="G4" activePane="bottomRight" state="frozen"/>
      <selection pane="topRight" activeCell="B1" sqref="B1"/>
      <selection pane="bottomLeft" activeCell="A4" sqref="A4"/>
      <selection pane="bottomRight" activeCell="S21" sqref="S21"/>
    </sheetView>
  </sheetViews>
  <sheetFormatPr defaultColWidth="9.21875" defaultRowHeight="13.2" x14ac:dyDescent="0.25"/>
  <cols>
    <col min="1" max="1" width="32.5546875" style="69" customWidth="1"/>
    <col min="2" max="7" width="14" style="47" bestFit="1" customWidth="1"/>
    <col min="8" max="12" width="14" style="47" customWidth="1"/>
    <col min="13" max="13" width="13.77734375" style="47" bestFit="1" customWidth="1"/>
    <col min="14" max="14" width="13.44140625" style="35" bestFit="1" customWidth="1"/>
    <col min="15" max="15" width="11.5546875" style="233" bestFit="1" customWidth="1"/>
    <col min="16" max="17" width="11.5546875" style="69" bestFit="1" customWidth="1"/>
    <col min="18" max="16384" width="9.21875" style="69"/>
  </cols>
  <sheetData>
    <row r="1" spans="1:17" ht="46.8" x14ac:dyDescent="0.3">
      <c r="A1" s="168" t="s">
        <v>201</v>
      </c>
    </row>
    <row r="2" spans="1:17" x14ac:dyDescent="0.25">
      <c r="B2" s="359">
        <v>2010</v>
      </c>
      <c r="C2" s="359">
        <v>2011</v>
      </c>
      <c r="D2" s="359">
        <v>2012</v>
      </c>
      <c r="E2" s="359">
        <v>2013</v>
      </c>
      <c r="F2" s="359">
        <v>2014</v>
      </c>
      <c r="G2" s="359">
        <v>2015</v>
      </c>
      <c r="H2" s="359">
        <v>2016</v>
      </c>
      <c r="I2" s="359">
        <v>2017</v>
      </c>
      <c r="J2" s="359">
        <v>2018</v>
      </c>
      <c r="K2" s="359">
        <v>2019</v>
      </c>
      <c r="L2" s="359">
        <v>2020</v>
      </c>
      <c r="M2" s="359">
        <v>2021</v>
      </c>
      <c r="N2" s="359">
        <v>2022</v>
      </c>
    </row>
    <row r="3" spans="1:17" ht="39.6" x14ac:dyDescent="0.25">
      <c r="B3" s="244" t="s">
        <v>65</v>
      </c>
      <c r="C3" s="244" t="s">
        <v>67</v>
      </c>
      <c r="D3" s="244" t="s">
        <v>71</v>
      </c>
      <c r="E3" s="244" t="s">
        <v>70</v>
      </c>
      <c r="F3" s="244" t="s">
        <v>69</v>
      </c>
      <c r="G3" s="244" t="s">
        <v>68</v>
      </c>
      <c r="H3" s="244" t="s">
        <v>192</v>
      </c>
      <c r="I3" s="244" t="s">
        <v>193</v>
      </c>
      <c r="J3" s="244" t="s">
        <v>194</v>
      </c>
      <c r="K3" s="244" t="s">
        <v>195</v>
      </c>
      <c r="L3" s="244" t="s">
        <v>197</v>
      </c>
      <c r="M3" s="219" t="s">
        <v>196</v>
      </c>
      <c r="N3" s="217" t="s">
        <v>198</v>
      </c>
      <c r="O3" s="251"/>
    </row>
    <row r="4" spans="1:17" x14ac:dyDescent="0.25">
      <c r="A4" s="169" t="s">
        <v>51</v>
      </c>
      <c r="B4" s="48">
        <f>GETPIVOTDATA("Sum of Purchased2",'Purch. Power Model '!$D$5,"Year",B2)</f>
        <v>950759112.65007687</v>
      </c>
      <c r="C4" s="48">
        <f>GETPIVOTDATA("Sum of Purchased2",'Purch. Power Model '!$D$5,"Year",C2)</f>
        <v>944902732.12384617</v>
      </c>
      <c r="D4" s="48">
        <f>GETPIVOTDATA("Sum of Purchased2",'Purch. Power Model '!$D$5,"Year",D2)</f>
        <v>964379230.70517492</v>
      </c>
      <c r="E4" s="48">
        <f>GETPIVOTDATA("Sum of Purchased2",'Purch. Power Model '!$D$5,"Year",E2)</f>
        <v>961335479.00000012</v>
      </c>
      <c r="F4" s="48">
        <f>GETPIVOTDATA("Sum of Purchased2",'Purch. Power Model '!$D$5,"Year",F2)</f>
        <v>913546785.3566668</v>
      </c>
      <c r="G4" s="48">
        <f>GETPIVOTDATA("Sum of Purchased2",'Purch. Power Model '!$D$5,"Year",G2)</f>
        <v>920489866.98307681</v>
      </c>
      <c r="H4" s="48">
        <f>GETPIVOTDATA("Sum of Purchased2",'Purch. Power Model '!$D$5,"Year",H2)</f>
        <v>928717584.78461564</v>
      </c>
      <c r="I4" s="48">
        <f>GETPIVOTDATA("Sum of Purchased2",'Purch. Power Model '!$D$5,"Year",I2)</f>
        <v>914942349.02142859</v>
      </c>
      <c r="J4" s="48">
        <f>GETPIVOTDATA("Sum of Purchased2",'Purch. Power Model '!$D$5,"Year",J2)</f>
        <v>965883912.18000007</v>
      </c>
      <c r="K4" s="48">
        <f>GETPIVOTDATA("Sum of Purchased2",'Purch. Power Model '!$D$5,"Year",K2)</f>
        <v>959330220.76954007</v>
      </c>
      <c r="L4" s="48">
        <f>GETPIVOTDATA("Sum of Purchased2",'Purch. Power Model '!$D$5,"Year",L2)</f>
        <v>961031702.85464001</v>
      </c>
      <c r="M4" s="221"/>
      <c r="N4" s="222"/>
    </row>
    <row r="5" spans="1:17" x14ac:dyDescent="0.25">
      <c r="A5" s="169" t="s">
        <v>52</v>
      </c>
      <c r="B5" s="48">
        <f>GETPIVOTDATA("Sum of Predicted Purchases ",'Purch. Power Model '!$D$5,"Year",B2)</f>
        <v>960319810.41915989</v>
      </c>
      <c r="C5" s="48">
        <f>GETPIVOTDATA("Sum of Predicted Purchases ",'Purch. Power Model '!$D$5,"Year",C2)</f>
        <v>958844382.30784512</v>
      </c>
      <c r="D5" s="48">
        <f>GETPIVOTDATA("Sum of Predicted Purchases ",'Purch. Power Model '!$D$5,"Year",D2)</f>
        <v>950666119.44824326</v>
      </c>
      <c r="E5" s="48">
        <f>GETPIVOTDATA("Sum of Predicted Purchases ",'Purch. Power Model '!$D$5,"Year",E2)</f>
        <v>927029805.31403124</v>
      </c>
      <c r="F5" s="48">
        <f>GETPIVOTDATA("Sum of Predicted Purchases ",'Purch. Power Model '!$D$5,"Year",F2)</f>
        <v>918015075.310835</v>
      </c>
      <c r="G5" s="48">
        <f>GETPIVOTDATA("Sum of Predicted Purchases ",'Purch. Power Model '!$D$5,"Year",G2)</f>
        <v>924465660.20835423</v>
      </c>
      <c r="H5" s="48">
        <f>GETPIVOTDATA("Sum of Predicted Purchases ",'Purch. Power Model '!$D$5,"Year",H2)</f>
        <v>950199934.43693376</v>
      </c>
      <c r="I5" s="48">
        <f>GETPIVOTDATA("Sum of Predicted Purchases ",'Purch. Power Model '!$D$5,"Year",I2)</f>
        <v>927473628.12682843</v>
      </c>
      <c r="J5" s="48">
        <f>GETPIVOTDATA("Sum of Predicted Purchases ",'Purch. Power Model '!$D$5,"Year",J2)</f>
        <v>962401471.13637781</v>
      </c>
      <c r="K5" s="48">
        <f>GETPIVOTDATA("Sum of Predicted Purchases ",'Purch. Power Model '!$D$5,"Year",K2)</f>
        <v>944871386.86581624</v>
      </c>
      <c r="L5" s="48">
        <f>GETPIVOTDATA("Sum of Predicted Purchases ",'Purch. Power Model '!$D$5,"Year",L2)</f>
        <v>917239283.8450731</v>
      </c>
      <c r="M5" s="223">
        <f>GETPIVOTDATA("Sum of Predicted Purchases ",'Purch. Power Model '!$D$5,"Year",M2)</f>
        <v>881577393.12093174</v>
      </c>
      <c r="N5" s="222">
        <f>GETPIVOTDATA("Sum of Predicted Purchases ",'Purch. Power Model '!$D$5,"Year",N2)</f>
        <v>902766029.26516461</v>
      </c>
    </row>
    <row r="6" spans="1:17" x14ac:dyDescent="0.25">
      <c r="A6" s="169" t="s">
        <v>9</v>
      </c>
      <c r="B6" s="245">
        <f t="shared" ref="B6:L6" si="0">(B5-B4)/B4</f>
        <v>1.0055857095530989E-2</v>
      </c>
      <c r="C6" s="245">
        <f t="shared" si="0"/>
        <v>1.4754587652278736E-2</v>
      </c>
      <c r="D6" s="245">
        <f t="shared" si="0"/>
        <v>-1.4219625247325514E-2</v>
      </c>
      <c r="E6" s="245">
        <f t="shared" si="0"/>
        <v>-3.5685433894163884E-2</v>
      </c>
      <c r="F6" s="245">
        <f t="shared" si="0"/>
        <v>4.8911451781023909E-3</v>
      </c>
      <c r="G6" s="245">
        <f t="shared" si="0"/>
        <v>4.3192145485622373E-3</v>
      </c>
      <c r="H6" s="245">
        <f t="shared" si="0"/>
        <v>2.3131197259821691E-2</v>
      </c>
      <c r="I6" s="245">
        <f t="shared" si="0"/>
        <v>1.3696249953674793E-2</v>
      </c>
      <c r="J6" s="245">
        <f t="shared" si="0"/>
        <v>-3.605444712048662E-3</v>
      </c>
      <c r="K6" s="245">
        <f t="shared" si="0"/>
        <v>-1.5071800711256111E-2</v>
      </c>
      <c r="L6" s="245">
        <f t="shared" si="0"/>
        <v>-4.5568131498145474E-2</v>
      </c>
      <c r="M6" s="223"/>
      <c r="N6" s="224"/>
      <c r="O6" s="234"/>
      <c r="P6" s="171"/>
      <c r="Q6" s="171"/>
    </row>
    <row r="7" spans="1:17" x14ac:dyDescent="0.25">
      <c r="A7" s="169"/>
      <c r="M7" s="221"/>
      <c r="N7" s="222"/>
    </row>
    <row r="8" spans="1:17" x14ac:dyDescent="0.25">
      <c r="A8" s="169" t="s">
        <v>54</v>
      </c>
      <c r="B8" s="246">
        <f>'Rate Class Energy Model'!$G7</f>
        <v>917169662</v>
      </c>
      <c r="C8" s="246">
        <f>'Rate Class Energy Model'!$G8</f>
        <v>919260512</v>
      </c>
      <c r="D8" s="246">
        <f>'Rate Class Energy Model'!$G9</f>
        <v>936319334</v>
      </c>
      <c r="E8" s="246">
        <f>'Rate Class Energy Model'!$G10</f>
        <v>926349236</v>
      </c>
      <c r="F8" s="246">
        <f>'Rate Class Energy Model'!$G11</f>
        <v>889619639</v>
      </c>
      <c r="G8" s="246">
        <f>'Rate Class Energy Model'!$G12</f>
        <v>904891892</v>
      </c>
      <c r="H8" s="246">
        <f>'Rate Class Energy Model'!G13</f>
        <v>909331461</v>
      </c>
      <c r="I8" s="246">
        <f>'Rate Class Energy Model'!G14</f>
        <v>892260753</v>
      </c>
      <c r="J8" s="246">
        <f>'Rate Class Energy Model'!G15</f>
        <v>934510743</v>
      </c>
      <c r="K8" s="246">
        <f>'Rate Class Energy Model'!G16</f>
        <v>932356870.25999999</v>
      </c>
      <c r="L8" s="246">
        <f>'Rate Class Energy Model'!G17</f>
        <v>933148229.9000001</v>
      </c>
      <c r="M8" s="225">
        <f>'Rate Class Energy Model'!G84</f>
        <v>857658458.6916101</v>
      </c>
      <c r="N8" s="226">
        <f>'Rate Class Energy Model'!G85</f>
        <v>878272205.32241476</v>
      </c>
      <c r="O8" s="259"/>
      <c r="Q8" s="179"/>
    </row>
    <row r="9" spans="1:17" ht="26.4" x14ac:dyDescent="0.25">
      <c r="A9" s="169"/>
      <c r="H9" s="180"/>
      <c r="I9" s="180"/>
      <c r="J9" s="180"/>
      <c r="K9" s="180"/>
      <c r="L9" s="180" t="s">
        <v>203</v>
      </c>
      <c r="M9" s="230">
        <f>M8/K8-1</f>
        <v>-8.0117832507159203E-2</v>
      </c>
      <c r="N9" s="231">
        <f>N8/K8-1</f>
        <v>-5.8008544434818177E-2</v>
      </c>
      <c r="O9" s="259"/>
    </row>
    <row r="10" spans="1:17" ht="15.6" x14ac:dyDescent="0.3">
      <c r="A10" s="168" t="s">
        <v>53</v>
      </c>
      <c r="M10" s="221"/>
      <c r="N10" s="222"/>
    </row>
    <row r="11" spans="1:17" x14ac:dyDescent="0.25">
      <c r="A11" s="172" t="str">
        <f>'Rate Class Energy Model'!H2</f>
        <v>Residential</v>
      </c>
      <c r="M11" s="221"/>
      <c r="N11" s="222"/>
    </row>
    <row r="12" spans="1:17" x14ac:dyDescent="0.25">
      <c r="A12" s="69" t="s">
        <v>46</v>
      </c>
      <c r="B12" s="48">
        <f>'Rate Class Customer Model'!$B$7</f>
        <v>34256</v>
      </c>
      <c r="C12" s="48">
        <f>'Rate Class Customer Model'!$B$8</f>
        <v>34643</v>
      </c>
      <c r="D12" s="48">
        <f>'Rate Class Customer Model'!$B$9</f>
        <v>34938</v>
      </c>
      <c r="E12" s="48">
        <f>'Rate Class Customer Model'!$B$10</f>
        <v>35225.5</v>
      </c>
      <c r="F12" s="48">
        <f>'Rate Class Customer Model'!$B$11</f>
        <v>35479</v>
      </c>
      <c r="G12" s="48">
        <f>'Rate Class Customer Model'!$B$12</f>
        <v>35743.5</v>
      </c>
      <c r="H12" s="48">
        <f>'Rate Class Customer Model'!B13</f>
        <v>36042.75</v>
      </c>
      <c r="I12" s="48">
        <f>'Rate Class Customer Model'!B14</f>
        <v>36240.75</v>
      </c>
      <c r="J12" s="48">
        <f>'Rate Class Customer Model'!B15</f>
        <v>36520.5</v>
      </c>
      <c r="K12" s="48">
        <f>'Rate Class Customer Model'!B16</f>
        <v>36732.5</v>
      </c>
      <c r="L12" s="48">
        <f>'Rate Class Customer Model'!B17</f>
        <v>37076.5</v>
      </c>
      <c r="M12" s="221">
        <f>'Rate Class Customer Model'!$B$18</f>
        <v>37371.01885563018</v>
      </c>
      <c r="N12" s="222">
        <f>'Rate Class Customer Model'!$B$19</f>
        <v>37667.87723511838</v>
      </c>
      <c r="P12" s="179"/>
    </row>
    <row r="13" spans="1:17" x14ac:dyDescent="0.25">
      <c r="A13" s="69" t="s">
        <v>47</v>
      </c>
      <c r="B13" s="48">
        <f>'Rate Class Energy Model'!$H$7</f>
        <v>287357342</v>
      </c>
      <c r="C13" s="48">
        <f>'Rate Class Energy Model'!$H$8</f>
        <v>291380972</v>
      </c>
      <c r="D13" s="48">
        <f>'Rate Class Energy Model'!$H$9</f>
        <v>287058174</v>
      </c>
      <c r="E13" s="48">
        <f>'Rate Class Energy Model'!$H$10</f>
        <v>282501947</v>
      </c>
      <c r="F13" s="48">
        <f>'Rate Class Energy Model'!$H$11</f>
        <v>282925750</v>
      </c>
      <c r="G13" s="215">
        <f>'Rate Class Energy Model'!$H$12</f>
        <v>287594336</v>
      </c>
      <c r="H13" s="215">
        <f>'Rate Class Energy Model'!H13</f>
        <v>291787861</v>
      </c>
      <c r="I13" s="215">
        <f>'Rate Class Energy Model'!H14</f>
        <v>273448641</v>
      </c>
      <c r="J13" s="215">
        <f>'Rate Class Energy Model'!H15</f>
        <v>301310523</v>
      </c>
      <c r="K13" s="215">
        <f>'Rate Class Energy Model'!H16</f>
        <v>292180864.93883711</v>
      </c>
      <c r="L13" s="215">
        <f>'Rate Class Energy Model'!H17</f>
        <v>315774546.06238711</v>
      </c>
      <c r="M13" s="221">
        <f>'Rate Class Energy Model'!$H$84</f>
        <v>281856414.84104896</v>
      </c>
      <c r="N13" s="222">
        <f>'Rate Class Energy Model'!$H$85</f>
        <v>293509086.81476605</v>
      </c>
      <c r="P13" s="179"/>
    </row>
    <row r="14" spans="1:17" x14ac:dyDescent="0.25">
      <c r="D14" s="170"/>
      <c r="M14" s="221"/>
      <c r="N14" s="224"/>
    </row>
    <row r="15" spans="1:17" x14ac:dyDescent="0.25">
      <c r="A15" s="172" t="str">
        <f>'Rate Class Energy Model'!I2</f>
        <v>GS&lt;50</v>
      </c>
      <c r="M15" s="221"/>
      <c r="N15" s="222"/>
    </row>
    <row r="16" spans="1:17" x14ac:dyDescent="0.25">
      <c r="A16" s="69" t="s">
        <v>46</v>
      </c>
      <c r="B16" s="48">
        <f>'Rate Class Customer Model'!$C$7</f>
        <v>2687.5</v>
      </c>
      <c r="C16" s="48">
        <f>'Rate Class Customer Model'!$C$8</f>
        <v>2709</v>
      </c>
      <c r="D16" s="48">
        <f>'Rate Class Customer Model'!$C$9</f>
        <v>2728</v>
      </c>
      <c r="E16" s="48">
        <f>'Rate Class Customer Model'!$C$10</f>
        <v>2748.5</v>
      </c>
      <c r="F16" s="48">
        <f>'Rate Class Customer Model'!$C$11</f>
        <v>2771.5</v>
      </c>
      <c r="G16" s="48">
        <f>'Rate Class Customer Model'!$C$12</f>
        <v>2784</v>
      </c>
      <c r="H16" s="48">
        <f>'Rate Class Customer Model'!C13</f>
        <v>2792.25</v>
      </c>
      <c r="I16" s="48">
        <f>'Rate Class Customer Model'!C14</f>
        <v>2797.75</v>
      </c>
      <c r="J16" s="48">
        <f>'Rate Class Customer Model'!C15</f>
        <v>2804</v>
      </c>
      <c r="K16" s="48">
        <f>'Rate Class Customer Model'!C16</f>
        <v>2834</v>
      </c>
      <c r="L16" s="48">
        <f>'Rate Class Customer Model'!C17</f>
        <v>2930.25</v>
      </c>
      <c r="M16" s="221">
        <f>'Rate Class Customer Model'!$C$18</f>
        <v>2955.6996133950884</v>
      </c>
      <c r="N16" s="222">
        <f>'Rate Class Customer Model'!$C$19</f>
        <v>2981.3702600883457</v>
      </c>
    </row>
    <row r="17" spans="1:17" x14ac:dyDescent="0.25">
      <c r="A17" s="69" t="s">
        <v>47</v>
      </c>
      <c r="B17" s="48">
        <f>'Rate Class Energy Model'!$I$7</f>
        <v>98691975</v>
      </c>
      <c r="C17" s="48">
        <f>'Rate Class Energy Model'!$I$8</f>
        <v>99001655</v>
      </c>
      <c r="D17" s="48">
        <f>'Rate Class Energy Model'!$I$9</f>
        <v>100340238</v>
      </c>
      <c r="E17" s="48">
        <f>'Rate Class Energy Model'!$I$10</f>
        <v>99838335</v>
      </c>
      <c r="F17" s="48">
        <f>'Rate Class Energy Model'!$I$11</f>
        <v>99356580</v>
      </c>
      <c r="G17" s="215">
        <f>'Rate Class Energy Model'!$I$12</f>
        <v>100078635</v>
      </c>
      <c r="H17" s="215">
        <f>'Rate Class Energy Model'!I13</f>
        <v>99573959</v>
      </c>
      <c r="I17" s="215">
        <f>'Rate Class Energy Model'!I14</f>
        <v>96495542</v>
      </c>
      <c r="J17" s="215">
        <f>'Rate Class Energy Model'!I15</f>
        <v>94728588</v>
      </c>
      <c r="K17" s="215">
        <f>'Rate Class Energy Model'!I16</f>
        <v>93124427.492277056</v>
      </c>
      <c r="L17" s="215">
        <f>'Rate Class Energy Model'!I17</f>
        <v>87228067.152691096</v>
      </c>
      <c r="M17" s="221">
        <f>'Rate Class Energy Model'!$I$84</f>
        <v>76054487.901469886</v>
      </c>
      <c r="N17" s="222">
        <f>'Rate Class Energy Model'!$I$85</f>
        <v>77363528.136319786</v>
      </c>
    </row>
    <row r="18" spans="1:17" x14ac:dyDescent="0.25">
      <c r="D18" s="170"/>
      <c r="M18" s="221"/>
      <c r="N18" s="224"/>
    </row>
    <row r="19" spans="1:17" x14ac:dyDescent="0.25">
      <c r="A19" s="172" t="str">
        <f>'Rate Class Energy Model'!J2</f>
        <v>GS&gt;50 (excl. WMP)</v>
      </c>
      <c r="M19" s="221"/>
      <c r="N19" s="222"/>
    </row>
    <row r="20" spans="1:17" x14ac:dyDescent="0.25">
      <c r="A20" s="69" t="s">
        <v>46</v>
      </c>
      <c r="B20" s="48">
        <f>'Rate Class Customer Model'!$D$7</f>
        <v>417</v>
      </c>
      <c r="C20" s="48">
        <f>'Rate Class Customer Model'!$D$8</f>
        <v>421</v>
      </c>
      <c r="D20" s="48">
        <f>'Rate Class Customer Model'!$D$9</f>
        <v>419</v>
      </c>
      <c r="E20" s="48">
        <f>'Rate Class Customer Model'!$D$10</f>
        <v>423.5</v>
      </c>
      <c r="F20" s="48">
        <f>'Rate Class Customer Model'!$D$11</f>
        <v>432</v>
      </c>
      <c r="G20" s="48">
        <f>'Rate Class Customer Model'!$D$12</f>
        <v>437.5</v>
      </c>
      <c r="H20" s="48">
        <f>'Rate Class Customer Model'!D13</f>
        <v>452</v>
      </c>
      <c r="I20" s="48">
        <f>'Rate Class Customer Model'!D14</f>
        <v>456.75</v>
      </c>
      <c r="J20" s="48">
        <f>'Rate Class Customer Model'!D15</f>
        <v>483.25</v>
      </c>
      <c r="K20" s="48">
        <f>'Rate Class Customer Model'!D16</f>
        <v>488.75</v>
      </c>
      <c r="L20" s="48">
        <f>'Rate Class Customer Model'!D17</f>
        <v>490.66666666666669</v>
      </c>
      <c r="M20" s="221">
        <f>'Rate Class Customer Model'!$D$18</f>
        <v>498.71405204334792</v>
      </c>
      <c r="N20" s="222">
        <f>'Rate Class Customer Model'!$D$19</f>
        <v>506.89342195413406</v>
      </c>
    </row>
    <row r="21" spans="1:17" x14ac:dyDescent="0.25">
      <c r="A21" s="69" t="s">
        <v>47</v>
      </c>
      <c r="B21" s="48">
        <f>'Rate Class Energy Model'!$J$7</f>
        <v>521725747</v>
      </c>
      <c r="C21" s="48">
        <f>'Rate Class Energy Model'!$J$8</f>
        <v>519515098</v>
      </c>
      <c r="D21" s="48">
        <f>'Rate Class Energy Model'!$J$9</f>
        <v>539521215</v>
      </c>
      <c r="E21" s="48">
        <f>'Rate Class Energy Model'!$J$10</f>
        <v>534621114</v>
      </c>
      <c r="F21" s="48">
        <f>'Rate Class Energy Model'!$J$11</f>
        <v>497985709</v>
      </c>
      <c r="G21" s="215">
        <f>'Rate Class Energy Model'!$J$12</f>
        <v>507886846</v>
      </c>
      <c r="H21" s="215">
        <f>'Rate Class Energy Model'!J13</f>
        <v>508774431</v>
      </c>
      <c r="I21" s="215">
        <f>'Rate Class Energy Model'!J14</f>
        <v>513281236</v>
      </c>
      <c r="J21" s="215">
        <f>'Rate Class Energy Model'!J15</f>
        <v>529592600</v>
      </c>
      <c r="K21" s="215">
        <f>'Rate Class Energy Model'!J16</f>
        <v>538150482.33084905</v>
      </c>
      <c r="L21" s="215">
        <f>'Rate Class Energy Model'!J17</f>
        <v>521485545.00903696</v>
      </c>
      <c r="M21" s="221">
        <f>'Rate Class Energy Model'!$J$84</f>
        <v>490713363.01567924</v>
      </c>
      <c r="N21" s="222">
        <f>'Rate Class Energy Model'!$J$85</f>
        <v>497967199.05250567</v>
      </c>
    </row>
    <row r="22" spans="1:17" x14ac:dyDescent="0.25">
      <c r="A22" s="69" t="s">
        <v>48</v>
      </c>
      <c r="B22" s="247">
        <f>'Rate Class Load Model'!$B$6</f>
        <v>1323482.2400000002</v>
      </c>
      <c r="C22" s="247">
        <f>'Rate Class Load Model'!$B$7</f>
        <v>1344251</v>
      </c>
      <c r="D22" s="247">
        <f>'Rate Class Load Model'!$B$8</f>
        <v>1398783.62</v>
      </c>
      <c r="E22" s="247">
        <f>'Rate Class Load Model'!$B$9</f>
        <v>1395148.24</v>
      </c>
      <c r="F22" s="247">
        <f>'Rate Class Load Model'!$B$10</f>
        <v>1368652.3</v>
      </c>
      <c r="G22" s="247">
        <f>'Rate Class Load Model'!$B$11</f>
        <v>1388241.3</v>
      </c>
      <c r="H22" s="247">
        <f>'Rate Class Load Model'!$B$12</f>
        <v>1378958.28</v>
      </c>
      <c r="I22" s="247">
        <f>'Rate Class Load Model'!$B$13</f>
        <v>1400391</v>
      </c>
      <c r="J22" s="247">
        <f>'Rate Class Load Model'!$B$14</f>
        <v>1435245</v>
      </c>
      <c r="K22" s="247">
        <f>'Rate Class Load Model'!$B$15</f>
        <v>1450909.33</v>
      </c>
      <c r="L22" s="247">
        <f>'Rate Class Load Model'!$B$16</f>
        <v>1428136.72</v>
      </c>
      <c r="M22" s="227">
        <f>'Rate Class Load Model'!$B$17</f>
        <v>1317808.2277504546</v>
      </c>
      <c r="N22" s="228">
        <f>'Rate Class Load Model'!$B$18</f>
        <v>1337288.3673442425</v>
      </c>
    </row>
    <row r="23" spans="1:17" x14ac:dyDescent="0.25">
      <c r="D23" s="170"/>
      <c r="M23" s="221"/>
      <c r="N23" s="224"/>
      <c r="Q23" s="179"/>
    </row>
    <row r="24" spans="1:17" x14ac:dyDescent="0.25">
      <c r="A24" s="172" t="s">
        <v>154</v>
      </c>
      <c r="M24" s="221"/>
      <c r="N24" s="222"/>
    </row>
    <row r="25" spans="1:17" x14ac:dyDescent="0.25">
      <c r="A25" s="69" t="s">
        <v>46</v>
      </c>
      <c r="B25" s="248">
        <v>3</v>
      </c>
      <c r="C25" s="248">
        <v>3</v>
      </c>
      <c r="D25" s="248">
        <v>3</v>
      </c>
      <c r="E25" s="248">
        <v>3</v>
      </c>
      <c r="F25" s="248">
        <v>3</v>
      </c>
      <c r="G25" s="248">
        <v>3</v>
      </c>
      <c r="H25" s="248">
        <v>2</v>
      </c>
      <c r="I25" s="248">
        <v>2</v>
      </c>
      <c r="J25" s="248">
        <v>2</v>
      </c>
      <c r="K25" s="248">
        <v>2</v>
      </c>
      <c r="L25" s="248">
        <v>2</v>
      </c>
      <c r="M25" s="227">
        <f>'Embedded Distributor Forecast'!C19</f>
        <v>2</v>
      </c>
      <c r="N25" s="228">
        <f>'Embedded Distributor Forecast'!C20</f>
        <v>2</v>
      </c>
      <c r="P25" s="179"/>
    </row>
    <row r="26" spans="1:17" x14ac:dyDescent="0.25">
      <c r="A26" s="69" t="s">
        <v>47</v>
      </c>
      <c r="B26" s="48">
        <f>'Embedded Distributor Forecast'!E13</f>
        <v>0</v>
      </c>
      <c r="C26" s="48">
        <f>'Embedded Distributor Forecast'!E14</f>
        <v>0</v>
      </c>
      <c r="D26" s="48">
        <f>'Embedded Distributor Forecast'!E15</f>
        <v>0</v>
      </c>
      <c r="E26" s="48">
        <f>'Embedded Distributor Forecast'!E16</f>
        <v>0</v>
      </c>
      <c r="F26" s="48">
        <f>'Embedded Distributor Forecast'!E17</f>
        <v>0</v>
      </c>
      <c r="G26" s="48">
        <f>'Embedded Distributor Forecast'!E18</f>
        <v>0</v>
      </c>
      <c r="H26" s="48">
        <f>'Embedded Distributor Forecast'!E19</f>
        <v>65359955</v>
      </c>
      <c r="I26" s="48">
        <f>'Embedded Distributor Forecast'!E20</f>
        <v>43309246</v>
      </c>
      <c r="J26" s="48">
        <f>'Embedded Distributor Forecast'!E21</f>
        <v>41227723</v>
      </c>
      <c r="K26" s="48">
        <f>'Embedded Distributor Forecast'!E22</f>
        <v>41261684.090000004</v>
      </c>
      <c r="L26" s="48">
        <f>'Embedded Distributor Forecast'!E23</f>
        <v>43029561.790000007</v>
      </c>
      <c r="M26" s="221">
        <f>'Embedded Distributor Forecast'!E24</f>
        <v>43459857.407900006</v>
      </c>
      <c r="N26" s="222">
        <f>'Embedded Distributor Forecast'!E25</f>
        <v>43894455.981979005</v>
      </c>
      <c r="P26" s="179"/>
    </row>
    <row r="27" spans="1:17" x14ac:dyDescent="0.25">
      <c r="A27" s="69" t="s">
        <v>48</v>
      </c>
      <c r="B27" s="48">
        <f>'Embedded Distributor Forecast'!B13</f>
        <v>158115.16</v>
      </c>
      <c r="C27" s="48">
        <f>'Embedded Distributor Forecast'!B14</f>
        <v>156839.26</v>
      </c>
      <c r="D27" s="48">
        <f>'Embedded Distributor Forecast'!B15</f>
        <v>153310.46</v>
      </c>
      <c r="E27" s="48">
        <f>'Embedded Distributor Forecast'!B16</f>
        <v>159285.71000000002</v>
      </c>
      <c r="F27" s="48">
        <f>'Embedded Distributor Forecast'!B17</f>
        <v>164324.43999999997</v>
      </c>
      <c r="G27" s="48">
        <f>'Embedded Distributor Forecast'!$B$18</f>
        <v>142203.42000000001</v>
      </c>
      <c r="H27" s="48">
        <f>'Embedded Distributor Forecast'!$B$19</f>
        <v>136187.20000000001</v>
      </c>
      <c r="I27" s="48">
        <f>'Embedded Distributor Forecast'!$B$20</f>
        <v>107291</v>
      </c>
      <c r="J27" s="48">
        <f>'Embedded Distributor Forecast'!$B$21</f>
        <v>95218.6</v>
      </c>
      <c r="K27" s="48">
        <f>'Embedded Distributor Forecast'!$B$22</f>
        <v>97683.05</v>
      </c>
      <c r="L27" s="48">
        <f>'Embedded Distributor Forecast'!$B$23</f>
        <v>100586.92000000001</v>
      </c>
      <c r="M27" s="221">
        <f>'Embedded Distributor Forecast'!B24</f>
        <v>101592.78920000001</v>
      </c>
      <c r="N27" s="222">
        <f>'Embedded Distributor Forecast'!B25</f>
        <v>102608.71709200002</v>
      </c>
      <c r="P27" s="179"/>
    </row>
    <row r="28" spans="1:17" x14ac:dyDescent="0.25">
      <c r="D28" s="170"/>
      <c r="M28" s="221"/>
      <c r="N28" s="224"/>
    </row>
    <row r="29" spans="1:17" x14ac:dyDescent="0.25">
      <c r="A29" s="172" t="str">
        <f>'Rate Class Energy Model'!K2</f>
        <v>Sentinels</v>
      </c>
      <c r="M29" s="221"/>
      <c r="N29" s="222"/>
    </row>
    <row r="30" spans="1:17" x14ac:dyDescent="0.25">
      <c r="A30" s="69" t="s">
        <v>61</v>
      </c>
      <c r="B30" s="48">
        <f>'Rate Class Customer Model'!$E$7</f>
        <v>602.5</v>
      </c>
      <c r="C30" s="48">
        <f>'Rate Class Customer Model'!$E$8</f>
        <v>620.5</v>
      </c>
      <c r="D30" s="48">
        <f>'Rate Class Customer Model'!$E$9</f>
        <v>625</v>
      </c>
      <c r="E30" s="48">
        <f>'Rate Class Customer Model'!$E$10</f>
        <v>624.5</v>
      </c>
      <c r="F30" s="48">
        <f>'Rate Class Customer Model'!$E$11</f>
        <v>621.5</v>
      </c>
      <c r="G30" s="48">
        <f>'Rate Class Customer Model'!$E$12</f>
        <v>618.5</v>
      </c>
      <c r="H30" s="48">
        <f>'Rate Class Customer Model'!E13</f>
        <v>551.25</v>
      </c>
      <c r="I30" s="48">
        <f>'Rate Class Customer Model'!E14</f>
        <v>511.5</v>
      </c>
      <c r="J30" s="48">
        <f>'Rate Class Customer Model'!E15</f>
        <v>506.5</v>
      </c>
      <c r="K30" s="48">
        <f>'Rate Class Customer Model'!E16</f>
        <v>501.25</v>
      </c>
      <c r="L30" s="48">
        <f>'Rate Class Customer Model'!E17</f>
        <v>494.83333333333331</v>
      </c>
      <c r="M30" s="221">
        <f>'Rate Class Customer Model'!$E$18</f>
        <v>485.18697861143431</v>
      </c>
      <c r="N30" s="222">
        <f>'Rate Class Customer Model'!$E$19</f>
        <v>475.72867136562968</v>
      </c>
    </row>
    <row r="31" spans="1:17" x14ac:dyDescent="0.25">
      <c r="A31" s="69" t="s">
        <v>47</v>
      </c>
      <c r="B31" s="48">
        <f>'Rate Class Energy Model'!$K$7</f>
        <v>480615</v>
      </c>
      <c r="C31" s="48">
        <f>'Rate Class Energy Model'!$K$8</f>
        <v>475427</v>
      </c>
      <c r="D31" s="48">
        <f>'Rate Class Energy Model'!$K$9</f>
        <v>459394</v>
      </c>
      <c r="E31" s="48">
        <f>'Rate Class Energy Model'!$K$10</f>
        <v>448778</v>
      </c>
      <c r="F31" s="48">
        <f>'Rate Class Energy Model'!$K$11</f>
        <v>445147</v>
      </c>
      <c r="G31" s="215">
        <f>'Rate Class Energy Model'!$K$12</f>
        <v>446247</v>
      </c>
      <c r="H31" s="215">
        <f>'Rate Class Energy Model'!K13</f>
        <v>314139</v>
      </c>
      <c r="I31" s="215">
        <f>'Rate Class Energy Model'!K14</f>
        <v>186504</v>
      </c>
      <c r="J31" s="215">
        <f>'Rate Class Energy Model'!K15</f>
        <v>190023</v>
      </c>
      <c r="K31" s="215">
        <f>'Rate Class Energy Model'!K16</f>
        <v>194957.89217390213</v>
      </c>
      <c r="L31" s="215">
        <f>'Rate Class Energy Model'!K17</f>
        <v>187738.7264654169</v>
      </c>
      <c r="M31" s="221">
        <f>'Rate Class Energy Model'!$K$84</f>
        <v>170250.23052332981</v>
      </c>
      <c r="N31" s="222">
        <f>'Rate Class Energy Model'!$K$85</f>
        <v>154390.84699760258</v>
      </c>
    </row>
    <row r="32" spans="1:17" x14ac:dyDescent="0.25">
      <c r="A32" s="69" t="s">
        <v>48</v>
      </c>
      <c r="B32" s="247">
        <f>'Rate Class Load Model'!$C$6</f>
        <v>1534.31</v>
      </c>
      <c r="C32" s="247">
        <f>'Rate Class Load Model'!$C$7</f>
        <v>1487.24</v>
      </c>
      <c r="D32" s="247">
        <f>'Rate Class Load Model'!$C$8</f>
        <v>1392.0700000000002</v>
      </c>
      <c r="E32" s="247">
        <f>'Rate Class Load Model'!$C$9</f>
        <v>1384.9899999999998</v>
      </c>
      <c r="F32" s="247">
        <f>'Rate Class Load Model'!$C$10</f>
        <v>1361</v>
      </c>
      <c r="G32" s="247">
        <f>'Rate Class Load Model'!$C$11</f>
        <v>1363.29</v>
      </c>
      <c r="H32" s="247">
        <f>'Rate Class Load Model'!$C$12</f>
        <v>923</v>
      </c>
      <c r="I32" s="247">
        <f>'Rate Class Load Model'!$C$13</f>
        <v>570</v>
      </c>
      <c r="J32" s="247">
        <f>'Rate Class Load Model'!$C$14</f>
        <v>520</v>
      </c>
      <c r="K32" s="247">
        <f>'Rate Class Load Model'!$C$15</f>
        <v>568</v>
      </c>
      <c r="L32" s="247">
        <f>'Rate Class Load Model'!$C$16</f>
        <v>554.28999999999974</v>
      </c>
      <c r="M32" s="227">
        <f>'Rate Class Load Model'!$C$17</f>
        <v>509.96507329783549</v>
      </c>
      <c r="N32" s="228">
        <f>'Rate Class Load Model'!$C$18</f>
        <v>462.46010571397261</v>
      </c>
      <c r="P32" s="232"/>
    </row>
    <row r="33" spans="1:16" x14ac:dyDescent="0.25">
      <c r="B33" s="48"/>
      <c r="C33" s="48"/>
      <c r="D33" s="48"/>
      <c r="E33" s="48"/>
      <c r="F33" s="48"/>
      <c r="G33" s="48"/>
      <c r="H33" s="48"/>
      <c r="I33" s="48"/>
      <c r="J33" s="48"/>
      <c r="K33" s="48"/>
      <c r="L33" s="48"/>
      <c r="M33" s="221"/>
      <c r="N33" s="222"/>
    </row>
    <row r="34" spans="1:16" x14ac:dyDescent="0.25">
      <c r="A34" s="172" t="str">
        <f>'Rate Class Energy Model'!L2</f>
        <v>Streetlights</v>
      </c>
      <c r="M34" s="221"/>
      <c r="N34" s="222"/>
    </row>
    <row r="35" spans="1:16" x14ac:dyDescent="0.25">
      <c r="A35" s="69" t="s">
        <v>61</v>
      </c>
      <c r="B35" s="48">
        <f>'Rate Class Customer Model'!$F$7</f>
        <v>9953</v>
      </c>
      <c r="C35" s="48">
        <f>'Rate Class Customer Model'!$F$8</f>
        <v>9988</v>
      </c>
      <c r="D35" s="48">
        <f>'Rate Class Customer Model'!$F$9</f>
        <v>10134</v>
      </c>
      <c r="E35" s="48">
        <f>'Rate Class Customer Model'!$F$10</f>
        <v>10231.5</v>
      </c>
      <c r="F35" s="48">
        <f>'Rate Class Customer Model'!$F$11</f>
        <v>10392</v>
      </c>
      <c r="G35" s="48">
        <f>'Rate Class Customer Model'!$F$12</f>
        <v>10631.5</v>
      </c>
      <c r="H35" s="48">
        <f>'Rate Class Customer Model'!F13</f>
        <v>10228.5</v>
      </c>
      <c r="I35" s="48">
        <f>'Rate Class Customer Model'!F14</f>
        <v>5769</v>
      </c>
      <c r="J35" s="48">
        <f>'Rate Class Customer Model'!F15</f>
        <v>5771</v>
      </c>
      <c r="K35" s="48">
        <f>'Rate Class Customer Model'!F16</f>
        <v>5771</v>
      </c>
      <c r="L35" s="48">
        <f>'Rate Class Customer Model'!F17</f>
        <v>5771</v>
      </c>
      <c r="M35" s="221">
        <v>5771</v>
      </c>
      <c r="N35" s="267">
        <v>5771</v>
      </c>
      <c r="P35" s="249"/>
    </row>
    <row r="36" spans="1:16" x14ac:dyDescent="0.25">
      <c r="A36" s="69" t="s">
        <v>47</v>
      </c>
      <c r="B36" s="48">
        <f>'Rate Class Energy Model'!$L$7</f>
        <v>7354351</v>
      </c>
      <c r="C36" s="48">
        <f>'Rate Class Energy Model'!$L$8</f>
        <v>7330830</v>
      </c>
      <c r="D36" s="48">
        <f>'Rate Class Energy Model'!$L$9</f>
        <v>7395374</v>
      </c>
      <c r="E36" s="48">
        <f>'Rate Class Energy Model'!$L$10</f>
        <v>7386717</v>
      </c>
      <c r="F36" s="48">
        <f>'Rate Class Energy Model'!$L$11</f>
        <v>7378259</v>
      </c>
      <c r="G36" s="215">
        <f>'Rate Class Energy Model'!$L$12</f>
        <v>7369714</v>
      </c>
      <c r="H36" s="215">
        <f>'Rate Class Energy Model'!L13</f>
        <v>7368093</v>
      </c>
      <c r="I36" s="215">
        <f>'Rate Class Energy Model'!L14</f>
        <v>7324649</v>
      </c>
      <c r="J36" s="215">
        <f>'Rate Class Energy Model'!L15</f>
        <v>7191580</v>
      </c>
      <c r="K36" s="215">
        <f>'Rate Class Energy Model'!L16</f>
        <v>7147042.3329913896</v>
      </c>
      <c r="L36" s="215">
        <f>'Rate Class Energy Model'!L17</f>
        <v>6962317.0293546142</v>
      </c>
      <c r="M36" s="221">
        <f>'Rate Class Energy Model'!$L$84</f>
        <v>7357574.9638242451</v>
      </c>
      <c r="N36" s="222">
        <f>'Rate Class Energy Model'!$L$85</f>
        <v>7775272.0997985639</v>
      </c>
    </row>
    <row r="37" spans="1:16" x14ac:dyDescent="0.25">
      <c r="A37" s="69" t="s">
        <v>48</v>
      </c>
      <c r="B37" s="247">
        <f>'Rate Class Load Model'!$D$6</f>
        <v>22480</v>
      </c>
      <c r="C37" s="247">
        <f>'Rate Class Load Model'!$D$7</f>
        <v>22428</v>
      </c>
      <c r="D37" s="247">
        <f>'Rate Class Load Model'!$D$8</f>
        <v>22533</v>
      </c>
      <c r="E37" s="247">
        <f>'Rate Class Load Model'!$D$9</f>
        <v>22581</v>
      </c>
      <c r="F37" s="247">
        <f>'Rate Class Load Model'!$D$10</f>
        <v>22553</v>
      </c>
      <c r="G37" s="247">
        <f>'Rate Class Load Model'!$D$11</f>
        <v>22527</v>
      </c>
      <c r="H37" s="247">
        <f>'Rate Class Load Model'!$D$12</f>
        <v>22444</v>
      </c>
      <c r="I37" s="247">
        <f>'Rate Class Load Model'!$D$13</f>
        <v>22338</v>
      </c>
      <c r="J37" s="247">
        <f>'Rate Class Load Model'!$D$14</f>
        <v>22227</v>
      </c>
      <c r="K37" s="247">
        <f>'Rate Class Load Model'!$D$15</f>
        <v>21978.7</v>
      </c>
      <c r="L37" s="247">
        <f>'Rate Class Load Model'!$D$16</f>
        <v>21543.26</v>
      </c>
      <c r="M37" s="227">
        <f>'Rate Class Load Model'!$D$17</f>
        <v>22103.207939749733</v>
      </c>
      <c r="N37" s="228">
        <f>'Rate Class Load Model'!$D$18</f>
        <v>22947.72530147756</v>
      </c>
    </row>
    <row r="38" spans="1:16" x14ac:dyDescent="0.25">
      <c r="M38" s="221"/>
      <c r="N38" s="222"/>
    </row>
    <row r="39" spans="1:16" x14ac:dyDescent="0.25">
      <c r="A39" s="172" t="str">
        <f>'Rate Class Energy Model'!M2</f>
        <v>USL</v>
      </c>
      <c r="M39" s="221"/>
      <c r="N39" s="222"/>
    </row>
    <row r="40" spans="1:16" x14ac:dyDescent="0.25">
      <c r="A40" s="69" t="s">
        <v>61</v>
      </c>
      <c r="B40" s="48">
        <f>'Rate Class Customer Model'!$G$7</f>
        <v>445.5</v>
      </c>
      <c r="C40" s="48">
        <f>'Rate Class Customer Model'!$G$8</f>
        <v>445.5</v>
      </c>
      <c r="D40" s="48">
        <f>'Rate Class Customer Model'!$G$9</f>
        <v>442.5</v>
      </c>
      <c r="E40" s="48">
        <f>'Rate Class Customer Model'!$G$10</f>
        <v>437.5</v>
      </c>
      <c r="F40" s="48">
        <f>'Rate Class Customer Model'!$G$11</f>
        <v>434</v>
      </c>
      <c r="G40" s="48">
        <f>'Rate Class Customer Model'!$G$12</f>
        <v>430.5</v>
      </c>
      <c r="H40" s="48">
        <f>'Rate Class Customer Model'!G13</f>
        <v>426.75</v>
      </c>
      <c r="I40" s="48">
        <f>'Rate Class Customer Model'!G14</f>
        <v>424.75</v>
      </c>
      <c r="J40" s="48">
        <f>'Rate Class Customer Model'!G15</f>
        <v>420.25</v>
      </c>
      <c r="K40" s="48">
        <f>'Rate Class Customer Model'!G16</f>
        <v>408</v>
      </c>
      <c r="L40" s="48">
        <f>'Rate Class Customer Model'!G17</f>
        <v>408.91666666666669</v>
      </c>
      <c r="M40" s="221">
        <f>'Rate Class Customer Model'!$G$18</f>
        <v>405.42779769982849</v>
      </c>
      <c r="N40" s="222">
        <f>'Rate Class Customer Model'!$G$19</f>
        <v>401.96869569447659</v>
      </c>
    </row>
    <row r="41" spans="1:16" x14ac:dyDescent="0.25">
      <c r="A41" s="69" t="s">
        <v>47</v>
      </c>
      <c r="B41" s="48">
        <f>'Rate Class Energy Model'!$M$7</f>
        <v>1559632</v>
      </c>
      <c r="C41" s="48">
        <f>'Rate Class Energy Model'!$M$8</f>
        <v>1556530</v>
      </c>
      <c r="D41" s="48">
        <f>'Rate Class Energy Model'!$M$9</f>
        <v>1544939</v>
      </c>
      <c r="E41" s="48">
        <f>'Rate Class Energy Model'!$M$10</f>
        <v>1552345</v>
      </c>
      <c r="F41" s="48">
        <f>'Rate Class Energy Model'!$M$11</f>
        <v>1528194</v>
      </c>
      <c r="G41" s="215">
        <f>'Rate Class Energy Model'!$M$12</f>
        <v>1516114</v>
      </c>
      <c r="H41" s="215">
        <f>'Rate Class Energy Model'!M13</f>
        <v>1512978</v>
      </c>
      <c r="I41" s="215">
        <f>'Rate Class Energy Model'!M14</f>
        <v>1524181</v>
      </c>
      <c r="J41" s="215">
        <f>'Rate Class Energy Model'!M15</f>
        <v>1497429</v>
      </c>
      <c r="K41" s="215">
        <f>'Rate Class Energy Model'!M16</f>
        <v>1559095.2728715499</v>
      </c>
      <c r="L41" s="215">
        <f>'Rate Class Energy Model'!M17</f>
        <v>1510015.9200649587</v>
      </c>
      <c r="M41" s="221">
        <f>'Rate Class Energy Model'!$M$84</f>
        <v>1506367.7390644536</v>
      </c>
      <c r="N41" s="222">
        <f>'Rate Class Energy Model'!$M$85</f>
        <v>1502728.3720270565</v>
      </c>
    </row>
    <row r="42" spans="1:16" s="171" customFormat="1" x14ac:dyDescent="0.25">
      <c r="B42" s="48"/>
      <c r="C42" s="48"/>
      <c r="D42" s="48"/>
      <c r="E42" s="48"/>
      <c r="F42" s="48"/>
      <c r="G42" s="215"/>
      <c r="H42" s="215"/>
      <c r="I42" s="215"/>
      <c r="J42" s="215"/>
      <c r="K42" s="215"/>
      <c r="L42" s="215"/>
      <c r="M42" s="221"/>
      <c r="N42" s="222"/>
      <c r="O42" s="235"/>
    </row>
    <row r="43" spans="1:16" s="171" customFormat="1" x14ac:dyDescent="0.25">
      <c r="A43" s="172" t="s">
        <v>166</v>
      </c>
      <c r="B43" s="48"/>
      <c r="C43" s="48">
        <f>'WMP Forecast'!B3</f>
        <v>0</v>
      </c>
      <c r="M43" s="227"/>
      <c r="N43" s="228"/>
      <c r="O43" s="235"/>
    </row>
    <row r="44" spans="1:16" s="171" customFormat="1" x14ac:dyDescent="0.25">
      <c r="A44" s="69" t="s">
        <v>61</v>
      </c>
      <c r="B44" s="48"/>
      <c r="C44" s="48"/>
      <c r="D44" s="48">
        <v>2</v>
      </c>
      <c r="E44" s="48">
        <v>2</v>
      </c>
      <c r="F44" s="48">
        <v>2</v>
      </c>
      <c r="G44" s="215">
        <v>2</v>
      </c>
      <c r="H44" s="215">
        <v>2</v>
      </c>
      <c r="I44" s="215">
        <v>2</v>
      </c>
      <c r="J44" s="215">
        <v>2</v>
      </c>
      <c r="K44" s="215">
        <v>2</v>
      </c>
      <c r="L44" s="215">
        <v>2</v>
      </c>
      <c r="M44" s="221">
        <v>2</v>
      </c>
      <c r="N44" s="222">
        <v>2</v>
      </c>
      <c r="O44" s="235"/>
    </row>
    <row r="45" spans="1:16" x14ac:dyDescent="0.25">
      <c r="A45" s="69" t="s">
        <v>47</v>
      </c>
      <c r="D45" s="48">
        <f>'WMP Forecast'!D4</f>
        <v>0</v>
      </c>
      <c r="E45" s="48">
        <f>'WMP Forecast'!D5</f>
        <v>0</v>
      </c>
      <c r="F45" s="48">
        <f>'WMP Forecast'!D6</f>
        <v>0</v>
      </c>
      <c r="G45" s="215">
        <f>'WMP Forecast'!D7</f>
        <v>6792377.5999999996</v>
      </c>
      <c r="H45" s="215">
        <f>'WMP Forecast'!D8</f>
        <v>6607289</v>
      </c>
      <c r="I45" s="215">
        <f>'WMP Forecast'!D9</f>
        <v>6489035</v>
      </c>
      <c r="J45" s="215">
        <f>'WMP Forecast'!D10</f>
        <v>6330357</v>
      </c>
      <c r="K45" s="215">
        <f>'WMP Forecast'!D11</f>
        <v>6085994.9199999999</v>
      </c>
      <c r="L45" s="215">
        <f>'WMP Forecast'!D12</f>
        <v>6029967.5800000001</v>
      </c>
      <c r="M45" s="221">
        <f>'WMP Forecast'!D13</f>
        <v>6029967.5800000001</v>
      </c>
      <c r="N45" s="222">
        <f>'WMP Forecast'!D14</f>
        <v>6029967.5800000001</v>
      </c>
      <c r="P45" s="173"/>
    </row>
    <row r="46" spans="1:16" x14ac:dyDescent="0.25">
      <c r="A46" s="69" t="s">
        <v>48</v>
      </c>
      <c r="D46" s="281">
        <f>'WMP Forecast'!B4</f>
        <v>3486.38</v>
      </c>
      <c r="E46" s="281">
        <f>'WMP Forecast'!B5</f>
        <v>13589.76</v>
      </c>
      <c r="F46" s="281">
        <f>'WMP Forecast'!B6</f>
        <v>12736.7</v>
      </c>
      <c r="G46" s="281">
        <f>'WMP Forecast'!B7</f>
        <v>12397.7</v>
      </c>
      <c r="H46" s="281">
        <f>'WMP Forecast'!B8</f>
        <v>12437.3</v>
      </c>
      <c r="I46" s="281">
        <f>'WMP Forecast'!B9</f>
        <v>12330</v>
      </c>
      <c r="J46" s="281">
        <f>'WMP Forecast'!B10</f>
        <v>12258</v>
      </c>
      <c r="K46" s="281">
        <f>'WMP Forecast'!B11</f>
        <v>10962.46</v>
      </c>
      <c r="L46" s="281">
        <f>'WMP Forecast'!B12</f>
        <v>11674.01</v>
      </c>
      <c r="M46" s="221">
        <f>'WMP Forecast'!B13</f>
        <v>11674.01</v>
      </c>
      <c r="N46" s="228">
        <f>'WMP Forecast'!B14</f>
        <v>11674.01</v>
      </c>
    </row>
    <row r="47" spans="1:16" x14ac:dyDescent="0.25">
      <c r="M47" s="221"/>
      <c r="N47" s="222"/>
    </row>
    <row r="48" spans="1:16" x14ac:dyDescent="0.25">
      <c r="A48" s="172" t="s">
        <v>62</v>
      </c>
      <c r="B48" s="48"/>
      <c r="D48" s="48"/>
      <c r="E48" s="48"/>
      <c r="F48" s="48"/>
      <c r="G48" s="48"/>
      <c r="H48" s="48"/>
      <c r="I48" s="48"/>
      <c r="J48" s="48"/>
      <c r="K48" s="48"/>
      <c r="L48" s="48"/>
      <c r="M48" s="221"/>
      <c r="N48" s="222"/>
    </row>
    <row r="49" spans="1:17" x14ac:dyDescent="0.25">
      <c r="A49" s="69" t="s">
        <v>50</v>
      </c>
      <c r="B49" s="249">
        <f>B12+B16+B20+B25+B30+B35+B40+B44</f>
        <v>48364.5</v>
      </c>
      <c r="C49" s="249">
        <f>C12+C16+C20+C25+C30+C35+C40+C44</f>
        <v>48830</v>
      </c>
      <c r="D49" s="249">
        <f>D12+D16+D20+D25+D30+D35+D40+D44</f>
        <v>49291.5</v>
      </c>
      <c r="E49" s="249">
        <f>E12+E16+E20+E25+E30+E35+E40+E44</f>
        <v>49696</v>
      </c>
      <c r="F49" s="249">
        <f>F12+F16+F20+F25+F30+F35+F40+F44</f>
        <v>50135</v>
      </c>
      <c r="G49" s="249">
        <f t="shared" ref="G49:L49" si="1">G12+G16+G20+G25+G30+G35+G40+G44</f>
        <v>50650.5</v>
      </c>
      <c r="H49" s="249">
        <f t="shared" si="1"/>
        <v>50497.5</v>
      </c>
      <c r="I49" s="249">
        <f t="shared" si="1"/>
        <v>46204.5</v>
      </c>
      <c r="J49" s="249">
        <f t="shared" si="1"/>
        <v>46509.5</v>
      </c>
      <c r="K49" s="249">
        <f t="shared" si="1"/>
        <v>46739.5</v>
      </c>
      <c r="L49" s="249">
        <f t="shared" si="1"/>
        <v>47176.166666666664</v>
      </c>
      <c r="M49" s="220">
        <f>M12+M16+M20+M25+M30+M35+M40+M44</f>
        <v>47491.047297379875</v>
      </c>
      <c r="N49" s="218">
        <f>N12+N16+N20+N25+N30+N35+N40+N44</f>
        <v>47808.838284220968</v>
      </c>
    </row>
    <row r="50" spans="1:17" x14ac:dyDescent="0.25">
      <c r="A50" s="69" t="s">
        <v>47</v>
      </c>
      <c r="B50" s="249">
        <f t="shared" ref="B50:G50" si="2">B41+B36+B31+B21+B17+B13+B45+B26</f>
        <v>917169662</v>
      </c>
      <c r="C50" s="249">
        <f t="shared" si="2"/>
        <v>919260512</v>
      </c>
      <c r="D50" s="249">
        <f t="shared" si="2"/>
        <v>936319334</v>
      </c>
      <c r="E50" s="249">
        <f t="shared" si="2"/>
        <v>926349236</v>
      </c>
      <c r="F50" s="249">
        <f t="shared" si="2"/>
        <v>889619639</v>
      </c>
      <c r="G50" s="249">
        <f t="shared" si="2"/>
        <v>911684269.60000002</v>
      </c>
      <c r="H50" s="249">
        <f t="shared" ref="H50:N50" si="3">H41+H36+H31+H21+H17+H13+H45+H26</f>
        <v>981298705</v>
      </c>
      <c r="I50" s="249">
        <f t="shared" si="3"/>
        <v>942059034</v>
      </c>
      <c r="J50" s="249">
        <f t="shared" si="3"/>
        <v>982068823</v>
      </c>
      <c r="K50" s="249">
        <f t="shared" si="3"/>
        <v>979704549.26999998</v>
      </c>
      <c r="L50" s="249">
        <f t="shared" si="3"/>
        <v>982207759.2700001</v>
      </c>
      <c r="M50" s="220">
        <f t="shared" si="3"/>
        <v>907148283.67951012</v>
      </c>
      <c r="N50" s="218">
        <f t="shared" si="3"/>
        <v>928196628.88439381</v>
      </c>
    </row>
    <row r="51" spans="1:17" x14ac:dyDescent="0.25">
      <c r="A51" s="69" t="s">
        <v>49</v>
      </c>
      <c r="B51" s="249">
        <f t="shared" ref="B51:G51" si="4">B37+B32+B22+B46+B27</f>
        <v>1505611.7100000002</v>
      </c>
      <c r="C51" s="249">
        <f t="shared" si="4"/>
        <v>1525005.5</v>
      </c>
      <c r="D51" s="249">
        <f t="shared" si="4"/>
        <v>1579505.53</v>
      </c>
      <c r="E51" s="249">
        <f t="shared" si="4"/>
        <v>1591989.7</v>
      </c>
      <c r="F51" s="249">
        <f t="shared" si="4"/>
        <v>1569627.44</v>
      </c>
      <c r="G51" s="249">
        <f t="shared" si="4"/>
        <v>1566732.71</v>
      </c>
      <c r="H51" s="249">
        <f t="shared" ref="H51:N51" si="5">H37+H32+H22+H46+H27</f>
        <v>1550949.78</v>
      </c>
      <c r="I51" s="249">
        <f t="shared" si="5"/>
        <v>1542920</v>
      </c>
      <c r="J51" s="249">
        <f t="shared" si="5"/>
        <v>1565468.6</v>
      </c>
      <c r="K51" s="249">
        <f t="shared" si="5"/>
        <v>1582101.54</v>
      </c>
      <c r="L51" s="249">
        <f t="shared" si="5"/>
        <v>1562495.2</v>
      </c>
      <c r="M51" s="220">
        <f t="shared" si="5"/>
        <v>1453688.1999635021</v>
      </c>
      <c r="N51" s="218">
        <f t="shared" si="5"/>
        <v>1474981.279843434</v>
      </c>
    </row>
    <row r="52" spans="1:17" x14ac:dyDescent="0.25">
      <c r="M52" s="221"/>
      <c r="N52" s="222"/>
    </row>
    <row r="53" spans="1:17" x14ac:dyDescent="0.25">
      <c r="A53" s="172" t="s">
        <v>167</v>
      </c>
      <c r="M53" s="221"/>
      <c r="N53" s="222"/>
    </row>
    <row r="54" spans="1:17" x14ac:dyDescent="0.25">
      <c r="A54" s="69" t="s">
        <v>50</v>
      </c>
      <c r="B54" s="247">
        <f>'Rate Class Customer Model'!$H$7</f>
        <v>48361.5</v>
      </c>
      <c r="C54" s="247">
        <f>'Rate Class Customer Model'!$H$8</f>
        <v>48827</v>
      </c>
      <c r="D54" s="247">
        <f>'Rate Class Customer Model'!$H$9</f>
        <v>49286.5</v>
      </c>
      <c r="E54" s="247">
        <f>'Rate Class Customer Model'!$H$10</f>
        <v>49691</v>
      </c>
      <c r="F54" s="247">
        <f>'Rate Class Customer Model'!$H$11</f>
        <v>50130</v>
      </c>
      <c r="G54" s="247">
        <f>'Rate Class Customer Model'!$H$12</f>
        <v>50645.5</v>
      </c>
      <c r="H54" s="247">
        <f>'Rate Class Customer Model'!$H$13</f>
        <v>50493.5</v>
      </c>
      <c r="I54" s="247">
        <f>'Rate Class Customer Model'!$H$14</f>
        <v>46200.5</v>
      </c>
      <c r="J54" s="247">
        <f>'Rate Class Customer Model'!$H$15</f>
        <v>46505.5</v>
      </c>
      <c r="K54" s="247">
        <f>'Rate Class Customer Model'!$H$16</f>
        <v>46735.5</v>
      </c>
      <c r="L54" s="247">
        <f>'Rate Class Customer Model'!$H$17</f>
        <v>47172.166666666664</v>
      </c>
      <c r="M54" s="227">
        <f>'Rate Class Customer Model'!$H$18</f>
        <v>47487.047297379875</v>
      </c>
      <c r="N54" s="228">
        <f>'Rate Class Customer Model'!$H$19</f>
        <v>47804.838284220968</v>
      </c>
    </row>
    <row r="55" spans="1:17" x14ac:dyDescent="0.25">
      <c r="A55" s="69" t="s">
        <v>47</v>
      </c>
      <c r="B55" s="247">
        <f>'Rate Class Energy Model'!$G$7</f>
        <v>917169662</v>
      </c>
      <c r="C55" s="247">
        <f>'Rate Class Energy Model'!$G$8</f>
        <v>919260512</v>
      </c>
      <c r="D55" s="247">
        <f>'Rate Class Energy Model'!$G$9</f>
        <v>936319334</v>
      </c>
      <c r="E55" s="247">
        <f>'Rate Class Energy Model'!$G$10</f>
        <v>926349236</v>
      </c>
      <c r="F55" s="247">
        <f>'Rate Class Energy Model'!$G$11</f>
        <v>889619639</v>
      </c>
      <c r="G55" s="247">
        <f>'Rate Class Energy Model'!$G$12</f>
        <v>904891892</v>
      </c>
      <c r="H55" s="247">
        <f>'Rate Class Energy Model'!G13</f>
        <v>909331461</v>
      </c>
      <c r="I55" s="247">
        <f>'Rate Class Energy Model'!G14</f>
        <v>892260753</v>
      </c>
      <c r="J55" s="247">
        <f>'Rate Class Energy Model'!G15</f>
        <v>934510743</v>
      </c>
      <c r="K55" s="247">
        <f>'Rate Class Energy Model'!G16</f>
        <v>932356870.25999999</v>
      </c>
      <c r="L55" s="247">
        <f>'Rate Class Energy Model'!G17</f>
        <v>933148229.9000001</v>
      </c>
      <c r="M55" s="227">
        <f>'Rate Class Energy Model'!G84</f>
        <v>857658458.6916101</v>
      </c>
      <c r="N55" s="228">
        <f>'Rate Class Energy Model'!G85</f>
        <v>878272205.32241476</v>
      </c>
    </row>
    <row r="56" spans="1:17" x14ac:dyDescent="0.25">
      <c r="A56" s="69" t="s">
        <v>49</v>
      </c>
      <c r="B56" s="247">
        <f>'Rate Class Load Model'!$E$6</f>
        <v>1347496.5500000003</v>
      </c>
      <c r="C56" s="247">
        <f>'Rate Class Load Model'!$E$7</f>
        <v>1368166.24</v>
      </c>
      <c r="D56" s="247">
        <f>'Rate Class Load Model'!$E$8</f>
        <v>1422708.6900000002</v>
      </c>
      <c r="E56" s="247">
        <f>'Rate Class Load Model'!$E$9</f>
        <v>1419114.23</v>
      </c>
      <c r="F56" s="247">
        <f>'Rate Class Load Model'!$E$10</f>
        <v>1392566.3</v>
      </c>
      <c r="G56" s="247">
        <f>'Rate Class Load Model'!$E$11</f>
        <v>1412131.59</v>
      </c>
      <c r="H56" s="247">
        <f>'Rate Class Load Model'!$E$12</f>
        <v>1402325.28</v>
      </c>
      <c r="I56" s="247">
        <f>'Rate Class Load Model'!$E$13</f>
        <v>1423299</v>
      </c>
      <c r="J56" s="247">
        <f>'Rate Class Load Model'!$E$14</f>
        <v>1457992</v>
      </c>
      <c r="K56" s="247">
        <f>'Rate Class Load Model'!$E$15</f>
        <v>1473456.03</v>
      </c>
      <c r="L56" s="247">
        <f>'Rate Class Load Model'!$E$16</f>
        <v>1450234.27</v>
      </c>
      <c r="M56" s="227">
        <f>'Rate Class Load Model'!$E$17</f>
        <v>1340421.4007635021</v>
      </c>
      <c r="N56" s="228">
        <f>'Rate Class Load Model'!$E$18</f>
        <v>1360698.552751434</v>
      </c>
      <c r="P56" s="173"/>
      <c r="Q56" s="173"/>
    </row>
    <row r="57" spans="1:17" x14ac:dyDescent="0.25">
      <c r="M57" s="221"/>
      <c r="N57" s="222"/>
    </row>
    <row r="58" spans="1:17" x14ac:dyDescent="0.25">
      <c r="A58" s="172" t="s">
        <v>168</v>
      </c>
      <c r="M58" s="221"/>
      <c r="N58" s="222"/>
    </row>
    <row r="59" spans="1:17" x14ac:dyDescent="0.25">
      <c r="A59" s="69" t="s">
        <v>50</v>
      </c>
      <c r="B59" s="250">
        <f t="shared" ref="B59:N61" si="6">B44+B25</f>
        <v>3</v>
      </c>
      <c r="C59" s="250">
        <f t="shared" si="6"/>
        <v>3</v>
      </c>
      <c r="D59" s="250">
        <f t="shared" si="6"/>
        <v>5</v>
      </c>
      <c r="E59" s="250">
        <f t="shared" si="6"/>
        <v>5</v>
      </c>
      <c r="F59" s="250">
        <f t="shared" si="6"/>
        <v>5</v>
      </c>
      <c r="G59" s="250">
        <f t="shared" si="6"/>
        <v>5</v>
      </c>
      <c r="H59" s="250">
        <f t="shared" ref="H59:L61" si="7">H44+H25</f>
        <v>4</v>
      </c>
      <c r="I59" s="250">
        <f t="shared" si="7"/>
        <v>4</v>
      </c>
      <c r="J59" s="250">
        <f t="shared" si="7"/>
        <v>4</v>
      </c>
      <c r="K59" s="250">
        <f t="shared" si="7"/>
        <v>4</v>
      </c>
      <c r="L59" s="250">
        <f t="shared" si="7"/>
        <v>4</v>
      </c>
      <c r="M59" s="221">
        <f>M44+M25</f>
        <v>4</v>
      </c>
      <c r="N59" s="222">
        <f>N44+N25</f>
        <v>4</v>
      </c>
    </row>
    <row r="60" spans="1:17" x14ac:dyDescent="0.25">
      <c r="A60" s="69" t="s">
        <v>47</v>
      </c>
      <c r="B60" s="250">
        <f t="shared" si="6"/>
        <v>0</v>
      </c>
      <c r="C60" s="250">
        <f t="shared" si="6"/>
        <v>0</v>
      </c>
      <c r="D60" s="250">
        <f t="shared" si="6"/>
        <v>0</v>
      </c>
      <c r="E60" s="250">
        <f t="shared" si="6"/>
        <v>0</v>
      </c>
      <c r="F60" s="250">
        <f t="shared" si="6"/>
        <v>0</v>
      </c>
      <c r="G60" s="250">
        <f t="shared" si="6"/>
        <v>6792377.5999999996</v>
      </c>
      <c r="H60" s="250">
        <f t="shared" si="7"/>
        <v>71967244</v>
      </c>
      <c r="I60" s="250">
        <f t="shared" si="7"/>
        <v>49798281</v>
      </c>
      <c r="J60" s="250">
        <f t="shared" si="7"/>
        <v>47558080</v>
      </c>
      <c r="K60" s="250">
        <f t="shared" si="7"/>
        <v>47347679.010000005</v>
      </c>
      <c r="L60" s="250">
        <f t="shared" si="7"/>
        <v>49059529.370000005</v>
      </c>
      <c r="M60" s="221">
        <f>M45+M26</f>
        <v>49489824.987900004</v>
      </c>
      <c r="N60" s="222">
        <f t="shared" si="6"/>
        <v>49924423.561979003</v>
      </c>
    </row>
    <row r="61" spans="1:17" x14ac:dyDescent="0.25">
      <c r="A61" s="69" t="s">
        <v>49</v>
      </c>
      <c r="B61" s="250">
        <f t="shared" si="6"/>
        <v>158115.16</v>
      </c>
      <c r="C61" s="250">
        <f t="shared" si="6"/>
        <v>156839.26</v>
      </c>
      <c r="D61" s="250">
        <f t="shared" si="6"/>
        <v>156796.84</v>
      </c>
      <c r="E61" s="250">
        <f t="shared" si="6"/>
        <v>172875.47000000003</v>
      </c>
      <c r="F61" s="250">
        <f t="shared" si="6"/>
        <v>177061.13999999998</v>
      </c>
      <c r="G61" s="250">
        <f t="shared" si="6"/>
        <v>154601.12000000002</v>
      </c>
      <c r="H61" s="250">
        <f t="shared" si="7"/>
        <v>148624.5</v>
      </c>
      <c r="I61" s="250">
        <f t="shared" si="7"/>
        <v>119621</v>
      </c>
      <c r="J61" s="250">
        <f t="shared" si="7"/>
        <v>107476.6</v>
      </c>
      <c r="K61" s="250">
        <f t="shared" si="7"/>
        <v>108645.51000000001</v>
      </c>
      <c r="L61" s="250">
        <f t="shared" si="7"/>
        <v>112260.93000000001</v>
      </c>
      <c r="M61" s="221">
        <f>M46+M27</f>
        <v>113266.79920000001</v>
      </c>
      <c r="N61" s="222">
        <f>N46+N27</f>
        <v>114282.72709200002</v>
      </c>
    </row>
    <row r="62" spans="1:17" x14ac:dyDescent="0.25">
      <c r="M62" s="221"/>
      <c r="N62" s="222"/>
    </row>
    <row r="63" spans="1:17" x14ac:dyDescent="0.25">
      <c r="A63" s="172" t="s">
        <v>63</v>
      </c>
      <c r="B63" s="48"/>
      <c r="C63" s="48"/>
      <c r="D63" s="48"/>
      <c r="E63" s="48"/>
      <c r="F63" s="48"/>
      <c r="G63" s="48"/>
      <c r="H63" s="48"/>
      <c r="I63" s="48"/>
      <c r="J63" s="48"/>
      <c r="K63" s="48"/>
      <c r="L63" s="48"/>
      <c r="M63" s="221"/>
      <c r="N63" s="222"/>
    </row>
    <row r="64" spans="1:17" x14ac:dyDescent="0.25">
      <c r="A64" s="69" t="s">
        <v>50</v>
      </c>
      <c r="B64" s="48">
        <f>B49-B54-B59</f>
        <v>0</v>
      </c>
      <c r="C64" s="48">
        <f>C49-C54-C59</f>
        <v>0</v>
      </c>
      <c r="D64" s="48">
        <f>D49-D54-D59</f>
        <v>0</v>
      </c>
      <c r="E64" s="48">
        <f>E49-E54-E59</f>
        <v>0</v>
      </c>
      <c r="F64" s="48">
        <f>F49-F54-F59</f>
        <v>0</v>
      </c>
      <c r="G64" s="48">
        <f t="shared" ref="G64:L64" si="8">G49-G54-G59</f>
        <v>0</v>
      </c>
      <c r="H64" s="48">
        <f>H49-H54-H59</f>
        <v>0</v>
      </c>
      <c r="I64" s="48">
        <f t="shared" si="8"/>
        <v>0</v>
      </c>
      <c r="J64" s="48">
        <f t="shared" si="8"/>
        <v>0</v>
      </c>
      <c r="K64" s="48">
        <f t="shared" si="8"/>
        <v>0</v>
      </c>
      <c r="L64" s="48">
        <f t="shared" si="8"/>
        <v>0</v>
      </c>
      <c r="M64" s="221">
        <f>M49-M54-M59</f>
        <v>0</v>
      </c>
      <c r="N64" s="222">
        <f>N49-N54-N59</f>
        <v>0</v>
      </c>
      <c r="O64" s="251"/>
    </row>
    <row r="65" spans="1:15" x14ac:dyDescent="0.25">
      <c r="A65" s="69" t="s">
        <v>47</v>
      </c>
      <c r="B65" s="48">
        <f t="shared" ref="B65:G66" si="9">B50-B55-B60</f>
        <v>0</v>
      </c>
      <c r="C65" s="48">
        <f t="shared" si="9"/>
        <v>0</v>
      </c>
      <c r="D65" s="48">
        <f t="shared" si="9"/>
        <v>0</v>
      </c>
      <c r="E65" s="48">
        <f t="shared" si="9"/>
        <v>0</v>
      </c>
      <c r="F65" s="48">
        <f t="shared" si="9"/>
        <v>0</v>
      </c>
      <c r="G65" s="48">
        <f t="shared" si="9"/>
        <v>2.4214386940002441E-8</v>
      </c>
      <c r="H65" s="48">
        <f t="shared" ref="H65:N65" si="10">H50-H55-H60</f>
        <v>0</v>
      </c>
      <c r="I65" s="48">
        <f t="shared" si="10"/>
        <v>0</v>
      </c>
      <c r="J65" s="48">
        <f t="shared" si="10"/>
        <v>0</v>
      </c>
      <c r="K65" s="48">
        <f t="shared" si="10"/>
        <v>0</v>
      </c>
      <c r="L65" s="48">
        <f t="shared" si="10"/>
        <v>0</v>
      </c>
      <c r="M65" s="221">
        <f>M50-M55-M60</f>
        <v>0</v>
      </c>
      <c r="N65" s="222">
        <f t="shared" si="10"/>
        <v>0</v>
      </c>
      <c r="O65" s="251"/>
    </row>
    <row r="66" spans="1:15" x14ac:dyDescent="0.25">
      <c r="A66" s="69" t="s">
        <v>49</v>
      </c>
      <c r="B66" s="48">
        <f t="shared" si="9"/>
        <v>0</v>
      </c>
      <c r="C66" s="48">
        <f t="shared" si="9"/>
        <v>0</v>
      </c>
      <c r="D66" s="48">
        <f t="shared" si="9"/>
        <v>0</v>
      </c>
      <c r="E66" s="48">
        <f t="shared" si="9"/>
        <v>0</v>
      </c>
      <c r="F66" s="48">
        <f t="shared" si="9"/>
        <v>0</v>
      </c>
      <c r="G66" s="48">
        <f t="shared" si="9"/>
        <v>0</v>
      </c>
      <c r="H66" s="48">
        <f>H51-H56-H61</f>
        <v>0</v>
      </c>
      <c r="I66" s="48">
        <f>I51-I56-I61</f>
        <v>0</v>
      </c>
      <c r="J66" s="48">
        <f>J51-J56-J61</f>
        <v>0</v>
      </c>
      <c r="K66" s="48">
        <f>K51-K56-K61</f>
        <v>0</v>
      </c>
      <c r="L66" s="48">
        <f>L51-L56-L61</f>
        <v>0</v>
      </c>
      <c r="M66" s="221">
        <f>M51-M56-M61</f>
        <v>0</v>
      </c>
      <c r="N66" s="222">
        <f>N51-N56-N61</f>
        <v>0</v>
      </c>
    </row>
    <row r="69" spans="1:15" x14ac:dyDescent="0.25">
      <c r="A69" s="169" t="s">
        <v>333</v>
      </c>
    </row>
    <row r="70" spans="1:15" x14ac:dyDescent="0.25">
      <c r="A70" s="69" t="s">
        <v>61</v>
      </c>
      <c r="B70" s="48">
        <f t="shared" ref="B70:N70" si="11">+B20+B44</f>
        <v>417</v>
      </c>
      <c r="C70" s="48">
        <f t="shared" si="11"/>
        <v>421</v>
      </c>
      <c r="D70" s="48">
        <f t="shared" si="11"/>
        <v>421</v>
      </c>
      <c r="E70" s="48">
        <f t="shared" si="11"/>
        <v>425.5</v>
      </c>
      <c r="F70" s="48">
        <f t="shared" si="11"/>
        <v>434</v>
      </c>
      <c r="G70" s="48">
        <f t="shared" si="11"/>
        <v>439.5</v>
      </c>
      <c r="H70" s="48">
        <f t="shared" si="11"/>
        <v>454</v>
      </c>
      <c r="I70" s="48">
        <f t="shared" si="11"/>
        <v>458.75</v>
      </c>
      <c r="J70" s="48">
        <f t="shared" si="11"/>
        <v>485.25</v>
      </c>
      <c r="K70" s="48">
        <f t="shared" si="11"/>
        <v>490.75</v>
      </c>
      <c r="L70" s="48">
        <f t="shared" si="11"/>
        <v>492.66666666666669</v>
      </c>
      <c r="M70" s="48">
        <f t="shared" si="11"/>
        <v>500.71405204334792</v>
      </c>
      <c r="N70" s="48">
        <f t="shared" si="11"/>
        <v>508.89342195413406</v>
      </c>
    </row>
    <row r="71" spans="1:15" x14ac:dyDescent="0.25">
      <c r="A71" s="69" t="s">
        <v>47</v>
      </c>
      <c r="B71" s="48">
        <f t="shared" ref="B71:C71" si="12">+B21+B45</f>
        <v>521725747</v>
      </c>
      <c r="C71" s="48">
        <f t="shared" si="12"/>
        <v>519515098</v>
      </c>
      <c r="D71" s="48">
        <f t="shared" ref="D71:N71" si="13">+D21+D45</f>
        <v>539521215</v>
      </c>
      <c r="E71" s="48">
        <f t="shared" si="13"/>
        <v>534621114</v>
      </c>
      <c r="F71" s="48">
        <f t="shared" si="13"/>
        <v>497985709</v>
      </c>
      <c r="G71" s="48">
        <f t="shared" si="13"/>
        <v>514679223.60000002</v>
      </c>
      <c r="H71" s="48">
        <f t="shared" si="13"/>
        <v>515381720</v>
      </c>
      <c r="I71" s="48">
        <f t="shared" si="13"/>
        <v>519770271</v>
      </c>
      <c r="J71" s="48">
        <f t="shared" si="13"/>
        <v>535922957</v>
      </c>
      <c r="K71" s="48">
        <f t="shared" si="13"/>
        <v>544236477.25084901</v>
      </c>
      <c r="L71" s="48">
        <f t="shared" si="13"/>
        <v>527515512.58903694</v>
      </c>
      <c r="M71" s="48">
        <f t="shared" si="13"/>
        <v>496743330.59567922</v>
      </c>
      <c r="N71" s="48">
        <f t="shared" si="13"/>
        <v>503997166.63250566</v>
      </c>
    </row>
    <row r="72" spans="1:15" x14ac:dyDescent="0.25">
      <c r="A72" s="69" t="s">
        <v>48</v>
      </c>
      <c r="B72" s="48">
        <f t="shared" ref="B72:N72" si="14">+B22+B46</f>
        <v>1323482.2400000002</v>
      </c>
      <c r="C72" s="48">
        <f t="shared" si="14"/>
        <v>1344251</v>
      </c>
      <c r="D72" s="48">
        <f t="shared" si="14"/>
        <v>1402270</v>
      </c>
      <c r="E72" s="48">
        <f t="shared" si="14"/>
        <v>1408738</v>
      </c>
      <c r="F72" s="48">
        <f t="shared" si="14"/>
        <v>1381389</v>
      </c>
      <c r="G72" s="48">
        <f t="shared" si="14"/>
        <v>1400639</v>
      </c>
      <c r="H72" s="48">
        <f t="shared" si="14"/>
        <v>1391395.58</v>
      </c>
      <c r="I72" s="48">
        <f t="shared" si="14"/>
        <v>1412721</v>
      </c>
      <c r="J72" s="48">
        <f t="shared" si="14"/>
        <v>1447503</v>
      </c>
      <c r="K72" s="48">
        <f t="shared" si="14"/>
        <v>1461871.79</v>
      </c>
      <c r="L72" s="48">
        <f t="shared" si="14"/>
        <v>1439810.73</v>
      </c>
      <c r="M72" s="48">
        <f t="shared" si="14"/>
        <v>1329482.2377504546</v>
      </c>
      <c r="N72" s="48">
        <f t="shared" si="14"/>
        <v>1348962.3773442425</v>
      </c>
    </row>
  </sheetData>
  <phoneticPr fontId="0" type="noConversion"/>
  <pageMargins left="0.38" right="0.75" top="0.73" bottom="0.74" header="0.5" footer="0.5"/>
  <pageSetup scale="42" orientation="landscape"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7:AP239"/>
  <sheetViews>
    <sheetView topLeftCell="J36" zoomScaleNormal="100" workbookViewId="0">
      <selection activeCell="O38" sqref="O38"/>
    </sheetView>
  </sheetViews>
  <sheetFormatPr defaultRowHeight="13.2" x14ac:dyDescent="0.25"/>
  <cols>
    <col min="1" max="1" width="21.44140625" customWidth="1"/>
    <col min="2" max="2" width="26.21875" customWidth="1"/>
    <col min="3" max="3" width="22.5546875" customWidth="1"/>
    <col min="5" max="5" width="21.77734375" customWidth="1"/>
    <col min="12" max="12" width="7" customWidth="1"/>
    <col min="13" max="13" width="14" customWidth="1"/>
    <col min="14" max="14" width="11.5546875" customWidth="1"/>
    <col min="19" max="19" width="15.44140625" customWidth="1"/>
    <col min="20" max="20" width="12.77734375" customWidth="1"/>
    <col min="25" max="25" width="11.21875" bestFit="1" customWidth="1"/>
    <col min="26" max="26" width="4.77734375" bestFit="1" customWidth="1"/>
    <col min="27" max="27" width="5.77734375" bestFit="1" customWidth="1"/>
    <col min="28" max="29" width="10.77734375" bestFit="1" customWidth="1"/>
    <col min="30" max="31" width="8.77734375" bestFit="1" customWidth="1"/>
    <col min="32" max="32" width="12.5546875" customWidth="1"/>
    <col min="34" max="34" width="11.21875" bestFit="1" customWidth="1"/>
    <col min="35" max="35" width="14.21875" customWidth="1"/>
    <col min="36" max="36" width="12.21875" bestFit="1" customWidth="1"/>
    <col min="37" max="37" width="12.5546875" bestFit="1" customWidth="1"/>
    <col min="38" max="38" width="20.21875" bestFit="1" customWidth="1"/>
    <col min="39" max="39" width="18.21875" bestFit="1" customWidth="1"/>
    <col min="40" max="40" width="8.77734375" customWidth="1"/>
    <col min="42" max="42" width="12.44140625" bestFit="1" customWidth="1"/>
  </cols>
  <sheetData>
    <row r="7" spans="32:42" x14ac:dyDescent="0.25">
      <c r="AF7" s="178"/>
    </row>
    <row r="10" spans="32:42" ht="21" x14ac:dyDescent="0.4">
      <c r="AI10" s="321"/>
      <c r="AJ10" s="321"/>
      <c r="AK10" s="321"/>
      <c r="AL10" s="321"/>
      <c r="AM10" s="321"/>
      <c r="AP10" s="370" t="s">
        <v>264</v>
      </c>
    </row>
    <row r="11" spans="32:42" ht="18" x14ac:dyDescent="0.35">
      <c r="AI11" s="329"/>
      <c r="AJ11" s="328"/>
      <c r="AK11" s="328" t="s">
        <v>224</v>
      </c>
      <c r="AL11" s="328" t="s">
        <v>240</v>
      </c>
      <c r="AM11" s="328" t="s">
        <v>241</v>
      </c>
      <c r="AN11" s="328" t="s">
        <v>11</v>
      </c>
      <c r="AP11" s="370" t="s">
        <v>24</v>
      </c>
    </row>
    <row r="12" spans="32:42" ht="14.4" x14ac:dyDescent="0.3">
      <c r="AI12" s="320"/>
      <c r="AJ12" s="326"/>
      <c r="AK12" s="326" t="s">
        <v>242</v>
      </c>
      <c r="AL12" s="326" t="s">
        <v>334</v>
      </c>
      <c r="AM12" s="326" t="s">
        <v>244</v>
      </c>
      <c r="AN12" s="326"/>
      <c r="AP12" s="331" t="s">
        <v>240</v>
      </c>
    </row>
    <row r="13" spans="32:42" ht="14.4" x14ac:dyDescent="0.3">
      <c r="AI13" s="317"/>
      <c r="AJ13" s="324"/>
      <c r="AK13" s="318">
        <v>-6.2E-2</v>
      </c>
      <c r="AL13" s="324">
        <v>-5.8000000000000003E-2</v>
      </c>
      <c r="AM13" s="318">
        <v>-0.06</v>
      </c>
      <c r="AN13" s="318">
        <f>AVERAGE(AJ13:AM13)</f>
        <v>-0.06</v>
      </c>
      <c r="AP13" s="330">
        <f>INDEX(AJ13:AN13,MATCH($AP$12,GDP_Used,0))</f>
        <v>-5.8000000000000003E-2</v>
      </c>
    </row>
    <row r="14" spans="32:42" ht="14.4" x14ac:dyDescent="0.3">
      <c r="AI14" s="317"/>
      <c r="AJ14" s="324"/>
      <c r="AK14" s="318">
        <v>5.6000000000000001E-2</v>
      </c>
      <c r="AL14" s="318">
        <v>6.0999999999999999E-2</v>
      </c>
      <c r="AM14" s="318">
        <v>4.4999999999999998E-2</v>
      </c>
      <c r="AN14" s="318">
        <f>AVERAGE(AJ14:AM14)</f>
        <v>5.3999999999999992E-2</v>
      </c>
      <c r="AP14" s="330">
        <f>INDEX(AJ14:AN14,MATCH($AP$12,GDP_Used,0))</f>
        <v>6.0999999999999999E-2</v>
      </c>
    </row>
    <row r="15" spans="32:42" ht="14.4" x14ac:dyDescent="0.3">
      <c r="AI15" s="317"/>
      <c r="AJ15" s="324"/>
      <c r="AK15" s="318">
        <v>4.1000000000000002E-2</v>
      </c>
      <c r="AL15" s="318">
        <v>4.2000000000000003E-2</v>
      </c>
      <c r="AM15" s="318">
        <v>3.6999999999999998E-2</v>
      </c>
      <c r="AN15" s="318">
        <f>AVERAGE(AJ15:AM15)</f>
        <v>0.04</v>
      </c>
      <c r="AP15" s="330">
        <f>INDEX(AJ15:AN15,MATCH($AP$12,GDP_Used,0))</f>
        <v>4.2000000000000003E-2</v>
      </c>
    </row>
    <row r="16" spans="32:42" ht="13.8" thickBot="1" x14ac:dyDescent="0.3"/>
    <row r="17" spans="1:35" x14ac:dyDescent="0.25">
      <c r="O17" s="374"/>
      <c r="P17" s="63"/>
      <c r="Q17" s="375" t="s">
        <v>265</v>
      </c>
      <c r="R17" s="376"/>
      <c r="S17" s="377"/>
      <c r="T17" s="377"/>
      <c r="U17" s="378"/>
    </row>
    <row r="18" spans="1:35" x14ac:dyDescent="0.25">
      <c r="O18" s="374"/>
      <c r="P18" s="63"/>
      <c r="Q18" s="375" t="s">
        <v>266</v>
      </c>
      <c r="R18" s="379"/>
      <c r="S18" s="54"/>
      <c r="T18" s="54"/>
      <c r="U18" s="380"/>
    </row>
    <row r="19" spans="1:35" x14ac:dyDescent="0.25">
      <c r="R19" s="379"/>
      <c r="S19" s="54"/>
      <c r="T19" s="54"/>
      <c r="U19" s="380"/>
    </row>
    <row r="20" spans="1:35" x14ac:dyDescent="0.25">
      <c r="R20" s="379"/>
      <c r="S20" s="54"/>
      <c r="T20" s="54"/>
      <c r="U20" s="380"/>
    </row>
    <row r="21" spans="1:35" x14ac:dyDescent="0.25">
      <c r="L21" s="299"/>
      <c r="M21" s="301" t="s">
        <v>226</v>
      </c>
      <c r="N21" s="300"/>
      <c r="R21" s="379"/>
      <c r="S21" s="54" t="s">
        <v>226</v>
      </c>
      <c r="T21" s="54"/>
      <c r="U21" s="380"/>
      <c r="Y21" s="178" t="s">
        <v>249</v>
      </c>
    </row>
    <row r="22" spans="1:35" ht="92.4" x14ac:dyDescent="0.25">
      <c r="L22" s="301" t="s">
        <v>217</v>
      </c>
      <c r="M22" s="309" t="s">
        <v>225</v>
      </c>
      <c r="N22" s="306" t="s">
        <v>227</v>
      </c>
      <c r="R22" s="381" t="s">
        <v>217</v>
      </c>
      <c r="S22" s="112" t="s">
        <v>225</v>
      </c>
      <c r="T22" s="112" t="s">
        <v>227</v>
      </c>
      <c r="U22" s="382"/>
      <c r="Y22" s="266" t="s">
        <v>216</v>
      </c>
      <c r="Z22" s="266" t="s">
        <v>217</v>
      </c>
      <c r="AA22" s="266" t="s">
        <v>79</v>
      </c>
      <c r="AB22" s="286" t="s">
        <v>219</v>
      </c>
      <c r="AC22" s="286" t="s">
        <v>220</v>
      </c>
      <c r="AD22" s="297" t="s">
        <v>221</v>
      </c>
      <c r="AE22" s="297" t="s">
        <v>222</v>
      </c>
      <c r="AF22" s="289" t="s">
        <v>223</v>
      </c>
      <c r="AH22" s="266"/>
      <c r="AI22" s="178"/>
    </row>
    <row r="23" spans="1:35" x14ac:dyDescent="0.25">
      <c r="L23" s="302">
        <v>2000</v>
      </c>
      <c r="M23" s="304">
        <v>1582240</v>
      </c>
      <c r="N23" s="307">
        <v>4</v>
      </c>
      <c r="O23" s="288"/>
      <c r="P23" s="288"/>
      <c r="Q23" s="288"/>
      <c r="R23" s="381">
        <v>2000</v>
      </c>
      <c r="S23" s="383">
        <v>1582240</v>
      </c>
      <c r="T23" s="383">
        <v>4</v>
      </c>
      <c r="U23" s="384">
        <v>100</v>
      </c>
      <c r="Y23" s="284">
        <v>38322</v>
      </c>
      <c r="Z23" s="285">
        <f>YEAR(Y23)</f>
        <v>2004</v>
      </c>
      <c r="AA23" s="6">
        <f>MONTH(Y23)</f>
        <v>12</v>
      </c>
      <c r="AB23" s="314">
        <f>Z23</f>
        <v>2004</v>
      </c>
      <c r="AC23" s="314">
        <f>Z23-1</f>
        <v>2003</v>
      </c>
      <c r="AD23" s="298">
        <f>INDEX($U$23:$U$45,MATCH(AB23,$R$23:$R$45,0))</f>
        <v>112.83275609262817</v>
      </c>
      <c r="AE23" s="298">
        <f>INDEX($U$23:$U$45,MATCH(AC23,$R$23:$R$45,0))</f>
        <v>109.60480078875518</v>
      </c>
      <c r="AF23" s="290">
        <f>AD23</f>
        <v>112.83275609262817</v>
      </c>
      <c r="AG23" s="288"/>
      <c r="AH23" s="284"/>
    </row>
    <row r="24" spans="1:35" x14ac:dyDescent="0.25">
      <c r="L24" s="303">
        <v>2001</v>
      </c>
      <c r="M24" s="305">
        <v>1624999</v>
      </c>
      <c r="N24" s="308">
        <v>4</v>
      </c>
      <c r="O24" s="288"/>
      <c r="P24" s="288"/>
      <c r="Q24" s="288"/>
      <c r="R24" s="381">
        <v>2001</v>
      </c>
      <c r="S24" s="383">
        <v>1624999</v>
      </c>
      <c r="T24" s="383">
        <v>4</v>
      </c>
      <c r="U24" s="384">
        <v>102.7024345232076</v>
      </c>
      <c r="Y24" s="284">
        <v>38353</v>
      </c>
      <c r="Z24" s="285">
        <f>YEAR(Y24)</f>
        <v>2005</v>
      </c>
      <c r="AA24" s="6">
        <f>MONTH(Y24)</f>
        <v>1</v>
      </c>
      <c r="AB24" s="314">
        <f>Z24</f>
        <v>2005</v>
      </c>
      <c r="AC24" s="314">
        <f>Z24-1</f>
        <v>2004</v>
      </c>
      <c r="AD24" s="298">
        <f>INDEX($U$23:$U$45,MATCH(AB24,$R$23:$R$45,0))</f>
        <v>116.37659267873394</v>
      </c>
      <c r="AE24" s="298">
        <f t="shared" ref="AE24:AE87" si="0">INDEX($U$23:$U$45,MATCH(AC24,$R$23:$R$45,0))</f>
        <v>112.83275609262817</v>
      </c>
      <c r="AF24" s="290">
        <f>IF(AA24=12,AD24,AF23*(AD24/AE24)^(1/12))</f>
        <v>113.1239079984974</v>
      </c>
      <c r="AG24" s="296">
        <f>(1+AF24/AF23-1)^12-1</f>
        <v>3.1407870452058617E-2</v>
      </c>
      <c r="AH24" s="284"/>
    </row>
    <row r="25" spans="1:35" ht="24.6" x14ac:dyDescent="0.4">
      <c r="A25" s="292" t="s">
        <v>247</v>
      </c>
      <c r="B25" s="292"/>
      <c r="C25" s="292"/>
      <c r="D25" s="292"/>
      <c r="E25" s="287"/>
      <c r="F25" s="287"/>
      <c r="L25" s="303">
        <v>2002</v>
      </c>
      <c r="M25" s="305">
        <v>1686040</v>
      </c>
      <c r="N25" s="308">
        <v>4</v>
      </c>
      <c r="O25" s="288"/>
      <c r="P25" s="288"/>
      <c r="Q25" s="288"/>
      <c r="R25" s="381">
        <v>2002</v>
      </c>
      <c r="S25" s="383">
        <v>1686040</v>
      </c>
      <c r="T25" s="383">
        <v>4</v>
      </c>
      <c r="U25" s="384">
        <v>106.56031954697139</v>
      </c>
      <c r="Y25" s="284">
        <v>38384</v>
      </c>
      <c r="Z25" s="285">
        <f t="shared" ref="Z25:Z88" si="1">YEAR(Y25)</f>
        <v>2005</v>
      </c>
      <c r="AA25" s="6">
        <f t="shared" ref="AA25:AA88" si="2">MONTH(Y25)</f>
        <v>2</v>
      </c>
      <c r="AB25" s="314">
        <f t="shared" ref="AB25:AB88" si="3">Z25</f>
        <v>2005</v>
      </c>
      <c r="AC25" s="314">
        <f t="shared" ref="AC25:AC88" si="4">Z25-1</f>
        <v>2004</v>
      </c>
      <c r="AD25" s="298">
        <f t="shared" ref="AD25:AD88" si="5">INDEX($U$23:$U$45,MATCH(AB25,$R$23:$R$45,0))</f>
        <v>116.37659267873394</v>
      </c>
      <c r="AE25" s="298">
        <f t="shared" si="0"/>
        <v>112.83275609262817</v>
      </c>
      <c r="AF25" s="290">
        <f t="shared" ref="AF25:AF88" si="6">IF(AA25=12,AD25,AF24*(AD25/AE25)^(1/12))</f>
        <v>113.41581118825995</v>
      </c>
      <c r="AG25" s="296">
        <f t="shared" ref="AG25:AG88" si="7">(1+AF25/AF24-1)^12-1</f>
        <v>3.1407870452058617E-2</v>
      </c>
      <c r="AH25" s="284"/>
    </row>
    <row r="26" spans="1:35" x14ac:dyDescent="0.25">
      <c r="L26" s="303">
        <v>2003</v>
      </c>
      <c r="M26" s="305">
        <v>1734211</v>
      </c>
      <c r="N26" s="308">
        <v>4</v>
      </c>
      <c r="O26" s="288"/>
      <c r="P26" s="288"/>
      <c r="Q26" s="288"/>
      <c r="R26" s="381">
        <v>2003</v>
      </c>
      <c r="S26" s="383">
        <v>1734211</v>
      </c>
      <c r="T26" s="383">
        <v>4</v>
      </c>
      <c r="U26" s="384">
        <v>109.60480078875518</v>
      </c>
      <c r="Y26" s="284">
        <v>38412</v>
      </c>
      <c r="Z26" s="285">
        <f t="shared" si="1"/>
        <v>2005</v>
      </c>
      <c r="AA26" s="6">
        <f t="shared" si="2"/>
        <v>3</v>
      </c>
      <c r="AB26" s="314">
        <f t="shared" si="3"/>
        <v>2005</v>
      </c>
      <c r="AC26" s="314">
        <f t="shared" si="4"/>
        <v>2004</v>
      </c>
      <c r="AD26" s="298">
        <f t="shared" si="5"/>
        <v>116.37659267873394</v>
      </c>
      <c r="AE26" s="298">
        <f t="shared" si="0"/>
        <v>112.83275609262817</v>
      </c>
      <c r="AF26" s="290">
        <f t="shared" si="6"/>
        <v>113.70846760051721</v>
      </c>
      <c r="AG26" s="296">
        <f t="shared" si="7"/>
        <v>3.1407870452058617E-2</v>
      </c>
      <c r="AH26" s="284"/>
    </row>
    <row r="27" spans="1:35" x14ac:dyDescent="0.25">
      <c r="B27" t="s">
        <v>213</v>
      </c>
      <c r="C27" s="283" t="s">
        <v>214</v>
      </c>
      <c r="D27" t="s">
        <v>215</v>
      </c>
      <c r="L27" s="303">
        <v>2004</v>
      </c>
      <c r="M27" s="305">
        <v>1785285</v>
      </c>
      <c r="N27" s="308">
        <v>4</v>
      </c>
      <c r="O27" s="288"/>
      <c r="P27" s="288"/>
      <c r="Q27" s="288"/>
      <c r="R27" s="381">
        <v>2004</v>
      </c>
      <c r="S27" s="383">
        <v>1785285</v>
      </c>
      <c r="T27" s="383">
        <v>4</v>
      </c>
      <c r="U27" s="384">
        <v>112.83275609262817</v>
      </c>
      <c r="Y27" s="284">
        <v>38443</v>
      </c>
      <c r="Z27" s="285">
        <f t="shared" si="1"/>
        <v>2005</v>
      </c>
      <c r="AA27" s="6">
        <f t="shared" si="2"/>
        <v>4</v>
      </c>
      <c r="AB27" s="314">
        <f t="shared" si="3"/>
        <v>2005</v>
      </c>
      <c r="AC27" s="314">
        <f t="shared" si="4"/>
        <v>2004</v>
      </c>
      <c r="AD27" s="298">
        <f t="shared" si="5"/>
        <v>116.37659267873394</v>
      </c>
      <c r="AE27" s="298">
        <f t="shared" si="0"/>
        <v>112.83275609262817</v>
      </c>
      <c r="AF27" s="290">
        <f t="shared" si="6"/>
        <v>114.0018791788729</v>
      </c>
      <c r="AG27" s="296">
        <f t="shared" si="7"/>
        <v>3.1407870452058617E-2</v>
      </c>
      <c r="AH27" s="284"/>
    </row>
    <row r="28" spans="1:35" x14ac:dyDescent="0.25">
      <c r="L28" s="303">
        <v>2005</v>
      </c>
      <c r="M28" s="305">
        <v>1841357</v>
      </c>
      <c r="N28" s="308">
        <v>4</v>
      </c>
      <c r="O28" s="288"/>
      <c r="P28" s="288"/>
      <c r="Q28" s="288"/>
      <c r="R28" s="381">
        <v>2005</v>
      </c>
      <c r="S28" s="383">
        <v>1841357</v>
      </c>
      <c r="T28" s="383">
        <v>4</v>
      </c>
      <c r="U28" s="384">
        <v>116.37659267873394</v>
      </c>
      <c r="Y28" s="284">
        <v>38473</v>
      </c>
      <c r="Z28" s="285">
        <f t="shared" si="1"/>
        <v>2005</v>
      </c>
      <c r="AA28" s="6">
        <f t="shared" si="2"/>
        <v>5</v>
      </c>
      <c r="AB28" s="314">
        <f t="shared" si="3"/>
        <v>2005</v>
      </c>
      <c r="AC28" s="314">
        <f t="shared" si="4"/>
        <v>2004</v>
      </c>
      <c r="AD28" s="298">
        <f t="shared" si="5"/>
        <v>116.37659267873394</v>
      </c>
      <c r="AE28" s="298">
        <f t="shared" si="0"/>
        <v>112.83275609262817</v>
      </c>
      <c r="AF28" s="290">
        <f t="shared" si="6"/>
        <v>114.29604787194599</v>
      </c>
      <c r="AG28" s="296">
        <f t="shared" si="7"/>
        <v>3.1407870452058617E-2</v>
      </c>
      <c r="AH28" s="284"/>
    </row>
    <row r="29" spans="1:35" x14ac:dyDescent="0.25">
      <c r="L29" s="303">
        <v>2006</v>
      </c>
      <c r="M29" s="305">
        <v>1906361</v>
      </c>
      <c r="N29" s="308">
        <v>4</v>
      </c>
      <c r="O29" s="288"/>
      <c r="P29" s="288"/>
      <c r="Q29" s="288"/>
      <c r="R29" s="381">
        <v>2006</v>
      </c>
      <c r="S29" s="383">
        <v>1906361</v>
      </c>
      <c r="T29" s="383">
        <v>4</v>
      </c>
      <c r="U29" s="384">
        <v>120.48494539387198</v>
      </c>
      <c r="Y29" s="284">
        <v>38504</v>
      </c>
      <c r="Z29" s="285">
        <f t="shared" si="1"/>
        <v>2005</v>
      </c>
      <c r="AA29" s="6">
        <f t="shared" si="2"/>
        <v>6</v>
      </c>
      <c r="AB29" s="314">
        <f t="shared" si="3"/>
        <v>2005</v>
      </c>
      <c r="AC29" s="314">
        <f t="shared" si="4"/>
        <v>2004</v>
      </c>
      <c r="AD29" s="298">
        <f t="shared" si="5"/>
        <v>116.37659267873394</v>
      </c>
      <c r="AE29" s="298">
        <f t="shared" si="0"/>
        <v>112.83275609262817</v>
      </c>
      <c r="AF29" s="290">
        <f t="shared" si="6"/>
        <v>114.59097563338362</v>
      </c>
      <c r="AG29" s="296">
        <f t="shared" si="7"/>
        <v>3.1407870452058617E-2</v>
      </c>
      <c r="AH29" s="284"/>
    </row>
    <row r="30" spans="1:35" x14ac:dyDescent="0.25">
      <c r="L30" s="303">
        <v>2007</v>
      </c>
      <c r="M30" s="305">
        <v>1958792</v>
      </c>
      <c r="N30" s="308">
        <v>4</v>
      </c>
      <c r="O30" s="288"/>
      <c r="P30" s="288"/>
      <c r="Q30" s="288"/>
      <c r="R30" s="381">
        <v>2007</v>
      </c>
      <c r="S30" s="383">
        <v>1958792</v>
      </c>
      <c r="T30" s="383">
        <v>4</v>
      </c>
      <c r="U30" s="384">
        <v>123.79866518353725</v>
      </c>
      <c r="Y30" s="284">
        <v>38534</v>
      </c>
      <c r="Z30" s="285">
        <f t="shared" si="1"/>
        <v>2005</v>
      </c>
      <c r="AA30" s="6">
        <f t="shared" si="2"/>
        <v>7</v>
      </c>
      <c r="AB30" s="314">
        <f t="shared" si="3"/>
        <v>2005</v>
      </c>
      <c r="AC30" s="314">
        <f t="shared" si="4"/>
        <v>2004</v>
      </c>
      <c r="AD30" s="298">
        <f t="shared" si="5"/>
        <v>116.37659267873394</v>
      </c>
      <c r="AE30" s="298">
        <f t="shared" si="0"/>
        <v>112.83275609262817</v>
      </c>
      <c r="AF30" s="290">
        <f t="shared" si="6"/>
        <v>114.88666442187413</v>
      </c>
      <c r="AG30" s="296">
        <f t="shared" si="7"/>
        <v>3.1407870452058617E-2</v>
      </c>
      <c r="AH30" s="284"/>
    </row>
    <row r="31" spans="1:35" ht="24.6" x14ac:dyDescent="0.4">
      <c r="A31" s="292" t="s">
        <v>248</v>
      </c>
      <c r="B31" s="292"/>
      <c r="C31" s="292"/>
      <c r="D31" s="292"/>
      <c r="E31" s="287"/>
      <c r="F31" s="287"/>
      <c r="L31" s="303">
        <v>2008</v>
      </c>
      <c r="M31" s="305">
        <v>2021591</v>
      </c>
      <c r="N31" s="308">
        <v>4</v>
      </c>
      <c r="O31" s="288"/>
      <c r="P31" s="288"/>
      <c r="Q31" s="288"/>
      <c r="R31" s="381">
        <v>2008</v>
      </c>
      <c r="S31" s="383">
        <v>2021591</v>
      </c>
      <c r="T31" s="383">
        <v>4</v>
      </c>
      <c r="U31" s="384">
        <v>127.76765850945495</v>
      </c>
      <c r="Y31" s="284">
        <v>38565</v>
      </c>
      <c r="Z31" s="285">
        <f t="shared" si="1"/>
        <v>2005</v>
      </c>
      <c r="AA31" s="6">
        <f t="shared" si="2"/>
        <v>8</v>
      </c>
      <c r="AB31" s="314">
        <f t="shared" si="3"/>
        <v>2005</v>
      </c>
      <c r="AC31" s="314">
        <f t="shared" si="4"/>
        <v>2004</v>
      </c>
      <c r="AD31" s="298">
        <f t="shared" si="5"/>
        <v>116.37659267873394</v>
      </c>
      <c r="AE31" s="298">
        <f t="shared" si="0"/>
        <v>112.83275609262817</v>
      </c>
      <c r="AF31" s="290">
        <f t="shared" si="6"/>
        <v>115.18311620115999</v>
      </c>
      <c r="AG31" s="296">
        <f t="shared" si="7"/>
        <v>3.1407870452058617E-2</v>
      </c>
      <c r="AH31" s="284"/>
    </row>
    <row r="32" spans="1:35" x14ac:dyDescent="0.25">
      <c r="B32" s="178"/>
      <c r="C32" s="178"/>
      <c r="L32" s="303">
        <v>2009</v>
      </c>
      <c r="M32" s="305">
        <v>2031225</v>
      </c>
      <c r="N32" s="308">
        <v>4</v>
      </c>
      <c r="O32" s="288"/>
      <c r="P32" s="288"/>
      <c r="Q32" s="288"/>
      <c r="R32" s="381">
        <v>2009</v>
      </c>
      <c r="S32" s="383">
        <v>2031225</v>
      </c>
      <c r="T32" s="383">
        <v>4</v>
      </c>
      <c r="U32" s="384">
        <v>128.3765421175043</v>
      </c>
      <c r="Y32" s="284">
        <v>38596</v>
      </c>
      <c r="Z32" s="285">
        <f t="shared" si="1"/>
        <v>2005</v>
      </c>
      <c r="AA32" s="6">
        <f t="shared" si="2"/>
        <v>9</v>
      </c>
      <c r="AB32" s="314">
        <f t="shared" si="3"/>
        <v>2005</v>
      </c>
      <c r="AC32" s="314">
        <f t="shared" si="4"/>
        <v>2004</v>
      </c>
      <c r="AD32" s="298">
        <f t="shared" si="5"/>
        <v>116.37659267873394</v>
      </c>
      <c r="AE32" s="298">
        <f t="shared" si="0"/>
        <v>112.83275609262817</v>
      </c>
      <c r="AF32" s="290">
        <f t="shared" si="6"/>
        <v>115.4803329400509</v>
      </c>
      <c r="AG32" s="296">
        <f t="shared" si="7"/>
        <v>3.1407870452058617E-2</v>
      </c>
      <c r="AH32" s="284"/>
    </row>
    <row r="33" spans="12:34" x14ac:dyDescent="0.25">
      <c r="L33" s="303">
        <v>2010</v>
      </c>
      <c r="M33" s="305">
        <v>2098840</v>
      </c>
      <c r="N33" s="308">
        <v>4</v>
      </c>
      <c r="O33" s="288"/>
      <c r="P33" s="288"/>
      <c r="Q33" s="288"/>
      <c r="R33" s="381">
        <v>2010</v>
      </c>
      <c r="S33" s="383">
        <v>2098840</v>
      </c>
      <c r="T33" s="383">
        <v>4</v>
      </c>
      <c r="U33" s="384">
        <v>132.64991404590961</v>
      </c>
      <c r="Y33" s="284">
        <v>38626</v>
      </c>
      <c r="Z33" s="285">
        <f t="shared" si="1"/>
        <v>2005</v>
      </c>
      <c r="AA33" s="6">
        <f t="shared" si="2"/>
        <v>10</v>
      </c>
      <c r="AB33" s="314">
        <f t="shared" si="3"/>
        <v>2005</v>
      </c>
      <c r="AC33" s="314">
        <f t="shared" si="4"/>
        <v>2004</v>
      </c>
      <c r="AD33" s="298">
        <f t="shared" si="5"/>
        <v>116.37659267873394</v>
      </c>
      <c r="AE33" s="298">
        <f t="shared" si="0"/>
        <v>112.83275609262817</v>
      </c>
      <c r="AF33" s="290">
        <f t="shared" si="6"/>
        <v>115.77831661243684</v>
      </c>
      <c r="AG33" s="296">
        <f t="shared" si="7"/>
        <v>3.1407870452058617E-2</v>
      </c>
      <c r="AH33" s="284"/>
    </row>
    <row r="34" spans="12:34" x14ac:dyDescent="0.25">
      <c r="L34" s="303">
        <v>2011</v>
      </c>
      <c r="M34" s="305">
        <v>2130940</v>
      </c>
      <c r="N34" s="308">
        <v>4</v>
      </c>
      <c r="O34" s="288"/>
      <c r="P34" s="288"/>
      <c r="Q34" s="288"/>
      <c r="R34" s="381">
        <v>2011</v>
      </c>
      <c r="S34" s="383">
        <v>2130940</v>
      </c>
      <c r="T34" s="383">
        <v>4</v>
      </c>
      <c r="U34" s="384">
        <v>134.67868338557994</v>
      </c>
      <c r="Y34" s="284">
        <v>38657</v>
      </c>
      <c r="Z34" s="285">
        <f t="shared" si="1"/>
        <v>2005</v>
      </c>
      <c r="AA34" s="6">
        <f t="shared" si="2"/>
        <v>11</v>
      </c>
      <c r="AB34" s="314">
        <f t="shared" si="3"/>
        <v>2005</v>
      </c>
      <c r="AC34" s="314">
        <f t="shared" si="4"/>
        <v>2004</v>
      </c>
      <c r="AD34" s="298">
        <f t="shared" si="5"/>
        <v>116.37659267873394</v>
      </c>
      <c r="AE34" s="298">
        <f t="shared" si="0"/>
        <v>112.83275609262817</v>
      </c>
      <c r="AF34" s="290">
        <f t="shared" si="6"/>
        <v>116.0770691973012</v>
      </c>
      <c r="AG34" s="296">
        <f t="shared" si="7"/>
        <v>3.1407870452058617E-2</v>
      </c>
      <c r="AH34" s="284"/>
    </row>
    <row r="35" spans="12:34" x14ac:dyDescent="0.25">
      <c r="L35" s="303">
        <v>2012</v>
      </c>
      <c r="M35" s="305">
        <v>2154644</v>
      </c>
      <c r="N35" s="308">
        <v>4</v>
      </c>
      <c r="O35" s="288"/>
      <c r="P35" s="288"/>
      <c r="Q35" s="288"/>
      <c r="R35" s="381">
        <v>2012</v>
      </c>
      <c r="S35" s="383">
        <v>2154644</v>
      </c>
      <c r="T35" s="383">
        <v>4</v>
      </c>
      <c r="U35" s="384">
        <v>136.17681262008293</v>
      </c>
      <c r="Y35" s="284">
        <v>38687</v>
      </c>
      <c r="Z35" s="285">
        <f t="shared" si="1"/>
        <v>2005</v>
      </c>
      <c r="AA35" s="6">
        <f t="shared" si="2"/>
        <v>12</v>
      </c>
      <c r="AB35" s="314">
        <f t="shared" si="3"/>
        <v>2005</v>
      </c>
      <c r="AC35" s="314">
        <f t="shared" si="4"/>
        <v>2004</v>
      </c>
      <c r="AD35" s="298">
        <f t="shared" si="5"/>
        <v>116.37659267873394</v>
      </c>
      <c r="AE35" s="298">
        <f t="shared" si="0"/>
        <v>112.83275609262817</v>
      </c>
      <c r="AF35" s="290">
        <f t="shared" si="6"/>
        <v>116.37659267873394</v>
      </c>
      <c r="AG35" s="296">
        <f t="shared" si="7"/>
        <v>3.1407870452058617E-2</v>
      </c>
      <c r="AH35" s="284"/>
    </row>
    <row r="36" spans="12:34" x14ac:dyDescent="0.25">
      <c r="L36" s="303">
        <v>2013</v>
      </c>
      <c r="M36" s="305">
        <v>2184399</v>
      </c>
      <c r="N36" s="308">
        <v>4</v>
      </c>
      <c r="O36" s="288"/>
      <c r="P36" s="288"/>
      <c r="Q36" s="288"/>
      <c r="R36" s="381">
        <v>2013</v>
      </c>
      <c r="S36" s="383">
        <v>2184399</v>
      </c>
      <c r="T36" s="383">
        <v>4</v>
      </c>
      <c r="U36" s="384">
        <v>138.05737435534434</v>
      </c>
      <c r="Y36" s="294">
        <v>38718</v>
      </c>
      <c r="Z36" s="295">
        <f t="shared" si="1"/>
        <v>2006</v>
      </c>
      <c r="AA36" s="6">
        <f t="shared" si="2"/>
        <v>1</v>
      </c>
      <c r="AB36" s="314">
        <f t="shared" si="3"/>
        <v>2006</v>
      </c>
      <c r="AC36" s="314">
        <f t="shared" si="4"/>
        <v>2005</v>
      </c>
      <c r="AD36" s="298">
        <f t="shared" si="5"/>
        <v>120.48494539387198</v>
      </c>
      <c r="AE36" s="298">
        <f t="shared" si="0"/>
        <v>116.37659267873394</v>
      </c>
      <c r="AF36" s="290">
        <f t="shared" si="6"/>
        <v>116.71353772136111</v>
      </c>
      <c r="AG36" s="296">
        <f t="shared" si="7"/>
        <v>3.5302225478275995E-2</v>
      </c>
      <c r="AH36" s="294"/>
    </row>
    <row r="37" spans="12:34" x14ac:dyDescent="0.25">
      <c r="L37" s="303">
        <v>2014</v>
      </c>
      <c r="M37" s="305">
        <v>2230633</v>
      </c>
      <c r="N37" s="308">
        <v>4</v>
      </c>
      <c r="O37" s="288"/>
      <c r="P37" s="288"/>
      <c r="Q37" s="288"/>
      <c r="R37" s="381">
        <v>2014</v>
      </c>
      <c r="S37" s="383">
        <v>2230633</v>
      </c>
      <c r="T37" s="383">
        <v>4</v>
      </c>
      <c r="U37" s="384">
        <v>140.97943421984021</v>
      </c>
      <c r="Y37" s="284">
        <v>38749</v>
      </c>
      <c r="Z37" s="285">
        <f t="shared" si="1"/>
        <v>2006</v>
      </c>
      <c r="AA37" s="6">
        <f t="shared" si="2"/>
        <v>2</v>
      </c>
      <c r="AB37" s="314">
        <f t="shared" si="3"/>
        <v>2006</v>
      </c>
      <c r="AC37" s="314">
        <f t="shared" si="4"/>
        <v>2005</v>
      </c>
      <c r="AD37" s="298">
        <f t="shared" si="5"/>
        <v>120.48494539387198</v>
      </c>
      <c r="AE37" s="298">
        <f t="shared" si="0"/>
        <v>116.37659267873394</v>
      </c>
      <c r="AF37" s="290">
        <f t="shared" si="6"/>
        <v>117.05145832066283</v>
      </c>
      <c r="AG37" s="296">
        <f t="shared" si="7"/>
        <v>3.5302225478275995E-2</v>
      </c>
      <c r="AH37" s="284"/>
    </row>
    <row r="38" spans="12:34" x14ac:dyDescent="0.25">
      <c r="L38" s="303">
        <v>2015</v>
      </c>
      <c r="M38" s="305">
        <v>2292945</v>
      </c>
      <c r="N38" s="308">
        <v>4</v>
      </c>
      <c r="O38" s="288"/>
      <c r="P38" s="288"/>
      <c r="Q38" s="288"/>
      <c r="R38" s="381">
        <v>2015</v>
      </c>
      <c r="S38" s="383">
        <v>2292945</v>
      </c>
      <c r="T38" s="383">
        <v>4</v>
      </c>
      <c r="U38" s="384">
        <v>144.91764839720901</v>
      </c>
      <c r="Y38" s="284">
        <v>38777</v>
      </c>
      <c r="Z38" s="285">
        <f t="shared" si="1"/>
        <v>2006</v>
      </c>
      <c r="AA38" s="6">
        <f t="shared" si="2"/>
        <v>3</v>
      </c>
      <c r="AB38" s="314">
        <f t="shared" si="3"/>
        <v>2006</v>
      </c>
      <c r="AC38" s="314">
        <f t="shared" si="4"/>
        <v>2005</v>
      </c>
      <c r="AD38" s="298">
        <f t="shared" si="5"/>
        <v>120.48494539387198</v>
      </c>
      <c r="AE38" s="298">
        <f t="shared" si="0"/>
        <v>116.37659267873394</v>
      </c>
      <c r="AF38" s="290">
        <f t="shared" si="6"/>
        <v>117.39035730116747</v>
      </c>
      <c r="AG38" s="296">
        <f t="shared" si="7"/>
        <v>3.5302225478275995E-2</v>
      </c>
      <c r="AH38" s="284"/>
    </row>
    <row r="39" spans="12:34" x14ac:dyDescent="0.25">
      <c r="L39" s="303">
        <v>2016</v>
      </c>
      <c r="M39" s="305">
        <v>2345160</v>
      </c>
      <c r="N39" s="308">
        <v>4</v>
      </c>
      <c r="O39" s="288"/>
      <c r="P39" s="288"/>
      <c r="Q39" s="288"/>
      <c r="R39" s="381">
        <v>2016</v>
      </c>
      <c r="S39" s="383">
        <v>2345160</v>
      </c>
      <c r="T39" s="383">
        <v>4</v>
      </c>
      <c r="U39" s="384">
        <v>148.21771665486904</v>
      </c>
      <c r="Y39" s="284">
        <v>38808</v>
      </c>
      <c r="Z39" s="285">
        <f t="shared" si="1"/>
        <v>2006</v>
      </c>
      <c r="AA39" s="6">
        <f t="shared" si="2"/>
        <v>4</v>
      </c>
      <c r="AB39" s="314">
        <f t="shared" si="3"/>
        <v>2006</v>
      </c>
      <c r="AC39" s="314">
        <f t="shared" si="4"/>
        <v>2005</v>
      </c>
      <c r="AD39" s="298">
        <f t="shared" si="5"/>
        <v>120.48494539387198</v>
      </c>
      <c r="AE39" s="298">
        <f t="shared" si="0"/>
        <v>116.37659267873394</v>
      </c>
      <c r="AF39" s="290">
        <f t="shared" si="6"/>
        <v>117.73023749558124</v>
      </c>
      <c r="AG39" s="296">
        <f t="shared" si="7"/>
        <v>3.5302225478275995E-2</v>
      </c>
      <c r="AH39" s="284"/>
    </row>
    <row r="40" spans="12:34" x14ac:dyDescent="0.25">
      <c r="L40" s="303">
        <v>2017</v>
      </c>
      <c r="M40" s="305">
        <v>2428084</v>
      </c>
      <c r="N40" s="308">
        <v>4</v>
      </c>
      <c r="O40" s="288"/>
      <c r="P40" s="288"/>
      <c r="Q40" s="288"/>
      <c r="R40" s="381">
        <v>2017</v>
      </c>
      <c r="S40" s="383">
        <v>2428084</v>
      </c>
      <c r="T40" s="383">
        <v>4</v>
      </c>
      <c r="U40" s="384">
        <v>153.45864091414703</v>
      </c>
      <c r="Y40" s="284">
        <v>38838</v>
      </c>
      <c r="Z40" s="285">
        <f t="shared" si="1"/>
        <v>2006</v>
      </c>
      <c r="AA40" s="6">
        <f t="shared" si="2"/>
        <v>5</v>
      </c>
      <c r="AB40" s="314">
        <f t="shared" si="3"/>
        <v>2006</v>
      </c>
      <c r="AC40" s="314">
        <f t="shared" si="4"/>
        <v>2005</v>
      </c>
      <c r="AD40" s="298">
        <f t="shared" si="5"/>
        <v>120.48494539387198</v>
      </c>
      <c r="AE40" s="298">
        <f t="shared" si="0"/>
        <v>116.37659267873394</v>
      </c>
      <c r="AF40" s="290">
        <f t="shared" si="6"/>
        <v>118.07110174481186</v>
      </c>
      <c r="AG40" s="296">
        <f t="shared" si="7"/>
        <v>3.5302225478275995E-2</v>
      </c>
      <c r="AH40" s="284"/>
    </row>
    <row r="41" spans="12:34" x14ac:dyDescent="0.25">
      <c r="L41" s="303">
        <v>2018</v>
      </c>
      <c r="M41" s="305">
        <v>2505181</v>
      </c>
      <c r="N41" s="308">
        <v>4</v>
      </c>
      <c r="O41" s="288"/>
      <c r="P41" s="288"/>
      <c r="Q41" s="288"/>
      <c r="R41" s="381">
        <v>2018</v>
      </c>
      <c r="S41" s="383">
        <v>2505181</v>
      </c>
      <c r="T41" s="383">
        <v>4</v>
      </c>
      <c r="U41" s="384">
        <v>158.33128981696836</v>
      </c>
      <c r="Y41" s="284">
        <v>38869</v>
      </c>
      <c r="Z41" s="285">
        <f t="shared" si="1"/>
        <v>2006</v>
      </c>
      <c r="AA41" s="6">
        <f t="shared" si="2"/>
        <v>6</v>
      </c>
      <c r="AB41" s="314">
        <f t="shared" si="3"/>
        <v>2006</v>
      </c>
      <c r="AC41" s="314">
        <f t="shared" si="4"/>
        <v>2005</v>
      </c>
      <c r="AD41" s="298">
        <f t="shared" si="5"/>
        <v>120.48494539387198</v>
      </c>
      <c r="AE41" s="298">
        <f t="shared" si="0"/>
        <v>116.37659267873394</v>
      </c>
      <c r="AF41" s="290">
        <f t="shared" si="6"/>
        <v>118.41295289799234</v>
      </c>
      <c r="AG41" s="296">
        <f t="shared" si="7"/>
        <v>3.5302225478275995E-2</v>
      </c>
      <c r="AH41" s="284"/>
    </row>
    <row r="42" spans="12:34" x14ac:dyDescent="0.25">
      <c r="L42" s="303">
        <v>2019</v>
      </c>
      <c r="M42" s="305">
        <v>2549312</v>
      </c>
      <c r="N42" s="308">
        <v>4</v>
      </c>
      <c r="O42" s="288"/>
      <c r="P42" s="288"/>
      <c r="Q42" s="288"/>
      <c r="R42" s="381">
        <v>2019</v>
      </c>
      <c r="S42" s="383">
        <v>2549312</v>
      </c>
      <c r="T42" s="383">
        <v>4</v>
      </c>
      <c r="U42" s="384">
        <v>161.12043684902417</v>
      </c>
      <c r="Y42" s="284">
        <v>38899</v>
      </c>
      <c r="Z42" s="285">
        <f t="shared" si="1"/>
        <v>2006</v>
      </c>
      <c r="AA42" s="6">
        <f t="shared" si="2"/>
        <v>7</v>
      </c>
      <c r="AB42" s="314">
        <f t="shared" si="3"/>
        <v>2006</v>
      </c>
      <c r="AC42" s="314">
        <f t="shared" si="4"/>
        <v>2005</v>
      </c>
      <c r="AD42" s="298">
        <f t="shared" si="5"/>
        <v>120.48494539387198</v>
      </c>
      <c r="AE42" s="298">
        <f t="shared" si="0"/>
        <v>116.37659267873394</v>
      </c>
      <c r="AF42" s="290">
        <f t="shared" si="6"/>
        <v>118.75579381250481</v>
      </c>
      <c r="AG42" s="296">
        <f t="shared" si="7"/>
        <v>3.5302225478275995E-2</v>
      </c>
      <c r="AH42" s="284"/>
    </row>
    <row r="43" spans="12:34" x14ac:dyDescent="0.25">
      <c r="L43" s="310">
        <v>2020</v>
      </c>
      <c r="M43" s="311">
        <v>2431468</v>
      </c>
      <c r="N43" s="312">
        <v>4</v>
      </c>
      <c r="O43" s="288"/>
      <c r="P43" s="288"/>
      <c r="Q43" s="288"/>
      <c r="R43" s="381">
        <v>2020</v>
      </c>
      <c r="S43" s="493">
        <v>2431468</v>
      </c>
      <c r="T43" s="493">
        <v>4</v>
      </c>
      <c r="U43" s="385">
        <f>U42*(1+AP13)</f>
        <v>151.77545151178077</v>
      </c>
      <c r="Y43" s="284">
        <v>38930</v>
      </c>
      <c r="Z43" s="285">
        <f t="shared" si="1"/>
        <v>2006</v>
      </c>
      <c r="AA43" s="6">
        <f t="shared" si="2"/>
        <v>8</v>
      </c>
      <c r="AB43" s="314">
        <f t="shared" si="3"/>
        <v>2006</v>
      </c>
      <c r="AC43" s="314">
        <f t="shared" si="4"/>
        <v>2005</v>
      </c>
      <c r="AD43" s="298">
        <f t="shared" si="5"/>
        <v>120.48494539387198</v>
      </c>
      <c r="AE43" s="298">
        <f t="shared" si="0"/>
        <v>116.37659267873394</v>
      </c>
      <c r="AF43" s="290">
        <f t="shared" si="6"/>
        <v>119.09962735400433</v>
      </c>
      <c r="AG43" s="296">
        <f t="shared" si="7"/>
        <v>3.5302225478275995E-2</v>
      </c>
      <c r="AH43" s="284"/>
    </row>
    <row r="44" spans="12:34" x14ac:dyDescent="0.25">
      <c r="L44" s="337"/>
      <c r="R44" s="381">
        <v>2021</v>
      </c>
      <c r="S44" s="54"/>
      <c r="T44" s="54"/>
      <c r="U44" s="385">
        <f t="shared" ref="U44:U45" si="8">U43*(1+AP14)</f>
        <v>161.03375405399939</v>
      </c>
      <c r="Y44" s="284">
        <v>38961</v>
      </c>
      <c r="Z44" s="285">
        <f t="shared" si="1"/>
        <v>2006</v>
      </c>
      <c r="AA44" s="6">
        <f t="shared" si="2"/>
        <v>9</v>
      </c>
      <c r="AB44" s="314">
        <f t="shared" si="3"/>
        <v>2006</v>
      </c>
      <c r="AC44" s="314">
        <f t="shared" si="4"/>
        <v>2005</v>
      </c>
      <c r="AD44" s="298">
        <f t="shared" si="5"/>
        <v>120.48494539387198</v>
      </c>
      <c r="AE44" s="298">
        <f t="shared" si="0"/>
        <v>116.37659267873394</v>
      </c>
      <c r="AF44" s="290">
        <f t="shared" si="6"/>
        <v>119.44445639644292</v>
      </c>
      <c r="AG44" s="296">
        <f t="shared" si="7"/>
        <v>3.5302225478275995E-2</v>
      </c>
      <c r="AH44" s="284"/>
    </row>
    <row r="45" spans="12:34" x14ac:dyDescent="0.25">
      <c r="L45" s="337"/>
      <c r="R45" s="381">
        <v>2022</v>
      </c>
      <c r="S45" s="54"/>
      <c r="T45" s="54"/>
      <c r="U45" s="385">
        <f t="shared" si="8"/>
        <v>167.79717172426737</v>
      </c>
      <c r="Y45" s="284">
        <v>38991</v>
      </c>
      <c r="Z45" s="285">
        <f t="shared" si="1"/>
        <v>2006</v>
      </c>
      <c r="AA45" s="6">
        <f t="shared" si="2"/>
        <v>10</v>
      </c>
      <c r="AB45" s="314">
        <f t="shared" si="3"/>
        <v>2006</v>
      </c>
      <c r="AC45" s="314">
        <f t="shared" si="4"/>
        <v>2005</v>
      </c>
      <c r="AD45" s="298">
        <f t="shared" si="5"/>
        <v>120.48494539387198</v>
      </c>
      <c r="AE45" s="298">
        <f t="shared" si="0"/>
        <v>116.37659267873394</v>
      </c>
      <c r="AF45" s="290">
        <f t="shared" si="6"/>
        <v>119.79028382209353</v>
      </c>
      <c r="AG45" s="296">
        <f t="shared" si="7"/>
        <v>3.5302225478275995E-2</v>
      </c>
      <c r="AH45" s="284"/>
    </row>
    <row r="46" spans="12:34" x14ac:dyDescent="0.25">
      <c r="R46" s="379"/>
      <c r="S46" s="54"/>
      <c r="T46" s="54"/>
      <c r="U46" s="380"/>
      <c r="Y46" s="284">
        <v>39022</v>
      </c>
      <c r="Z46" s="285">
        <f t="shared" si="1"/>
        <v>2006</v>
      </c>
      <c r="AA46" s="6">
        <f t="shared" si="2"/>
        <v>11</v>
      </c>
      <c r="AB46" s="314">
        <f t="shared" si="3"/>
        <v>2006</v>
      </c>
      <c r="AC46" s="314">
        <f t="shared" si="4"/>
        <v>2005</v>
      </c>
      <c r="AD46" s="298">
        <f t="shared" si="5"/>
        <v>120.48494539387198</v>
      </c>
      <c r="AE46" s="298">
        <f t="shared" si="0"/>
        <v>116.37659267873394</v>
      </c>
      <c r="AF46" s="290">
        <f t="shared" si="6"/>
        <v>120.13711252157418</v>
      </c>
      <c r="AG46" s="296">
        <f t="shared" si="7"/>
        <v>3.5302225478275995E-2</v>
      </c>
      <c r="AH46" s="284"/>
    </row>
    <row r="47" spans="12:34" ht="13.8" thickBot="1" x14ac:dyDescent="0.3">
      <c r="R47" s="386"/>
      <c r="S47" s="387"/>
      <c r="T47" s="387"/>
      <c r="U47" s="388"/>
      <c r="Y47" s="284">
        <v>39052</v>
      </c>
      <c r="Z47" s="285">
        <f t="shared" si="1"/>
        <v>2006</v>
      </c>
      <c r="AA47" s="6">
        <f t="shared" si="2"/>
        <v>12</v>
      </c>
      <c r="AB47" s="314">
        <f t="shared" si="3"/>
        <v>2006</v>
      </c>
      <c r="AC47" s="314">
        <f t="shared" si="4"/>
        <v>2005</v>
      </c>
      <c r="AD47" s="298">
        <f t="shared" si="5"/>
        <v>120.48494539387198</v>
      </c>
      <c r="AE47" s="298">
        <f t="shared" si="0"/>
        <v>116.37659267873394</v>
      </c>
      <c r="AF47" s="290">
        <f t="shared" si="6"/>
        <v>120.48494539387198</v>
      </c>
      <c r="AG47" s="296">
        <f t="shared" si="7"/>
        <v>3.5302225478264893E-2</v>
      </c>
      <c r="AH47" s="284"/>
    </row>
    <row r="48" spans="12:34" x14ac:dyDescent="0.25">
      <c r="Y48" s="284">
        <v>39083</v>
      </c>
      <c r="Z48" s="285">
        <f t="shared" si="1"/>
        <v>2007</v>
      </c>
      <c r="AA48" s="6">
        <f t="shared" si="2"/>
        <v>1</v>
      </c>
      <c r="AB48" s="314">
        <f t="shared" si="3"/>
        <v>2007</v>
      </c>
      <c r="AC48" s="314">
        <f t="shared" si="4"/>
        <v>2006</v>
      </c>
      <c r="AD48" s="298">
        <f t="shared" si="5"/>
        <v>123.79866518353725</v>
      </c>
      <c r="AE48" s="298">
        <f t="shared" si="0"/>
        <v>120.48494539387198</v>
      </c>
      <c r="AF48" s="290">
        <f t="shared" si="6"/>
        <v>120.75766771495449</v>
      </c>
      <c r="AG48" s="296">
        <f t="shared" si="7"/>
        <v>2.7503185388283446E-2</v>
      </c>
      <c r="AH48" s="284"/>
    </row>
    <row r="49" spans="19:34" x14ac:dyDescent="0.25">
      <c r="S49" s="410"/>
      <c r="Y49" s="284">
        <v>39114</v>
      </c>
      <c r="Z49" s="285">
        <f t="shared" si="1"/>
        <v>2007</v>
      </c>
      <c r="AA49" s="6">
        <f t="shared" si="2"/>
        <v>2</v>
      </c>
      <c r="AB49" s="314">
        <f t="shared" si="3"/>
        <v>2007</v>
      </c>
      <c r="AC49" s="314">
        <f t="shared" si="4"/>
        <v>2006</v>
      </c>
      <c r="AD49" s="298">
        <f t="shared" si="5"/>
        <v>123.79866518353725</v>
      </c>
      <c r="AE49" s="298">
        <f t="shared" si="0"/>
        <v>120.48494539387198</v>
      </c>
      <c r="AF49" s="290">
        <f t="shared" si="6"/>
        <v>121.03100735352986</v>
      </c>
      <c r="AG49" s="296">
        <f t="shared" si="7"/>
        <v>2.7503185388283446E-2</v>
      </c>
      <c r="AH49" s="284"/>
    </row>
    <row r="50" spans="19:34" x14ac:dyDescent="0.25">
      <c r="Y50" s="284">
        <v>39142</v>
      </c>
      <c r="Z50" s="285">
        <f t="shared" si="1"/>
        <v>2007</v>
      </c>
      <c r="AA50" s="6">
        <f t="shared" si="2"/>
        <v>3</v>
      </c>
      <c r="AB50" s="314">
        <f t="shared" si="3"/>
        <v>2007</v>
      </c>
      <c r="AC50" s="314">
        <f t="shared" si="4"/>
        <v>2006</v>
      </c>
      <c r="AD50" s="298">
        <f t="shared" si="5"/>
        <v>123.79866518353725</v>
      </c>
      <c r="AE50" s="298">
        <f t="shared" si="0"/>
        <v>120.48494539387198</v>
      </c>
      <c r="AF50" s="290">
        <f t="shared" si="6"/>
        <v>121.30496570692003</v>
      </c>
      <c r="AG50" s="296">
        <f t="shared" si="7"/>
        <v>2.7503185388283446E-2</v>
      </c>
      <c r="AH50" s="284"/>
    </row>
    <row r="51" spans="19:34" x14ac:dyDescent="0.25">
      <c r="Y51" s="284">
        <v>39173</v>
      </c>
      <c r="Z51" s="285">
        <f t="shared" si="1"/>
        <v>2007</v>
      </c>
      <c r="AA51" s="6">
        <f t="shared" si="2"/>
        <v>4</v>
      </c>
      <c r="AB51" s="314">
        <f t="shared" si="3"/>
        <v>2007</v>
      </c>
      <c r="AC51" s="314">
        <f t="shared" si="4"/>
        <v>2006</v>
      </c>
      <c r="AD51" s="298">
        <f t="shared" si="5"/>
        <v>123.79866518353725</v>
      </c>
      <c r="AE51" s="298">
        <f t="shared" si="0"/>
        <v>120.48494539387198</v>
      </c>
      <c r="AF51" s="290">
        <f t="shared" si="6"/>
        <v>121.57954417560985</v>
      </c>
      <c r="AG51" s="296">
        <f t="shared" si="7"/>
        <v>2.7503185388283446E-2</v>
      </c>
      <c r="AH51" s="284"/>
    </row>
    <row r="52" spans="19:34" x14ac:dyDescent="0.25">
      <c r="Y52" s="284">
        <v>39203</v>
      </c>
      <c r="Z52" s="285">
        <f t="shared" si="1"/>
        <v>2007</v>
      </c>
      <c r="AA52" s="6">
        <f t="shared" si="2"/>
        <v>5</v>
      </c>
      <c r="AB52" s="314">
        <f t="shared" si="3"/>
        <v>2007</v>
      </c>
      <c r="AC52" s="314">
        <f t="shared" si="4"/>
        <v>2006</v>
      </c>
      <c r="AD52" s="298">
        <f t="shared" si="5"/>
        <v>123.79866518353725</v>
      </c>
      <c r="AE52" s="298">
        <f t="shared" si="0"/>
        <v>120.48494539387198</v>
      </c>
      <c r="AF52" s="290">
        <f t="shared" si="6"/>
        <v>121.85474416325422</v>
      </c>
      <c r="AG52" s="296">
        <f t="shared" si="7"/>
        <v>2.7503185388283446E-2</v>
      </c>
      <c r="AH52" s="284"/>
    </row>
    <row r="53" spans="19:34" x14ac:dyDescent="0.25">
      <c r="Y53" s="284">
        <v>39234</v>
      </c>
      <c r="Z53" s="285">
        <f t="shared" si="1"/>
        <v>2007</v>
      </c>
      <c r="AA53" s="6">
        <f t="shared" si="2"/>
        <v>6</v>
      </c>
      <c r="AB53" s="314">
        <f t="shared" si="3"/>
        <v>2007</v>
      </c>
      <c r="AC53" s="314">
        <f t="shared" si="4"/>
        <v>2006</v>
      </c>
      <c r="AD53" s="298">
        <f t="shared" si="5"/>
        <v>123.79866518353725</v>
      </c>
      <c r="AE53" s="298">
        <f t="shared" si="0"/>
        <v>120.48494539387198</v>
      </c>
      <c r="AF53" s="290">
        <f t="shared" si="6"/>
        <v>122.13056707668528</v>
      </c>
      <c r="AG53" s="296">
        <f t="shared" si="7"/>
        <v>2.7503185388283446E-2</v>
      </c>
      <c r="AH53" s="284"/>
    </row>
    <row r="54" spans="19:34" x14ac:dyDescent="0.25">
      <c r="Y54" s="284">
        <v>39264</v>
      </c>
      <c r="Z54" s="285">
        <f t="shared" si="1"/>
        <v>2007</v>
      </c>
      <c r="AA54" s="6">
        <f t="shared" si="2"/>
        <v>7</v>
      </c>
      <c r="AB54" s="314">
        <f t="shared" si="3"/>
        <v>2007</v>
      </c>
      <c r="AC54" s="314">
        <f t="shared" si="4"/>
        <v>2006</v>
      </c>
      <c r="AD54" s="298">
        <f t="shared" si="5"/>
        <v>123.79866518353725</v>
      </c>
      <c r="AE54" s="298">
        <f t="shared" si="0"/>
        <v>120.48494539387198</v>
      </c>
      <c r="AF54" s="290">
        <f t="shared" si="6"/>
        <v>122.40701432591955</v>
      </c>
      <c r="AG54" s="296">
        <f t="shared" si="7"/>
        <v>2.7503185388283446E-2</v>
      </c>
      <c r="AH54" s="284"/>
    </row>
    <row r="55" spans="19:34" x14ac:dyDescent="0.25">
      <c r="Y55" s="284">
        <v>39295</v>
      </c>
      <c r="Z55" s="285">
        <f t="shared" si="1"/>
        <v>2007</v>
      </c>
      <c r="AA55" s="6">
        <f t="shared" si="2"/>
        <v>8</v>
      </c>
      <c r="AB55" s="314">
        <f t="shared" si="3"/>
        <v>2007</v>
      </c>
      <c r="AC55" s="314">
        <f t="shared" si="4"/>
        <v>2006</v>
      </c>
      <c r="AD55" s="298">
        <f t="shared" si="5"/>
        <v>123.79866518353725</v>
      </c>
      <c r="AE55" s="298">
        <f t="shared" si="0"/>
        <v>120.48494539387198</v>
      </c>
      <c r="AF55" s="290">
        <f t="shared" si="6"/>
        <v>122.68408732416522</v>
      </c>
      <c r="AG55" s="296">
        <f t="shared" si="7"/>
        <v>2.7503185388283446E-2</v>
      </c>
      <c r="AH55" s="284"/>
    </row>
    <row r="56" spans="19:34" x14ac:dyDescent="0.25">
      <c r="Y56" s="284">
        <v>39326</v>
      </c>
      <c r="Z56" s="285">
        <f t="shared" si="1"/>
        <v>2007</v>
      </c>
      <c r="AA56" s="6">
        <f t="shared" si="2"/>
        <v>9</v>
      </c>
      <c r="AB56" s="314">
        <f t="shared" si="3"/>
        <v>2007</v>
      </c>
      <c r="AC56" s="314">
        <f t="shared" si="4"/>
        <v>2006</v>
      </c>
      <c r="AD56" s="298">
        <f t="shared" si="5"/>
        <v>123.79866518353725</v>
      </c>
      <c r="AE56" s="298">
        <f t="shared" si="0"/>
        <v>120.48494539387198</v>
      </c>
      <c r="AF56" s="290">
        <f t="shared" si="6"/>
        <v>122.9617874878293</v>
      </c>
      <c r="AG56" s="296">
        <f t="shared" si="7"/>
        <v>2.7503185388283446E-2</v>
      </c>
      <c r="AH56" s="284"/>
    </row>
    <row r="57" spans="19:34" x14ac:dyDescent="0.25">
      <c r="Y57" s="284">
        <v>39356</v>
      </c>
      <c r="Z57" s="285">
        <f t="shared" si="1"/>
        <v>2007</v>
      </c>
      <c r="AA57" s="6">
        <f t="shared" si="2"/>
        <v>10</v>
      </c>
      <c r="AB57" s="314">
        <f t="shared" si="3"/>
        <v>2007</v>
      </c>
      <c r="AC57" s="314">
        <f t="shared" si="4"/>
        <v>2006</v>
      </c>
      <c r="AD57" s="298">
        <f t="shared" si="5"/>
        <v>123.79866518353725</v>
      </c>
      <c r="AE57" s="298">
        <f t="shared" si="0"/>
        <v>120.48494539387198</v>
      </c>
      <c r="AF57" s="290">
        <f t="shared" si="6"/>
        <v>123.24011623652491</v>
      </c>
      <c r="AG57" s="296">
        <f t="shared" si="7"/>
        <v>2.7503185388283446E-2</v>
      </c>
      <c r="AH57" s="284"/>
    </row>
    <row r="58" spans="19:34" x14ac:dyDescent="0.25">
      <c r="Y58" s="284">
        <v>39387</v>
      </c>
      <c r="Z58" s="285">
        <f t="shared" si="1"/>
        <v>2007</v>
      </c>
      <c r="AA58" s="6">
        <f t="shared" si="2"/>
        <v>11</v>
      </c>
      <c r="AB58" s="314">
        <f t="shared" si="3"/>
        <v>2007</v>
      </c>
      <c r="AC58" s="314">
        <f t="shared" si="4"/>
        <v>2006</v>
      </c>
      <c r="AD58" s="298">
        <f t="shared" si="5"/>
        <v>123.79866518353725</v>
      </c>
      <c r="AE58" s="298">
        <f t="shared" si="0"/>
        <v>120.48494539387198</v>
      </c>
      <c r="AF58" s="290">
        <f t="shared" si="6"/>
        <v>123.51907499307852</v>
      </c>
      <c r="AG58" s="296">
        <f t="shared" si="7"/>
        <v>2.7503185388283446E-2</v>
      </c>
      <c r="AH58" s="284"/>
    </row>
    <row r="59" spans="19:34" x14ac:dyDescent="0.25">
      <c r="Y59" s="284">
        <v>39417</v>
      </c>
      <c r="Z59" s="285">
        <f t="shared" si="1"/>
        <v>2007</v>
      </c>
      <c r="AA59" s="6">
        <f t="shared" si="2"/>
        <v>12</v>
      </c>
      <c r="AB59" s="314">
        <f t="shared" si="3"/>
        <v>2007</v>
      </c>
      <c r="AC59" s="314">
        <f t="shared" si="4"/>
        <v>2006</v>
      </c>
      <c r="AD59" s="298">
        <f t="shared" si="5"/>
        <v>123.79866518353725</v>
      </c>
      <c r="AE59" s="298">
        <f t="shared" si="0"/>
        <v>120.48494539387198</v>
      </c>
      <c r="AF59" s="290">
        <f t="shared" si="6"/>
        <v>123.79866518353725</v>
      </c>
      <c r="AG59" s="296">
        <f t="shared" si="7"/>
        <v>2.7503185388294327E-2</v>
      </c>
      <c r="AH59" s="284"/>
    </row>
    <row r="60" spans="19:34" x14ac:dyDescent="0.25">
      <c r="Y60" s="284">
        <v>39448</v>
      </c>
      <c r="Z60" s="285">
        <f t="shared" si="1"/>
        <v>2008</v>
      </c>
      <c r="AA60" s="6">
        <f t="shared" si="2"/>
        <v>1</v>
      </c>
      <c r="AB60" s="314">
        <f t="shared" si="3"/>
        <v>2008</v>
      </c>
      <c r="AC60" s="314">
        <f t="shared" si="4"/>
        <v>2007</v>
      </c>
      <c r="AD60" s="298">
        <f t="shared" si="5"/>
        <v>127.76765850945495</v>
      </c>
      <c r="AE60" s="298">
        <f t="shared" si="0"/>
        <v>123.79866518353725</v>
      </c>
      <c r="AF60" s="290">
        <f t="shared" si="6"/>
        <v>124.12465180825697</v>
      </c>
      <c r="AG60" s="296">
        <f t="shared" si="7"/>
        <v>3.2060065591445808E-2</v>
      </c>
      <c r="AH60" s="284"/>
    </row>
    <row r="61" spans="19:34" x14ac:dyDescent="0.25">
      <c r="Y61" s="284">
        <v>39479</v>
      </c>
      <c r="Z61" s="285">
        <f t="shared" si="1"/>
        <v>2008</v>
      </c>
      <c r="AA61" s="6">
        <f t="shared" si="2"/>
        <v>2</v>
      </c>
      <c r="AB61" s="314">
        <f t="shared" si="3"/>
        <v>2008</v>
      </c>
      <c r="AC61" s="314">
        <f t="shared" si="4"/>
        <v>2007</v>
      </c>
      <c r="AD61" s="298">
        <f t="shared" si="5"/>
        <v>127.76765850945495</v>
      </c>
      <c r="AE61" s="298">
        <f t="shared" si="0"/>
        <v>123.79866518353725</v>
      </c>
      <c r="AF61" s="290">
        <f t="shared" si="6"/>
        <v>124.45149682090307</v>
      </c>
      <c r="AG61" s="296">
        <f t="shared" si="7"/>
        <v>3.2060065591445808E-2</v>
      </c>
      <c r="AH61" s="284"/>
    </row>
    <row r="62" spans="19:34" x14ac:dyDescent="0.25">
      <c r="Y62" s="284">
        <v>39508</v>
      </c>
      <c r="Z62" s="285">
        <f t="shared" si="1"/>
        <v>2008</v>
      </c>
      <c r="AA62" s="6">
        <f t="shared" si="2"/>
        <v>3</v>
      </c>
      <c r="AB62" s="314">
        <f t="shared" si="3"/>
        <v>2008</v>
      </c>
      <c r="AC62" s="314">
        <f t="shared" si="4"/>
        <v>2007</v>
      </c>
      <c r="AD62" s="298">
        <f t="shared" si="5"/>
        <v>127.76765850945495</v>
      </c>
      <c r="AE62" s="298">
        <f t="shared" si="0"/>
        <v>123.79866518353725</v>
      </c>
      <c r="AF62" s="290">
        <f t="shared" si="6"/>
        <v>124.77920248178251</v>
      </c>
      <c r="AG62" s="296">
        <f t="shared" si="7"/>
        <v>3.2060065591445808E-2</v>
      </c>
      <c r="AH62" s="284"/>
    </row>
    <row r="63" spans="19:34" x14ac:dyDescent="0.25">
      <c r="Y63" s="284">
        <v>39539</v>
      </c>
      <c r="Z63" s="285">
        <f t="shared" si="1"/>
        <v>2008</v>
      </c>
      <c r="AA63" s="6">
        <f t="shared" si="2"/>
        <v>4</v>
      </c>
      <c r="AB63" s="314">
        <f t="shared" si="3"/>
        <v>2008</v>
      </c>
      <c r="AC63" s="314">
        <f t="shared" si="4"/>
        <v>2007</v>
      </c>
      <c r="AD63" s="298">
        <f t="shared" si="5"/>
        <v>127.76765850945495</v>
      </c>
      <c r="AE63" s="298">
        <f t="shared" si="0"/>
        <v>123.79866518353725</v>
      </c>
      <c r="AF63" s="290">
        <f t="shared" si="6"/>
        <v>125.10777105715405</v>
      </c>
      <c r="AG63" s="296">
        <f t="shared" si="7"/>
        <v>3.2060065591445808E-2</v>
      </c>
      <c r="AH63" s="284"/>
    </row>
    <row r="64" spans="19:34" x14ac:dyDescent="0.25">
      <c r="Y64" s="284">
        <v>39569</v>
      </c>
      <c r="Z64" s="285">
        <f t="shared" si="1"/>
        <v>2008</v>
      </c>
      <c r="AA64" s="6">
        <f t="shared" si="2"/>
        <v>5</v>
      </c>
      <c r="AB64" s="314">
        <f t="shared" si="3"/>
        <v>2008</v>
      </c>
      <c r="AC64" s="314">
        <f t="shared" si="4"/>
        <v>2007</v>
      </c>
      <c r="AD64" s="298">
        <f t="shared" si="5"/>
        <v>127.76765850945495</v>
      </c>
      <c r="AE64" s="298">
        <f t="shared" si="0"/>
        <v>123.79866518353725</v>
      </c>
      <c r="AF64" s="290">
        <f t="shared" si="6"/>
        <v>125.43720481924402</v>
      </c>
      <c r="AG64" s="296">
        <f t="shared" si="7"/>
        <v>3.2060065591445808E-2</v>
      </c>
      <c r="AH64" s="284"/>
    </row>
    <row r="65" spans="25:34" x14ac:dyDescent="0.25">
      <c r="Y65" s="284">
        <v>39600</v>
      </c>
      <c r="Z65" s="285">
        <f t="shared" si="1"/>
        <v>2008</v>
      </c>
      <c r="AA65" s="6">
        <f t="shared" si="2"/>
        <v>6</v>
      </c>
      <c r="AB65" s="314">
        <f t="shared" si="3"/>
        <v>2008</v>
      </c>
      <c r="AC65" s="314">
        <f t="shared" si="4"/>
        <v>2007</v>
      </c>
      <c r="AD65" s="298">
        <f t="shared" si="5"/>
        <v>127.76765850945495</v>
      </c>
      <c r="AE65" s="298">
        <f t="shared" si="0"/>
        <v>123.79866518353725</v>
      </c>
      <c r="AF65" s="290">
        <f t="shared" si="6"/>
        <v>125.76750604626193</v>
      </c>
      <c r="AG65" s="296">
        <f t="shared" si="7"/>
        <v>3.2060065591445808E-2</v>
      </c>
      <c r="AH65" s="284"/>
    </row>
    <row r="66" spans="25:34" x14ac:dyDescent="0.25">
      <c r="Y66" s="284">
        <v>39630</v>
      </c>
      <c r="Z66" s="285">
        <f t="shared" si="1"/>
        <v>2008</v>
      </c>
      <c r="AA66" s="6">
        <f t="shared" si="2"/>
        <v>7</v>
      </c>
      <c r="AB66" s="314">
        <f t="shared" si="3"/>
        <v>2008</v>
      </c>
      <c r="AC66" s="314">
        <f t="shared" si="4"/>
        <v>2007</v>
      </c>
      <c r="AD66" s="298">
        <f t="shared" si="5"/>
        <v>127.76765850945495</v>
      </c>
      <c r="AE66" s="298">
        <f t="shared" si="0"/>
        <v>123.79866518353725</v>
      </c>
      <c r="AF66" s="290">
        <f t="shared" si="6"/>
        <v>126.09867702241628</v>
      </c>
      <c r="AG66" s="296">
        <f t="shared" si="7"/>
        <v>3.2060065591445808E-2</v>
      </c>
      <c r="AH66" s="284"/>
    </row>
    <row r="67" spans="25:34" x14ac:dyDescent="0.25">
      <c r="Y67" s="284">
        <v>39661</v>
      </c>
      <c r="Z67" s="285">
        <f t="shared" si="1"/>
        <v>2008</v>
      </c>
      <c r="AA67" s="6">
        <f t="shared" si="2"/>
        <v>8</v>
      </c>
      <c r="AB67" s="314">
        <f t="shared" si="3"/>
        <v>2008</v>
      </c>
      <c r="AC67" s="314">
        <f t="shared" si="4"/>
        <v>2007</v>
      </c>
      <c r="AD67" s="298">
        <f t="shared" si="5"/>
        <v>127.76765850945495</v>
      </c>
      <c r="AE67" s="298">
        <f t="shared" si="0"/>
        <v>123.79866518353725</v>
      </c>
      <c r="AF67" s="290">
        <f t="shared" si="6"/>
        <v>126.43072003793036</v>
      </c>
      <c r="AG67" s="296">
        <f t="shared" si="7"/>
        <v>3.2060065591445808E-2</v>
      </c>
      <c r="AH67" s="284"/>
    </row>
    <row r="68" spans="25:34" x14ac:dyDescent="0.25">
      <c r="Y68" s="284">
        <v>39692</v>
      </c>
      <c r="Z68" s="285">
        <f t="shared" si="1"/>
        <v>2008</v>
      </c>
      <c r="AA68" s="6">
        <f t="shared" si="2"/>
        <v>9</v>
      </c>
      <c r="AB68" s="314">
        <f t="shared" si="3"/>
        <v>2008</v>
      </c>
      <c r="AC68" s="314">
        <f t="shared" si="4"/>
        <v>2007</v>
      </c>
      <c r="AD68" s="298">
        <f t="shared" si="5"/>
        <v>127.76765850945495</v>
      </c>
      <c r="AE68" s="298">
        <f t="shared" si="0"/>
        <v>123.79866518353725</v>
      </c>
      <c r="AF68" s="290">
        <f t="shared" si="6"/>
        <v>126.76363738905806</v>
      </c>
      <c r="AG68" s="296">
        <f t="shared" si="7"/>
        <v>3.2060065591445808E-2</v>
      </c>
      <c r="AH68" s="284"/>
    </row>
    <row r="69" spans="25:34" x14ac:dyDescent="0.25">
      <c r="Y69" s="284">
        <v>39722</v>
      </c>
      <c r="Z69" s="285">
        <f t="shared" si="1"/>
        <v>2008</v>
      </c>
      <c r="AA69" s="6">
        <f t="shared" si="2"/>
        <v>10</v>
      </c>
      <c r="AB69" s="314">
        <f t="shared" si="3"/>
        <v>2008</v>
      </c>
      <c r="AC69" s="314">
        <f t="shared" si="4"/>
        <v>2007</v>
      </c>
      <c r="AD69" s="298">
        <f t="shared" si="5"/>
        <v>127.76765850945495</v>
      </c>
      <c r="AE69" s="298">
        <f t="shared" si="0"/>
        <v>123.79866518353725</v>
      </c>
      <c r="AF69" s="290">
        <f t="shared" si="6"/>
        <v>127.09743137809978</v>
      </c>
      <c r="AG69" s="296">
        <f t="shared" si="7"/>
        <v>3.2060065591445808E-2</v>
      </c>
      <c r="AH69" s="284"/>
    </row>
    <row r="70" spans="25:34" x14ac:dyDescent="0.25">
      <c r="Y70" s="284">
        <v>39753</v>
      </c>
      <c r="Z70" s="285">
        <f t="shared" si="1"/>
        <v>2008</v>
      </c>
      <c r="AA70" s="6">
        <f t="shared" si="2"/>
        <v>11</v>
      </c>
      <c r="AB70" s="314">
        <f t="shared" si="3"/>
        <v>2008</v>
      </c>
      <c r="AC70" s="314">
        <f t="shared" si="4"/>
        <v>2007</v>
      </c>
      <c r="AD70" s="298">
        <f t="shared" si="5"/>
        <v>127.76765850945495</v>
      </c>
      <c r="AE70" s="298">
        <f t="shared" si="0"/>
        <v>123.79866518353725</v>
      </c>
      <c r="AF70" s="290">
        <f t="shared" si="6"/>
        <v>127.43210431341834</v>
      </c>
      <c r="AG70" s="296">
        <f t="shared" si="7"/>
        <v>3.2060065591445808E-2</v>
      </c>
      <c r="AH70" s="284"/>
    </row>
    <row r="71" spans="25:34" x14ac:dyDescent="0.25">
      <c r="Y71" s="284">
        <v>39783</v>
      </c>
      <c r="Z71" s="285">
        <f t="shared" si="1"/>
        <v>2008</v>
      </c>
      <c r="AA71" s="6">
        <f t="shared" si="2"/>
        <v>12</v>
      </c>
      <c r="AB71" s="314">
        <f t="shared" si="3"/>
        <v>2008</v>
      </c>
      <c r="AC71" s="314">
        <f t="shared" si="4"/>
        <v>2007</v>
      </c>
      <c r="AD71" s="298">
        <f t="shared" si="5"/>
        <v>127.76765850945495</v>
      </c>
      <c r="AE71" s="298">
        <f t="shared" si="0"/>
        <v>123.79866518353725</v>
      </c>
      <c r="AF71" s="290">
        <f t="shared" si="6"/>
        <v>127.76765850945495</v>
      </c>
      <c r="AG71" s="296">
        <f t="shared" si="7"/>
        <v>3.2060065591445808E-2</v>
      </c>
      <c r="AH71" s="284"/>
    </row>
    <row r="72" spans="25:34" x14ac:dyDescent="0.25">
      <c r="Y72" s="284">
        <v>39814</v>
      </c>
      <c r="Z72" s="285">
        <f t="shared" si="1"/>
        <v>2009</v>
      </c>
      <c r="AA72" s="6">
        <f t="shared" si="2"/>
        <v>1</v>
      </c>
      <c r="AB72" s="314">
        <f t="shared" si="3"/>
        <v>2009</v>
      </c>
      <c r="AC72" s="314">
        <f t="shared" si="4"/>
        <v>2008</v>
      </c>
      <c r="AD72" s="298">
        <f t="shared" si="5"/>
        <v>128.3765421175043</v>
      </c>
      <c r="AE72" s="298">
        <f t="shared" si="0"/>
        <v>127.76765850945495</v>
      </c>
      <c r="AF72" s="290">
        <f t="shared" si="6"/>
        <v>127.81828831881582</v>
      </c>
      <c r="AG72" s="296">
        <f t="shared" si="7"/>
        <v>4.7655534675403732E-3</v>
      </c>
      <c r="AH72" s="284"/>
    </row>
    <row r="73" spans="25:34" x14ac:dyDescent="0.25">
      <c r="Y73" s="284">
        <v>39845</v>
      </c>
      <c r="Z73" s="285">
        <f t="shared" si="1"/>
        <v>2009</v>
      </c>
      <c r="AA73" s="6">
        <f t="shared" si="2"/>
        <v>2</v>
      </c>
      <c r="AB73" s="314">
        <f t="shared" si="3"/>
        <v>2009</v>
      </c>
      <c r="AC73" s="314">
        <f t="shared" si="4"/>
        <v>2008</v>
      </c>
      <c r="AD73" s="298">
        <f t="shared" si="5"/>
        <v>128.3765421175043</v>
      </c>
      <c r="AE73" s="298">
        <f t="shared" si="0"/>
        <v>127.76765850945495</v>
      </c>
      <c r="AF73" s="290">
        <f t="shared" si="6"/>
        <v>127.86893819098151</v>
      </c>
      <c r="AG73" s="296">
        <f t="shared" si="7"/>
        <v>4.7655534675403732E-3</v>
      </c>
      <c r="AH73" s="284"/>
    </row>
    <row r="74" spans="25:34" x14ac:dyDescent="0.25">
      <c r="Y74" s="284">
        <v>39873</v>
      </c>
      <c r="Z74" s="285">
        <f t="shared" si="1"/>
        <v>2009</v>
      </c>
      <c r="AA74" s="6">
        <f t="shared" si="2"/>
        <v>3</v>
      </c>
      <c r="AB74" s="314">
        <f t="shared" si="3"/>
        <v>2009</v>
      </c>
      <c r="AC74" s="314">
        <f t="shared" si="4"/>
        <v>2008</v>
      </c>
      <c r="AD74" s="298">
        <f t="shared" si="5"/>
        <v>128.3765421175043</v>
      </c>
      <c r="AE74" s="298">
        <f t="shared" si="0"/>
        <v>127.76765850945495</v>
      </c>
      <c r="AF74" s="290">
        <f t="shared" si="6"/>
        <v>127.91960813390222</v>
      </c>
      <c r="AG74" s="296">
        <f t="shared" si="7"/>
        <v>4.7655534675403732E-3</v>
      </c>
      <c r="AH74" s="284"/>
    </row>
    <row r="75" spans="25:34" x14ac:dyDescent="0.25">
      <c r="Y75" s="284">
        <v>39904</v>
      </c>
      <c r="Z75" s="285">
        <f t="shared" si="1"/>
        <v>2009</v>
      </c>
      <c r="AA75" s="6">
        <f t="shared" si="2"/>
        <v>4</v>
      </c>
      <c r="AB75" s="314">
        <f t="shared" si="3"/>
        <v>2009</v>
      </c>
      <c r="AC75" s="314">
        <f t="shared" si="4"/>
        <v>2008</v>
      </c>
      <c r="AD75" s="298">
        <f t="shared" si="5"/>
        <v>128.3765421175043</v>
      </c>
      <c r="AE75" s="298">
        <f t="shared" si="0"/>
        <v>127.76765850945495</v>
      </c>
      <c r="AF75" s="290">
        <f t="shared" si="6"/>
        <v>127.97029815553127</v>
      </c>
      <c r="AG75" s="296">
        <f t="shared" si="7"/>
        <v>4.7655534675403732E-3</v>
      </c>
      <c r="AH75" s="284"/>
    </row>
    <row r="76" spans="25:34" x14ac:dyDescent="0.25">
      <c r="Y76" s="284">
        <v>39934</v>
      </c>
      <c r="Z76" s="285">
        <f t="shared" si="1"/>
        <v>2009</v>
      </c>
      <c r="AA76" s="6">
        <f t="shared" si="2"/>
        <v>5</v>
      </c>
      <c r="AB76" s="314">
        <f t="shared" si="3"/>
        <v>2009</v>
      </c>
      <c r="AC76" s="314">
        <f t="shared" si="4"/>
        <v>2008</v>
      </c>
      <c r="AD76" s="298">
        <f t="shared" si="5"/>
        <v>128.3765421175043</v>
      </c>
      <c r="AE76" s="298">
        <f t="shared" si="0"/>
        <v>127.76765850945495</v>
      </c>
      <c r="AF76" s="290">
        <f t="shared" si="6"/>
        <v>128.02100826382514</v>
      </c>
      <c r="AG76" s="296">
        <f t="shared" si="7"/>
        <v>4.7655534675403732E-3</v>
      </c>
      <c r="AH76" s="284"/>
    </row>
    <row r="77" spans="25:34" x14ac:dyDescent="0.25">
      <c r="Y77" s="284">
        <v>39965</v>
      </c>
      <c r="Z77" s="285">
        <f t="shared" si="1"/>
        <v>2009</v>
      </c>
      <c r="AA77" s="6">
        <f t="shared" si="2"/>
        <v>6</v>
      </c>
      <c r="AB77" s="314">
        <f t="shared" si="3"/>
        <v>2009</v>
      </c>
      <c r="AC77" s="314">
        <f t="shared" si="4"/>
        <v>2008</v>
      </c>
      <c r="AD77" s="298">
        <f t="shared" si="5"/>
        <v>128.3765421175043</v>
      </c>
      <c r="AE77" s="298">
        <f t="shared" si="0"/>
        <v>127.76765850945495</v>
      </c>
      <c r="AF77" s="290">
        <f t="shared" si="6"/>
        <v>128.07173846674345</v>
      </c>
      <c r="AG77" s="296">
        <f t="shared" si="7"/>
        <v>4.7655534675403732E-3</v>
      </c>
      <c r="AH77" s="284"/>
    </row>
    <row r="78" spans="25:34" x14ac:dyDescent="0.25">
      <c r="Y78" s="284">
        <v>39995</v>
      </c>
      <c r="Z78" s="285">
        <f t="shared" si="1"/>
        <v>2009</v>
      </c>
      <c r="AA78" s="6">
        <f t="shared" si="2"/>
        <v>7</v>
      </c>
      <c r="AB78" s="314">
        <f t="shared" si="3"/>
        <v>2009</v>
      </c>
      <c r="AC78" s="314">
        <f t="shared" si="4"/>
        <v>2008</v>
      </c>
      <c r="AD78" s="298">
        <f t="shared" si="5"/>
        <v>128.3765421175043</v>
      </c>
      <c r="AE78" s="298">
        <f t="shared" si="0"/>
        <v>127.76765850945495</v>
      </c>
      <c r="AF78" s="290">
        <f t="shared" si="6"/>
        <v>128.12248877224903</v>
      </c>
      <c r="AG78" s="296">
        <f t="shared" si="7"/>
        <v>4.7655534675403732E-3</v>
      </c>
      <c r="AH78" s="284"/>
    </row>
    <row r="79" spans="25:34" x14ac:dyDescent="0.25">
      <c r="Y79" s="284">
        <v>40026</v>
      </c>
      <c r="Z79" s="285">
        <f t="shared" si="1"/>
        <v>2009</v>
      </c>
      <c r="AA79" s="6">
        <f t="shared" si="2"/>
        <v>8</v>
      </c>
      <c r="AB79" s="314">
        <f t="shared" si="3"/>
        <v>2009</v>
      </c>
      <c r="AC79" s="314">
        <f t="shared" si="4"/>
        <v>2008</v>
      </c>
      <c r="AD79" s="298">
        <f t="shared" si="5"/>
        <v>128.3765421175043</v>
      </c>
      <c r="AE79" s="298">
        <f t="shared" si="0"/>
        <v>127.76765850945495</v>
      </c>
      <c r="AF79" s="290">
        <f t="shared" si="6"/>
        <v>128.17325918830778</v>
      </c>
      <c r="AG79" s="296">
        <f t="shared" si="7"/>
        <v>4.7655534675403732E-3</v>
      </c>
      <c r="AH79" s="284"/>
    </row>
    <row r="80" spans="25:34" x14ac:dyDescent="0.25">
      <c r="Y80" s="284">
        <v>40057</v>
      </c>
      <c r="Z80" s="285">
        <f t="shared" si="1"/>
        <v>2009</v>
      </c>
      <c r="AA80" s="6">
        <f t="shared" si="2"/>
        <v>9</v>
      </c>
      <c r="AB80" s="314">
        <f t="shared" si="3"/>
        <v>2009</v>
      </c>
      <c r="AC80" s="314">
        <f t="shared" si="4"/>
        <v>2008</v>
      </c>
      <c r="AD80" s="298">
        <f t="shared" si="5"/>
        <v>128.3765421175043</v>
      </c>
      <c r="AE80" s="298">
        <f t="shared" si="0"/>
        <v>127.76765850945495</v>
      </c>
      <c r="AF80" s="290">
        <f t="shared" si="6"/>
        <v>128.22404972288885</v>
      </c>
      <c r="AG80" s="296">
        <f t="shared" si="7"/>
        <v>4.7655534675403732E-3</v>
      </c>
      <c r="AH80" s="284"/>
    </row>
    <row r="81" spans="25:34" x14ac:dyDescent="0.25">
      <c r="Y81" s="284">
        <v>40087</v>
      </c>
      <c r="Z81" s="285">
        <f t="shared" si="1"/>
        <v>2009</v>
      </c>
      <c r="AA81" s="6">
        <f t="shared" si="2"/>
        <v>10</v>
      </c>
      <c r="AB81" s="314">
        <f t="shared" si="3"/>
        <v>2009</v>
      </c>
      <c r="AC81" s="314">
        <f t="shared" si="4"/>
        <v>2008</v>
      </c>
      <c r="AD81" s="298">
        <f t="shared" si="5"/>
        <v>128.3765421175043</v>
      </c>
      <c r="AE81" s="298">
        <f t="shared" si="0"/>
        <v>127.76765850945495</v>
      </c>
      <c r="AF81" s="290">
        <f t="shared" si="6"/>
        <v>128.27486038396447</v>
      </c>
      <c r="AG81" s="296">
        <f t="shared" si="7"/>
        <v>4.7655534675403732E-3</v>
      </c>
      <c r="AH81" s="284"/>
    </row>
    <row r="82" spans="25:34" x14ac:dyDescent="0.25">
      <c r="Y82" s="284">
        <v>40118</v>
      </c>
      <c r="Z82" s="285">
        <f t="shared" si="1"/>
        <v>2009</v>
      </c>
      <c r="AA82" s="6">
        <f t="shared" si="2"/>
        <v>11</v>
      </c>
      <c r="AB82" s="314">
        <f t="shared" si="3"/>
        <v>2009</v>
      </c>
      <c r="AC82" s="314">
        <f t="shared" si="4"/>
        <v>2008</v>
      </c>
      <c r="AD82" s="298">
        <f t="shared" si="5"/>
        <v>128.3765421175043</v>
      </c>
      <c r="AE82" s="298">
        <f t="shared" si="0"/>
        <v>127.76765850945495</v>
      </c>
      <c r="AF82" s="290">
        <f t="shared" si="6"/>
        <v>128.32569117951005</v>
      </c>
      <c r="AG82" s="296">
        <f t="shared" si="7"/>
        <v>4.7655534675403732E-3</v>
      </c>
      <c r="AH82" s="284"/>
    </row>
    <row r="83" spans="25:34" x14ac:dyDescent="0.25">
      <c r="Y83" s="284">
        <v>40148</v>
      </c>
      <c r="Z83" s="285">
        <f t="shared" si="1"/>
        <v>2009</v>
      </c>
      <c r="AA83" s="6">
        <f t="shared" si="2"/>
        <v>12</v>
      </c>
      <c r="AB83" s="314">
        <f t="shared" si="3"/>
        <v>2009</v>
      </c>
      <c r="AC83" s="314">
        <f t="shared" si="4"/>
        <v>2008</v>
      </c>
      <c r="AD83" s="298">
        <f t="shared" si="5"/>
        <v>128.3765421175043</v>
      </c>
      <c r="AE83" s="298">
        <f t="shared" si="0"/>
        <v>127.76765850945495</v>
      </c>
      <c r="AF83" s="290">
        <f t="shared" si="6"/>
        <v>128.3765421175043</v>
      </c>
      <c r="AG83" s="296">
        <f t="shared" si="7"/>
        <v>4.7655534675510314E-3</v>
      </c>
      <c r="AH83" s="284"/>
    </row>
    <row r="84" spans="25:34" x14ac:dyDescent="0.25">
      <c r="Y84" s="284">
        <v>40179</v>
      </c>
      <c r="Z84" s="285">
        <f t="shared" si="1"/>
        <v>2010</v>
      </c>
      <c r="AA84" s="6">
        <f t="shared" si="2"/>
        <v>1</v>
      </c>
      <c r="AB84" s="314">
        <f t="shared" si="3"/>
        <v>2010</v>
      </c>
      <c r="AC84" s="314">
        <f t="shared" si="4"/>
        <v>2009</v>
      </c>
      <c r="AD84" s="298">
        <f t="shared" si="5"/>
        <v>132.64991404590961</v>
      </c>
      <c r="AE84" s="298">
        <f t="shared" si="0"/>
        <v>128.3765421175043</v>
      </c>
      <c r="AF84" s="290">
        <f t="shared" si="6"/>
        <v>128.72733605771626</v>
      </c>
      <c r="AG84" s="296">
        <f t="shared" si="7"/>
        <v>3.3287794311315011E-2</v>
      </c>
      <c r="AH84" s="284"/>
    </row>
    <row r="85" spans="25:34" x14ac:dyDescent="0.25">
      <c r="Y85" s="284">
        <v>40210</v>
      </c>
      <c r="Z85" s="285">
        <f t="shared" si="1"/>
        <v>2010</v>
      </c>
      <c r="AA85" s="6">
        <f t="shared" si="2"/>
        <v>2</v>
      </c>
      <c r="AB85" s="314">
        <f t="shared" si="3"/>
        <v>2010</v>
      </c>
      <c r="AC85" s="314">
        <f t="shared" si="4"/>
        <v>2009</v>
      </c>
      <c r="AD85" s="298">
        <f t="shared" si="5"/>
        <v>132.64991404590961</v>
      </c>
      <c r="AE85" s="298">
        <f t="shared" si="0"/>
        <v>128.3765421175043</v>
      </c>
      <c r="AF85" s="290">
        <f t="shared" si="6"/>
        <v>129.07908855613877</v>
      </c>
      <c r="AG85" s="296">
        <f t="shared" si="7"/>
        <v>3.3287794311315011E-2</v>
      </c>
      <c r="AH85" s="284"/>
    </row>
    <row r="86" spans="25:34" x14ac:dyDescent="0.25">
      <c r="Y86" s="284">
        <v>40238</v>
      </c>
      <c r="Z86" s="285">
        <f t="shared" si="1"/>
        <v>2010</v>
      </c>
      <c r="AA86" s="6">
        <f t="shared" si="2"/>
        <v>3</v>
      </c>
      <c r="AB86" s="314">
        <f t="shared" si="3"/>
        <v>2010</v>
      </c>
      <c r="AC86" s="314">
        <f t="shared" si="4"/>
        <v>2009</v>
      </c>
      <c r="AD86" s="298">
        <f t="shared" si="5"/>
        <v>132.64991404590961</v>
      </c>
      <c r="AE86" s="298">
        <f t="shared" si="0"/>
        <v>128.3765421175043</v>
      </c>
      <c r="AF86" s="290">
        <f t="shared" si="6"/>
        <v>129.43180223206977</v>
      </c>
      <c r="AG86" s="296">
        <f t="shared" si="7"/>
        <v>3.3287794311315011E-2</v>
      </c>
      <c r="AH86" s="284"/>
    </row>
    <row r="87" spans="25:34" x14ac:dyDescent="0.25">
      <c r="Y87" s="284">
        <v>40269</v>
      </c>
      <c r="Z87" s="285">
        <f t="shared" si="1"/>
        <v>2010</v>
      </c>
      <c r="AA87" s="6">
        <f t="shared" si="2"/>
        <v>4</v>
      </c>
      <c r="AB87" s="314">
        <f t="shared" si="3"/>
        <v>2010</v>
      </c>
      <c r="AC87" s="314">
        <f t="shared" si="4"/>
        <v>2009</v>
      </c>
      <c r="AD87" s="298">
        <f t="shared" si="5"/>
        <v>132.64991404590961</v>
      </c>
      <c r="AE87" s="298">
        <f t="shared" si="0"/>
        <v>128.3765421175043</v>
      </c>
      <c r="AF87" s="290">
        <f t="shared" si="6"/>
        <v>129.78547971196454</v>
      </c>
      <c r="AG87" s="296">
        <f t="shared" si="7"/>
        <v>3.3287794311315011E-2</v>
      </c>
      <c r="AH87" s="284"/>
    </row>
    <row r="88" spans="25:34" x14ac:dyDescent="0.25">
      <c r="Y88" s="284">
        <v>40299</v>
      </c>
      <c r="Z88" s="285">
        <f t="shared" si="1"/>
        <v>2010</v>
      </c>
      <c r="AA88" s="6">
        <f t="shared" si="2"/>
        <v>5</v>
      </c>
      <c r="AB88" s="314">
        <f t="shared" si="3"/>
        <v>2010</v>
      </c>
      <c r="AC88" s="314">
        <f t="shared" si="4"/>
        <v>2009</v>
      </c>
      <c r="AD88" s="298">
        <f t="shared" si="5"/>
        <v>132.64991404590961</v>
      </c>
      <c r="AE88" s="298">
        <f t="shared" ref="AE88:AE151" si="9">INDEX($U$23:$U$45,MATCH(AC88,$R$23:$R$45,0))</f>
        <v>128.3765421175043</v>
      </c>
      <c r="AF88" s="290">
        <f t="shared" si="6"/>
        <v>130.14012362945522</v>
      </c>
      <c r="AG88" s="296">
        <f t="shared" si="7"/>
        <v>3.3287794311315011E-2</v>
      </c>
      <c r="AH88" s="284"/>
    </row>
    <row r="89" spans="25:34" x14ac:dyDescent="0.25">
      <c r="Y89" s="284">
        <v>40330</v>
      </c>
      <c r="Z89" s="285">
        <f t="shared" ref="Z89:Z152" si="10">YEAR(Y89)</f>
        <v>2010</v>
      </c>
      <c r="AA89" s="6">
        <f t="shared" ref="AA89:AA152" si="11">MONTH(Y89)</f>
        <v>6</v>
      </c>
      <c r="AB89" s="314">
        <f t="shared" ref="AB89:AB152" si="12">Z89</f>
        <v>2010</v>
      </c>
      <c r="AC89" s="314">
        <f t="shared" ref="AC89:AC152" si="13">Z89-1</f>
        <v>2009</v>
      </c>
      <c r="AD89" s="298">
        <f t="shared" ref="AD89:AD152" si="14">INDEX($U$23:$U$45,MATCH(AB89,$R$23:$R$45,0))</f>
        <v>132.64991404590961</v>
      </c>
      <c r="AE89" s="298">
        <f t="shared" si="9"/>
        <v>128.3765421175043</v>
      </c>
      <c r="AF89" s="290">
        <f t="shared" ref="AF89:AF152" si="15">IF(AA89=12,AD89,AF88*(AD89/AE89)^(1/12))</f>
        <v>130.49573662537048</v>
      </c>
      <c r="AG89" s="296">
        <f t="shared" ref="AG89:AG152" si="16">(1+AF89/AF88-1)^12-1</f>
        <v>3.3287794311315011E-2</v>
      </c>
      <c r="AH89" s="284"/>
    </row>
    <row r="90" spans="25:34" x14ac:dyDescent="0.25">
      <c r="Y90" s="284">
        <v>40360</v>
      </c>
      <c r="Z90" s="285">
        <f t="shared" si="10"/>
        <v>2010</v>
      </c>
      <c r="AA90" s="6">
        <f t="shared" si="11"/>
        <v>7</v>
      </c>
      <c r="AB90" s="314">
        <f t="shared" si="12"/>
        <v>2010</v>
      </c>
      <c r="AC90" s="314">
        <f t="shared" si="13"/>
        <v>2009</v>
      </c>
      <c r="AD90" s="298">
        <f t="shared" si="14"/>
        <v>132.64991404590961</v>
      </c>
      <c r="AE90" s="298">
        <f t="shared" si="9"/>
        <v>128.3765421175043</v>
      </c>
      <c r="AF90" s="290">
        <f t="shared" si="15"/>
        <v>130.85232134775515</v>
      </c>
      <c r="AG90" s="296">
        <f t="shared" si="16"/>
        <v>3.3287794311315011E-2</v>
      </c>
      <c r="AH90" s="284"/>
    </row>
    <row r="91" spans="25:34" x14ac:dyDescent="0.25">
      <c r="Y91" s="284">
        <v>40391</v>
      </c>
      <c r="Z91" s="285">
        <f t="shared" si="10"/>
        <v>2010</v>
      </c>
      <c r="AA91" s="6">
        <f t="shared" si="11"/>
        <v>8</v>
      </c>
      <c r="AB91" s="314">
        <f t="shared" si="12"/>
        <v>2010</v>
      </c>
      <c r="AC91" s="314">
        <f t="shared" si="13"/>
        <v>2009</v>
      </c>
      <c r="AD91" s="298">
        <f t="shared" si="14"/>
        <v>132.64991404590961</v>
      </c>
      <c r="AE91" s="298">
        <f t="shared" si="9"/>
        <v>128.3765421175043</v>
      </c>
      <c r="AF91" s="290">
        <f t="shared" si="15"/>
        <v>131.20988045188997</v>
      </c>
      <c r="AG91" s="296">
        <f t="shared" si="16"/>
        <v>3.3287794311315011E-2</v>
      </c>
      <c r="AH91" s="284"/>
    </row>
    <row r="92" spans="25:34" x14ac:dyDescent="0.25">
      <c r="Y92" s="284">
        <v>40422</v>
      </c>
      <c r="Z92" s="285">
        <f t="shared" si="10"/>
        <v>2010</v>
      </c>
      <c r="AA92" s="6">
        <f t="shared" si="11"/>
        <v>9</v>
      </c>
      <c r="AB92" s="314">
        <f t="shared" si="12"/>
        <v>2010</v>
      </c>
      <c r="AC92" s="314">
        <f t="shared" si="13"/>
        <v>2009</v>
      </c>
      <c r="AD92" s="298">
        <f t="shared" si="14"/>
        <v>132.64991404590961</v>
      </c>
      <c r="AE92" s="298">
        <f t="shared" si="9"/>
        <v>128.3765421175043</v>
      </c>
      <c r="AF92" s="290">
        <f t="shared" si="15"/>
        <v>131.56841660031131</v>
      </c>
      <c r="AG92" s="296">
        <f t="shared" si="16"/>
        <v>3.3287794311315011E-2</v>
      </c>
      <c r="AH92" s="284"/>
    </row>
    <row r="93" spans="25:34" x14ac:dyDescent="0.25">
      <c r="Y93" s="284">
        <v>40452</v>
      </c>
      <c r="Z93" s="285">
        <f t="shared" si="10"/>
        <v>2010</v>
      </c>
      <c r="AA93" s="6">
        <f t="shared" si="11"/>
        <v>10</v>
      </c>
      <c r="AB93" s="314">
        <f t="shared" si="12"/>
        <v>2010</v>
      </c>
      <c r="AC93" s="314">
        <f t="shared" si="13"/>
        <v>2009</v>
      </c>
      <c r="AD93" s="298">
        <f t="shared" si="14"/>
        <v>132.64991404590961</v>
      </c>
      <c r="AE93" s="298">
        <f t="shared" si="9"/>
        <v>128.3765421175043</v>
      </c>
      <c r="AF93" s="290">
        <f t="shared" si="15"/>
        <v>131.92793246283102</v>
      </c>
      <c r="AG93" s="296">
        <f t="shared" si="16"/>
        <v>3.3287794311315011E-2</v>
      </c>
      <c r="AH93" s="284"/>
    </row>
    <row r="94" spans="25:34" x14ac:dyDescent="0.25">
      <c r="Y94" s="284">
        <v>40483</v>
      </c>
      <c r="Z94" s="285">
        <f t="shared" si="10"/>
        <v>2010</v>
      </c>
      <c r="AA94" s="6">
        <f t="shared" si="11"/>
        <v>11</v>
      </c>
      <c r="AB94" s="314">
        <f t="shared" si="12"/>
        <v>2010</v>
      </c>
      <c r="AC94" s="314">
        <f t="shared" si="13"/>
        <v>2009</v>
      </c>
      <c r="AD94" s="298">
        <f t="shared" si="14"/>
        <v>132.64991404590961</v>
      </c>
      <c r="AE94" s="298">
        <f t="shared" si="9"/>
        <v>128.3765421175043</v>
      </c>
      <c r="AF94" s="290">
        <f t="shared" si="15"/>
        <v>132.28843071655632</v>
      </c>
      <c r="AG94" s="296">
        <f t="shared" si="16"/>
        <v>3.3287794311315011E-2</v>
      </c>
      <c r="AH94" s="284"/>
    </row>
    <row r="95" spans="25:34" x14ac:dyDescent="0.25">
      <c r="Y95" s="284">
        <v>40513</v>
      </c>
      <c r="Z95" s="285">
        <f t="shared" si="10"/>
        <v>2010</v>
      </c>
      <c r="AA95" s="6">
        <f t="shared" si="11"/>
        <v>12</v>
      </c>
      <c r="AB95" s="314">
        <f t="shared" si="12"/>
        <v>2010</v>
      </c>
      <c r="AC95" s="314">
        <f t="shared" si="13"/>
        <v>2009</v>
      </c>
      <c r="AD95" s="298">
        <f t="shared" si="14"/>
        <v>132.64991404590961</v>
      </c>
      <c r="AE95" s="298">
        <f t="shared" si="9"/>
        <v>128.3765421175043</v>
      </c>
      <c r="AF95" s="290">
        <f t="shared" si="15"/>
        <v>132.64991404590961</v>
      </c>
      <c r="AG95" s="296">
        <f t="shared" si="16"/>
        <v>3.3287794311304131E-2</v>
      </c>
      <c r="AH95" s="284"/>
    </row>
    <row r="96" spans="25:34" x14ac:dyDescent="0.25">
      <c r="Y96" s="284">
        <v>40544</v>
      </c>
      <c r="Z96" s="285">
        <f t="shared" si="10"/>
        <v>2011</v>
      </c>
      <c r="AA96" s="6">
        <f t="shared" si="11"/>
        <v>1</v>
      </c>
      <c r="AB96" s="314">
        <f t="shared" si="12"/>
        <v>2011</v>
      </c>
      <c r="AC96" s="314">
        <f t="shared" si="13"/>
        <v>2010</v>
      </c>
      <c r="AD96" s="298">
        <f t="shared" si="14"/>
        <v>134.67868338557994</v>
      </c>
      <c r="AE96" s="298">
        <f t="shared" si="9"/>
        <v>132.64991404590961</v>
      </c>
      <c r="AF96" s="290">
        <f t="shared" si="15"/>
        <v>132.81780450021679</v>
      </c>
      <c r="AG96" s="296">
        <f t="shared" si="16"/>
        <v>1.5294162489752239E-2</v>
      </c>
      <c r="AH96" s="284"/>
    </row>
    <row r="97" spans="25:34" x14ac:dyDescent="0.25">
      <c r="Y97" s="284">
        <v>40575</v>
      </c>
      <c r="Z97" s="285">
        <f t="shared" si="10"/>
        <v>2011</v>
      </c>
      <c r="AA97" s="6">
        <f t="shared" si="11"/>
        <v>2</v>
      </c>
      <c r="AB97" s="314">
        <f t="shared" si="12"/>
        <v>2011</v>
      </c>
      <c r="AC97" s="314">
        <f t="shared" si="13"/>
        <v>2010</v>
      </c>
      <c r="AD97" s="298">
        <f t="shared" si="14"/>
        <v>134.67868338557994</v>
      </c>
      <c r="AE97" s="298">
        <f t="shared" si="9"/>
        <v>132.64991404590961</v>
      </c>
      <c r="AF97" s="290">
        <f t="shared" si="15"/>
        <v>132.98590744772346</v>
      </c>
      <c r="AG97" s="296">
        <f t="shared" si="16"/>
        <v>1.5294162489752239E-2</v>
      </c>
      <c r="AH97" s="284"/>
    </row>
    <row r="98" spans="25:34" x14ac:dyDescent="0.25">
      <c r="Y98" s="284">
        <v>40603</v>
      </c>
      <c r="Z98" s="285">
        <f t="shared" si="10"/>
        <v>2011</v>
      </c>
      <c r="AA98" s="6">
        <f t="shared" si="11"/>
        <v>3</v>
      </c>
      <c r="AB98" s="314">
        <f t="shared" si="12"/>
        <v>2011</v>
      </c>
      <c r="AC98" s="314">
        <f t="shared" si="13"/>
        <v>2010</v>
      </c>
      <c r="AD98" s="298">
        <f t="shared" si="14"/>
        <v>134.67868338557994</v>
      </c>
      <c r="AE98" s="298">
        <f t="shared" si="9"/>
        <v>132.64991404590961</v>
      </c>
      <c r="AF98" s="290">
        <f t="shared" si="15"/>
        <v>133.15422315737499</v>
      </c>
      <c r="AG98" s="296">
        <f t="shared" si="16"/>
        <v>1.5294162489752239E-2</v>
      </c>
      <c r="AH98" s="284"/>
    </row>
    <row r="99" spans="25:34" x14ac:dyDescent="0.25">
      <c r="Y99" s="284">
        <v>40634</v>
      </c>
      <c r="Z99" s="285">
        <f t="shared" si="10"/>
        <v>2011</v>
      </c>
      <c r="AA99" s="6">
        <f t="shared" si="11"/>
        <v>4</v>
      </c>
      <c r="AB99" s="314">
        <f t="shared" si="12"/>
        <v>2011</v>
      </c>
      <c r="AC99" s="314">
        <f t="shared" si="13"/>
        <v>2010</v>
      </c>
      <c r="AD99" s="298">
        <f t="shared" si="14"/>
        <v>134.67868338557994</v>
      </c>
      <c r="AE99" s="298">
        <f t="shared" si="9"/>
        <v>132.64991404590961</v>
      </c>
      <c r="AF99" s="290">
        <f t="shared" si="15"/>
        <v>133.32275189845711</v>
      </c>
      <c r="AG99" s="296">
        <f t="shared" si="16"/>
        <v>1.5294162489752239E-2</v>
      </c>
      <c r="AH99" s="284"/>
    </row>
    <row r="100" spans="25:34" x14ac:dyDescent="0.25">
      <c r="Y100" s="284">
        <v>40664</v>
      </c>
      <c r="Z100" s="285">
        <f t="shared" si="10"/>
        <v>2011</v>
      </c>
      <c r="AA100" s="6">
        <f t="shared" si="11"/>
        <v>5</v>
      </c>
      <c r="AB100" s="314">
        <f t="shared" si="12"/>
        <v>2011</v>
      </c>
      <c r="AC100" s="314">
        <f t="shared" si="13"/>
        <v>2010</v>
      </c>
      <c r="AD100" s="298">
        <f t="shared" si="14"/>
        <v>134.67868338557994</v>
      </c>
      <c r="AE100" s="298">
        <f t="shared" si="9"/>
        <v>132.64991404590961</v>
      </c>
      <c r="AF100" s="290">
        <f t="shared" si="15"/>
        <v>133.49149394059646</v>
      </c>
      <c r="AG100" s="296">
        <f t="shared" si="16"/>
        <v>1.5294162489752239E-2</v>
      </c>
      <c r="AH100" s="284"/>
    </row>
    <row r="101" spans="25:34" x14ac:dyDescent="0.25">
      <c r="Y101" s="284">
        <v>40695</v>
      </c>
      <c r="Z101" s="285">
        <f t="shared" si="10"/>
        <v>2011</v>
      </c>
      <c r="AA101" s="6">
        <f t="shared" si="11"/>
        <v>6</v>
      </c>
      <c r="AB101" s="314">
        <f t="shared" si="12"/>
        <v>2011</v>
      </c>
      <c r="AC101" s="314">
        <f t="shared" si="13"/>
        <v>2010</v>
      </c>
      <c r="AD101" s="298">
        <f t="shared" si="14"/>
        <v>134.67868338557994</v>
      </c>
      <c r="AE101" s="298">
        <f t="shared" si="9"/>
        <v>132.64991404590961</v>
      </c>
      <c r="AF101" s="290">
        <f t="shared" si="15"/>
        <v>133.66044955376086</v>
      </c>
      <c r="AG101" s="296">
        <f t="shared" si="16"/>
        <v>1.5294162489752239E-2</v>
      </c>
      <c r="AH101" s="284"/>
    </row>
    <row r="102" spans="25:34" x14ac:dyDescent="0.25">
      <c r="Y102" s="284">
        <v>40725</v>
      </c>
      <c r="Z102" s="285">
        <f t="shared" si="10"/>
        <v>2011</v>
      </c>
      <c r="AA102" s="6">
        <f t="shared" si="11"/>
        <v>7</v>
      </c>
      <c r="AB102" s="314">
        <f t="shared" si="12"/>
        <v>2011</v>
      </c>
      <c r="AC102" s="314">
        <f t="shared" si="13"/>
        <v>2010</v>
      </c>
      <c r="AD102" s="298">
        <f t="shared" si="14"/>
        <v>134.67868338557994</v>
      </c>
      <c r="AE102" s="298">
        <f t="shared" si="9"/>
        <v>132.64991404590961</v>
      </c>
      <c r="AF102" s="290">
        <f t="shared" si="15"/>
        <v>133.82961900825984</v>
      </c>
      <c r="AG102" s="296">
        <f t="shared" si="16"/>
        <v>1.5294162489752239E-2</v>
      </c>
      <c r="AH102" s="284"/>
    </row>
    <row r="103" spans="25:34" x14ac:dyDescent="0.25">
      <c r="Y103" s="284">
        <v>40756</v>
      </c>
      <c r="Z103" s="285">
        <f t="shared" si="10"/>
        <v>2011</v>
      </c>
      <c r="AA103" s="6">
        <f t="shared" si="11"/>
        <v>8</v>
      </c>
      <c r="AB103" s="314">
        <f t="shared" si="12"/>
        <v>2011</v>
      </c>
      <c r="AC103" s="314">
        <f t="shared" si="13"/>
        <v>2010</v>
      </c>
      <c r="AD103" s="298">
        <f t="shared" si="14"/>
        <v>134.67868338557994</v>
      </c>
      <c r="AE103" s="298">
        <f t="shared" si="9"/>
        <v>132.64991404590961</v>
      </c>
      <c r="AF103" s="290">
        <f t="shared" si="15"/>
        <v>133.99900257474505</v>
      </c>
      <c r="AG103" s="296">
        <f t="shared" si="16"/>
        <v>1.5294162489752239E-2</v>
      </c>
      <c r="AH103" s="284"/>
    </row>
    <row r="104" spans="25:34" x14ac:dyDescent="0.25">
      <c r="Y104" s="284">
        <v>40787</v>
      </c>
      <c r="Z104" s="285">
        <f t="shared" si="10"/>
        <v>2011</v>
      </c>
      <c r="AA104" s="6">
        <f t="shared" si="11"/>
        <v>9</v>
      </c>
      <c r="AB104" s="314">
        <f t="shared" si="12"/>
        <v>2011</v>
      </c>
      <c r="AC104" s="314">
        <f t="shared" si="13"/>
        <v>2010</v>
      </c>
      <c r="AD104" s="298">
        <f t="shared" si="14"/>
        <v>134.67868338557994</v>
      </c>
      <c r="AE104" s="298">
        <f t="shared" si="9"/>
        <v>132.64991404590961</v>
      </c>
      <c r="AF104" s="290">
        <f t="shared" si="15"/>
        <v>134.16860052421072</v>
      </c>
      <c r="AG104" s="296">
        <f t="shared" si="16"/>
        <v>1.5294162489752239E-2</v>
      </c>
      <c r="AH104" s="284"/>
    </row>
    <row r="105" spans="25:34" x14ac:dyDescent="0.25">
      <c r="Y105" s="284">
        <v>40817</v>
      </c>
      <c r="Z105" s="285">
        <f t="shared" si="10"/>
        <v>2011</v>
      </c>
      <c r="AA105" s="6">
        <f t="shared" si="11"/>
        <v>10</v>
      </c>
      <c r="AB105" s="314">
        <f t="shared" si="12"/>
        <v>2011</v>
      </c>
      <c r="AC105" s="314">
        <f t="shared" si="13"/>
        <v>2010</v>
      </c>
      <c r="AD105" s="298">
        <f t="shared" si="14"/>
        <v>134.67868338557994</v>
      </c>
      <c r="AE105" s="298">
        <f t="shared" si="9"/>
        <v>132.64991404590961</v>
      </c>
      <c r="AF105" s="290">
        <f t="shared" si="15"/>
        <v>134.33841312799402</v>
      </c>
      <c r="AG105" s="296">
        <f t="shared" si="16"/>
        <v>1.5294162489752239E-2</v>
      </c>
      <c r="AH105" s="284"/>
    </row>
    <row r="106" spans="25:34" x14ac:dyDescent="0.25">
      <c r="Y106" s="284">
        <v>40848</v>
      </c>
      <c r="Z106" s="285">
        <f t="shared" si="10"/>
        <v>2011</v>
      </c>
      <c r="AA106" s="6">
        <f t="shared" si="11"/>
        <v>11</v>
      </c>
      <c r="AB106" s="314">
        <f t="shared" si="12"/>
        <v>2011</v>
      </c>
      <c r="AC106" s="314">
        <f t="shared" si="13"/>
        <v>2010</v>
      </c>
      <c r="AD106" s="298">
        <f t="shared" si="14"/>
        <v>134.67868338557994</v>
      </c>
      <c r="AE106" s="298">
        <f t="shared" si="9"/>
        <v>132.64991404590961</v>
      </c>
      <c r="AF106" s="290">
        <f t="shared" si="15"/>
        <v>134.50844065777559</v>
      </c>
      <c r="AG106" s="296">
        <f t="shared" si="16"/>
        <v>1.5294162489752239E-2</v>
      </c>
      <c r="AH106" s="284"/>
    </row>
    <row r="107" spans="25:34" x14ac:dyDescent="0.25">
      <c r="Y107" s="284">
        <v>40878</v>
      </c>
      <c r="Z107" s="285">
        <f t="shared" si="10"/>
        <v>2011</v>
      </c>
      <c r="AA107" s="6">
        <f t="shared" si="11"/>
        <v>12</v>
      </c>
      <c r="AB107" s="314">
        <f t="shared" si="12"/>
        <v>2011</v>
      </c>
      <c r="AC107" s="314">
        <f t="shared" si="13"/>
        <v>2010</v>
      </c>
      <c r="AD107" s="298">
        <f t="shared" si="14"/>
        <v>134.67868338557994</v>
      </c>
      <c r="AE107" s="298">
        <f t="shared" si="9"/>
        <v>132.64991404590961</v>
      </c>
      <c r="AF107" s="290">
        <f t="shared" si="15"/>
        <v>134.67868338557994</v>
      </c>
      <c r="AG107" s="296">
        <f t="shared" si="16"/>
        <v>1.5294162489757568E-2</v>
      </c>
      <c r="AH107" s="284"/>
    </row>
    <row r="108" spans="25:34" x14ac:dyDescent="0.25">
      <c r="Y108" s="284">
        <v>40909</v>
      </c>
      <c r="Z108" s="285">
        <f t="shared" si="10"/>
        <v>2012</v>
      </c>
      <c r="AA108" s="6">
        <f t="shared" si="11"/>
        <v>1</v>
      </c>
      <c r="AB108" s="314">
        <f t="shared" si="12"/>
        <v>2012</v>
      </c>
      <c r="AC108" s="314">
        <f t="shared" si="13"/>
        <v>2011</v>
      </c>
      <c r="AD108" s="298">
        <f t="shared" si="14"/>
        <v>136.17681262008293</v>
      </c>
      <c r="AE108" s="298">
        <f t="shared" si="9"/>
        <v>134.67868338557994</v>
      </c>
      <c r="AF108" s="290">
        <f t="shared" si="15"/>
        <v>134.80289547341587</v>
      </c>
      <c r="AG108" s="296">
        <f t="shared" si="16"/>
        <v>1.1123729433959006E-2</v>
      </c>
      <c r="AH108" s="284"/>
    </row>
    <row r="109" spans="25:34" x14ac:dyDescent="0.25">
      <c r="Y109" s="284">
        <v>40940</v>
      </c>
      <c r="Z109" s="285">
        <f t="shared" si="10"/>
        <v>2012</v>
      </c>
      <c r="AA109" s="6">
        <f t="shared" si="11"/>
        <v>2</v>
      </c>
      <c r="AB109" s="314">
        <f t="shared" si="12"/>
        <v>2012</v>
      </c>
      <c r="AC109" s="314">
        <f t="shared" si="13"/>
        <v>2011</v>
      </c>
      <c r="AD109" s="298">
        <f t="shared" si="14"/>
        <v>136.17681262008293</v>
      </c>
      <c r="AE109" s="298">
        <f t="shared" si="9"/>
        <v>134.67868338557994</v>
      </c>
      <c r="AF109" s="290">
        <f t="shared" si="15"/>
        <v>134.92722212015877</v>
      </c>
      <c r="AG109" s="296">
        <f t="shared" si="16"/>
        <v>1.1123729433959006E-2</v>
      </c>
      <c r="AH109" s="284"/>
    </row>
    <row r="110" spans="25:34" x14ac:dyDescent="0.25">
      <c r="Y110" s="284">
        <v>40969</v>
      </c>
      <c r="Z110" s="285">
        <f t="shared" si="10"/>
        <v>2012</v>
      </c>
      <c r="AA110" s="6">
        <f t="shared" si="11"/>
        <v>3</v>
      </c>
      <c r="AB110" s="314">
        <f t="shared" si="12"/>
        <v>2012</v>
      </c>
      <c r="AC110" s="314">
        <f t="shared" si="13"/>
        <v>2011</v>
      </c>
      <c r="AD110" s="298">
        <f t="shared" si="14"/>
        <v>136.17681262008293</v>
      </c>
      <c r="AE110" s="298">
        <f t="shared" si="9"/>
        <v>134.67868338557994</v>
      </c>
      <c r="AF110" s="290">
        <f t="shared" si="15"/>
        <v>135.05166343146462</v>
      </c>
      <c r="AG110" s="296">
        <f t="shared" si="16"/>
        <v>1.1123729433959006E-2</v>
      </c>
      <c r="AH110" s="284"/>
    </row>
    <row r="111" spans="25:34" x14ac:dyDescent="0.25">
      <c r="Y111" s="284">
        <v>41000</v>
      </c>
      <c r="Z111" s="285">
        <f t="shared" si="10"/>
        <v>2012</v>
      </c>
      <c r="AA111" s="6">
        <f t="shared" si="11"/>
        <v>4</v>
      </c>
      <c r="AB111" s="314">
        <f t="shared" si="12"/>
        <v>2012</v>
      </c>
      <c r="AC111" s="314">
        <f t="shared" si="13"/>
        <v>2011</v>
      </c>
      <c r="AD111" s="298">
        <f t="shared" si="14"/>
        <v>136.17681262008293</v>
      </c>
      <c r="AE111" s="298">
        <f t="shared" si="9"/>
        <v>134.67868338557994</v>
      </c>
      <c r="AF111" s="290">
        <f t="shared" si="15"/>
        <v>135.17621951308675</v>
      </c>
      <c r="AG111" s="296">
        <f t="shared" si="16"/>
        <v>1.1123729433959006E-2</v>
      </c>
      <c r="AH111" s="284"/>
    </row>
    <row r="112" spans="25:34" x14ac:dyDescent="0.25">
      <c r="Y112" s="284">
        <v>41030</v>
      </c>
      <c r="Z112" s="285">
        <f t="shared" si="10"/>
        <v>2012</v>
      </c>
      <c r="AA112" s="6">
        <f t="shared" si="11"/>
        <v>5</v>
      </c>
      <c r="AB112" s="314">
        <f t="shared" si="12"/>
        <v>2012</v>
      </c>
      <c r="AC112" s="314">
        <f t="shared" si="13"/>
        <v>2011</v>
      </c>
      <c r="AD112" s="298">
        <f t="shared" si="14"/>
        <v>136.17681262008293</v>
      </c>
      <c r="AE112" s="298">
        <f t="shared" si="9"/>
        <v>134.67868338557994</v>
      </c>
      <c r="AF112" s="290">
        <f t="shared" si="15"/>
        <v>135.30089047087608</v>
      </c>
      <c r="AG112" s="296">
        <f t="shared" si="16"/>
        <v>1.1123729433959006E-2</v>
      </c>
      <c r="AH112" s="284"/>
    </row>
    <row r="113" spans="25:34" x14ac:dyDescent="0.25">
      <c r="Y113" s="284">
        <v>41061</v>
      </c>
      <c r="Z113" s="285">
        <f t="shared" si="10"/>
        <v>2012</v>
      </c>
      <c r="AA113" s="6">
        <f t="shared" si="11"/>
        <v>6</v>
      </c>
      <c r="AB113" s="314">
        <f t="shared" si="12"/>
        <v>2012</v>
      </c>
      <c r="AC113" s="314">
        <f t="shared" si="13"/>
        <v>2011</v>
      </c>
      <c r="AD113" s="298">
        <f t="shared" si="14"/>
        <v>136.17681262008293</v>
      </c>
      <c r="AE113" s="298">
        <f t="shared" si="9"/>
        <v>134.67868338557994</v>
      </c>
      <c r="AF113" s="290">
        <f t="shared" si="15"/>
        <v>135.42567641078114</v>
      </c>
      <c r="AG113" s="296">
        <f t="shared" si="16"/>
        <v>1.1123729433959006E-2</v>
      </c>
      <c r="AH113" s="284"/>
    </row>
    <row r="114" spans="25:34" x14ac:dyDescent="0.25">
      <c r="Y114" s="284">
        <v>41091</v>
      </c>
      <c r="Z114" s="285">
        <f t="shared" si="10"/>
        <v>2012</v>
      </c>
      <c r="AA114" s="6">
        <f t="shared" si="11"/>
        <v>7</v>
      </c>
      <c r="AB114" s="314">
        <f t="shared" si="12"/>
        <v>2012</v>
      </c>
      <c r="AC114" s="314">
        <f t="shared" si="13"/>
        <v>2011</v>
      </c>
      <c r="AD114" s="298">
        <f t="shared" si="14"/>
        <v>136.17681262008293</v>
      </c>
      <c r="AE114" s="298">
        <f t="shared" si="9"/>
        <v>134.67868338557994</v>
      </c>
      <c r="AF114" s="290">
        <f t="shared" si="15"/>
        <v>135.55057743884817</v>
      </c>
      <c r="AG114" s="296">
        <f t="shared" si="16"/>
        <v>1.1123729433959006E-2</v>
      </c>
      <c r="AH114" s="284"/>
    </row>
    <row r="115" spans="25:34" x14ac:dyDescent="0.25">
      <c r="Y115" s="284">
        <v>41122</v>
      </c>
      <c r="Z115" s="285">
        <f t="shared" si="10"/>
        <v>2012</v>
      </c>
      <c r="AA115" s="6">
        <f t="shared" si="11"/>
        <v>8</v>
      </c>
      <c r="AB115" s="314">
        <f t="shared" si="12"/>
        <v>2012</v>
      </c>
      <c r="AC115" s="314">
        <f t="shared" si="13"/>
        <v>2011</v>
      </c>
      <c r="AD115" s="298">
        <f t="shared" si="14"/>
        <v>136.17681262008293</v>
      </c>
      <c r="AE115" s="298">
        <f t="shared" si="9"/>
        <v>134.67868338557994</v>
      </c>
      <c r="AF115" s="290">
        <f t="shared" si="15"/>
        <v>135.67559366122123</v>
      </c>
      <c r="AG115" s="296">
        <f t="shared" si="16"/>
        <v>1.1123729433959006E-2</v>
      </c>
      <c r="AH115" s="284"/>
    </row>
    <row r="116" spans="25:34" x14ac:dyDescent="0.25">
      <c r="Y116" s="284">
        <v>41153</v>
      </c>
      <c r="Z116" s="285">
        <f t="shared" si="10"/>
        <v>2012</v>
      </c>
      <c r="AA116" s="6">
        <f t="shared" si="11"/>
        <v>9</v>
      </c>
      <c r="AB116" s="314">
        <f t="shared" si="12"/>
        <v>2012</v>
      </c>
      <c r="AC116" s="314">
        <f t="shared" si="13"/>
        <v>2011</v>
      </c>
      <c r="AD116" s="298">
        <f t="shared" si="14"/>
        <v>136.17681262008293</v>
      </c>
      <c r="AE116" s="298">
        <f t="shared" si="9"/>
        <v>134.67868338557994</v>
      </c>
      <c r="AF116" s="290">
        <f t="shared" si="15"/>
        <v>135.80072518414227</v>
      </c>
      <c r="AG116" s="296">
        <f t="shared" si="16"/>
        <v>1.1123729433959006E-2</v>
      </c>
      <c r="AH116" s="284"/>
    </row>
    <row r="117" spans="25:34" x14ac:dyDescent="0.25">
      <c r="Y117" s="284">
        <v>41183</v>
      </c>
      <c r="Z117" s="285">
        <f t="shared" si="10"/>
        <v>2012</v>
      </c>
      <c r="AA117" s="6">
        <f t="shared" si="11"/>
        <v>10</v>
      </c>
      <c r="AB117" s="314">
        <f t="shared" si="12"/>
        <v>2012</v>
      </c>
      <c r="AC117" s="314">
        <f t="shared" si="13"/>
        <v>2011</v>
      </c>
      <c r="AD117" s="298">
        <f t="shared" si="14"/>
        <v>136.17681262008293</v>
      </c>
      <c r="AE117" s="298">
        <f t="shared" si="9"/>
        <v>134.67868338557994</v>
      </c>
      <c r="AF117" s="290">
        <f t="shared" si="15"/>
        <v>135.92597211395122</v>
      </c>
      <c r="AG117" s="296">
        <f t="shared" si="16"/>
        <v>1.1123729433959006E-2</v>
      </c>
      <c r="AH117" s="284"/>
    </row>
    <row r="118" spans="25:34" x14ac:dyDescent="0.25">
      <c r="Y118" s="284">
        <v>41214</v>
      </c>
      <c r="Z118" s="285">
        <f t="shared" si="10"/>
        <v>2012</v>
      </c>
      <c r="AA118" s="6">
        <f t="shared" si="11"/>
        <v>11</v>
      </c>
      <c r="AB118" s="314">
        <f t="shared" si="12"/>
        <v>2012</v>
      </c>
      <c r="AC118" s="314">
        <f t="shared" si="13"/>
        <v>2011</v>
      </c>
      <c r="AD118" s="298">
        <f t="shared" si="14"/>
        <v>136.17681262008293</v>
      </c>
      <c r="AE118" s="298">
        <f t="shared" si="9"/>
        <v>134.67868338557994</v>
      </c>
      <c r="AF118" s="290">
        <f t="shared" si="15"/>
        <v>136.05133455708605</v>
      </c>
      <c r="AG118" s="296">
        <f t="shared" si="16"/>
        <v>1.1123729433959006E-2</v>
      </c>
      <c r="AH118" s="284"/>
    </row>
    <row r="119" spans="25:34" x14ac:dyDescent="0.25">
      <c r="Y119" s="284">
        <v>41244</v>
      </c>
      <c r="Z119" s="285">
        <f t="shared" si="10"/>
        <v>2012</v>
      </c>
      <c r="AA119" s="6">
        <f t="shared" si="11"/>
        <v>12</v>
      </c>
      <c r="AB119" s="314">
        <f t="shared" si="12"/>
        <v>2012</v>
      </c>
      <c r="AC119" s="314">
        <f t="shared" si="13"/>
        <v>2011</v>
      </c>
      <c r="AD119" s="298">
        <f t="shared" si="14"/>
        <v>136.17681262008293</v>
      </c>
      <c r="AE119" s="298">
        <f t="shared" si="9"/>
        <v>134.67868338557994</v>
      </c>
      <c r="AF119" s="290">
        <f t="shared" si="15"/>
        <v>136.17681262008293</v>
      </c>
      <c r="AG119" s="296">
        <f t="shared" si="16"/>
        <v>1.1123729433953677E-2</v>
      </c>
      <c r="AH119" s="284"/>
    </row>
    <row r="120" spans="25:34" x14ac:dyDescent="0.25">
      <c r="Y120" s="284">
        <v>41275</v>
      </c>
      <c r="Z120" s="285">
        <f t="shared" si="10"/>
        <v>2013</v>
      </c>
      <c r="AA120" s="6">
        <f t="shared" si="11"/>
        <v>1</v>
      </c>
      <c r="AB120" s="314">
        <f t="shared" si="12"/>
        <v>2013</v>
      </c>
      <c r="AC120" s="314">
        <f t="shared" si="13"/>
        <v>2012</v>
      </c>
      <c r="AD120" s="298">
        <f t="shared" si="14"/>
        <v>138.05737435534434</v>
      </c>
      <c r="AE120" s="298">
        <f t="shared" si="9"/>
        <v>136.17681262008293</v>
      </c>
      <c r="AF120" s="290">
        <f t="shared" si="15"/>
        <v>136.33254285243484</v>
      </c>
      <c r="AG120" s="296">
        <f t="shared" si="16"/>
        <v>1.3809705918937487E-2</v>
      </c>
      <c r="AH120" s="284"/>
    </row>
    <row r="121" spans="25:34" x14ac:dyDescent="0.25">
      <c r="Y121" s="284">
        <v>41306</v>
      </c>
      <c r="Z121" s="285">
        <f t="shared" si="10"/>
        <v>2013</v>
      </c>
      <c r="AA121" s="6">
        <f t="shared" si="11"/>
        <v>2</v>
      </c>
      <c r="AB121" s="314">
        <f t="shared" si="12"/>
        <v>2013</v>
      </c>
      <c r="AC121" s="314">
        <f t="shared" si="13"/>
        <v>2012</v>
      </c>
      <c r="AD121" s="298">
        <f t="shared" si="14"/>
        <v>138.05737435534434</v>
      </c>
      <c r="AE121" s="298">
        <f t="shared" si="9"/>
        <v>136.17681262008293</v>
      </c>
      <c r="AF121" s="290">
        <f t="shared" si="15"/>
        <v>136.4884511760844</v>
      </c>
      <c r="AG121" s="296">
        <f t="shared" si="16"/>
        <v>1.3809705918937487E-2</v>
      </c>
      <c r="AH121" s="284"/>
    </row>
    <row r="122" spans="25:34" x14ac:dyDescent="0.25">
      <c r="Y122" s="284">
        <v>41334</v>
      </c>
      <c r="Z122" s="285">
        <f t="shared" si="10"/>
        <v>2013</v>
      </c>
      <c r="AA122" s="6">
        <f t="shared" si="11"/>
        <v>3</v>
      </c>
      <c r="AB122" s="314">
        <f t="shared" si="12"/>
        <v>2013</v>
      </c>
      <c r="AC122" s="314">
        <f t="shared" si="13"/>
        <v>2012</v>
      </c>
      <c r="AD122" s="298">
        <f t="shared" si="14"/>
        <v>138.05737435534434</v>
      </c>
      <c r="AE122" s="298">
        <f t="shared" si="9"/>
        <v>136.17681262008293</v>
      </c>
      <c r="AF122" s="290">
        <f t="shared" si="15"/>
        <v>136.64453779469474</v>
      </c>
      <c r="AG122" s="296">
        <f t="shared" si="16"/>
        <v>1.3809705918937487E-2</v>
      </c>
      <c r="AH122" s="284"/>
    </row>
    <row r="123" spans="25:34" x14ac:dyDescent="0.25">
      <c r="Y123" s="284">
        <v>41365</v>
      </c>
      <c r="Z123" s="285">
        <f t="shared" si="10"/>
        <v>2013</v>
      </c>
      <c r="AA123" s="6">
        <f t="shared" si="11"/>
        <v>4</v>
      </c>
      <c r="AB123" s="314">
        <f t="shared" si="12"/>
        <v>2013</v>
      </c>
      <c r="AC123" s="314">
        <f t="shared" si="13"/>
        <v>2012</v>
      </c>
      <c r="AD123" s="298">
        <f t="shared" si="14"/>
        <v>138.05737435534434</v>
      </c>
      <c r="AE123" s="298">
        <f t="shared" si="9"/>
        <v>136.17681262008293</v>
      </c>
      <c r="AF123" s="290">
        <f t="shared" si="15"/>
        <v>136.80080291216194</v>
      </c>
      <c r="AG123" s="296">
        <f t="shared" si="16"/>
        <v>1.3809705918937487E-2</v>
      </c>
      <c r="AH123" s="284"/>
    </row>
    <row r="124" spans="25:34" x14ac:dyDescent="0.25">
      <c r="Y124" s="284">
        <v>41395</v>
      </c>
      <c r="Z124" s="285">
        <f t="shared" si="10"/>
        <v>2013</v>
      </c>
      <c r="AA124" s="6">
        <f t="shared" si="11"/>
        <v>5</v>
      </c>
      <c r="AB124" s="314">
        <f t="shared" si="12"/>
        <v>2013</v>
      </c>
      <c r="AC124" s="314">
        <f t="shared" si="13"/>
        <v>2012</v>
      </c>
      <c r="AD124" s="298">
        <f t="shared" si="14"/>
        <v>138.05737435534434</v>
      </c>
      <c r="AE124" s="298">
        <f t="shared" si="9"/>
        <v>136.17681262008293</v>
      </c>
      <c r="AF124" s="290">
        <f t="shared" si="15"/>
        <v>136.95724673261523</v>
      </c>
      <c r="AG124" s="296">
        <f t="shared" si="16"/>
        <v>1.3809705918937487E-2</v>
      </c>
      <c r="AH124" s="284"/>
    </row>
    <row r="125" spans="25:34" x14ac:dyDescent="0.25">
      <c r="Y125" s="284">
        <v>41426</v>
      </c>
      <c r="Z125" s="285">
        <f t="shared" si="10"/>
        <v>2013</v>
      </c>
      <c r="AA125" s="6">
        <f t="shared" si="11"/>
        <v>6</v>
      </c>
      <c r="AB125" s="314">
        <f t="shared" si="12"/>
        <v>2013</v>
      </c>
      <c r="AC125" s="314">
        <f t="shared" si="13"/>
        <v>2012</v>
      </c>
      <c r="AD125" s="298">
        <f t="shared" si="14"/>
        <v>138.05737435534434</v>
      </c>
      <c r="AE125" s="298">
        <f t="shared" si="9"/>
        <v>136.17681262008293</v>
      </c>
      <c r="AF125" s="290">
        <f t="shared" si="15"/>
        <v>137.11386946041728</v>
      </c>
      <c r="AG125" s="296">
        <f t="shared" si="16"/>
        <v>1.3809705918937487E-2</v>
      </c>
      <c r="AH125" s="284"/>
    </row>
    <row r="126" spans="25:34" x14ac:dyDescent="0.25">
      <c r="Y126" s="284">
        <v>41456</v>
      </c>
      <c r="Z126" s="285">
        <f t="shared" si="10"/>
        <v>2013</v>
      </c>
      <c r="AA126" s="6">
        <f t="shared" si="11"/>
        <v>7</v>
      </c>
      <c r="AB126" s="314">
        <f t="shared" si="12"/>
        <v>2013</v>
      </c>
      <c r="AC126" s="314">
        <f t="shared" si="13"/>
        <v>2012</v>
      </c>
      <c r="AD126" s="298">
        <f t="shared" si="14"/>
        <v>138.05737435534434</v>
      </c>
      <c r="AE126" s="298">
        <f t="shared" si="9"/>
        <v>136.17681262008293</v>
      </c>
      <c r="AF126" s="290">
        <f t="shared" si="15"/>
        <v>137.27067130016448</v>
      </c>
      <c r="AG126" s="296">
        <f t="shared" si="16"/>
        <v>1.3809705918937487E-2</v>
      </c>
      <c r="AH126" s="284"/>
    </row>
    <row r="127" spans="25:34" x14ac:dyDescent="0.25">
      <c r="Y127" s="284">
        <v>41487</v>
      </c>
      <c r="Z127" s="285">
        <f t="shared" si="10"/>
        <v>2013</v>
      </c>
      <c r="AA127" s="6">
        <f t="shared" si="11"/>
        <v>8</v>
      </c>
      <c r="AB127" s="314">
        <f t="shared" si="12"/>
        <v>2013</v>
      </c>
      <c r="AC127" s="314">
        <f t="shared" si="13"/>
        <v>2012</v>
      </c>
      <c r="AD127" s="298">
        <f t="shared" si="14"/>
        <v>138.05737435534434</v>
      </c>
      <c r="AE127" s="298">
        <f t="shared" si="9"/>
        <v>136.17681262008293</v>
      </c>
      <c r="AF127" s="290">
        <f t="shared" si="15"/>
        <v>137.42765245668718</v>
      </c>
      <c r="AG127" s="296">
        <f t="shared" si="16"/>
        <v>1.3809705918937487E-2</v>
      </c>
      <c r="AH127" s="284"/>
    </row>
    <row r="128" spans="25:34" x14ac:dyDescent="0.25">
      <c r="Y128" s="284">
        <v>41518</v>
      </c>
      <c r="Z128" s="285">
        <f t="shared" si="10"/>
        <v>2013</v>
      </c>
      <c r="AA128" s="6">
        <f t="shared" si="11"/>
        <v>9</v>
      </c>
      <c r="AB128" s="314">
        <f t="shared" si="12"/>
        <v>2013</v>
      </c>
      <c r="AC128" s="314">
        <f t="shared" si="13"/>
        <v>2012</v>
      </c>
      <c r="AD128" s="298">
        <f t="shared" si="14"/>
        <v>138.05737435534434</v>
      </c>
      <c r="AE128" s="298">
        <f t="shared" si="9"/>
        <v>136.17681262008293</v>
      </c>
      <c r="AF128" s="290">
        <f t="shared" si="15"/>
        <v>137.58481313504998</v>
      </c>
      <c r="AG128" s="296">
        <f t="shared" si="16"/>
        <v>1.3809705918937487E-2</v>
      </c>
      <c r="AH128" s="284"/>
    </row>
    <row r="129" spans="25:34" x14ac:dyDescent="0.25">
      <c r="Y129" s="284">
        <v>41548</v>
      </c>
      <c r="Z129" s="285">
        <f t="shared" si="10"/>
        <v>2013</v>
      </c>
      <c r="AA129" s="6">
        <f t="shared" si="11"/>
        <v>10</v>
      </c>
      <c r="AB129" s="314">
        <f t="shared" si="12"/>
        <v>2013</v>
      </c>
      <c r="AC129" s="314">
        <f t="shared" si="13"/>
        <v>2012</v>
      </c>
      <c r="AD129" s="298">
        <f t="shared" si="14"/>
        <v>138.05737435534434</v>
      </c>
      <c r="AE129" s="298">
        <f t="shared" si="9"/>
        <v>136.17681262008293</v>
      </c>
      <c r="AF129" s="290">
        <f t="shared" si="15"/>
        <v>137.74215354055198</v>
      </c>
      <c r="AG129" s="296">
        <f t="shared" si="16"/>
        <v>1.3809705918937487E-2</v>
      </c>
      <c r="AH129" s="284"/>
    </row>
    <row r="130" spans="25:34" x14ac:dyDescent="0.25">
      <c r="Y130" s="284">
        <v>41579</v>
      </c>
      <c r="Z130" s="285">
        <f t="shared" si="10"/>
        <v>2013</v>
      </c>
      <c r="AA130" s="6">
        <f t="shared" si="11"/>
        <v>11</v>
      </c>
      <c r="AB130" s="314">
        <f t="shared" si="12"/>
        <v>2013</v>
      </c>
      <c r="AC130" s="314">
        <f t="shared" si="13"/>
        <v>2012</v>
      </c>
      <c r="AD130" s="298">
        <f t="shared" si="14"/>
        <v>138.05737435534434</v>
      </c>
      <c r="AE130" s="298">
        <f t="shared" si="9"/>
        <v>136.17681262008293</v>
      </c>
      <c r="AF130" s="290">
        <f t="shared" si="15"/>
        <v>137.89967387872707</v>
      </c>
      <c r="AG130" s="296">
        <f t="shared" si="16"/>
        <v>1.3809705918937487E-2</v>
      </c>
      <c r="AH130" s="284"/>
    </row>
    <row r="131" spans="25:34" x14ac:dyDescent="0.25">
      <c r="Y131" s="284">
        <v>41609</v>
      </c>
      <c r="Z131" s="285">
        <f t="shared" si="10"/>
        <v>2013</v>
      </c>
      <c r="AA131" s="6">
        <f t="shared" si="11"/>
        <v>12</v>
      </c>
      <c r="AB131" s="314">
        <f t="shared" si="12"/>
        <v>2013</v>
      </c>
      <c r="AC131" s="314">
        <f t="shared" si="13"/>
        <v>2012</v>
      </c>
      <c r="AD131" s="298">
        <f t="shared" si="14"/>
        <v>138.05737435534434</v>
      </c>
      <c r="AE131" s="298">
        <f t="shared" si="9"/>
        <v>136.17681262008293</v>
      </c>
      <c r="AF131" s="290">
        <f t="shared" si="15"/>
        <v>138.05737435534434</v>
      </c>
      <c r="AG131" s="296">
        <f t="shared" si="16"/>
        <v>1.3809705918948589E-2</v>
      </c>
      <c r="AH131" s="284"/>
    </row>
    <row r="132" spans="25:34" x14ac:dyDescent="0.25">
      <c r="Y132" s="284">
        <v>41640</v>
      </c>
      <c r="Z132" s="285">
        <f t="shared" si="10"/>
        <v>2014</v>
      </c>
      <c r="AA132" s="6">
        <f t="shared" si="11"/>
        <v>1</v>
      </c>
      <c r="AB132" s="314">
        <f t="shared" si="12"/>
        <v>2014</v>
      </c>
      <c r="AC132" s="314">
        <f t="shared" si="13"/>
        <v>2013</v>
      </c>
      <c r="AD132" s="298">
        <f t="shared" si="14"/>
        <v>140.97943421984021</v>
      </c>
      <c r="AE132" s="298">
        <f t="shared" si="9"/>
        <v>138.05737435534434</v>
      </c>
      <c r="AF132" s="290">
        <f t="shared" si="15"/>
        <v>138.29854859030914</v>
      </c>
      <c r="AG132" s="296">
        <f t="shared" si="16"/>
        <v>2.1165547136760221E-2</v>
      </c>
      <c r="AH132" s="284"/>
    </row>
    <row r="133" spans="25:34" x14ac:dyDescent="0.25">
      <c r="Y133" s="284">
        <v>41671</v>
      </c>
      <c r="Z133" s="285">
        <f t="shared" si="10"/>
        <v>2014</v>
      </c>
      <c r="AA133" s="6">
        <f t="shared" si="11"/>
        <v>2</v>
      </c>
      <c r="AB133" s="314">
        <f t="shared" si="12"/>
        <v>2014</v>
      </c>
      <c r="AC133" s="314">
        <f t="shared" si="13"/>
        <v>2013</v>
      </c>
      <c r="AD133" s="298">
        <f t="shared" si="14"/>
        <v>140.97943421984021</v>
      </c>
      <c r="AE133" s="298">
        <f t="shared" si="9"/>
        <v>138.05737435534434</v>
      </c>
      <c r="AF133" s="290">
        <f t="shared" si="15"/>
        <v>138.54014413570292</v>
      </c>
      <c r="AG133" s="296">
        <f t="shared" si="16"/>
        <v>2.1165547136760221E-2</v>
      </c>
      <c r="AH133" s="284"/>
    </row>
    <row r="134" spans="25:34" x14ac:dyDescent="0.25">
      <c r="Y134" s="284">
        <v>41699</v>
      </c>
      <c r="Z134" s="285">
        <f t="shared" si="10"/>
        <v>2014</v>
      </c>
      <c r="AA134" s="6">
        <f t="shared" si="11"/>
        <v>3</v>
      </c>
      <c r="AB134" s="314">
        <f t="shared" si="12"/>
        <v>2014</v>
      </c>
      <c r="AC134" s="314">
        <f t="shared" si="13"/>
        <v>2013</v>
      </c>
      <c r="AD134" s="298">
        <f t="shared" si="14"/>
        <v>140.97943421984021</v>
      </c>
      <c r="AE134" s="298">
        <f t="shared" si="9"/>
        <v>138.05737435534434</v>
      </c>
      <c r="AF134" s="290">
        <f t="shared" si="15"/>
        <v>138.78216172751834</v>
      </c>
      <c r="AG134" s="296">
        <f t="shared" si="16"/>
        <v>2.1165547136760221E-2</v>
      </c>
      <c r="AH134" s="284"/>
    </row>
    <row r="135" spans="25:34" x14ac:dyDescent="0.25">
      <c r="Y135" s="284">
        <v>41730</v>
      </c>
      <c r="Z135" s="285">
        <f t="shared" si="10"/>
        <v>2014</v>
      </c>
      <c r="AA135" s="6">
        <f t="shared" si="11"/>
        <v>4</v>
      </c>
      <c r="AB135" s="314">
        <f t="shared" si="12"/>
        <v>2014</v>
      </c>
      <c r="AC135" s="314">
        <f t="shared" si="13"/>
        <v>2013</v>
      </c>
      <c r="AD135" s="298">
        <f t="shared" si="14"/>
        <v>140.97943421984021</v>
      </c>
      <c r="AE135" s="298">
        <f t="shared" si="9"/>
        <v>138.05737435534434</v>
      </c>
      <c r="AF135" s="290">
        <f t="shared" si="15"/>
        <v>139.02460210303386</v>
      </c>
      <c r="AG135" s="296">
        <f t="shared" si="16"/>
        <v>2.1165547136760221E-2</v>
      </c>
      <c r="AH135" s="284"/>
    </row>
    <row r="136" spans="25:34" x14ac:dyDescent="0.25">
      <c r="Y136" s="284">
        <v>41760</v>
      </c>
      <c r="Z136" s="285">
        <f t="shared" si="10"/>
        <v>2014</v>
      </c>
      <c r="AA136" s="6">
        <f t="shared" si="11"/>
        <v>5</v>
      </c>
      <c r="AB136" s="314">
        <f t="shared" si="12"/>
        <v>2014</v>
      </c>
      <c r="AC136" s="314">
        <f t="shared" si="13"/>
        <v>2013</v>
      </c>
      <c r="AD136" s="298">
        <f t="shared" si="14"/>
        <v>140.97943421984021</v>
      </c>
      <c r="AE136" s="298">
        <f t="shared" si="9"/>
        <v>138.05737435534434</v>
      </c>
      <c r="AF136" s="290">
        <f t="shared" si="15"/>
        <v>139.26746600081583</v>
      </c>
      <c r="AG136" s="296">
        <f t="shared" si="16"/>
        <v>2.1165547136760221E-2</v>
      </c>
      <c r="AH136" s="284"/>
    </row>
    <row r="137" spans="25:34" x14ac:dyDescent="0.25">
      <c r="Y137" s="284">
        <v>41791</v>
      </c>
      <c r="Z137" s="285">
        <f t="shared" si="10"/>
        <v>2014</v>
      </c>
      <c r="AA137" s="6">
        <f t="shared" si="11"/>
        <v>6</v>
      </c>
      <c r="AB137" s="314">
        <f t="shared" si="12"/>
        <v>2014</v>
      </c>
      <c r="AC137" s="314">
        <f t="shared" si="13"/>
        <v>2013</v>
      </c>
      <c r="AD137" s="298">
        <f t="shared" si="14"/>
        <v>140.97943421984021</v>
      </c>
      <c r="AE137" s="298">
        <f t="shared" si="9"/>
        <v>138.05737435534434</v>
      </c>
      <c r="AF137" s="290">
        <f t="shared" si="15"/>
        <v>139.51075416072086</v>
      </c>
      <c r="AG137" s="296">
        <f t="shared" si="16"/>
        <v>2.1165547136760221E-2</v>
      </c>
      <c r="AH137" s="284"/>
    </row>
    <row r="138" spans="25:34" x14ac:dyDescent="0.25">
      <c r="Y138" s="284">
        <v>41821</v>
      </c>
      <c r="Z138" s="285">
        <f t="shared" si="10"/>
        <v>2014</v>
      </c>
      <c r="AA138" s="6">
        <f t="shared" si="11"/>
        <v>7</v>
      </c>
      <c r="AB138" s="314">
        <f t="shared" si="12"/>
        <v>2014</v>
      </c>
      <c r="AC138" s="314">
        <f t="shared" si="13"/>
        <v>2013</v>
      </c>
      <c r="AD138" s="298">
        <f t="shared" si="14"/>
        <v>140.97943421984021</v>
      </c>
      <c r="AE138" s="298">
        <f t="shared" si="9"/>
        <v>138.05737435534434</v>
      </c>
      <c r="AF138" s="290">
        <f t="shared" si="15"/>
        <v>139.75446732389804</v>
      </c>
      <c r="AG138" s="296">
        <f t="shared" si="16"/>
        <v>2.1165547136760221E-2</v>
      </c>
      <c r="AH138" s="284"/>
    </row>
    <row r="139" spans="25:34" x14ac:dyDescent="0.25">
      <c r="Y139" s="284">
        <v>41852</v>
      </c>
      <c r="Z139" s="285">
        <f t="shared" si="10"/>
        <v>2014</v>
      </c>
      <c r="AA139" s="6">
        <f t="shared" si="11"/>
        <v>8</v>
      </c>
      <c r="AB139" s="314">
        <f t="shared" si="12"/>
        <v>2014</v>
      </c>
      <c r="AC139" s="314">
        <f t="shared" si="13"/>
        <v>2013</v>
      </c>
      <c r="AD139" s="298">
        <f t="shared" si="14"/>
        <v>140.97943421984021</v>
      </c>
      <c r="AE139" s="298">
        <f t="shared" si="9"/>
        <v>138.05737435534434</v>
      </c>
      <c r="AF139" s="290">
        <f t="shared" si="15"/>
        <v>139.9986062327911</v>
      </c>
      <c r="AG139" s="296">
        <f t="shared" si="16"/>
        <v>2.1165547136760221E-2</v>
      </c>
      <c r="AH139" s="284"/>
    </row>
    <row r="140" spans="25:34" x14ac:dyDescent="0.25">
      <c r="Y140" s="284">
        <v>41883</v>
      </c>
      <c r="Z140" s="285">
        <f t="shared" si="10"/>
        <v>2014</v>
      </c>
      <c r="AA140" s="6">
        <f t="shared" si="11"/>
        <v>9</v>
      </c>
      <c r="AB140" s="314">
        <f t="shared" si="12"/>
        <v>2014</v>
      </c>
      <c r="AC140" s="314">
        <f t="shared" si="13"/>
        <v>2013</v>
      </c>
      <c r="AD140" s="298">
        <f t="shared" si="14"/>
        <v>140.97943421984021</v>
      </c>
      <c r="AE140" s="298">
        <f t="shared" si="9"/>
        <v>138.05737435534434</v>
      </c>
      <c r="AF140" s="290">
        <f t="shared" si="15"/>
        <v>140.24317163114083</v>
      </c>
      <c r="AG140" s="296">
        <f t="shared" si="16"/>
        <v>2.1165547136760221E-2</v>
      </c>
      <c r="AH140" s="284"/>
    </row>
    <row r="141" spans="25:34" x14ac:dyDescent="0.25">
      <c r="Y141" s="284">
        <v>41913</v>
      </c>
      <c r="Z141" s="285">
        <f t="shared" si="10"/>
        <v>2014</v>
      </c>
      <c r="AA141" s="6">
        <f t="shared" si="11"/>
        <v>10</v>
      </c>
      <c r="AB141" s="314">
        <f t="shared" si="12"/>
        <v>2014</v>
      </c>
      <c r="AC141" s="314">
        <f t="shared" si="13"/>
        <v>2013</v>
      </c>
      <c r="AD141" s="298">
        <f t="shared" si="14"/>
        <v>140.97943421984021</v>
      </c>
      <c r="AE141" s="298">
        <f t="shared" si="9"/>
        <v>138.05737435534434</v>
      </c>
      <c r="AF141" s="290">
        <f t="shared" si="15"/>
        <v>140.48816426398724</v>
      </c>
      <c r="AG141" s="296">
        <f t="shared" si="16"/>
        <v>2.1165547136760221E-2</v>
      </c>
      <c r="AH141" s="284"/>
    </row>
    <row r="142" spans="25:34" x14ac:dyDescent="0.25">
      <c r="Y142" s="284">
        <v>41944</v>
      </c>
      <c r="Z142" s="285">
        <f t="shared" si="10"/>
        <v>2014</v>
      </c>
      <c r="AA142" s="6">
        <f t="shared" si="11"/>
        <v>11</v>
      </c>
      <c r="AB142" s="314">
        <f t="shared" si="12"/>
        <v>2014</v>
      </c>
      <c r="AC142" s="314">
        <f t="shared" si="13"/>
        <v>2013</v>
      </c>
      <c r="AD142" s="298">
        <f t="shared" si="14"/>
        <v>140.97943421984021</v>
      </c>
      <c r="AE142" s="298">
        <f t="shared" si="9"/>
        <v>138.05737435534434</v>
      </c>
      <c r="AF142" s="290">
        <f t="shared" si="15"/>
        <v>140.73358487767186</v>
      </c>
      <c r="AG142" s="296">
        <f t="shared" si="16"/>
        <v>2.1165547136760221E-2</v>
      </c>
      <c r="AH142" s="284"/>
    </row>
    <row r="143" spans="25:34" x14ac:dyDescent="0.25">
      <c r="Y143" s="284">
        <v>41974</v>
      </c>
      <c r="Z143" s="285">
        <f t="shared" si="10"/>
        <v>2014</v>
      </c>
      <c r="AA143" s="6">
        <f t="shared" si="11"/>
        <v>12</v>
      </c>
      <c r="AB143" s="314">
        <f t="shared" si="12"/>
        <v>2014</v>
      </c>
      <c r="AC143" s="314">
        <f t="shared" si="13"/>
        <v>2013</v>
      </c>
      <c r="AD143" s="298">
        <f t="shared" si="14"/>
        <v>140.97943421984021</v>
      </c>
      <c r="AE143" s="298">
        <f t="shared" si="9"/>
        <v>138.05737435534434</v>
      </c>
      <c r="AF143" s="290">
        <f t="shared" si="15"/>
        <v>140.97943421984021</v>
      </c>
      <c r="AG143" s="296">
        <f t="shared" si="16"/>
        <v>2.1165547136781759E-2</v>
      </c>
      <c r="AH143" s="284"/>
    </row>
    <row r="144" spans="25:34" x14ac:dyDescent="0.25">
      <c r="Y144" s="284">
        <v>42005</v>
      </c>
      <c r="Z144" s="285">
        <f t="shared" si="10"/>
        <v>2015</v>
      </c>
      <c r="AA144" s="6">
        <f t="shared" si="11"/>
        <v>1</v>
      </c>
      <c r="AB144" s="314">
        <f t="shared" si="12"/>
        <v>2015</v>
      </c>
      <c r="AC144" s="314">
        <f t="shared" si="13"/>
        <v>2014</v>
      </c>
      <c r="AD144" s="298">
        <f t="shared" si="14"/>
        <v>144.91764839720901</v>
      </c>
      <c r="AE144" s="298">
        <f t="shared" si="9"/>
        <v>140.97943421984021</v>
      </c>
      <c r="AF144" s="290">
        <f t="shared" si="15"/>
        <v>141.3034903565966</v>
      </c>
      <c r="AG144" s="296">
        <f t="shared" si="16"/>
        <v>2.7934671458728744E-2</v>
      </c>
      <c r="AH144" s="284"/>
    </row>
    <row r="145" spans="25:34" x14ac:dyDescent="0.25">
      <c r="Y145" s="284">
        <v>42036</v>
      </c>
      <c r="Z145" s="285">
        <f t="shared" si="10"/>
        <v>2015</v>
      </c>
      <c r="AA145" s="6">
        <f t="shared" si="11"/>
        <v>2</v>
      </c>
      <c r="AB145" s="314">
        <f t="shared" si="12"/>
        <v>2015</v>
      </c>
      <c r="AC145" s="314">
        <f t="shared" si="13"/>
        <v>2014</v>
      </c>
      <c r="AD145" s="298">
        <f t="shared" si="14"/>
        <v>144.91764839720901</v>
      </c>
      <c r="AE145" s="298">
        <f t="shared" si="9"/>
        <v>140.97943421984021</v>
      </c>
      <c r="AF145" s="290">
        <f t="shared" si="15"/>
        <v>141.62829137064909</v>
      </c>
      <c r="AG145" s="296">
        <f t="shared" si="16"/>
        <v>2.7934671458728744E-2</v>
      </c>
      <c r="AH145" s="284"/>
    </row>
    <row r="146" spans="25:34" x14ac:dyDescent="0.25">
      <c r="Y146" s="284">
        <v>42064</v>
      </c>
      <c r="Z146" s="285">
        <f t="shared" si="10"/>
        <v>2015</v>
      </c>
      <c r="AA146" s="6">
        <f t="shared" si="11"/>
        <v>3</v>
      </c>
      <c r="AB146" s="314">
        <f t="shared" si="12"/>
        <v>2015</v>
      </c>
      <c r="AC146" s="314">
        <f t="shared" si="13"/>
        <v>2014</v>
      </c>
      <c r="AD146" s="298">
        <f t="shared" si="14"/>
        <v>144.91764839720901</v>
      </c>
      <c r="AE146" s="298">
        <f t="shared" si="9"/>
        <v>140.97943421984021</v>
      </c>
      <c r="AF146" s="290">
        <f t="shared" si="15"/>
        <v>141.95383897417693</v>
      </c>
      <c r="AG146" s="296">
        <f t="shared" si="16"/>
        <v>2.7934671458728744E-2</v>
      </c>
      <c r="AH146" s="284"/>
    </row>
    <row r="147" spans="25:34" x14ac:dyDescent="0.25">
      <c r="Y147" s="284">
        <v>42095</v>
      </c>
      <c r="Z147" s="285">
        <f t="shared" si="10"/>
        <v>2015</v>
      </c>
      <c r="AA147" s="6">
        <f t="shared" si="11"/>
        <v>4</v>
      </c>
      <c r="AB147" s="314">
        <f t="shared" si="12"/>
        <v>2015</v>
      </c>
      <c r="AC147" s="314">
        <f t="shared" si="13"/>
        <v>2014</v>
      </c>
      <c r="AD147" s="298">
        <f t="shared" si="14"/>
        <v>144.91764839720901</v>
      </c>
      <c r="AE147" s="298">
        <f t="shared" si="9"/>
        <v>140.97943421984021</v>
      </c>
      <c r="AF147" s="290">
        <f t="shared" si="15"/>
        <v>142.28013488329495</v>
      </c>
      <c r="AG147" s="296">
        <f t="shared" si="16"/>
        <v>2.7934671458728744E-2</v>
      </c>
      <c r="AH147" s="284"/>
    </row>
    <row r="148" spans="25:34" x14ac:dyDescent="0.25">
      <c r="Y148" s="284">
        <v>42125</v>
      </c>
      <c r="Z148" s="285">
        <f t="shared" si="10"/>
        <v>2015</v>
      </c>
      <c r="AA148" s="6">
        <f t="shared" si="11"/>
        <v>5</v>
      </c>
      <c r="AB148" s="314">
        <f t="shared" si="12"/>
        <v>2015</v>
      </c>
      <c r="AC148" s="314">
        <f t="shared" si="13"/>
        <v>2014</v>
      </c>
      <c r="AD148" s="298">
        <f t="shared" si="14"/>
        <v>144.91764839720901</v>
      </c>
      <c r="AE148" s="298">
        <f t="shared" si="9"/>
        <v>140.97943421984021</v>
      </c>
      <c r="AF148" s="290">
        <f t="shared" si="15"/>
        <v>142.60718081806269</v>
      </c>
      <c r="AG148" s="296">
        <f t="shared" si="16"/>
        <v>2.7934671458728744E-2</v>
      </c>
      <c r="AH148" s="284"/>
    </row>
    <row r="149" spans="25:34" x14ac:dyDescent="0.25">
      <c r="Y149" s="284">
        <v>42156</v>
      </c>
      <c r="Z149" s="285">
        <f t="shared" si="10"/>
        <v>2015</v>
      </c>
      <c r="AA149" s="6">
        <f t="shared" si="11"/>
        <v>6</v>
      </c>
      <c r="AB149" s="314">
        <f t="shared" si="12"/>
        <v>2015</v>
      </c>
      <c r="AC149" s="314">
        <f t="shared" si="13"/>
        <v>2014</v>
      </c>
      <c r="AD149" s="298">
        <f t="shared" si="14"/>
        <v>144.91764839720901</v>
      </c>
      <c r="AE149" s="298">
        <f t="shared" si="9"/>
        <v>140.97943421984021</v>
      </c>
      <c r="AF149" s="290">
        <f t="shared" si="15"/>
        <v>142.93497850249344</v>
      </c>
      <c r="AG149" s="296">
        <f t="shared" si="16"/>
        <v>2.7934671458728744E-2</v>
      </c>
      <c r="AH149" s="284"/>
    </row>
    <row r="150" spans="25:34" x14ac:dyDescent="0.25">
      <c r="Y150" s="284">
        <v>42186</v>
      </c>
      <c r="Z150" s="285">
        <f t="shared" si="10"/>
        <v>2015</v>
      </c>
      <c r="AA150" s="6">
        <f t="shared" si="11"/>
        <v>7</v>
      </c>
      <c r="AB150" s="314">
        <f t="shared" si="12"/>
        <v>2015</v>
      </c>
      <c r="AC150" s="314">
        <f t="shared" si="13"/>
        <v>2014</v>
      </c>
      <c r="AD150" s="298">
        <f t="shared" si="14"/>
        <v>144.91764839720901</v>
      </c>
      <c r="AE150" s="298">
        <f t="shared" si="9"/>
        <v>140.97943421984021</v>
      </c>
      <c r="AF150" s="290">
        <f t="shared" si="15"/>
        <v>143.26352966456326</v>
      </c>
      <c r="AG150" s="296">
        <f t="shared" si="16"/>
        <v>2.7934671458728744E-2</v>
      </c>
      <c r="AH150" s="284"/>
    </row>
    <row r="151" spans="25:34" x14ac:dyDescent="0.25">
      <c r="Y151" s="284">
        <v>42217</v>
      </c>
      <c r="Z151" s="285">
        <f t="shared" si="10"/>
        <v>2015</v>
      </c>
      <c r="AA151" s="6">
        <f t="shared" si="11"/>
        <v>8</v>
      </c>
      <c r="AB151" s="314">
        <f t="shared" si="12"/>
        <v>2015</v>
      </c>
      <c r="AC151" s="314">
        <f t="shared" si="13"/>
        <v>2014</v>
      </c>
      <c r="AD151" s="298">
        <f t="shared" si="14"/>
        <v>144.91764839720901</v>
      </c>
      <c r="AE151" s="298">
        <f t="shared" si="9"/>
        <v>140.97943421984021</v>
      </c>
      <c r="AF151" s="290">
        <f t="shared" si="15"/>
        <v>143.59283603622018</v>
      </c>
      <c r="AG151" s="296">
        <f t="shared" si="16"/>
        <v>2.7934671458728744E-2</v>
      </c>
      <c r="AH151" s="284"/>
    </row>
    <row r="152" spans="25:34" x14ac:dyDescent="0.25">
      <c r="Y152" s="284">
        <v>42248</v>
      </c>
      <c r="Z152" s="285">
        <f t="shared" si="10"/>
        <v>2015</v>
      </c>
      <c r="AA152" s="6">
        <f t="shared" si="11"/>
        <v>9</v>
      </c>
      <c r="AB152" s="314">
        <f t="shared" si="12"/>
        <v>2015</v>
      </c>
      <c r="AC152" s="314">
        <f t="shared" si="13"/>
        <v>2014</v>
      </c>
      <c r="AD152" s="298">
        <f t="shared" si="14"/>
        <v>144.91764839720901</v>
      </c>
      <c r="AE152" s="298">
        <f t="shared" ref="AE152:AE215" si="17">INDEX($U$23:$U$45,MATCH(AC152,$R$23:$R$45,0))</f>
        <v>140.97943421984021</v>
      </c>
      <c r="AF152" s="290">
        <f t="shared" si="15"/>
        <v>143.92289935339329</v>
      </c>
      <c r="AG152" s="296">
        <f t="shared" si="16"/>
        <v>2.7934671458728744E-2</v>
      </c>
      <c r="AH152" s="284"/>
    </row>
    <row r="153" spans="25:34" x14ac:dyDescent="0.25">
      <c r="Y153" s="284">
        <v>42278</v>
      </c>
      <c r="Z153" s="285">
        <f t="shared" ref="Z153:Z203" si="18">YEAR(Y153)</f>
        <v>2015</v>
      </c>
      <c r="AA153" s="6">
        <f t="shared" ref="AA153:AA203" si="19">MONTH(Y153)</f>
        <v>10</v>
      </c>
      <c r="AB153" s="314">
        <f t="shared" ref="AB153:AB203" si="20">Z153</f>
        <v>2015</v>
      </c>
      <c r="AC153" s="314">
        <f t="shared" ref="AC153:AC203" si="21">Z153-1</f>
        <v>2014</v>
      </c>
      <c r="AD153" s="298">
        <f t="shared" ref="AD153:AD203" si="22">INDEX($U$23:$U$45,MATCH(AB153,$R$23:$R$45,0))</f>
        <v>144.91764839720901</v>
      </c>
      <c r="AE153" s="298">
        <f t="shared" si="17"/>
        <v>140.97943421984021</v>
      </c>
      <c r="AF153" s="290">
        <f t="shared" ref="AF153:AF203" si="23">IF(AA153=12,AD153,AF152*(AD153/AE153)^(1/12))</f>
        <v>144.2537213560019</v>
      </c>
      <c r="AG153" s="296">
        <f t="shared" ref="AG153:AG203" si="24">(1+AF153/AF152-1)^12-1</f>
        <v>2.7934671458728744E-2</v>
      </c>
      <c r="AH153" s="284"/>
    </row>
    <row r="154" spans="25:34" x14ac:dyDescent="0.25">
      <c r="Y154" s="284">
        <v>42309</v>
      </c>
      <c r="Z154" s="285">
        <f t="shared" si="18"/>
        <v>2015</v>
      </c>
      <c r="AA154" s="6">
        <f t="shared" si="19"/>
        <v>11</v>
      </c>
      <c r="AB154" s="314">
        <f t="shared" si="20"/>
        <v>2015</v>
      </c>
      <c r="AC154" s="314">
        <f t="shared" si="21"/>
        <v>2014</v>
      </c>
      <c r="AD154" s="298">
        <f t="shared" si="22"/>
        <v>144.91764839720901</v>
      </c>
      <c r="AE154" s="298">
        <f t="shared" si="17"/>
        <v>140.97943421984021</v>
      </c>
      <c r="AF154" s="290">
        <f t="shared" si="23"/>
        <v>144.58530378796473</v>
      </c>
      <c r="AG154" s="296">
        <f t="shared" si="24"/>
        <v>2.7934671458728744E-2</v>
      </c>
      <c r="AH154" s="284"/>
    </row>
    <row r="155" spans="25:34" x14ac:dyDescent="0.25">
      <c r="Y155" s="284">
        <v>42339</v>
      </c>
      <c r="Z155" s="285">
        <f t="shared" si="18"/>
        <v>2015</v>
      </c>
      <c r="AA155" s="6">
        <f t="shared" si="19"/>
        <v>12</v>
      </c>
      <c r="AB155" s="314">
        <f t="shared" si="20"/>
        <v>2015</v>
      </c>
      <c r="AC155" s="314">
        <f t="shared" si="21"/>
        <v>2014</v>
      </c>
      <c r="AD155" s="298">
        <f t="shared" si="22"/>
        <v>144.91764839720901</v>
      </c>
      <c r="AE155" s="298">
        <f t="shared" si="17"/>
        <v>140.97943421984021</v>
      </c>
      <c r="AF155" s="290">
        <f t="shared" si="23"/>
        <v>144.91764839720901</v>
      </c>
      <c r="AG155" s="296">
        <f t="shared" si="24"/>
        <v>2.7934671458728744E-2</v>
      </c>
      <c r="AH155" s="284"/>
    </row>
    <row r="156" spans="25:34" x14ac:dyDescent="0.25">
      <c r="Y156" s="284">
        <v>42370</v>
      </c>
      <c r="Z156" s="285">
        <f t="shared" si="18"/>
        <v>2016</v>
      </c>
      <c r="AA156" s="6">
        <f t="shared" si="19"/>
        <v>1</v>
      </c>
      <c r="AB156" s="314">
        <f t="shared" si="20"/>
        <v>2016</v>
      </c>
      <c r="AC156" s="314">
        <f t="shared" si="21"/>
        <v>2015</v>
      </c>
      <c r="AD156" s="298">
        <f t="shared" si="22"/>
        <v>148.21771665486904</v>
      </c>
      <c r="AE156" s="298">
        <f t="shared" si="17"/>
        <v>144.91764839720901</v>
      </c>
      <c r="AF156" s="290">
        <f t="shared" si="23"/>
        <v>145.18982487994964</v>
      </c>
      <c r="AG156" s="296">
        <f t="shared" si="24"/>
        <v>2.2772024623353149E-2</v>
      </c>
      <c r="AH156" s="284"/>
    </row>
    <row r="157" spans="25:34" x14ac:dyDescent="0.25">
      <c r="Y157" s="284">
        <v>42401</v>
      </c>
      <c r="Z157" s="285">
        <f t="shared" si="18"/>
        <v>2016</v>
      </c>
      <c r="AA157" s="6">
        <f t="shared" si="19"/>
        <v>2</v>
      </c>
      <c r="AB157" s="314">
        <f t="shared" si="20"/>
        <v>2016</v>
      </c>
      <c r="AC157" s="314">
        <f t="shared" si="21"/>
        <v>2015</v>
      </c>
      <c r="AD157" s="298">
        <f t="shared" si="22"/>
        <v>148.21771665486904</v>
      </c>
      <c r="AE157" s="298">
        <f t="shared" si="17"/>
        <v>144.91764839720901</v>
      </c>
      <c r="AF157" s="290">
        <f t="shared" si="23"/>
        <v>145.46251254982707</v>
      </c>
      <c r="AG157" s="296">
        <f t="shared" si="24"/>
        <v>2.2772024623353149E-2</v>
      </c>
      <c r="AH157" s="284"/>
    </row>
    <row r="158" spans="25:34" x14ac:dyDescent="0.25">
      <c r="Y158" s="284">
        <v>42430</v>
      </c>
      <c r="Z158" s="285">
        <f t="shared" si="18"/>
        <v>2016</v>
      </c>
      <c r="AA158" s="6">
        <f t="shared" si="19"/>
        <v>3</v>
      </c>
      <c r="AB158" s="314">
        <f t="shared" si="20"/>
        <v>2016</v>
      </c>
      <c r="AC158" s="314">
        <f t="shared" si="21"/>
        <v>2015</v>
      </c>
      <c r="AD158" s="298">
        <f t="shared" si="22"/>
        <v>148.21771665486904</v>
      </c>
      <c r="AE158" s="298">
        <f t="shared" si="17"/>
        <v>144.91764839720901</v>
      </c>
      <c r="AF158" s="290">
        <f t="shared" si="23"/>
        <v>145.73571236692533</v>
      </c>
      <c r="AG158" s="296">
        <f t="shared" si="24"/>
        <v>2.2772024623353149E-2</v>
      </c>
      <c r="AH158" s="284"/>
    </row>
    <row r="159" spans="25:34" x14ac:dyDescent="0.25">
      <c r="Y159" s="284">
        <v>42461</v>
      </c>
      <c r="Z159" s="285">
        <f t="shared" si="18"/>
        <v>2016</v>
      </c>
      <c r="AA159" s="6">
        <f t="shared" si="19"/>
        <v>4</v>
      </c>
      <c r="AB159" s="314">
        <f t="shared" si="20"/>
        <v>2016</v>
      </c>
      <c r="AC159" s="314">
        <f t="shared" si="21"/>
        <v>2015</v>
      </c>
      <c r="AD159" s="298">
        <f t="shared" si="22"/>
        <v>148.21771665486904</v>
      </c>
      <c r="AE159" s="298">
        <f t="shared" si="17"/>
        <v>144.91764839720901</v>
      </c>
      <c r="AF159" s="290">
        <f t="shared" si="23"/>
        <v>146.00942529313159</v>
      </c>
      <c r="AG159" s="296">
        <f t="shared" si="24"/>
        <v>2.2772024623353149E-2</v>
      </c>
      <c r="AH159" s="284"/>
    </row>
    <row r="160" spans="25:34" x14ac:dyDescent="0.25">
      <c r="Y160" s="284">
        <v>42491</v>
      </c>
      <c r="Z160" s="285">
        <f t="shared" si="18"/>
        <v>2016</v>
      </c>
      <c r="AA160" s="6">
        <f t="shared" si="19"/>
        <v>5</v>
      </c>
      <c r="AB160" s="314">
        <f t="shared" si="20"/>
        <v>2016</v>
      </c>
      <c r="AC160" s="314">
        <f t="shared" si="21"/>
        <v>2015</v>
      </c>
      <c r="AD160" s="298">
        <f t="shared" si="22"/>
        <v>148.21771665486904</v>
      </c>
      <c r="AE160" s="298">
        <f t="shared" si="17"/>
        <v>144.91764839720901</v>
      </c>
      <c r="AF160" s="290">
        <f t="shared" si="23"/>
        <v>146.28365229213961</v>
      </c>
      <c r="AG160" s="296">
        <f t="shared" si="24"/>
        <v>2.2772024623353149E-2</v>
      </c>
      <c r="AH160" s="284"/>
    </row>
    <row r="161" spans="25:34" x14ac:dyDescent="0.25">
      <c r="Y161" s="284">
        <v>42522</v>
      </c>
      <c r="Z161" s="285">
        <f t="shared" si="18"/>
        <v>2016</v>
      </c>
      <c r="AA161" s="6">
        <f t="shared" si="19"/>
        <v>6</v>
      </c>
      <c r="AB161" s="314">
        <f t="shared" si="20"/>
        <v>2016</v>
      </c>
      <c r="AC161" s="314">
        <f t="shared" si="21"/>
        <v>2015</v>
      </c>
      <c r="AD161" s="298">
        <f t="shared" si="22"/>
        <v>148.21771665486904</v>
      </c>
      <c r="AE161" s="298">
        <f t="shared" si="17"/>
        <v>144.91764839720901</v>
      </c>
      <c r="AF161" s="290">
        <f t="shared" si="23"/>
        <v>146.55839432945308</v>
      </c>
      <c r="AG161" s="296">
        <f t="shared" si="24"/>
        <v>2.2772024623353149E-2</v>
      </c>
      <c r="AH161" s="284"/>
    </row>
    <row r="162" spans="25:34" x14ac:dyDescent="0.25">
      <c r="Y162" s="284">
        <v>42552</v>
      </c>
      <c r="Z162" s="285">
        <f t="shared" si="18"/>
        <v>2016</v>
      </c>
      <c r="AA162" s="6">
        <f t="shared" si="19"/>
        <v>7</v>
      </c>
      <c r="AB162" s="314">
        <f t="shared" si="20"/>
        <v>2016</v>
      </c>
      <c r="AC162" s="314">
        <f t="shared" si="21"/>
        <v>2015</v>
      </c>
      <c r="AD162" s="298">
        <f t="shared" si="22"/>
        <v>148.21771665486904</v>
      </c>
      <c r="AE162" s="298">
        <f t="shared" si="17"/>
        <v>144.91764839720901</v>
      </c>
      <c r="AF162" s="290">
        <f t="shared" si="23"/>
        <v>146.83365237238908</v>
      </c>
      <c r="AG162" s="296">
        <f t="shared" si="24"/>
        <v>2.2772024623353149E-2</v>
      </c>
      <c r="AH162" s="284"/>
    </row>
    <row r="163" spans="25:34" x14ac:dyDescent="0.25">
      <c r="Y163" s="284">
        <v>42583</v>
      </c>
      <c r="Z163" s="285">
        <f t="shared" si="18"/>
        <v>2016</v>
      </c>
      <c r="AA163" s="6">
        <f t="shared" si="19"/>
        <v>8</v>
      </c>
      <c r="AB163" s="314">
        <f t="shared" si="20"/>
        <v>2016</v>
      </c>
      <c r="AC163" s="314">
        <f t="shared" si="21"/>
        <v>2015</v>
      </c>
      <c r="AD163" s="298">
        <f t="shared" si="22"/>
        <v>148.21771665486904</v>
      </c>
      <c r="AE163" s="298">
        <f t="shared" si="17"/>
        <v>144.91764839720901</v>
      </c>
      <c r="AF163" s="290">
        <f t="shared" si="23"/>
        <v>147.10942739008146</v>
      </c>
      <c r="AG163" s="296">
        <f t="shared" si="24"/>
        <v>2.2772024623353149E-2</v>
      </c>
      <c r="AH163" s="284"/>
    </row>
    <row r="164" spans="25:34" x14ac:dyDescent="0.25">
      <c r="Y164" s="284">
        <v>42614</v>
      </c>
      <c r="Z164" s="285">
        <f t="shared" si="18"/>
        <v>2016</v>
      </c>
      <c r="AA164" s="6">
        <f t="shared" si="19"/>
        <v>9</v>
      </c>
      <c r="AB164" s="314">
        <f t="shared" si="20"/>
        <v>2016</v>
      </c>
      <c r="AC164" s="314">
        <f t="shared" si="21"/>
        <v>2015</v>
      </c>
      <c r="AD164" s="298">
        <f t="shared" si="22"/>
        <v>148.21771665486904</v>
      </c>
      <c r="AE164" s="298">
        <f t="shared" si="17"/>
        <v>144.91764839720901</v>
      </c>
      <c r="AF164" s="290">
        <f t="shared" si="23"/>
        <v>147.3857203534842</v>
      </c>
      <c r="AG164" s="296">
        <f t="shared" si="24"/>
        <v>2.2772024623353149E-2</v>
      </c>
      <c r="AH164" s="284"/>
    </row>
    <row r="165" spans="25:34" x14ac:dyDescent="0.25">
      <c r="Y165" s="284">
        <v>42644</v>
      </c>
      <c r="Z165" s="285">
        <f t="shared" si="18"/>
        <v>2016</v>
      </c>
      <c r="AA165" s="6">
        <f t="shared" si="19"/>
        <v>10</v>
      </c>
      <c r="AB165" s="314">
        <f t="shared" si="20"/>
        <v>2016</v>
      </c>
      <c r="AC165" s="314">
        <f t="shared" si="21"/>
        <v>2015</v>
      </c>
      <c r="AD165" s="298">
        <f t="shared" si="22"/>
        <v>148.21771665486904</v>
      </c>
      <c r="AE165" s="298">
        <f t="shared" si="17"/>
        <v>144.91764839720901</v>
      </c>
      <c r="AF165" s="290">
        <f t="shared" si="23"/>
        <v>147.6625322353749</v>
      </c>
      <c r="AG165" s="296">
        <f t="shared" si="24"/>
        <v>2.2772024623353149E-2</v>
      </c>
      <c r="AH165" s="284"/>
    </row>
    <row r="166" spans="25:34" x14ac:dyDescent="0.25">
      <c r="Y166" s="284">
        <v>42675</v>
      </c>
      <c r="Z166" s="285">
        <f t="shared" si="18"/>
        <v>2016</v>
      </c>
      <c r="AA166" s="6">
        <f t="shared" si="19"/>
        <v>11</v>
      </c>
      <c r="AB166" s="314">
        <f t="shared" si="20"/>
        <v>2016</v>
      </c>
      <c r="AC166" s="314">
        <f t="shared" si="21"/>
        <v>2015</v>
      </c>
      <c r="AD166" s="298">
        <f t="shared" si="22"/>
        <v>148.21771665486904</v>
      </c>
      <c r="AE166" s="298">
        <f t="shared" si="17"/>
        <v>144.91764839720901</v>
      </c>
      <c r="AF166" s="290">
        <f t="shared" si="23"/>
        <v>147.93986401035815</v>
      </c>
      <c r="AG166" s="296">
        <f t="shared" si="24"/>
        <v>2.2772024623353149E-2</v>
      </c>
      <c r="AH166" s="284"/>
    </row>
    <row r="167" spans="25:34" x14ac:dyDescent="0.25">
      <c r="Y167" s="284">
        <v>42705</v>
      </c>
      <c r="Z167" s="285">
        <f t="shared" si="18"/>
        <v>2016</v>
      </c>
      <c r="AA167" s="6">
        <f t="shared" si="19"/>
        <v>12</v>
      </c>
      <c r="AB167" s="314">
        <f t="shared" si="20"/>
        <v>2016</v>
      </c>
      <c r="AC167" s="314">
        <f t="shared" si="21"/>
        <v>2015</v>
      </c>
      <c r="AD167" s="298">
        <f t="shared" si="22"/>
        <v>148.21771665486904</v>
      </c>
      <c r="AE167" s="298">
        <f t="shared" si="17"/>
        <v>144.91764839720901</v>
      </c>
      <c r="AF167" s="290">
        <f t="shared" si="23"/>
        <v>148.21771665486904</v>
      </c>
      <c r="AG167" s="296">
        <f t="shared" si="24"/>
        <v>2.2772024623353149E-2</v>
      </c>
      <c r="AH167" s="284"/>
    </row>
    <row r="168" spans="25:34" x14ac:dyDescent="0.25">
      <c r="Y168" s="284">
        <v>42736</v>
      </c>
      <c r="Z168" s="285">
        <f t="shared" si="18"/>
        <v>2017</v>
      </c>
      <c r="AA168" s="6">
        <f t="shared" si="19"/>
        <v>1</v>
      </c>
      <c r="AB168" s="314">
        <f t="shared" si="20"/>
        <v>2017</v>
      </c>
      <c r="AC168" s="314">
        <f t="shared" si="21"/>
        <v>2016</v>
      </c>
      <c r="AD168" s="298">
        <f t="shared" si="22"/>
        <v>153.45864091414703</v>
      </c>
      <c r="AE168" s="298">
        <f t="shared" si="17"/>
        <v>148.21771665486904</v>
      </c>
      <c r="AF168" s="290">
        <f t="shared" si="23"/>
        <v>148.6475381454095</v>
      </c>
      <c r="AG168" s="296">
        <f t="shared" si="24"/>
        <v>3.5359634310664356E-2</v>
      </c>
      <c r="AH168" s="284"/>
    </row>
    <row r="169" spans="25:34" x14ac:dyDescent="0.25">
      <c r="Y169" s="284">
        <v>42767</v>
      </c>
      <c r="Z169" s="285">
        <f t="shared" si="18"/>
        <v>2017</v>
      </c>
      <c r="AA169" s="6">
        <f t="shared" si="19"/>
        <v>2</v>
      </c>
      <c r="AB169" s="314">
        <f t="shared" si="20"/>
        <v>2017</v>
      </c>
      <c r="AC169" s="314">
        <f t="shared" si="21"/>
        <v>2016</v>
      </c>
      <c r="AD169" s="298">
        <f t="shared" si="22"/>
        <v>153.45864091414703</v>
      </c>
      <c r="AE169" s="298">
        <f t="shared" si="17"/>
        <v>148.21771665486904</v>
      </c>
      <c r="AF169" s="290">
        <f t="shared" si="23"/>
        <v>149.07860608959868</v>
      </c>
      <c r="AG169" s="296">
        <f t="shared" si="24"/>
        <v>3.5359634310664356E-2</v>
      </c>
      <c r="AH169" s="284"/>
    </row>
    <row r="170" spans="25:34" x14ac:dyDescent="0.25">
      <c r="Y170" s="284">
        <v>42795</v>
      </c>
      <c r="Z170" s="285">
        <f t="shared" si="18"/>
        <v>2017</v>
      </c>
      <c r="AA170" s="6">
        <f t="shared" si="19"/>
        <v>3</v>
      </c>
      <c r="AB170" s="314">
        <f t="shared" si="20"/>
        <v>2017</v>
      </c>
      <c r="AC170" s="314">
        <f t="shared" si="21"/>
        <v>2016</v>
      </c>
      <c r="AD170" s="298">
        <f t="shared" si="22"/>
        <v>153.45864091414703</v>
      </c>
      <c r="AE170" s="298">
        <f t="shared" si="17"/>
        <v>148.21771665486904</v>
      </c>
      <c r="AF170" s="290">
        <f t="shared" si="23"/>
        <v>149.51092410206903</v>
      </c>
      <c r="AG170" s="296">
        <f t="shared" si="24"/>
        <v>3.5359634310664356E-2</v>
      </c>
      <c r="AH170" s="284"/>
    </row>
    <row r="171" spans="25:34" x14ac:dyDescent="0.25">
      <c r="Y171" s="284">
        <v>42826</v>
      </c>
      <c r="Z171" s="285">
        <f t="shared" si="18"/>
        <v>2017</v>
      </c>
      <c r="AA171" s="6">
        <f t="shared" si="19"/>
        <v>4</v>
      </c>
      <c r="AB171" s="314">
        <f t="shared" si="20"/>
        <v>2017</v>
      </c>
      <c r="AC171" s="314">
        <f t="shared" si="21"/>
        <v>2016</v>
      </c>
      <c r="AD171" s="298">
        <f t="shared" si="22"/>
        <v>153.45864091414703</v>
      </c>
      <c r="AE171" s="298">
        <f t="shared" si="17"/>
        <v>148.21771665486904</v>
      </c>
      <c r="AF171" s="290">
        <f t="shared" si="23"/>
        <v>149.94449580793514</v>
      </c>
      <c r="AG171" s="296">
        <f t="shared" si="24"/>
        <v>3.5359634310664356E-2</v>
      </c>
      <c r="AH171" s="284"/>
    </row>
    <row r="172" spans="25:34" x14ac:dyDescent="0.25">
      <c r="Y172" s="284">
        <v>42856</v>
      </c>
      <c r="Z172" s="285">
        <f t="shared" si="18"/>
        <v>2017</v>
      </c>
      <c r="AA172" s="6">
        <f t="shared" si="19"/>
        <v>5</v>
      </c>
      <c r="AB172" s="314">
        <f t="shared" si="20"/>
        <v>2017</v>
      </c>
      <c r="AC172" s="314">
        <f t="shared" si="21"/>
        <v>2016</v>
      </c>
      <c r="AD172" s="298">
        <f t="shared" si="22"/>
        <v>153.45864091414703</v>
      </c>
      <c r="AE172" s="298">
        <f t="shared" si="17"/>
        <v>148.21771665486904</v>
      </c>
      <c r="AF172" s="290">
        <f t="shared" si="23"/>
        <v>150.37932484282425</v>
      </c>
      <c r="AG172" s="296">
        <f t="shared" si="24"/>
        <v>3.5359634310664356E-2</v>
      </c>
      <c r="AH172" s="284"/>
    </row>
    <row r="173" spans="25:34" x14ac:dyDescent="0.25">
      <c r="Y173" s="284">
        <v>42887</v>
      </c>
      <c r="Z173" s="285">
        <f t="shared" si="18"/>
        <v>2017</v>
      </c>
      <c r="AA173" s="6">
        <f t="shared" si="19"/>
        <v>6</v>
      </c>
      <c r="AB173" s="314">
        <f t="shared" si="20"/>
        <v>2017</v>
      </c>
      <c r="AC173" s="314">
        <f t="shared" si="21"/>
        <v>2016</v>
      </c>
      <c r="AD173" s="298">
        <f t="shared" si="22"/>
        <v>153.45864091414703</v>
      </c>
      <c r="AE173" s="298">
        <f t="shared" si="17"/>
        <v>148.21771665486904</v>
      </c>
      <c r="AF173" s="290">
        <f t="shared" si="23"/>
        <v>150.81541485290663</v>
      </c>
      <c r="AG173" s="296">
        <f t="shared" si="24"/>
        <v>3.5359634310664356E-2</v>
      </c>
      <c r="AH173" s="284"/>
    </row>
    <row r="174" spans="25:34" x14ac:dyDescent="0.25">
      <c r="Y174" s="284">
        <v>42917</v>
      </c>
      <c r="Z174" s="285">
        <f t="shared" si="18"/>
        <v>2017</v>
      </c>
      <c r="AA174" s="6">
        <f t="shared" si="19"/>
        <v>7</v>
      </c>
      <c r="AB174" s="314">
        <f t="shared" si="20"/>
        <v>2017</v>
      </c>
      <c r="AC174" s="314">
        <f t="shared" si="21"/>
        <v>2016</v>
      </c>
      <c r="AD174" s="298">
        <f t="shared" si="22"/>
        <v>153.45864091414703</v>
      </c>
      <c r="AE174" s="298">
        <f t="shared" si="17"/>
        <v>148.21771665486904</v>
      </c>
      <c r="AF174" s="290">
        <f t="shared" si="23"/>
        <v>151.25276949492624</v>
      </c>
      <c r="AG174" s="296">
        <f t="shared" si="24"/>
        <v>3.5359634310664356E-2</v>
      </c>
      <c r="AH174" s="284"/>
    </row>
    <row r="175" spans="25:34" x14ac:dyDescent="0.25">
      <c r="Y175" s="284">
        <v>42948</v>
      </c>
      <c r="Z175" s="285">
        <f t="shared" si="18"/>
        <v>2017</v>
      </c>
      <c r="AA175" s="6">
        <f t="shared" si="19"/>
        <v>8</v>
      </c>
      <c r="AB175" s="314">
        <f t="shared" si="20"/>
        <v>2017</v>
      </c>
      <c r="AC175" s="314">
        <f t="shared" si="21"/>
        <v>2016</v>
      </c>
      <c r="AD175" s="298">
        <f t="shared" si="22"/>
        <v>153.45864091414703</v>
      </c>
      <c r="AE175" s="298">
        <f t="shared" si="17"/>
        <v>148.21771665486904</v>
      </c>
      <c r="AF175" s="290">
        <f t="shared" si="23"/>
        <v>151.69139243623133</v>
      </c>
      <c r="AG175" s="296">
        <f t="shared" si="24"/>
        <v>3.5359634310664356E-2</v>
      </c>
      <c r="AH175" s="284"/>
    </row>
    <row r="176" spans="25:34" x14ac:dyDescent="0.25">
      <c r="Y176" s="284">
        <v>42979</v>
      </c>
      <c r="Z176" s="285">
        <f t="shared" si="18"/>
        <v>2017</v>
      </c>
      <c r="AA176" s="6">
        <f t="shared" si="19"/>
        <v>9</v>
      </c>
      <c r="AB176" s="314">
        <f t="shared" si="20"/>
        <v>2017</v>
      </c>
      <c r="AC176" s="314">
        <f t="shared" si="21"/>
        <v>2016</v>
      </c>
      <c r="AD176" s="298">
        <f t="shared" si="22"/>
        <v>153.45864091414703</v>
      </c>
      <c r="AE176" s="298">
        <f t="shared" si="17"/>
        <v>148.21771665486904</v>
      </c>
      <c r="AF176" s="290">
        <f t="shared" si="23"/>
        <v>152.13128735480518</v>
      </c>
      <c r="AG176" s="296">
        <f t="shared" si="24"/>
        <v>3.5359634310664356E-2</v>
      </c>
      <c r="AH176" s="284"/>
    </row>
    <row r="177" spans="25:34" x14ac:dyDescent="0.25">
      <c r="Y177" s="284">
        <v>43009</v>
      </c>
      <c r="Z177" s="285">
        <f t="shared" si="18"/>
        <v>2017</v>
      </c>
      <c r="AA177" s="6">
        <f t="shared" si="19"/>
        <v>10</v>
      </c>
      <c r="AB177" s="314">
        <f t="shared" si="20"/>
        <v>2017</v>
      </c>
      <c r="AC177" s="314">
        <f t="shared" si="21"/>
        <v>2016</v>
      </c>
      <c r="AD177" s="298">
        <f t="shared" si="22"/>
        <v>153.45864091414703</v>
      </c>
      <c r="AE177" s="298">
        <f t="shared" si="17"/>
        <v>148.21771665486904</v>
      </c>
      <c r="AF177" s="290">
        <f t="shared" si="23"/>
        <v>152.57245793929707</v>
      </c>
      <c r="AG177" s="296">
        <f t="shared" si="24"/>
        <v>3.5359634310664356E-2</v>
      </c>
      <c r="AH177" s="284"/>
    </row>
    <row r="178" spans="25:34" x14ac:dyDescent="0.25">
      <c r="Y178" s="284">
        <v>43040</v>
      </c>
      <c r="Z178" s="285">
        <f t="shared" si="18"/>
        <v>2017</v>
      </c>
      <c r="AA178" s="6">
        <f t="shared" si="19"/>
        <v>11</v>
      </c>
      <c r="AB178" s="314">
        <f t="shared" si="20"/>
        <v>2017</v>
      </c>
      <c r="AC178" s="314">
        <f t="shared" si="21"/>
        <v>2016</v>
      </c>
      <c r="AD178" s="298">
        <f t="shared" si="22"/>
        <v>153.45864091414703</v>
      </c>
      <c r="AE178" s="298">
        <f t="shared" si="17"/>
        <v>148.21771665486904</v>
      </c>
      <c r="AF178" s="290">
        <f t="shared" si="23"/>
        <v>153.01490788905303</v>
      </c>
      <c r="AG178" s="296">
        <f t="shared" si="24"/>
        <v>3.5359634310664356E-2</v>
      </c>
      <c r="AH178" s="284"/>
    </row>
    <row r="179" spans="25:34" x14ac:dyDescent="0.25">
      <c r="Y179" s="284">
        <v>43070</v>
      </c>
      <c r="Z179" s="285">
        <f t="shared" si="18"/>
        <v>2017</v>
      </c>
      <c r="AA179" s="6">
        <f t="shared" si="19"/>
        <v>12</v>
      </c>
      <c r="AB179" s="314">
        <f t="shared" si="20"/>
        <v>2017</v>
      </c>
      <c r="AC179" s="314">
        <f t="shared" si="21"/>
        <v>2016</v>
      </c>
      <c r="AD179" s="298">
        <f t="shared" si="22"/>
        <v>153.45864091414703</v>
      </c>
      <c r="AE179" s="298">
        <f t="shared" si="17"/>
        <v>148.21771665486904</v>
      </c>
      <c r="AF179" s="290">
        <f t="shared" si="23"/>
        <v>153.45864091414703</v>
      </c>
      <c r="AG179" s="296">
        <f t="shared" si="24"/>
        <v>3.5359634310664356E-2</v>
      </c>
      <c r="AH179" s="284"/>
    </row>
    <row r="180" spans="25:34" x14ac:dyDescent="0.25">
      <c r="Y180" s="294">
        <v>43101</v>
      </c>
      <c r="Z180" s="295">
        <f t="shared" si="18"/>
        <v>2018</v>
      </c>
      <c r="AA180" s="6">
        <f t="shared" si="19"/>
        <v>1</v>
      </c>
      <c r="AB180" s="314">
        <f t="shared" si="20"/>
        <v>2018</v>
      </c>
      <c r="AC180" s="314">
        <f t="shared" si="21"/>
        <v>2017</v>
      </c>
      <c r="AD180" s="298">
        <f t="shared" si="22"/>
        <v>158.33128981696836</v>
      </c>
      <c r="AE180" s="298">
        <f t="shared" si="17"/>
        <v>153.45864091414703</v>
      </c>
      <c r="AF180" s="290">
        <f t="shared" si="23"/>
        <v>153.85890281731997</v>
      </c>
      <c r="AG180" s="296">
        <f t="shared" si="24"/>
        <v>3.1752196382005993E-2</v>
      </c>
      <c r="AH180" s="294"/>
    </row>
    <row r="181" spans="25:34" x14ac:dyDescent="0.25">
      <c r="Y181" s="294">
        <v>43132</v>
      </c>
      <c r="Z181" s="295">
        <f t="shared" si="18"/>
        <v>2018</v>
      </c>
      <c r="AA181" s="6">
        <f t="shared" si="19"/>
        <v>2</v>
      </c>
      <c r="AB181" s="314">
        <f t="shared" si="20"/>
        <v>2018</v>
      </c>
      <c r="AC181" s="314">
        <f t="shared" si="21"/>
        <v>2017</v>
      </c>
      <c r="AD181" s="298">
        <f t="shared" si="22"/>
        <v>158.33128981696836</v>
      </c>
      <c r="AE181" s="298">
        <f t="shared" si="17"/>
        <v>153.45864091414703</v>
      </c>
      <c r="AF181" s="290">
        <f t="shared" si="23"/>
        <v>154.26020871247783</v>
      </c>
      <c r="AG181" s="296">
        <f t="shared" si="24"/>
        <v>3.1752196382005993E-2</v>
      </c>
      <c r="AH181" s="294"/>
    </row>
    <row r="182" spans="25:34" x14ac:dyDescent="0.25">
      <c r="Y182" s="294">
        <v>43160</v>
      </c>
      <c r="Z182" s="295">
        <f t="shared" si="18"/>
        <v>2018</v>
      </c>
      <c r="AA182" s="6">
        <f t="shared" si="19"/>
        <v>3</v>
      </c>
      <c r="AB182" s="314">
        <f t="shared" si="20"/>
        <v>2018</v>
      </c>
      <c r="AC182" s="314">
        <f t="shared" si="21"/>
        <v>2017</v>
      </c>
      <c r="AD182" s="298">
        <f t="shared" si="22"/>
        <v>158.33128981696836</v>
      </c>
      <c r="AE182" s="298">
        <f t="shared" si="17"/>
        <v>153.45864091414703</v>
      </c>
      <c r="AF182" s="290">
        <f t="shared" si="23"/>
        <v>154.66256132263587</v>
      </c>
      <c r="AG182" s="296">
        <f t="shared" si="24"/>
        <v>3.1752196382005993E-2</v>
      </c>
      <c r="AH182" s="294"/>
    </row>
    <row r="183" spans="25:34" x14ac:dyDescent="0.25">
      <c r="Y183" s="294">
        <v>43191</v>
      </c>
      <c r="Z183" s="295">
        <f t="shared" si="18"/>
        <v>2018</v>
      </c>
      <c r="AA183" s="6">
        <f t="shared" si="19"/>
        <v>4</v>
      </c>
      <c r="AB183" s="314">
        <f t="shared" si="20"/>
        <v>2018</v>
      </c>
      <c r="AC183" s="314">
        <f t="shared" si="21"/>
        <v>2017</v>
      </c>
      <c r="AD183" s="298">
        <f t="shared" si="22"/>
        <v>158.33128981696836</v>
      </c>
      <c r="AE183" s="298">
        <f t="shared" si="17"/>
        <v>153.45864091414703</v>
      </c>
      <c r="AF183" s="290">
        <f t="shared" si="23"/>
        <v>155.06596337791169</v>
      </c>
      <c r="AG183" s="296">
        <f t="shared" si="24"/>
        <v>3.1752196382005993E-2</v>
      </c>
      <c r="AH183" s="294"/>
    </row>
    <row r="184" spans="25:34" x14ac:dyDescent="0.25">
      <c r="Y184" s="294">
        <v>43221</v>
      </c>
      <c r="Z184" s="295">
        <f t="shared" si="18"/>
        <v>2018</v>
      </c>
      <c r="AA184" s="6">
        <f t="shared" si="19"/>
        <v>5</v>
      </c>
      <c r="AB184" s="314">
        <f t="shared" si="20"/>
        <v>2018</v>
      </c>
      <c r="AC184" s="314">
        <f t="shared" si="21"/>
        <v>2017</v>
      </c>
      <c r="AD184" s="298">
        <f t="shared" si="22"/>
        <v>158.33128981696836</v>
      </c>
      <c r="AE184" s="298">
        <f t="shared" si="17"/>
        <v>153.45864091414703</v>
      </c>
      <c r="AF184" s="290">
        <f t="shared" si="23"/>
        <v>155.47041761554377</v>
      </c>
      <c r="AG184" s="296">
        <f t="shared" si="24"/>
        <v>3.1752196382005993E-2</v>
      </c>
      <c r="AH184" s="294"/>
    </row>
    <row r="185" spans="25:34" x14ac:dyDescent="0.25">
      <c r="Y185" s="294">
        <v>43252</v>
      </c>
      <c r="Z185" s="295">
        <f t="shared" si="18"/>
        <v>2018</v>
      </c>
      <c r="AA185" s="6">
        <f t="shared" si="19"/>
        <v>6</v>
      </c>
      <c r="AB185" s="314">
        <f t="shared" si="20"/>
        <v>2018</v>
      </c>
      <c r="AC185" s="314">
        <f t="shared" si="21"/>
        <v>2017</v>
      </c>
      <c r="AD185" s="298">
        <f t="shared" si="22"/>
        <v>158.33128981696836</v>
      </c>
      <c r="AE185" s="298">
        <f t="shared" si="17"/>
        <v>153.45864091414703</v>
      </c>
      <c r="AF185" s="290">
        <f t="shared" si="23"/>
        <v>155.87592677991009</v>
      </c>
      <c r="AG185" s="296">
        <f t="shared" si="24"/>
        <v>3.1752196382005993E-2</v>
      </c>
      <c r="AH185" s="294"/>
    </row>
    <row r="186" spans="25:34" x14ac:dyDescent="0.25">
      <c r="Y186" s="294">
        <v>43282</v>
      </c>
      <c r="Z186" s="295">
        <f t="shared" si="18"/>
        <v>2018</v>
      </c>
      <c r="AA186" s="6">
        <f t="shared" si="19"/>
        <v>7</v>
      </c>
      <c r="AB186" s="314">
        <f t="shared" si="20"/>
        <v>2018</v>
      </c>
      <c r="AC186" s="314">
        <f t="shared" si="21"/>
        <v>2017</v>
      </c>
      <c r="AD186" s="298">
        <f t="shared" si="22"/>
        <v>158.33128981696836</v>
      </c>
      <c r="AE186" s="298">
        <f t="shared" si="17"/>
        <v>153.45864091414703</v>
      </c>
      <c r="AF186" s="290">
        <f t="shared" si="23"/>
        <v>156.2824936225467</v>
      </c>
      <c r="AG186" s="296">
        <f t="shared" si="24"/>
        <v>3.1752196382005993E-2</v>
      </c>
      <c r="AH186" s="294"/>
    </row>
    <row r="187" spans="25:34" x14ac:dyDescent="0.25">
      <c r="Y187" s="294">
        <v>43313</v>
      </c>
      <c r="Z187" s="295">
        <f t="shared" si="18"/>
        <v>2018</v>
      </c>
      <c r="AA187" s="6">
        <f t="shared" si="19"/>
        <v>8</v>
      </c>
      <c r="AB187" s="314">
        <f t="shared" si="20"/>
        <v>2018</v>
      </c>
      <c r="AC187" s="314">
        <f t="shared" si="21"/>
        <v>2017</v>
      </c>
      <c r="AD187" s="298">
        <f t="shared" si="22"/>
        <v>158.33128981696836</v>
      </c>
      <c r="AE187" s="298">
        <f t="shared" si="17"/>
        <v>153.45864091414703</v>
      </c>
      <c r="AF187" s="290">
        <f t="shared" si="23"/>
        <v>156.6901209021664</v>
      </c>
      <c r="AG187" s="296">
        <f t="shared" si="24"/>
        <v>3.1752196382005993E-2</v>
      </c>
      <c r="AH187" s="294"/>
    </row>
    <row r="188" spans="25:34" x14ac:dyDescent="0.25">
      <c r="Y188" s="294">
        <v>43344</v>
      </c>
      <c r="Z188" s="295">
        <f t="shared" si="18"/>
        <v>2018</v>
      </c>
      <c r="AA188" s="6">
        <f t="shared" si="19"/>
        <v>9</v>
      </c>
      <c r="AB188" s="314">
        <f t="shared" si="20"/>
        <v>2018</v>
      </c>
      <c r="AC188" s="314">
        <f t="shared" si="21"/>
        <v>2017</v>
      </c>
      <c r="AD188" s="298">
        <f t="shared" si="22"/>
        <v>158.33128981696836</v>
      </c>
      <c r="AE188" s="298">
        <f t="shared" si="17"/>
        <v>153.45864091414703</v>
      </c>
      <c r="AF188" s="290">
        <f t="shared" si="23"/>
        <v>157.09881138467748</v>
      </c>
      <c r="AG188" s="296">
        <f t="shared" si="24"/>
        <v>3.1752196382005993E-2</v>
      </c>
      <c r="AH188" s="294"/>
    </row>
    <row r="189" spans="25:34" x14ac:dyDescent="0.25">
      <c r="Y189" s="294">
        <v>43374</v>
      </c>
      <c r="Z189" s="295">
        <f t="shared" si="18"/>
        <v>2018</v>
      </c>
      <c r="AA189" s="6">
        <f t="shared" si="19"/>
        <v>10</v>
      </c>
      <c r="AB189" s="314">
        <f t="shared" si="20"/>
        <v>2018</v>
      </c>
      <c r="AC189" s="314">
        <f t="shared" si="21"/>
        <v>2017</v>
      </c>
      <c r="AD189" s="298">
        <f t="shared" si="22"/>
        <v>158.33128981696836</v>
      </c>
      <c r="AE189" s="298">
        <f t="shared" si="17"/>
        <v>153.45864091414703</v>
      </c>
      <c r="AF189" s="290">
        <f t="shared" si="23"/>
        <v>157.50856784320246</v>
      </c>
      <c r="AG189" s="296">
        <f t="shared" si="24"/>
        <v>3.1752196382005993E-2</v>
      </c>
      <c r="AH189" s="294"/>
    </row>
    <row r="190" spans="25:34" x14ac:dyDescent="0.25">
      <c r="Y190" s="294">
        <v>43405</v>
      </c>
      <c r="Z190" s="295">
        <f t="shared" si="18"/>
        <v>2018</v>
      </c>
      <c r="AA190" s="6">
        <f t="shared" si="19"/>
        <v>11</v>
      </c>
      <c r="AB190" s="314">
        <f t="shared" si="20"/>
        <v>2018</v>
      </c>
      <c r="AC190" s="314">
        <f t="shared" si="21"/>
        <v>2017</v>
      </c>
      <c r="AD190" s="298">
        <f t="shared" si="22"/>
        <v>158.33128981696836</v>
      </c>
      <c r="AE190" s="298">
        <f t="shared" si="17"/>
        <v>153.45864091414703</v>
      </c>
      <c r="AF190" s="290">
        <f t="shared" si="23"/>
        <v>157.91939305809689</v>
      </c>
      <c r="AG190" s="296">
        <f t="shared" si="24"/>
        <v>3.1752196382005993E-2</v>
      </c>
      <c r="AH190" s="294"/>
    </row>
    <row r="191" spans="25:34" x14ac:dyDescent="0.25">
      <c r="Y191" s="294">
        <v>43435</v>
      </c>
      <c r="Z191" s="295">
        <f t="shared" si="18"/>
        <v>2018</v>
      </c>
      <c r="AA191" s="6">
        <f t="shared" si="19"/>
        <v>12</v>
      </c>
      <c r="AB191" s="314">
        <f t="shared" si="20"/>
        <v>2018</v>
      </c>
      <c r="AC191" s="314">
        <f t="shared" si="21"/>
        <v>2017</v>
      </c>
      <c r="AD191" s="298">
        <f t="shared" si="22"/>
        <v>158.33128981696836</v>
      </c>
      <c r="AE191" s="298">
        <f t="shared" si="17"/>
        <v>153.45864091414703</v>
      </c>
      <c r="AF191" s="290">
        <f t="shared" si="23"/>
        <v>158.33128981696836</v>
      </c>
      <c r="AG191" s="296">
        <f t="shared" si="24"/>
        <v>3.1752196382005993E-2</v>
      </c>
      <c r="AH191" s="294"/>
    </row>
    <row r="192" spans="25:34" x14ac:dyDescent="0.25">
      <c r="Y192" s="284">
        <v>43466</v>
      </c>
      <c r="Z192" s="285">
        <f t="shared" si="18"/>
        <v>2019</v>
      </c>
      <c r="AA192" s="6">
        <f t="shared" si="19"/>
        <v>1</v>
      </c>
      <c r="AB192" s="314">
        <f t="shared" si="20"/>
        <v>2019</v>
      </c>
      <c r="AC192" s="314">
        <f t="shared" si="21"/>
        <v>2018</v>
      </c>
      <c r="AD192" s="298">
        <f t="shared" si="22"/>
        <v>161.12043684902417</v>
      </c>
      <c r="AE192" s="298">
        <f t="shared" si="17"/>
        <v>158.33128981696836</v>
      </c>
      <c r="AF192" s="290">
        <f t="shared" si="23"/>
        <v>158.56186296962741</v>
      </c>
      <c r="AG192" s="296">
        <f t="shared" si="24"/>
        <v>1.7615892823714008E-2</v>
      </c>
      <c r="AH192" s="284"/>
    </row>
    <row r="193" spans="25:34" x14ac:dyDescent="0.25">
      <c r="Y193" s="284">
        <v>43497</v>
      </c>
      <c r="Z193" s="285">
        <f t="shared" si="18"/>
        <v>2019</v>
      </c>
      <c r="AA193" s="6">
        <f t="shared" si="19"/>
        <v>2</v>
      </c>
      <c r="AB193" s="314">
        <f t="shared" si="20"/>
        <v>2019</v>
      </c>
      <c r="AC193" s="314">
        <f t="shared" si="21"/>
        <v>2018</v>
      </c>
      <c r="AD193" s="298">
        <f t="shared" si="22"/>
        <v>161.12043684902417</v>
      </c>
      <c r="AE193" s="298">
        <f t="shared" si="17"/>
        <v>158.33128981696836</v>
      </c>
      <c r="AF193" s="290">
        <f t="shared" si="23"/>
        <v>158.79277189911735</v>
      </c>
      <c r="AG193" s="296">
        <f t="shared" si="24"/>
        <v>1.7615892823714008E-2</v>
      </c>
      <c r="AH193" s="284"/>
    </row>
    <row r="194" spans="25:34" x14ac:dyDescent="0.25">
      <c r="Y194" s="284">
        <v>43525</v>
      </c>
      <c r="Z194" s="285">
        <f t="shared" si="18"/>
        <v>2019</v>
      </c>
      <c r="AA194" s="6">
        <f t="shared" si="19"/>
        <v>3</v>
      </c>
      <c r="AB194" s="314">
        <f t="shared" si="20"/>
        <v>2019</v>
      </c>
      <c r="AC194" s="314">
        <f t="shared" si="21"/>
        <v>2018</v>
      </c>
      <c r="AD194" s="298">
        <f t="shared" si="22"/>
        <v>161.12043684902417</v>
      </c>
      <c r="AE194" s="298">
        <f t="shared" si="17"/>
        <v>158.33128981696836</v>
      </c>
      <c r="AF194" s="290">
        <f t="shared" si="23"/>
        <v>159.02401709442</v>
      </c>
      <c r="AG194" s="296">
        <f t="shared" si="24"/>
        <v>1.7615892823714008E-2</v>
      </c>
      <c r="AH194" s="284"/>
    </row>
    <row r="195" spans="25:34" x14ac:dyDescent="0.25">
      <c r="Y195" s="284">
        <v>43556</v>
      </c>
      <c r="Z195" s="285">
        <f t="shared" si="18"/>
        <v>2019</v>
      </c>
      <c r="AA195" s="6">
        <f t="shared" si="19"/>
        <v>4</v>
      </c>
      <c r="AB195" s="314">
        <f t="shared" si="20"/>
        <v>2019</v>
      </c>
      <c r="AC195" s="314">
        <f t="shared" si="21"/>
        <v>2018</v>
      </c>
      <c r="AD195" s="298">
        <f t="shared" si="22"/>
        <v>161.12043684902417</v>
      </c>
      <c r="AE195" s="298">
        <f t="shared" si="17"/>
        <v>158.33128981696836</v>
      </c>
      <c r="AF195" s="290">
        <f t="shared" si="23"/>
        <v>159.2555990452293</v>
      </c>
      <c r="AG195" s="296">
        <f t="shared" si="24"/>
        <v>1.7615892823714008E-2</v>
      </c>
      <c r="AH195" s="284"/>
    </row>
    <row r="196" spans="25:34" x14ac:dyDescent="0.25">
      <c r="Y196" s="284">
        <v>43586</v>
      </c>
      <c r="Z196" s="285">
        <f t="shared" si="18"/>
        <v>2019</v>
      </c>
      <c r="AA196" s="6">
        <f t="shared" si="19"/>
        <v>5</v>
      </c>
      <c r="AB196" s="314">
        <f t="shared" si="20"/>
        <v>2019</v>
      </c>
      <c r="AC196" s="314">
        <f t="shared" si="21"/>
        <v>2018</v>
      </c>
      <c r="AD196" s="298">
        <f t="shared" si="22"/>
        <v>161.12043684902417</v>
      </c>
      <c r="AE196" s="298">
        <f t="shared" si="17"/>
        <v>158.33128981696836</v>
      </c>
      <c r="AF196" s="290">
        <f t="shared" si="23"/>
        <v>159.48751824195227</v>
      </c>
      <c r="AG196" s="296">
        <f t="shared" si="24"/>
        <v>1.7615892823714008E-2</v>
      </c>
      <c r="AH196" s="284"/>
    </row>
    <row r="197" spans="25:34" x14ac:dyDescent="0.25">
      <c r="Y197" s="284">
        <v>43617</v>
      </c>
      <c r="Z197" s="285">
        <f t="shared" si="18"/>
        <v>2019</v>
      </c>
      <c r="AA197" s="6">
        <f t="shared" si="19"/>
        <v>6</v>
      </c>
      <c r="AB197" s="314">
        <f t="shared" si="20"/>
        <v>2019</v>
      </c>
      <c r="AC197" s="314">
        <f t="shared" si="21"/>
        <v>2018</v>
      </c>
      <c r="AD197" s="298">
        <f t="shared" si="22"/>
        <v>161.12043684902417</v>
      </c>
      <c r="AE197" s="298">
        <f t="shared" si="17"/>
        <v>158.33128981696836</v>
      </c>
      <c r="AF197" s="290">
        <f t="shared" si="23"/>
        <v>159.71977517571011</v>
      </c>
      <c r="AG197" s="296">
        <f t="shared" si="24"/>
        <v>1.7615892823714008E-2</v>
      </c>
      <c r="AH197" s="284"/>
    </row>
    <row r="198" spans="25:34" x14ac:dyDescent="0.25">
      <c r="Y198" s="284">
        <v>43647</v>
      </c>
      <c r="Z198" s="285">
        <f t="shared" si="18"/>
        <v>2019</v>
      </c>
      <c r="AA198" s="6">
        <f t="shared" si="19"/>
        <v>7</v>
      </c>
      <c r="AB198" s="314">
        <f t="shared" si="20"/>
        <v>2019</v>
      </c>
      <c r="AC198" s="314">
        <f t="shared" si="21"/>
        <v>2018</v>
      </c>
      <c r="AD198" s="298">
        <f t="shared" si="22"/>
        <v>161.12043684902417</v>
      </c>
      <c r="AE198" s="298">
        <f t="shared" si="17"/>
        <v>158.33128981696836</v>
      </c>
      <c r="AF198" s="290">
        <f t="shared" si="23"/>
        <v>159.95237033833922</v>
      </c>
      <c r="AG198" s="296">
        <f t="shared" si="24"/>
        <v>1.7615892823714008E-2</v>
      </c>
      <c r="AH198" s="284"/>
    </row>
    <row r="199" spans="25:34" x14ac:dyDescent="0.25">
      <c r="Y199" s="284">
        <v>43678</v>
      </c>
      <c r="Z199" s="285">
        <f t="shared" si="18"/>
        <v>2019</v>
      </c>
      <c r="AA199" s="6">
        <f t="shared" si="19"/>
        <v>8</v>
      </c>
      <c r="AB199" s="314">
        <f t="shared" si="20"/>
        <v>2019</v>
      </c>
      <c r="AC199" s="314">
        <f t="shared" si="21"/>
        <v>2018</v>
      </c>
      <c r="AD199" s="298">
        <f t="shared" si="22"/>
        <v>161.12043684902417</v>
      </c>
      <c r="AE199" s="298">
        <f t="shared" si="17"/>
        <v>158.33128981696836</v>
      </c>
      <c r="AF199" s="290">
        <f t="shared" si="23"/>
        <v>160.18530422239229</v>
      </c>
      <c r="AG199" s="296">
        <f t="shared" si="24"/>
        <v>1.7615892823714008E-2</v>
      </c>
      <c r="AH199" s="284"/>
    </row>
    <row r="200" spans="25:34" x14ac:dyDescent="0.25">
      <c r="Y200" s="284">
        <v>43709</v>
      </c>
      <c r="Z200" s="285">
        <f t="shared" si="18"/>
        <v>2019</v>
      </c>
      <c r="AA200" s="6">
        <f t="shared" si="19"/>
        <v>9</v>
      </c>
      <c r="AB200" s="314">
        <f t="shared" si="20"/>
        <v>2019</v>
      </c>
      <c r="AC200" s="314">
        <f t="shared" si="21"/>
        <v>2018</v>
      </c>
      <c r="AD200" s="298">
        <f t="shared" si="22"/>
        <v>161.12043684902417</v>
      </c>
      <c r="AE200" s="298">
        <f t="shared" si="17"/>
        <v>158.33128981696836</v>
      </c>
      <c r="AF200" s="290">
        <f t="shared" si="23"/>
        <v>160.41857732113922</v>
      </c>
      <c r="AG200" s="296">
        <f t="shared" si="24"/>
        <v>1.7615892823714008E-2</v>
      </c>
      <c r="AH200" s="284"/>
    </row>
    <row r="201" spans="25:34" x14ac:dyDescent="0.25">
      <c r="Y201" s="284">
        <v>43739</v>
      </c>
      <c r="Z201" s="285">
        <f t="shared" si="18"/>
        <v>2019</v>
      </c>
      <c r="AA201" s="6">
        <f t="shared" si="19"/>
        <v>10</v>
      </c>
      <c r="AB201" s="314">
        <f t="shared" si="20"/>
        <v>2019</v>
      </c>
      <c r="AC201" s="314">
        <f t="shared" si="21"/>
        <v>2018</v>
      </c>
      <c r="AD201" s="298">
        <f t="shared" si="22"/>
        <v>161.12043684902417</v>
      </c>
      <c r="AE201" s="298">
        <f t="shared" si="17"/>
        <v>158.33128981696836</v>
      </c>
      <c r="AF201" s="290">
        <f t="shared" si="23"/>
        <v>160.65219012856832</v>
      </c>
      <c r="AG201" s="296">
        <f t="shared" si="24"/>
        <v>1.7615892823714008E-2</v>
      </c>
      <c r="AH201" s="284"/>
    </row>
    <row r="202" spans="25:34" x14ac:dyDescent="0.25">
      <c r="Y202" s="284">
        <v>43770</v>
      </c>
      <c r="Z202" s="285">
        <f t="shared" si="18"/>
        <v>2019</v>
      </c>
      <c r="AA202" s="6">
        <f t="shared" si="19"/>
        <v>11</v>
      </c>
      <c r="AB202" s="314">
        <f t="shared" si="20"/>
        <v>2019</v>
      </c>
      <c r="AC202" s="314">
        <f t="shared" si="21"/>
        <v>2018</v>
      </c>
      <c r="AD202" s="298">
        <f t="shared" si="22"/>
        <v>161.12043684902417</v>
      </c>
      <c r="AE202" s="298">
        <f t="shared" si="17"/>
        <v>158.33128981696836</v>
      </c>
      <c r="AF202" s="290">
        <f t="shared" si="23"/>
        <v>160.88614313938723</v>
      </c>
      <c r="AG202" s="296">
        <f t="shared" si="24"/>
        <v>1.7615892823714008E-2</v>
      </c>
      <c r="AH202" s="284"/>
    </row>
    <row r="203" spans="25:34" x14ac:dyDescent="0.25">
      <c r="Y203" s="284">
        <v>43800</v>
      </c>
      <c r="Z203" s="285">
        <f t="shared" si="18"/>
        <v>2019</v>
      </c>
      <c r="AA203" s="6">
        <f t="shared" si="19"/>
        <v>12</v>
      </c>
      <c r="AB203" s="314">
        <f t="shared" si="20"/>
        <v>2019</v>
      </c>
      <c r="AC203" s="314">
        <f t="shared" si="21"/>
        <v>2018</v>
      </c>
      <c r="AD203" s="298">
        <f t="shared" si="22"/>
        <v>161.12043684902417</v>
      </c>
      <c r="AE203" s="298">
        <f t="shared" si="17"/>
        <v>158.33128981696836</v>
      </c>
      <c r="AF203" s="290">
        <f t="shared" si="23"/>
        <v>161.12043684902417</v>
      </c>
      <c r="AG203" s="296">
        <f t="shared" si="24"/>
        <v>1.7615892823719337E-2</v>
      </c>
      <c r="AH203" s="284"/>
    </row>
    <row r="204" spans="25:34" x14ac:dyDescent="0.25">
      <c r="Y204" s="284">
        <v>43831</v>
      </c>
      <c r="Z204" s="285">
        <f t="shared" ref="Z204:Z239" si="25">YEAR(Y204)</f>
        <v>2020</v>
      </c>
      <c r="AA204" s="6">
        <f t="shared" ref="AA204:AA239" si="26">MONTH(Y204)</f>
        <v>1</v>
      </c>
      <c r="AB204" s="314">
        <f t="shared" ref="AB204:AB239" si="27">Z204</f>
        <v>2020</v>
      </c>
      <c r="AC204" s="314">
        <f t="shared" ref="AC204:AC239" si="28">Z204-1</f>
        <v>2019</v>
      </c>
      <c r="AD204" s="298">
        <f t="shared" ref="AD204:AD239" si="29">INDEX($U$23:$U$45,MATCH(AB204,$R$23:$R$45,0))</f>
        <v>151.77545151178077</v>
      </c>
      <c r="AE204" s="298">
        <f t="shared" si="17"/>
        <v>161.12043684902417</v>
      </c>
      <c r="AF204" s="290">
        <f t="shared" ref="AF204:AF239" si="30">IF(AA204=12,AD204,AF203*(AD204/AE204)^(1/12))</f>
        <v>160.32018522796301</v>
      </c>
      <c r="AG204" s="296">
        <f t="shared" ref="AG204:AG239" si="31">(1+AF204/AF203-1)^12-1</f>
        <v>-5.8000000000002383E-2</v>
      </c>
      <c r="AH204" s="284"/>
    </row>
    <row r="205" spans="25:34" x14ac:dyDescent="0.25">
      <c r="Y205" s="284">
        <v>43862</v>
      </c>
      <c r="Z205" s="285">
        <f t="shared" si="25"/>
        <v>2020</v>
      </c>
      <c r="AA205" s="6">
        <f t="shared" si="26"/>
        <v>2</v>
      </c>
      <c r="AB205" s="314">
        <f t="shared" si="27"/>
        <v>2020</v>
      </c>
      <c r="AC205" s="314">
        <f t="shared" si="28"/>
        <v>2019</v>
      </c>
      <c r="AD205" s="298">
        <f t="shared" si="29"/>
        <v>151.77545151178077</v>
      </c>
      <c r="AE205" s="298">
        <f t="shared" si="17"/>
        <v>161.12043684902417</v>
      </c>
      <c r="AF205" s="290">
        <f t="shared" si="30"/>
        <v>159.52390828987527</v>
      </c>
      <c r="AG205" s="296">
        <f t="shared" si="31"/>
        <v>-5.7999999999999829E-2</v>
      </c>
      <c r="AH205" s="284"/>
    </row>
    <row r="206" spans="25:34" x14ac:dyDescent="0.25">
      <c r="Y206" s="284">
        <v>43891</v>
      </c>
      <c r="Z206" s="285">
        <f t="shared" si="25"/>
        <v>2020</v>
      </c>
      <c r="AA206" s="6">
        <f t="shared" si="26"/>
        <v>3</v>
      </c>
      <c r="AB206" s="314">
        <f t="shared" si="27"/>
        <v>2020</v>
      </c>
      <c r="AC206" s="314">
        <f t="shared" si="28"/>
        <v>2019</v>
      </c>
      <c r="AD206" s="298">
        <f t="shared" si="29"/>
        <v>151.77545151178077</v>
      </c>
      <c r="AE206" s="298">
        <f t="shared" si="17"/>
        <v>161.12043684902417</v>
      </c>
      <c r="AF206" s="290">
        <f t="shared" si="30"/>
        <v>158.73158629333921</v>
      </c>
      <c r="AG206" s="296">
        <f t="shared" si="31"/>
        <v>-5.7999999999997276E-2</v>
      </c>
      <c r="AH206" s="284"/>
    </row>
    <row r="207" spans="25:34" x14ac:dyDescent="0.25">
      <c r="Y207" s="284">
        <v>43922</v>
      </c>
      <c r="Z207" s="285">
        <f t="shared" si="25"/>
        <v>2020</v>
      </c>
      <c r="AA207" s="6">
        <f t="shared" si="26"/>
        <v>4</v>
      </c>
      <c r="AB207" s="314">
        <f t="shared" si="27"/>
        <v>2020</v>
      </c>
      <c r="AC207" s="314">
        <f t="shared" si="28"/>
        <v>2019</v>
      </c>
      <c r="AD207" s="298">
        <f t="shared" si="29"/>
        <v>151.77545151178077</v>
      </c>
      <c r="AE207" s="298">
        <f t="shared" si="17"/>
        <v>161.12043684902417</v>
      </c>
      <c r="AF207" s="290">
        <f t="shared" si="30"/>
        <v>157.94319959498461</v>
      </c>
      <c r="AG207" s="296">
        <f t="shared" si="31"/>
        <v>-5.7999999999999829E-2</v>
      </c>
      <c r="AH207" s="284"/>
    </row>
    <row r="208" spans="25:34" x14ac:dyDescent="0.25">
      <c r="Y208" s="284">
        <v>43952</v>
      </c>
      <c r="Z208" s="285">
        <f t="shared" si="25"/>
        <v>2020</v>
      </c>
      <c r="AA208" s="6">
        <f t="shared" si="26"/>
        <v>5</v>
      </c>
      <c r="AB208" s="314">
        <f t="shared" si="27"/>
        <v>2020</v>
      </c>
      <c r="AC208" s="314">
        <f t="shared" si="28"/>
        <v>2019</v>
      </c>
      <c r="AD208" s="298">
        <f t="shared" si="29"/>
        <v>151.77545151178077</v>
      </c>
      <c r="AE208" s="298">
        <f t="shared" si="17"/>
        <v>161.12043684902417</v>
      </c>
      <c r="AF208" s="290">
        <f t="shared" si="30"/>
        <v>157.15872864900581</v>
      </c>
      <c r="AG208" s="296">
        <f t="shared" si="31"/>
        <v>-5.7999999999999829E-2</v>
      </c>
      <c r="AH208" s="284"/>
    </row>
    <row r="209" spans="25:34" x14ac:dyDescent="0.25">
      <c r="Y209" s="284">
        <v>43983</v>
      </c>
      <c r="Z209" s="285">
        <f t="shared" si="25"/>
        <v>2020</v>
      </c>
      <c r="AA209" s="6">
        <f t="shared" si="26"/>
        <v>6</v>
      </c>
      <c r="AB209" s="314">
        <f t="shared" si="27"/>
        <v>2020</v>
      </c>
      <c r="AC209" s="314">
        <f t="shared" si="28"/>
        <v>2019</v>
      </c>
      <c r="AD209" s="298">
        <f t="shared" si="29"/>
        <v>151.77545151178077</v>
      </c>
      <c r="AE209" s="298">
        <f t="shared" si="17"/>
        <v>161.12043684902417</v>
      </c>
      <c r="AF209" s="290">
        <f t="shared" si="30"/>
        <v>156.37815400667708</v>
      </c>
      <c r="AG209" s="296">
        <f t="shared" si="31"/>
        <v>-5.7999999999999829E-2</v>
      </c>
      <c r="AH209" s="284"/>
    </row>
    <row r="210" spans="25:34" x14ac:dyDescent="0.25">
      <c r="Y210" s="284">
        <v>44013</v>
      </c>
      <c r="Z210" s="285">
        <f t="shared" si="25"/>
        <v>2020</v>
      </c>
      <c r="AA210" s="6">
        <f t="shared" si="26"/>
        <v>7</v>
      </c>
      <c r="AB210" s="314">
        <f t="shared" si="27"/>
        <v>2020</v>
      </c>
      <c r="AC210" s="314">
        <f t="shared" si="28"/>
        <v>2019</v>
      </c>
      <c r="AD210" s="298">
        <f t="shared" si="29"/>
        <v>151.77545151178077</v>
      </c>
      <c r="AE210" s="298">
        <f t="shared" si="17"/>
        <v>161.12043684902417</v>
      </c>
      <c r="AF210" s="290">
        <f t="shared" si="30"/>
        <v>155.60145631587045</v>
      </c>
      <c r="AG210" s="296">
        <f t="shared" si="31"/>
        <v>-5.7999999999997276E-2</v>
      </c>
      <c r="AH210" s="284"/>
    </row>
    <row r="211" spans="25:34" x14ac:dyDescent="0.25">
      <c r="Y211" s="284">
        <v>44044</v>
      </c>
      <c r="Z211" s="285">
        <f t="shared" si="25"/>
        <v>2020</v>
      </c>
      <c r="AA211" s="6">
        <f t="shared" si="26"/>
        <v>8</v>
      </c>
      <c r="AB211" s="314">
        <f t="shared" si="27"/>
        <v>2020</v>
      </c>
      <c r="AC211" s="314">
        <f t="shared" si="28"/>
        <v>2019</v>
      </c>
      <c r="AD211" s="298">
        <f t="shared" si="29"/>
        <v>151.77545151178077</v>
      </c>
      <c r="AE211" s="298">
        <f t="shared" si="17"/>
        <v>161.12043684902417</v>
      </c>
      <c r="AF211" s="290">
        <f t="shared" si="30"/>
        <v>154.82861632057592</v>
      </c>
      <c r="AG211" s="296">
        <f t="shared" si="31"/>
        <v>-5.8000000000002383E-2</v>
      </c>
      <c r="AH211" s="284"/>
    </row>
    <row r="212" spans="25:34" x14ac:dyDescent="0.25">
      <c r="Y212" s="284">
        <v>44075</v>
      </c>
      <c r="Z212" s="285">
        <f t="shared" si="25"/>
        <v>2020</v>
      </c>
      <c r="AA212" s="6">
        <f t="shared" si="26"/>
        <v>9</v>
      </c>
      <c r="AB212" s="314">
        <f t="shared" si="27"/>
        <v>2020</v>
      </c>
      <c r="AC212" s="314">
        <f t="shared" si="28"/>
        <v>2019</v>
      </c>
      <c r="AD212" s="298">
        <f t="shared" si="29"/>
        <v>151.77545151178077</v>
      </c>
      <c r="AE212" s="298">
        <f t="shared" si="17"/>
        <v>161.12043684902417</v>
      </c>
      <c r="AF212" s="290">
        <f t="shared" si="30"/>
        <v>154.05961486042412</v>
      </c>
      <c r="AG212" s="296">
        <f t="shared" si="31"/>
        <v>-5.7999999999999829E-2</v>
      </c>
      <c r="AH212" s="284"/>
    </row>
    <row r="213" spans="25:34" x14ac:dyDescent="0.25">
      <c r="Y213" s="284">
        <v>44105</v>
      </c>
      <c r="Z213" s="285">
        <f t="shared" si="25"/>
        <v>2020</v>
      </c>
      <c r="AA213" s="6">
        <f t="shared" si="26"/>
        <v>10</v>
      </c>
      <c r="AB213" s="314">
        <f t="shared" si="27"/>
        <v>2020</v>
      </c>
      <c r="AC213" s="314">
        <f t="shared" si="28"/>
        <v>2019</v>
      </c>
      <c r="AD213" s="298">
        <f t="shared" si="29"/>
        <v>151.77545151178077</v>
      </c>
      <c r="AE213" s="298">
        <f t="shared" si="17"/>
        <v>161.12043684902417</v>
      </c>
      <c r="AF213" s="290">
        <f t="shared" si="30"/>
        <v>153.29443287021121</v>
      </c>
      <c r="AG213" s="296">
        <f t="shared" si="31"/>
        <v>-5.7999999999997276E-2</v>
      </c>
      <c r="AH213" s="284"/>
    </row>
    <row r="214" spans="25:34" x14ac:dyDescent="0.25">
      <c r="Y214" s="284">
        <v>44136</v>
      </c>
      <c r="Z214" s="285">
        <f t="shared" si="25"/>
        <v>2020</v>
      </c>
      <c r="AA214" s="6">
        <f t="shared" si="26"/>
        <v>11</v>
      </c>
      <c r="AB214" s="314">
        <f t="shared" si="27"/>
        <v>2020</v>
      </c>
      <c r="AC214" s="314">
        <f t="shared" si="28"/>
        <v>2019</v>
      </c>
      <c r="AD214" s="298">
        <f t="shared" si="29"/>
        <v>151.77545151178077</v>
      </c>
      <c r="AE214" s="298">
        <f t="shared" si="17"/>
        <v>161.12043684902417</v>
      </c>
      <c r="AF214" s="290">
        <f t="shared" si="30"/>
        <v>152.53305137942624</v>
      </c>
      <c r="AG214" s="296">
        <f t="shared" si="31"/>
        <v>-5.7999999999999829E-2</v>
      </c>
      <c r="AH214" s="284"/>
    </row>
    <row r="215" spans="25:34" x14ac:dyDescent="0.25">
      <c r="Y215" s="284">
        <v>44166</v>
      </c>
      <c r="Z215" s="285">
        <f t="shared" si="25"/>
        <v>2020</v>
      </c>
      <c r="AA215" s="6">
        <f t="shared" si="26"/>
        <v>12</v>
      </c>
      <c r="AB215" s="314">
        <f t="shared" si="27"/>
        <v>2020</v>
      </c>
      <c r="AC215" s="314">
        <f t="shared" si="28"/>
        <v>2019</v>
      </c>
      <c r="AD215" s="298">
        <f t="shared" si="29"/>
        <v>151.77545151178077</v>
      </c>
      <c r="AE215" s="298">
        <f t="shared" si="17"/>
        <v>161.12043684902417</v>
      </c>
      <c r="AF215" s="290">
        <f t="shared" si="30"/>
        <v>151.77545151178077</v>
      </c>
      <c r="AG215" s="296">
        <f t="shared" si="31"/>
        <v>-5.8000000000004936E-2</v>
      </c>
      <c r="AH215" s="284"/>
    </row>
    <row r="216" spans="25:34" x14ac:dyDescent="0.25">
      <c r="Y216" s="284">
        <v>44197</v>
      </c>
      <c r="Z216" s="285">
        <f t="shared" si="25"/>
        <v>2021</v>
      </c>
      <c r="AA216" s="6">
        <f t="shared" si="26"/>
        <v>1</v>
      </c>
      <c r="AB216" s="314">
        <f t="shared" si="27"/>
        <v>2021</v>
      </c>
      <c r="AC216" s="314">
        <f t="shared" si="28"/>
        <v>2020</v>
      </c>
      <c r="AD216" s="298">
        <f t="shared" si="29"/>
        <v>161.03375405399939</v>
      </c>
      <c r="AE216" s="298">
        <f t="shared" ref="AE216:AE239" si="32">INDEX($U$23:$U$45,MATCH(AC216,$R$23:$R$45,0))</f>
        <v>151.77545151178077</v>
      </c>
      <c r="AF216" s="290">
        <f t="shared" si="30"/>
        <v>152.5262111274333</v>
      </c>
      <c r="AG216" s="296">
        <f t="shared" si="31"/>
        <v>6.0999999999996835E-2</v>
      </c>
      <c r="AH216" s="284"/>
    </row>
    <row r="217" spans="25:34" x14ac:dyDescent="0.25">
      <c r="Y217" s="284">
        <v>44228</v>
      </c>
      <c r="Z217" s="285">
        <f t="shared" si="25"/>
        <v>2021</v>
      </c>
      <c r="AA217" s="6">
        <f t="shared" si="26"/>
        <v>2</v>
      </c>
      <c r="AB217" s="314">
        <f t="shared" si="27"/>
        <v>2021</v>
      </c>
      <c r="AC217" s="314">
        <f t="shared" si="28"/>
        <v>2020</v>
      </c>
      <c r="AD217" s="298">
        <f t="shared" si="29"/>
        <v>161.03375405399939</v>
      </c>
      <c r="AE217" s="298">
        <f t="shared" si="32"/>
        <v>151.77545151178077</v>
      </c>
      <c r="AF217" s="290">
        <f t="shared" si="30"/>
        <v>153.28068438712299</v>
      </c>
      <c r="AG217" s="296">
        <f t="shared" si="31"/>
        <v>6.0999999999996835E-2</v>
      </c>
      <c r="AH217" s="284"/>
    </row>
    <row r="218" spans="25:34" x14ac:dyDescent="0.25">
      <c r="Y218" s="284">
        <v>44256</v>
      </c>
      <c r="Z218" s="285">
        <f t="shared" si="25"/>
        <v>2021</v>
      </c>
      <c r="AA218" s="6">
        <f t="shared" si="26"/>
        <v>3</v>
      </c>
      <c r="AB218" s="314">
        <f t="shared" si="27"/>
        <v>2021</v>
      </c>
      <c r="AC218" s="314">
        <f t="shared" si="28"/>
        <v>2020</v>
      </c>
      <c r="AD218" s="298">
        <f t="shared" si="29"/>
        <v>161.03375405399939</v>
      </c>
      <c r="AE218" s="298">
        <f t="shared" si="32"/>
        <v>151.77545151178077</v>
      </c>
      <c r="AF218" s="290">
        <f t="shared" si="30"/>
        <v>154.03888966044744</v>
      </c>
      <c r="AG218" s="296">
        <f t="shared" si="31"/>
        <v>6.0999999999996835E-2</v>
      </c>
      <c r="AH218" s="284"/>
    </row>
    <row r="219" spans="25:34" x14ac:dyDescent="0.25">
      <c r="Y219" s="284">
        <v>44287</v>
      </c>
      <c r="Z219" s="285">
        <f t="shared" si="25"/>
        <v>2021</v>
      </c>
      <c r="AA219" s="6">
        <f t="shared" si="26"/>
        <v>4</v>
      </c>
      <c r="AB219" s="314">
        <f t="shared" si="27"/>
        <v>2021</v>
      </c>
      <c r="AC219" s="314">
        <f t="shared" si="28"/>
        <v>2020</v>
      </c>
      <c r="AD219" s="298">
        <f t="shared" si="29"/>
        <v>161.03375405399939</v>
      </c>
      <c r="AE219" s="298">
        <f t="shared" si="32"/>
        <v>151.77545151178077</v>
      </c>
      <c r="AF219" s="290">
        <f t="shared" si="30"/>
        <v>154.80084540786976</v>
      </c>
      <c r="AG219" s="296">
        <f t="shared" si="31"/>
        <v>6.0999999999996835E-2</v>
      </c>
      <c r="AH219" s="284"/>
    </row>
    <row r="220" spans="25:34" x14ac:dyDescent="0.25">
      <c r="Y220" s="284">
        <v>44317</v>
      </c>
      <c r="Z220" s="285">
        <f t="shared" si="25"/>
        <v>2021</v>
      </c>
      <c r="AA220" s="6">
        <f t="shared" si="26"/>
        <v>5</v>
      </c>
      <c r="AB220" s="314">
        <f t="shared" si="27"/>
        <v>2021</v>
      </c>
      <c r="AC220" s="314">
        <f t="shared" si="28"/>
        <v>2020</v>
      </c>
      <c r="AD220" s="298">
        <f t="shared" si="29"/>
        <v>161.03375405399939</v>
      </c>
      <c r="AE220" s="298">
        <f t="shared" si="32"/>
        <v>151.77545151178077</v>
      </c>
      <c r="AF220" s="290">
        <f t="shared" si="30"/>
        <v>155.566570181168</v>
      </c>
      <c r="AG220" s="296">
        <f t="shared" si="31"/>
        <v>6.0999999999996835E-2</v>
      </c>
      <c r="AH220" s="284"/>
    </row>
    <row r="221" spans="25:34" x14ac:dyDescent="0.25">
      <c r="Y221" s="284">
        <v>44348</v>
      </c>
      <c r="Z221" s="285">
        <f t="shared" si="25"/>
        <v>2021</v>
      </c>
      <c r="AA221" s="6">
        <f t="shared" si="26"/>
        <v>6</v>
      </c>
      <c r="AB221" s="314">
        <f t="shared" si="27"/>
        <v>2021</v>
      </c>
      <c r="AC221" s="314">
        <f t="shared" si="28"/>
        <v>2020</v>
      </c>
      <c r="AD221" s="298">
        <f t="shared" si="29"/>
        <v>161.03375405399939</v>
      </c>
      <c r="AE221" s="298">
        <f t="shared" si="32"/>
        <v>151.77545151178077</v>
      </c>
      <c r="AF221" s="290">
        <f t="shared" si="30"/>
        <v>156.33608262388691</v>
      </c>
      <c r="AG221" s="296">
        <f t="shared" si="31"/>
        <v>6.0999999999996835E-2</v>
      </c>
      <c r="AH221" s="284"/>
    </row>
    <row r="222" spans="25:34" x14ac:dyDescent="0.25">
      <c r="Y222" s="284">
        <v>44378</v>
      </c>
      <c r="Z222" s="285">
        <f t="shared" si="25"/>
        <v>2021</v>
      </c>
      <c r="AA222" s="6">
        <f t="shared" si="26"/>
        <v>7</v>
      </c>
      <c r="AB222" s="314">
        <f t="shared" si="27"/>
        <v>2021</v>
      </c>
      <c r="AC222" s="314">
        <f t="shared" si="28"/>
        <v>2020</v>
      </c>
      <c r="AD222" s="298">
        <f t="shared" si="29"/>
        <v>161.03375405399939</v>
      </c>
      <c r="AE222" s="298">
        <f t="shared" si="32"/>
        <v>151.77545151178077</v>
      </c>
      <c r="AF222" s="290">
        <f t="shared" si="30"/>
        <v>157.10940147179178</v>
      </c>
      <c r="AG222" s="296">
        <f t="shared" si="31"/>
        <v>6.0999999999996835E-2</v>
      </c>
      <c r="AH222" s="284"/>
    </row>
    <row r="223" spans="25:34" x14ac:dyDescent="0.25">
      <c r="Y223" s="284">
        <v>44409</v>
      </c>
      <c r="Z223" s="285">
        <f t="shared" si="25"/>
        <v>2021</v>
      </c>
      <c r="AA223" s="6">
        <f t="shared" si="26"/>
        <v>8</v>
      </c>
      <c r="AB223" s="314">
        <f t="shared" si="27"/>
        <v>2021</v>
      </c>
      <c r="AC223" s="314">
        <f t="shared" si="28"/>
        <v>2020</v>
      </c>
      <c r="AD223" s="298">
        <f t="shared" si="29"/>
        <v>161.03375405399939</v>
      </c>
      <c r="AE223" s="298">
        <f t="shared" si="32"/>
        <v>151.77545151178077</v>
      </c>
      <c r="AF223" s="290">
        <f t="shared" si="30"/>
        <v>157.88654555332465</v>
      </c>
      <c r="AG223" s="296">
        <f t="shared" si="31"/>
        <v>6.0999999999996835E-2</v>
      </c>
      <c r="AH223" s="284"/>
    </row>
    <row r="224" spans="25:34" x14ac:dyDescent="0.25">
      <c r="Y224" s="284">
        <v>44440</v>
      </c>
      <c r="Z224" s="285">
        <f t="shared" si="25"/>
        <v>2021</v>
      </c>
      <c r="AA224" s="6">
        <f t="shared" si="26"/>
        <v>9</v>
      </c>
      <c r="AB224" s="314">
        <f t="shared" si="27"/>
        <v>2021</v>
      </c>
      <c r="AC224" s="314">
        <f t="shared" si="28"/>
        <v>2020</v>
      </c>
      <c r="AD224" s="298">
        <f t="shared" si="29"/>
        <v>161.03375405399939</v>
      </c>
      <c r="AE224" s="298">
        <f t="shared" si="32"/>
        <v>151.77545151178077</v>
      </c>
      <c r="AF224" s="290">
        <f t="shared" si="30"/>
        <v>158.66753379006278</v>
      </c>
      <c r="AG224" s="296">
        <f t="shared" si="31"/>
        <v>6.0999999999996835E-2</v>
      </c>
      <c r="AH224" s="284"/>
    </row>
    <row r="225" spans="25:34" x14ac:dyDescent="0.25">
      <c r="Y225" s="284">
        <v>44470</v>
      </c>
      <c r="Z225" s="285">
        <f t="shared" si="25"/>
        <v>2021</v>
      </c>
      <c r="AA225" s="6">
        <f t="shared" si="26"/>
        <v>10</v>
      </c>
      <c r="AB225" s="314">
        <f t="shared" si="27"/>
        <v>2021</v>
      </c>
      <c r="AC225" s="314">
        <f t="shared" si="28"/>
        <v>2020</v>
      </c>
      <c r="AD225" s="298">
        <f t="shared" si="29"/>
        <v>161.03375405399939</v>
      </c>
      <c r="AE225" s="298">
        <f t="shared" si="32"/>
        <v>151.77545151178077</v>
      </c>
      <c r="AF225" s="290">
        <f t="shared" si="30"/>
        <v>159.45238519717927</v>
      </c>
      <c r="AG225" s="296">
        <f t="shared" si="31"/>
        <v>6.0999999999996835E-2</v>
      </c>
      <c r="AH225" s="284"/>
    </row>
    <row r="226" spans="25:34" x14ac:dyDescent="0.25">
      <c r="Y226" s="284">
        <v>44501</v>
      </c>
      <c r="Z226" s="285">
        <f t="shared" si="25"/>
        <v>2021</v>
      </c>
      <c r="AA226" s="6">
        <f t="shared" si="26"/>
        <v>11</v>
      </c>
      <c r="AB226" s="314">
        <f t="shared" si="27"/>
        <v>2021</v>
      </c>
      <c r="AC226" s="314">
        <f t="shared" si="28"/>
        <v>2020</v>
      </c>
      <c r="AD226" s="298">
        <f t="shared" si="29"/>
        <v>161.03375405399939</v>
      </c>
      <c r="AE226" s="298">
        <f t="shared" si="32"/>
        <v>151.77545151178077</v>
      </c>
      <c r="AF226" s="290">
        <f t="shared" si="30"/>
        <v>160.24111888390607</v>
      </c>
      <c r="AG226" s="296">
        <f t="shared" si="31"/>
        <v>6.0999999999996835E-2</v>
      </c>
      <c r="AH226" s="284"/>
    </row>
    <row r="227" spans="25:34" x14ac:dyDescent="0.25">
      <c r="Y227" s="284">
        <v>44531</v>
      </c>
      <c r="Z227" s="285">
        <f t="shared" si="25"/>
        <v>2021</v>
      </c>
      <c r="AA227" s="6">
        <f t="shared" si="26"/>
        <v>12</v>
      </c>
      <c r="AB227" s="314">
        <f t="shared" si="27"/>
        <v>2021</v>
      </c>
      <c r="AC227" s="314">
        <f t="shared" si="28"/>
        <v>2020</v>
      </c>
      <c r="AD227" s="298">
        <f t="shared" si="29"/>
        <v>161.03375405399939</v>
      </c>
      <c r="AE227" s="298">
        <f t="shared" si="32"/>
        <v>151.77545151178077</v>
      </c>
      <c r="AF227" s="290">
        <f t="shared" si="30"/>
        <v>161.03375405399939</v>
      </c>
      <c r="AG227" s="296">
        <f t="shared" si="31"/>
        <v>6.1000000000008159E-2</v>
      </c>
      <c r="AH227" s="284"/>
    </row>
    <row r="228" spans="25:34" x14ac:dyDescent="0.25">
      <c r="Y228" s="284">
        <v>44562</v>
      </c>
      <c r="Z228" s="285">
        <f t="shared" si="25"/>
        <v>2022</v>
      </c>
      <c r="AA228" s="6">
        <f t="shared" si="26"/>
        <v>1</v>
      </c>
      <c r="AB228" s="314">
        <f t="shared" si="27"/>
        <v>2022</v>
      </c>
      <c r="AC228" s="314">
        <f t="shared" si="28"/>
        <v>2021</v>
      </c>
      <c r="AD228" s="298">
        <f t="shared" si="29"/>
        <v>167.79717172426737</v>
      </c>
      <c r="AE228" s="298">
        <f t="shared" si="32"/>
        <v>161.03375405399939</v>
      </c>
      <c r="AF228" s="290">
        <f t="shared" si="30"/>
        <v>161.58680504392095</v>
      </c>
      <c r="AG228" s="296">
        <f t="shared" si="31"/>
        <v>4.1999999999999815E-2</v>
      </c>
      <c r="AH228" s="284"/>
    </row>
    <row r="229" spans="25:34" x14ac:dyDescent="0.25">
      <c r="Y229" s="284">
        <v>44593</v>
      </c>
      <c r="Z229" s="285">
        <f t="shared" si="25"/>
        <v>2022</v>
      </c>
      <c r="AA229" s="6">
        <f t="shared" si="26"/>
        <v>2</v>
      </c>
      <c r="AB229" s="314">
        <f t="shared" si="27"/>
        <v>2022</v>
      </c>
      <c r="AC229" s="314">
        <f t="shared" si="28"/>
        <v>2021</v>
      </c>
      <c r="AD229" s="298">
        <f t="shared" si="29"/>
        <v>167.79717172426737</v>
      </c>
      <c r="AE229" s="298">
        <f t="shared" si="32"/>
        <v>161.03375405399939</v>
      </c>
      <c r="AF229" s="290">
        <f t="shared" si="30"/>
        <v>162.14175542070862</v>
      </c>
      <c r="AG229" s="296">
        <f t="shared" si="31"/>
        <v>4.1999999999999815E-2</v>
      </c>
      <c r="AH229" s="284"/>
    </row>
    <row r="230" spans="25:34" x14ac:dyDescent="0.25">
      <c r="Y230" s="284">
        <v>44621</v>
      </c>
      <c r="Z230" s="285">
        <f t="shared" si="25"/>
        <v>2022</v>
      </c>
      <c r="AA230" s="6">
        <f t="shared" si="26"/>
        <v>3</v>
      </c>
      <c r="AB230" s="314">
        <f t="shared" si="27"/>
        <v>2022</v>
      </c>
      <c r="AC230" s="314">
        <f t="shared" si="28"/>
        <v>2021</v>
      </c>
      <c r="AD230" s="298">
        <f t="shared" si="29"/>
        <v>167.79717172426737</v>
      </c>
      <c r="AE230" s="298">
        <f t="shared" si="32"/>
        <v>161.03375405399939</v>
      </c>
      <c r="AF230" s="290">
        <f t="shared" si="30"/>
        <v>162.69861170757736</v>
      </c>
      <c r="AG230" s="296">
        <f t="shared" si="31"/>
        <v>4.1999999999999815E-2</v>
      </c>
      <c r="AH230" s="284"/>
    </row>
    <row r="231" spans="25:34" x14ac:dyDescent="0.25">
      <c r="Y231" s="284">
        <v>44652</v>
      </c>
      <c r="Z231" s="285">
        <f t="shared" si="25"/>
        <v>2022</v>
      </c>
      <c r="AA231" s="6">
        <f t="shared" si="26"/>
        <v>4</v>
      </c>
      <c r="AB231" s="314">
        <f t="shared" si="27"/>
        <v>2022</v>
      </c>
      <c r="AC231" s="314">
        <f t="shared" si="28"/>
        <v>2021</v>
      </c>
      <c r="AD231" s="298">
        <f t="shared" si="29"/>
        <v>167.79717172426737</v>
      </c>
      <c r="AE231" s="298">
        <f t="shared" si="32"/>
        <v>161.03375405399939</v>
      </c>
      <c r="AF231" s="290">
        <f t="shared" si="30"/>
        <v>163.25738045014523</v>
      </c>
      <c r="AG231" s="296">
        <f t="shared" si="31"/>
        <v>4.1999999999999815E-2</v>
      </c>
      <c r="AH231" s="284"/>
    </row>
    <row r="232" spans="25:34" x14ac:dyDescent="0.25">
      <c r="Y232" s="284">
        <v>44682</v>
      </c>
      <c r="Z232" s="285">
        <f t="shared" si="25"/>
        <v>2022</v>
      </c>
      <c r="AA232" s="6">
        <f t="shared" si="26"/>
        <v>5</v>
      </c>
      <c r="AB232" s="314">
        <f t="shared" si="27"/>
        <v>2022</v>
      </c>
      <c r="AC232" s="314">
        <f t="shared" si="28"/>
        <v>2021</v>
      </c>
      <c r="AD232" s="298">
        <f t="shared" si="29"/>
        <v>167.79717172426737</v>
      </c>
      <c r="AE232" s="298">
        <f t="shared" si="32"/>
        <v>161.03375405399939</v>
      </c>
      <c r="AF232" s="290">
        <f t="shared" si="30"/>
        <v>163.81806821651051</v>
      </c>
      <c r="AG232" s="296">
        <f t="shared" si="31"/>
        <v>4.1999999999999815E-2</v>
      </c>
      <c r="AH232" s="284"/>
    </row>
    <row r="233" spans="25:34" x14ac:dyDescent="0.25">
      <c r="Y233" s="284">
        <v>44713</v>
      </c>
      <c r="Z233" s="285">
        <f t="shared" si="25"/>
        <v>2022</v>
      </c>
      <c r="AA233" s="6">
        <f t="shared" si="26"/>
        <v>6</v>
      </c>
      <c r="AB233" s="314">
        <f t="shared" si="27"/>
        <v>2022</v>
      </c>
      <c r="AC233" s="314">
        <f t="shared" si="28"/>
        <v>2021</v>
      </c>
      <c r="AD233" s="298">
        <f t="shared" si="29"/>
        <v>167.79717172426737</v>
      </c>
      <c r="AE233" s="298">
        <f t="shared" si="32"/>
        <v>161.03375405399939</v>
      </c>
      <c r="AF233" s="290">
        <f t="shared" si="30"/>
        <v>164.38068159732879</v>
      </c>
      <c r="AG233" s="296">
        <f t="shared" si="31"/>
        <v>4.1999999999999815E-2</v>
      </c>
      <c r="AH233" s="284"/>
    </row>
    <row r="234" spans="25:34" x14ac:dyDescent="0.25">
      <c r="Y234" s="284">
        <v>44743</v>
      </c>
      <c r="Z234" s="285">
        <f t="shared" si="25"/>
        <v>2022</v>
      </c>
      <c r="AA234" s="6">
        <f t="shared" si="26"/>
        <v>7</v>
      </c>
      <c r="AB234" s="314">
        <f t="shared" si="27"/>
        <v>2022</v>
      </c>
      <c r="AC234" s="314">
        <f t="shared" si="28"/>
        <v>2021</v>
      </c>
      <c r="AD234" s="298">
        <f t="shared" si="29"/>
        <v>167.79717172426737</v>
      </c>
      <c r="AE234" s="298">
        <f t="shared" si="32"/>
        <v>161.03375405399939</v>
      </c>
      <c r="AF234" s="290">
        <f t="shared" si="30"/>
        <v>164.94522720589043</v>
      </c>
      <c r="AG234" s="296">
        <f t="shared" si="31"/>
        <v>4.1999999999999815E-2</v>
      </c>
      <c r="AH234" s="284"/>
    </row>
    <row r="235" spans="25:34" x14ac:dyDescent="0.25">
      <c r="Y235" s="284">
        <v>44774</v>
      </c>
      <c r="Z235" s="285">
        <f t="shared" si="25"/>
        <v>2022</v>
      </c>
      <c r="AA235" s="6">
        <f t="shared" si="26"/>
        <v>8</v>
      </c>
      <c r="AB235" s="314">
        <f t="shared" si="27"/>
        <v>2022</v>
      </c>
      <c r="AC235" s="314">
        <f t="shared" si="28"/>
        <v>2021</v>
      </c>
      <c r="AD235" s="298">
        <f t="shared" si="29"/>
        <v>167.79717172426737</v>
      </c>
      <c r="AE235" s="298">
        <f t="shared" si="32"/>
        <v>161.03375405399939</v>
      </c>
      <c r="AF235" s="290">
        <f t="shared" si="30"/>
        <v>165.51171167819842</v>
      </c>
      <c r="AG235" s="296">
        <f t="shared" si="31"/>
        <v>4.1999999999999815E-2</v>
      </c>
      <c r="AH235" s="284"/>
    </row>
    <row r="236" spans="25:34" x14ac:dyDescent="0.25">
      <c r="Y236" s="284">
        <v>44805</v>
      </c>
      <c r="Z236" s="285">
        <f t="shared" si="25"/>
        <v>2022</v>
      </c>
      <c r="AA236" s="6">
        <f t="shared" si="26"/>
        <v>9</v>
      </c>
      <c r="AB236" s="314">
        <f t="shared" si="27"/>
        <v>2022</v>
      </c>
      <c r="AC236" s="314">
        <f t="shared" si="28"/>
        <v>2021</v>
      </c>
      <c r="AD236" s="298">
        <f t="shared" si="29"/>
        <v>167.79717172426737</v>
      </c>
      <c r="AE236" s="298">
        <f t="shared" si="32"/>
        <v>161.03375405399939</v>
      </c>
      <c r="AF236" s="290">
        <f t="shared" si="30"/>
        <v>166.08014167304623</v>
      </c>
      <c r="AG236" s="296">
        <f t="shared" si="31"/>
        <v>4.1999999999999815E-2</v>
      </c>
      <c r="AH236" s="284"/>
    </row>
    <row r="237" spans="25:34" x14ac:dyDescent="0.25">
      <c r="Y237" s="284">
        <v>44835</v>
      </c>
      <c r="Z237" s="285">
        <f t="shared" si="25"/>
        <v>2022</v>
      </c>
      <c r="AA237" s="6">
        <f t="shared" si="26"/>
        <v>10</v>
      </c>
      <c r="AB237" s="314">
        <f t="shared" si="27"/>
        <v>2022</v>
      </c>
      <c r="AC237" s="314">
        <f t="shared" si="28"/>
        <v>2021</v>
      </c>
      <c r="AD237" s="298">
        <f t="shared" si="29"/>
        <v>167.79717172426737</v>
      </c>
      <c r="AE237" s="298">
        <f t="shared" si="32"/>
        <v>161.03375405399939</v>
      </c>
      <c r="AF237" s="290">
        <f t="shared" si="30"/>
        <v>166.65052387209619</v>
      </c>
      <c r="AG237" s="296">
        <f t="shared" si="31"/>
        <v>4.1999999999999815E-2</v>
      </c>
      <c r="AH237" s="284"/>
    </row>
    <row r="238" spans="25:34" x14ac:dyDescent="0.25">
      <c r="Y238" s="284">
        <v>44866</v>
      </c>
      <c r="Z238" s="285">
        <f t="shared" si="25"/>
        <v>2022</v>
      </c>
      <c r="AA238" s="6">
        <f t="shared" si="26"/>
        <v>11</v>
      </c>
      <c r="AB238" s="314">
        <f t="shared" si="27"/>
        <v>2022</v>
      </c>
      <c r="AC238" s="314">
        <f t="shared" si="28"/>
        <v>2021</v>
      </c>
      <c r="AD238" s="298">
        <f t="shared" si="29"/>
        <v>167.79717172426737</v>
      </c>
      <c r="AE238" s="298">
        <f t="shared" si="32"/>
        <v>161.03375405399939</v>
      </c>
      <c r="AF238" s="290">
        <f t="shared" si="30"/>
        <v>167.22286497995796</v>
      </c>
      <c r="AG238" s="296">
        <f t="shared" si="31"/>
        <v>4.1999999999999815E-2</v>
      </c>
      <c r="AH238" s="284"/>
    </row>
    <row r="239" spans="25:34" x14ac:dyDescent="0.25">
      <c r="Y239" s="284">
        <v>44896</v>
      </c>
      <c r="Z239" s="285">
        <f t="shared" si="25"/>
        <v>2022</v>
      </c>
      <c r="AA239" s="6">
        <f t="shared" si="26"/>
        <v>12</v>
      </c>
      <c r="AB239" s="314">
        <f t="shared" si="27"/>
        <v>2022</v>
      </c>
      <c r="AC239" s="314">
        <f t="shared" si="28"/>
        <v>2021</v>
      </c>
      <c r="AD239" s="298">
        <f t="shared" si="29"/>
        <v>167.79717172426737</v>
      </c>
      <c r="AE239" s="298">
        <f t="shared" si="32"/>
        <v>161.03375405399939</v>
      </c>
      <c r="AF239" s="290">
        <f t="shared" si="30"/>
        <v>167.79717172426737</v>
      </c>
      <c r="AG239" s="296">
        <f t="shared" si="31"/>
        <v>4.1999999999994264E-2</v>
      </c>
      <c r="AH239" s="284"/>
    </row>
  </sheetData>
  <dataValidations count="1">
    <dataValidation type="list" allowBlank="1" showInputMessage="1" showErrorMessage="1" sqref="AP12">
      <formula1>GDP_Used</formula1>
    </dataValidation>
  </dataValidations>
  <hyperlinks>
    <hyperlink ref="C27" r:id="rId1" location=":~:text=Ontario's%20real%20gross%20domestic%20product,below%20the%202019%20Q4%20level."/>
  </hyperlinks>
  <pageMargins left="0.7" right="0.7" top="0.75" bottom="0.75" header="0.3" footer="0.3"/>
  <pageSetup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5:R146"/>
  <sheetViews>
    <sheetView topLeftCell="A13" workbookViewId="0">
      <selection activeCell="C5" sqref="C5:H10"/>
    </sheetView>
  </sheetViews>
  <sheetFormatPr defaultRowHeight="13.2" x14ac:dyDescent="0.25"/>
  <cols>
    <col min="4" max="4" width="12.21875" bestFit="1" customWidth="1"/>
    <col min="5" max="5" width="12.5546875" bestFit="1" customWidth="1"/>
    <col min="6" max="6" width="12.44140625" bestFit="1" customWidth="1"/>
    <col min="7" max="7" width="12.5546875" bestFit="1" customWidth="1"/>
  </cols>
  <sheetData>
    <row r="5" spans="3:8" ht="21" x14ac:dyDescent="0.4">
      <c r="C5" s="321" t="s">
        <v>239</v>
      </c>
      <c r="D5" s="321"/>
      <c r="E5" s="321"/>
      <c r="F5" s="321"/>
      <c r="G5" s="321"/>
      <c r="H5" s="321"/>
    </row>
    <row r="6" spans="3:8" ht="14.4" x14ac:dyDescent="0.3">
      <c r="C6" s="329"/>
      <c r="D6" s="328" t="s">
        <v>233</v>
      </c>
      <c r="E6" s="328" t="s">
        <v>224</v>
      </c>
      <c r="F6" s="328" t="s">
        <v>240</v>
      </c>
      <c r="G6" s="328" t="s">
        <v>241</v>
      </c>
      <c r="H6" s="327"/>
    </row>
    <row r="7" spans="3:8" ht="14.4" x14ac:dyDescent="0.3">
      <c r="C7" s="320"/>
      <c r="D7" s="326" t="s">
        <v>246</v>
      </c>
      <c r="E7" s="326" t="s">
        <v>242</v>
      </c>
      <c r="F7" s="326" t="s">
        <v>243</v>
      </c>
      <c r="G7" s="326" t="s">
        <v>244</v>
      </c>
      <c r="H7" s="331" t="s">
        <v>11</v>
      </c>
    </row>
    <row r="8" spans="3:8" ht="14.4" x14ac:dyDescent="0.3">
      <c r="C8" s="317">
        <v>2020</v>
      </c>
      <c r="D8" s="324">
        <v>-5.6000000000000001E-2</v>
      </c>
      <c r="E8" s="318">
        <v>-6.2E-2</v>
      </c>
      <c r="F8" s="324">
        <v>-5.5E-2</v>
      </c>
      <c r="G8" s="318">
        <v>-0.06</v>
      </c>
      <c r="H8" s="330">
        <f>AVERAGE(D8:G8)</f>
        <v>-5.8249999999999996E-2</v>
      </c>
    </row>
    <row r="9" spans="3:8" ht="14.4" x14ac:dyDescent="0.3">
      <c r="C9" s="317">
        <v>2021</v>
      </c>
      <c r="D9" s="324">
        <v>5.5E-2</v>
      </c>
      <c r="E9" s="318">
        <v>5.6000000000000001E-2</v>
      </c>
      <c r="F9" s="318">
        <v>3.5999999999999997E-2</v>
      </c>
      <c r="G9" s="318">
        <v>4.4999999999999998E-2</v>
      </c>
      <c r="H9" s="330">
        <f>AVERAGE(D9:G9)</f>
        <v>4.8000000000000001E-2</v>
      </c>
    </row>
    <row r="10" spans="3:8" ht="14.4" x14ac:dyDescent="0.3">
      <c r="C10" s="317">
        <v>2022</v>
      </c>
      <c r="D10" s="324">
        <v>0.05</v>
      </c>
      <c r="E10" s="318">
        <v>4.1000000000000002E-2</v>
      </c>
      <c r="F10" s="318">
        <v>4.2000000000000003E-2</v>
      </c>
      <c r="G10" s="318">
        <v>3.6999999999999998E-2</v>
      </c>
      <c r="H10" s="330">
        <f>AVERAGE(D10:G10)</f>
        <v>4.2500000000000003E-2</v>
      </c>
    </row>
    <row r="11" spans="3:8" ht="21" x14ac:dyDescent="0.4">
      <c r="C11" s="321" t="s">
        <v>245</v>
      </c>
      <c r="D11" s="321"/>
      <c r="E11" s="321"/>
      <c r="F11" s="321"/>
      <c r="G11" s="321"/>
      <c r="H11" s="321"/>
    </row>
    <row r="12" spans="3:8" ht="14.4" x14ac:dyDescent="0.3">
      <c r="C12" s="329"/>
      <c r="D12" s="328" t="s">
        <v>233</v>
      </c>
      <c r="E12" s="328" t="s">
        <v>224</v>
      </c>
      <c r="F12" s="328" t="s">
        <v>240</v>
      </c>
      <c r="G12" s="328" t="s">
        <v>241</v>
      </c>
      <c r="H12" s="327"/>
    </row>
    <row r="13" spans="3:8" ht="14.4" x14ac:dyDescent="0.3">
      <c r="C13" s="320"/>
      <c r="D13" s="326" t="s">
        <v>246</v>
      </c>
      <c r="E13" s="326" t="s">
        <v>242</v>
      </c>
      <c r="F13" s="326" t="s">
        <v>243</v>
      </c>
      <c r="G13" s="326" t="s">
        <v>244</v>
      </c>
      <c r="H13" s="331" t="s">
        <v>11</v>
      </c>
    </row>
    <row r="14" spans="3:8" ht="14.4" x14ac:dyDescent="0.3">
      <c r="C14" s="317">
        <v>2020</v>
      </c>
      <c r="D14" s="324">
        <v>9.5000000000000001E-2</v>
      </c>
      <c r="E14" s="318">
        <v>9.6000000000000002E-2</v>
      </c>
      <c r="F14" s="324">
        <v>9.5000000000000001E-2</v>
      </c>
      <c r="G14" s="318">
        <v>9.6000000000000002E-2</v>
      </c>
      <c r="H14" s="330">
        <f>AVERAGE(D14:G14)</f>
        <v>9.5500000000000002E-2</v>
      </c>
    </row>
    <row r="15" spans="3:8" ht="14.4" x14ac:dyDescent="0.3">
      <c r="C15" s="317">
        <v>2021</v>
      </c>
      <c r="D15" s="324">
        <v>7.6999999999999999E-2</v>
      </c>
      <c r="E15" s="318">
        <v>7.4999999999999997E-2</v>
      </c>
      <c r="F15" s="318">
        <v>0.09</v>
      </c>
      <c r="G15" s="318">
        <v>8.199999999999999E-2</v>
      </c>
      <c r="H15" s="330">
        <f>AVERAGE(D15:G15)</f>
        <v>8.0999999999999989E-2</v>
      </c>
    </row>
    <row r="16" spans="3:8" ht="14.4" x14ac:dyDescent="0.3">
      <c r="C16" s="317">
        <v>2022</v>
      </c>
      <c r="D16" s="324">
        <v>0.06</v>
      </c>
      <c r="E16" s="318">
        <v>5.6000000000000001E-2</v>
      </c>
      <c r="F16" s="318">
        <v>7.6999999999999999E-2</v>
      </c>
      <c r="G16" s="318">
        <v>7.2999999999999995E-2</v>
      </c>
      <c r="H16" s="330">
        <f>AVERAGE(D16:G16)</f>
        <v>6.6500000000000004E-2</v>
      </c>
    </row>
    <row r="20" spans="1:17" ht="24.6" x14ac:dyDescent="0.4">
      <c r="A20" s="316" t="s">
        <v>228</v>
      </c>
      <c r="B20" s="316"/>
      <c r="C20" s="316"/>
      <c r="D20" s="316"/>
      <c r="E20" s="316"/>
      <c r="F20" s="316"/>
      <c r="G20" s="316"/>
      <c r="H20" s="316"/>
      <c r="I20" s="316"/>
      <c r="J20" s="316"/>
      <c r="K20" s="316"/>
      <c r="L20" s="316"/>
      <c r="M20" s="316"/>
      <c r="N20" s="316"/>
      <c r="O20" s="316"/>
      <c r="P20" s="316"/>
      <c r="Q20" s="316"/>
    </row>
    <row r="21" spans="1:17" x14ac:dyDescent="0.25">
      <c r="B21" s="283" t="s">
        <v>229</v>
      </c>
    </row>
    <row r="42" spans="1:18" ht="24.6" x14ac:dyDescent="0.4">
      <c r="A42" s="316" t="s">
        <v>230</v>
      </c>
      <c r="B42" s="291"/>
      <c r="C42" s="291"/>
      <c r="D42" s="291"/>
      <c r="E42" s="291"/>
      <c r="F42" s="291"/>
      <c r="G42" s="291"/>
      <c r="H42" s="291"/>
      <c r="I42" s="291"/>
      <c r="J42" s="291"/>
      <c r="K42" s="291"/>
      <c r="L42" s="291"/>
      <c r="M42" s="291"/>
      <c r="N42" s="291"/>
      <c r="O42" s="291"/>
      <c r="P42" s="291"/>
      <c r="Q42" s="291"/>
      <c r="R42" s="291"/>
    </row>
    <row r="43" spans="1:18" x14ac:dyDescent="0.25">
      <c r="B43" s="283" t="s">
        <v>231</v>
      </c>
    </row>
    <row r="81" spans="2:2" x14ac:dyDescent="0.25">
      <c r="B81" s="283" t="s">
        <v>232</v>
      </c>
    </row>
    <row r="99" spans="2:12" x14ac:dyDescent="0.25">
      <c r="B99" t="s">
        <v>236</v>
      </c>
    </row>
    <row r="100" spans="2:12" x14ac:dyDescent="0.25">
      <c r="B100" s="283" t="s">
        <v>235</v>
      </c>
    </row>
    <row r="101" spans="2:12" x14ac:dyDescent="0.25">
      <c r="C101" s="178" t="s">
        <v>234</v>
      </c>
    </row>
    <row r="102" spans="2:12" x14ac:dyDescent="0.25">
      <c r="B102">
        <v>2020</v>
      </c>
      <c r="C102" s="293">
        <v>-5.5E-2</v>
      </c>
    </row>
    <row r="103" spans="2:12" x14ac:dyDescent="0.25">
      <c r="B103">
        <v>2021</v>
      </c>
      <c r="C103" s="293">
        <v>5.5E-2</v>
      </c>
    </row>
    <row r="104" spans="2:12" x14ac:dyDescent="0.25">
      <c r="B104">
        <v>2020</v>
      </c>
      <c r="C104" s="315">
        <v>0.05</v>
      </c>
    </row>
    <row r="109" spans="2:12" x14ac:dyDescent="0.25">
      <c r="B109" s="283" t="s">
        <v>237</v>
      </c>
      <c r="L109" s="283" t="s">
        <v>261</v>
      </c>
    </row>
    <row r="146" spans="2:2" x14ac:dyDescent="0.25">
      <c r="B146" s="283" t="s">
        <v>238</v>
      </c>
    </row>
  </sheetData>
  <hyperlinks>
    <hyperlink ref="B43" r:id="rId1"/>
    <hyperlink ref="B81" r:id="rId2" display="TD, Provincial Economic Forecast,  Dec 15, 2020"/>
    <hyperlink ref="B100" r:id="rId3"/>
    <hyperlink ref="B109" r:id="rId4" display="National Bank of Canada Financial Markets, Monthly Economic Monitor, Jan 2021, (Access Data Jan 21, 2020)"/>
    <hyperlink ref="B146" r:id="rId5"/>
    <hyperlink ref="B21" r:id="rId6"/>
    <hyperlink ref="L109" r:id="rId7"/>
  </hyperlinks>
  <pageMargins left="0.7" right="0.7" top="0.75" bottom="0.75" header="0.3" footer="0.3"/>
  <pageSetup orientation="portrait" r:id="rId8"/>
  <ignoredErrors>
    <ignoredError sqref="H14:H16 H8:H10" formulaRange="1"/>
  </ignoredErrors>
  <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4:E29"/>
  <sheetViews>
    <sheetView topLeftCell="A7" workbookViewId="0">
      <selection activeCell="I16" sqref="I16"/>
    </sheetView>
  </sheetViews>
  <sheetFormatPr defaultRowHeight="13.2" x14ac:dyDescent="0.25"/>
  <cols>
    <col min="1" max="1" width="14.21875" customWidth="1"/>
    <col min="2" max="2" width="13.44140625" customWidth="1"/>
    <col min="3" max="3" width="12" customWidth="1"/>
    <col min="4" max="4" width="11.5546875" customWidth="1"/>
    <col min="5" max="5" width="15" bestFit="1" customWidth="1"/>
  </cols>
  <sheetData>
    <row r="4" spans="1:5" x14ac:dyDescent="0.25">
      <c r="A4" t="s">
        <v>149</v>
      </c>
      <c r="B4" t="s">
        <v>150</v>
      </c>
    </row>
    <row r="5" spans="1:5" x14ac:dyDescent="0.25">
      <c r="B5" t="s">
        <v>151</v>
      </c>
    </row>
    <row r="6" spans="1:5" x14ac:dyDescent="0.25">
      <c r="B6" t="s">
        <v>218</v>
      </c>
    </row>
    <row r="8" spans="1:5" ht="26.4" x14ac:dyDescent="0.25">
      <c r="A8" t="s">
        <v>148</v>
      </c>
      <c r="B8" t="s">
        <v>152</v>
      </c>
      <c r="C8" s="69" t="s">
        <v>153</v>
      </c>
      <c r="D8" s="198" t="s">
        <v>160</v>
      </c>
      <c r="E8" s="178" t="s">
        <v>158</v>
      </c>
    </row>
    <row r="9" spans="1:5" x14ac:dyDescent="0.25">
      <c r="A9">
        <v>2006</v>
      </c>
      <c r="B9" s="176">
        <v>24679.71</v>
      </c>
      <c r="E9" s="176"/>
    </row>
    <row r="10" spans="1:5" x14ac:dyDescent="0.25">
      <c r="A10">
        <v>2007</v>
      </c>
      <c r="B10" s="176">
        <v>23111.48</v>
      </c>
      <c r="E10" s="176"/>
    </row>
    <row r="11" spans="1:5" x14ac:dyDescent="0.25">
      <c r="A11">
        <v>2008</v>
      </c>
      <c r="B11" s="176">
        <v>136273.84999999998</v>
      </c>
      <c r="E11" s="176"/>
    </row>
    <row r="12" spans="1:5" x14ac:dyDescent="0.25">
      <c r="A12">
        <v>2009</v>
      </c>
      <c r="B12" s="176">
        <v>215796.66</v>
      </c>
      <c r="E12" s="176"/>
    </row>
    <row r="13" spans="1:5" x14ac:dyDescent="0.25">
      <c r="A13" s="28">
        <v>2010</v>
      </c>
      <c r="B13" s="236">
        <v>158115.16</v>
      </c>
      <c r="C13" s="28">
        <v>3</v>
      </c>
      <c r="D13" s="28"/>
      <c r="E13" s="236"/>
    </row>
    <row r="14" spans="1:5" x14ac:dyDescent="0.25">
      <c r="A14" s="203">
        <v>2011</v>
      </c>
      <c r="B14" s="204">
        <v>156839.26</v>
      </c>
      <c r="C14" s="203">
        <v>3</v>
      </c>
      <c r="E14" s="204"/>
    </row>
    <row r="15" spans="1:5" x14ac:dyDescent="0.25">
      <c r="A15" s="203">
        <v>2012</v>
      </c>
      <c r="B15" s="204">
        <v>153310.46</v>
      </c>
      <c r="C15" s="203">
        <v>3</v>
      </c>
      <c r="E15" s="204"/>
    </row>
    <row r="16" spans="1:5" x14ac:dyDescent="0.25">
      <c r="A16" s="203">
        <v>2013</v>
      </c>
      <c r="B16" s="204">
        <v>159285.71000000002</v>
      </c>
      <c r="C16" s="203">
        <v>3</v>
      </c>
      <c r="E16" s="204"/>
    </row>
    <row r="17" spans="1:5" x14ac:dyDescent="0.25">
      <c r="A17" s="203">
        <v>2014</v>
      </c>
      <c r="B17" s="204">
        <v>164324.43999999997</v>
      </c>
      <c r="C17" s="203">
        <v>3</v>
      </c>
      <c r="E17" s="204"/>
    </row>
    <row r="18" spans="1:5" x14ac:dyDescent="0.25">
      <c r="A18" s="203">
        <v>2015</v>
      </c>
      <c r="B18" s="204">
        <v>142203.42000000001</v>
      </c>
      <c r="C18" s="203">
        <v>3</v>
      </c>
      <c r="E18" s="204"/>
    </row>
    <row r="19" spans="1:5" x14ac:dyDescent="0.25">
      <c r="A19" s="203">
        <v>2016</v>
      </c>
      <c r="B19" s="204">
        <v>136187.20000000001</v>
      </c>
      <c r="C19" s="203">
        <v>2</v>
      </c>
      <c r="E19" s="204">
        <v>65359955</v>
      </c>
    </row>
    <row r="20" spans="1:5" x14ac:dyDescent="0.25">
      <c r="A20" s="203">
        <v>2017</v>
      </c>
      <c r="B20" s="204">
        <v>107291</v>
      </c>
      <c r="C20" s="203">
        <v>2</v>
      </c>
      <c r="E20" s="204">
        <v>43309246</v>
      </c>
    </row>
    <row r="21" spans="1:5" x14ac:dyDescent="0.25">
      <c r="A21" s="203">
        <v>2018</v>
      </c>
      <c r="B21" s="204">
        <v>95218.6</v>
      </c>
      <c r="C21" s="203">
        <v>2</v>
      </c>
      <c r="E21" s="204">
        <v>41227723</v>
      </c>
    </row>
    <row r="22" spans="1:5" x14ac:dyDescent="0.25">
      <c r="A22" s="203">
        <v>2019</v>
      </c>
      <c r="B22" s="204">
        <v>97683.05</v>
      </c>
      <c r="C22" s="203">
        <v>2</v>
      </c>
      <c r="E22" s="204">
        <v>41261684.090000004</v>
      </c>
    </row>
    <row r="23" spans="1:5" x14ac:dyDescent="0.25">
      <c r="A23" s="203">
        <v>2020</v>
      </c>
      <c r="B23" s="204">
        <v>100586.92000000001</v>
      </c>
      <c r="C23" s="203">
        <v>2</v>
      </c>
      <c r="E23" s="204">
        <v>43029561.790000007</v>
      </c>
    </row>
    <row r="24" spans="1:5" x14ac:dyDescent="0.25">
      <c r="A24" s="178" t="s">
        <v>191</v>
      </c>
      <c r="B24" s="177">
        <f>B23*1.01</f>
        <v>101592.78920000001</v>
      </c>
      <c r="C24" s="205">
        <v>2</v>
      </c>
      <c r="E24" s="354">
        <f>E23*1.01</f>
        <v>43459857.407900006</v>
      </c>
    </row>
    <row r="25" spans="1:5" x14ac:dyDescent="0.25">
      <c r="A25" s="198" t="s">
        <v>204</v>
      </c>
      <c r="B25" s="177">
        <f>B24*1.01</f>
        <v>102608.71709200002</v>
      </c>
      <c r="C25" s="205">
        <v>2</v>
      </c>
      <c r="E25" s="354">
        <f>E24*1.01</f>
        <v>43894455.981979005</v>
      </c>
    </row>
    <row r="27" spans="1:5" x14ac:dyDescent="0.25">
      <c r="A27" s="237" t="s">
        <v>171</v>
      </c>
      <c r="B27" s="176"/>
      <c r="C27" s="176"/>
      <c r="E27" s="176"/>
    </row>
    <row r="28" spans="1:5" x14ac:dyDescent="0.25">
      <c r="A28" s="178"/>
    </row>
    <row r="29" spans="1:5" x14ac:dyDescent="0.25">
      <c r="A29" s="178" t="s">
        <v>332</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enableFormatConditionsCalculation="0">
    <tabColor rgb="FF00B050"/>
    <pageSetUpPr fitToPage="1"/>
  </sheetPr>
  <dimension ref="A1:S92"/>
  <sheetViews>
    <sheetView topLeftCell="A81" zoomScaleNormal="100" workbookViewId="0">
      <selection activeCell="H56" sqref="H56"/>
    </sheetView>
  </sheetViews>
  <sheetFormatPr defaultRowHeight="13.2" x14ac:dyDescent="0.25"/>
  <cols>
    <col min="1" max="1" width="11" customWidth="1"/>
    <col min="2" max="3" width="18" style="1" customWidth="1"/>
    <col min="4" max="4" width="11.21875" style="1" bestFit="1" customWidth="1"/>
    <col min="5" max="5" width="13.21875" style="1" customWidth="1"/>
    <col min="6" max="6" width="10.77734375" style="1" customWidth="1"/>
    <col min="7" max="7" width="18.77734375" style="6" customWidth="1"/>
    <col min="8" max="8" width="15" style="6" customWidth="1"/>
    <col min="9" max="10" width="14.21875" style="6" bestFit="1" customWidth="1"/>
    <col min="11" max="11" width="14.21875" style="6" customWidth="1"/>
    <col min="12" max="12" width="14.5546875" style="6" customWidth="1"/>
    <col min="13" max="13" width="12.5546875" style="6" customWidth="1"/>
    <col min="14" max="14" width="12.5546875" style="6" bestFit="1" customWidth="1"/>
    <col min="15" max="15" width="11.21875" style="6" bestFit="1" customWidth="1"/>
    <col min="16" max="16" width="11.5546875" style="6" bestFit="1" customWidth="1"/>
    <col min="17" max="17" width="10.5546875" style="6" bestFit="1" customWidth="1"/>
    <col min="18" max="18" width="9.21875" style="6" customWidth="1"/>
    <col min="19" max="19" width="11.21875" style="6" bestFit="1" customWidth="1"/>
  </cols>
  <sheetData>
    <row r="1" spans="1:19" x14ac:dyDescent="0.25">
      <c r="H1" s="6" t="s">
        <v>199</v>
      </c>
    </row>
    <row r="2" spans="1:19" ht="42" customHeight="1" x14ac:dyDescent="0.25">
      <c r="B2" s="2" t="s">
        <v>7</v>
      </c>
      <c r="C2" s="2" t="s">
        <v>8</v>
      </c>
      <c r="D2" s="2" t="s">
        <v>39</v>
      </c>
      <c r="E2" s="2" t="s">
        <v>9</v>
      </c>
      <c r="F2" s="2" t="s">
        <v>1</v>
      </c>
      <c r="G2" s="7" t="s">
        <v>2</v>
      </c>
      <c r="H2" s="38" t="s">
        <v>57</v>
      </c>
      <c r="I2" s="39" t="s">
        <v>58</v>
      </c>
      <c r="J2" s="174" t="s">
        <v>169</v>
      </c>
      <c r="K2" s="39" t="s">
        <v>64</v>
      </c>
      <c r="L2" s="39" t="s">
        <v>60</v>
      </c>
      <c r="M2" s="40" t="s">
        <v>59</v>
      </c>
    </row>
    <row r="4" spans="1:19" x14ac:dyDescent="0.25">
      <c r="A4" s="15"/>
      <c r="B4" s="34" t="s">
        <v>41</v>
      </c>
      <c r="G4" s="369"/>
    </row>
    <row r="5" spans="1:19" x14ac:dyDescent="0.25">
      <c r="B5"/>
      <c r="C5"/>
      <c r="D5"/>
      <c r="E5"/>
      <c r="F5"/>
      <c r="G5"/>
      <c r="H5"/>
      <c r="I5"/>
      <c r="J5"/>
      <c r="K5"/>
      <c r="L5"/>
      <c r="M5"/>
      <c r="N5"/>
      <c r="O5"/>
      <c r="P5"/>
      <c r="Q5"/>
      <c r="R5"/>
      <c r="S5"/>
    </row>
    <row r="7" spans="1:19" s="28" customFormat="1" x14ac:dyDescent="0.25">
      <c r="A7" s="28">
        <v>2010</v>
      </c>
      <c r="B7" s="24">
        <f>GETPIVOTDATA("Sum of Purchased2",'Purch. Power Model '!$D$5,"Year",A7)</f>
        <v>950759112.65007687</v>
      </c>
      <c r="C7" s="24">
        <f>GETPIVOTDATA("Sum of Predicted Purchases ",'Purch. Power Model '!$D$5,"Year",A7)</f>
        <v>960319810.41915989</v>
      </c>
      <c r="D7" s="58">
        <f>C7-B7</f>
        <v>9560697.7690830231</v>
      </c>
      <c r="E7" s="252">
        <f t="shared" ref="E7:E17" si="0">D7/B7</f>
        <v>1.0055857095530989E-2</v>
      </c>
      <c r="F7" s="43">
        <f>1 +(B7-G7)/G7</f>
        <v>1.0366229412525825</v>
      </c>
      <c r="G7" s="253">
        <f t="shared" ref="G7:G17" si="1">SUM(H7:M7)</f>
        <v>917169662</v>
      </c>
      <c r="H7" s="24">
        <v>287357342</v>
      </c>
      <c r="I7" s="24">
        <v>98691975</v>
      </c>
      <c r="J7" s="24">
        <v>521725747</v>
      </c>
      <c r="K7" s="24">
        <v>480615</v>
      </c>
      <c r="L7" s="24">
        <v>7354351</v>
      </c>
      <c r="M7" s="24">
        <v>1559632</v>
      </c>
      <c r="N7" s="352">
        <f t="shared" ref="N7:N16" si="2">H7/SUM($H7:$J7)</f>
        <v>0.31655126186634269</v>
      </c>
      <c r="O7" s="352">
        <f t="shared" ref="O7:O16" si="3">I7/SUM($H7:$J7)</f>
        <v>0.10871853492551983</v>
      </c>
      <c r="P7" s="352">
        <f t="shared" ref="P7:P16" si="4">J7/SUM($H7:$J7)</f>
        <v>0.5747302032081375</v>
      </c>
      <c r="Q7" s="24"/>
      <c r="R7" s="24"/>
      <c r="S7" s="24"/>
    </row>
    <row r="8" spans="1:19" s="28" customFormat="1" x14ac:dyDescent="0.25">
      <c r="A8" s="28">
        <v>2011</v>
      </c>
      <c r="B8" s="24">
        <f>GETPIVOTDATA("Sum of Purchased2",'Purch. Power Model '!$D$5,"Year",A8)</f>
        <v>944902732.12384617</v>
      </c>
      <c r="C8" s="24">
        <f>GETPIVOTDATA("Sum of Predicted Purchases ",'Purch. Power Model '!$D$5,"Year",A8)</f>
        <v>958844382.30784512</v>
      </c>
      <c r="D8" s="58">
        <f>C8-B8</f>
        <v>13941650.183998942</v>
      </c>
      <c r="E8" s="252">
        <f t="shared" si="0"/>
        <v>1.4754587652278736E-2</v>
      </c>
      <c r="F8" s="43">
        <f>1 +(B8-G8)/G8</f>
        <v>1.0278943996713807</v>
      </c>
      <c r="G8" s="253">
        <f t="shared" si="1"/>
        <v>919260512</v>
      </c>
      <c r="H8" s="24">
        <v>291380972</v>
      </c>
      <c r="I8" s="24">
        <v>99001655</v>
      </c>
      <c r="J8" s="24">
        <v>519515098</v>
      </c>
      <c r="K8" s="24">
        <v>475427</v>
      </c>
      <c r="L8" s="24">
        <v>7330830</v>
      </c>
      <c r="M8" s="24">
        <v>1556530</v>
      </c>
      <c r="N8" s="352">
        <f t="shared" si="2"/>
        <v>0.32023486156095182</v>
      </c>
      <c r="O8" s="352">
        <f t="shared" si="3"/>
        <v>0.10880525610721799</v>
      </c>
      <c r="P8" s="352">
        <f t="shared" si="4"/>
        <v>0.57095988233183026</v>
      </c>
      <c r="Q8" s="24">
        <f>H8-H7</f>
        <v>4023630</v>
      </c>
      <c r="R8" s="24"/>
      <c r="S8" s="24"/>
    </row>
    <row r="9" spans="1:19" s="28" customFormat="1" x14ac:dyDescent="0.25">
      <c r="A9" s="28">
        <v>2012</v>
      </c>
      <c r="B9" s="24">
        <f>GETPIVOTDATA("Sum of Purchased2",'Purch. Power Model '!$D$5,"Year",A9)</f>
        <v>964379230.70517492</v>
      </c>
      <c r="C9" s="24">
        <f>GETPIVOTDATA("Sum of Predicted Purchases ",'Purch. Power Model '!$D$5,"Year",A9)</f>
        <v>950666119.44824326</v>
      </c>
      <c r="D9" s="58">
        <f>C9-B9</f>
        <v>-13713111.256931663</v>
      </c>
      <c r="E9" s="252">
        <f t="shared" si="0"/>
        <v>-1.4219625247325514E-2</v>
      </c>
      <c r="F9" s="43">
        <f>1 +(B9-G9)/G9</f>
        <v>1.0299682978725877</v>
      </c>
      <c r="G9" s="253">
        <f t="shared" si="1"/>
        <v>936319334</v>
      </c>
      <c r="H9" s="24">
        <v>287058174</v>
      </c>
      <c r="I9" s="24">
        <v>100340238</v>
      </c>
      <c r="J9" s="24">
        <v>539521215</v>
      </c>
      <c r="K9" s="24">
        <v>459394</v>
      </c>
      <c r="L9" s="24">
        <v>7395374</v>
      </c>
      <c r="M9" s="24">
        <v>1544939</v>
      </c>
      <c r="N9" s="352">
        <f t="shared" si="2"/>
        <v>0.30969046898820279</v>
      </c>
      <c r="O9" s="352">
        <f t="shared" si="3"/>
        <v>0.10825128207151449</v>
      </c>
      <c r="P9" s="352">
        <f t="shared" si="4"/>
        <v>0.58205824894028269</v>
      </c>
      <c r="Q9" s="24">
        <f t="shared" ref="Q9:Q17" si="5">H9-H8</f>
        <v>-4322798</v>
      </c>
      <c r="R9" s="24"/>
      <c r="S9" s="24"/>
    </row>
    <row r="10" spans="1:19" s="28" customFormat="1" x14ac:dyDescent="0.25">
      <c r="A10" s="28">
        <v>2013</v>
      </c>
      <c r="B10" s="24">
        <f>GETPIVOTDATA("Sum of Purchased2",'Purch. Power Model '!$D$5,"Year",A10)</f>
        <v>961335479.00000012</v>
      </c>
      <c r="C10" s="24">
        <f>GETPIVOTDATA("Sum of Predicted Purchases ",'Purch. Power Model '!$D$5,"Year",A10)</f>
        <v>927029805.31403124</v>
      </c>
      <c r="D10" s="58">
        <f>C10-B10</f>
        <v>-34305673.685968876</v>
      </c>
      <c r="E10" s="252">
        <f t="shared" si="0"/>
        <v>-3.5685433894163884E-2</v>
      </c>
      <c r="F10" s="43">
        <f>1 +(B10-G10)/G10</f>
        <v>1.0377678759158604</v>
      </c>
      <c r="G10" s="253">
        <f t="shared" si="1"/>
        <v>926349236</v>
      </c>
      <c r="H10" s="24">
        <v>282501947</v>
      </c>
      <c r="I10" s="24">
        <v>99838335</v>
      </c>
      <c r="J10" s="24">
        <v>534621114</v>
      </c>
      <c r="K10" s="24">
        <v>448778</v>
      </c>
      <c r="L10" s="24">
        <v>7386717</v>
      </c>
      <c r="M10" s="24">
        <v>1552345</v>
      </c>
      <c r="N10" s="352">
        <f t="shared" si="2"/>
        <v>0.30808488583307819</v>
      </c>
      <c r="O10" s="352">
        <f t="shared" si="3"/>
        <v>0.10887954000628397</v>
      </c>
      <c r="P10" s="352">
        <f t="shared" si="4"/>
        <v>0.58303557416063789</v>
      </c>
      <c r="Q10" s="24">
        <f t="shared" si="5"/>
        <v>-4556227</v>
      </c>
      <c r="R10" s="24"/>
      <c r="S10" s="24"/>
    </row>
    <row r="11" spans="1:19" s="28" customFormat="1" x14ac:dyDescent="0.25">
      <c r="A11" s="28">
        <v>2014</v>
      </c>
      <c r="B11" s="24">
        <f>GETPIVOTDATA("Sum of Purchased2",'Purch. Power Model '!$D$5,"Year",A11)</f>
        <v>913546785.3566668</v>
      </c>
      <c r="C11" s="24">
        <f>GETPIVOTDATA("Sum of Predicted Purchases ",'Purch. Power Model '!$D$5,"Year",A11)</f>
        <v>918015075.310835</v>
      </c>
      <c r="D11" s="58">
        <f>C11-B11</f>
        <v>4468289.9541682005</v>
      </c>
      <c r="E11" s="252">
        <f t="shared" si="0"/>
        <v>4.8911451781023909E-3</v>
      </c>
      <c r="F11" s="43">
        <f>1 +(B11-G11)/G11</f>
        <v>1.0268959286730257</v>
      </c>
      <c r="G11" s="253">
        <f t="shared" si="1"/>
        <v>889619639</v>
      </c>
      <c r="H11" s="24">
        <v>282925750</v>
      </c>
      <c r="I11" s="24">
        <v>99356580</v>
      </c>
      <c r="J11" s="24">
        <v>497985709</v>
      </c>
      <c r="K11" s="24">
        <v>445147</v>
      </c>
      <c r="L11" s="24">
        <v>7378259</v>
      </c>
      <c r="M11" s="24">
        <v>1528194</v>
      </c>
      <c r="N11" s="352">
        <f t="shared" si="2"/>
        <v>0.32140863630742361</v>
      </c>
      <c r="O11" s="352">
        <f t="shared" si="3"/>
        <v>0.11287082524644519</v>
      </c>
      <c r="P11" s="352">
        <f t="shared" si="4"/>
        <v>0.56572053844613113</v>
      </c>
      <c r="Q11" s="24">
        <f t="shared" si="5"/>
        <v>423803</v>
      </c>
      <c r="R11" s="24"/>
      <c r="S11" s="24"/>
    </row>
    <row r="12" spans="1:19" s="28" customFormat="1" x14ac:dyDescent="0.25">
      <c r="A12" s="28">
        <v>2015</v>
      </c>
      <c r="B12" s="24">
        <f>GETPIVOTDATA("Sum of Purchased2",'Purch. Power Model '!$D$5,"Year",A12)</f>
        <v>920489866.98307681</v>
      </c>
      <c r="C12" s="24">
        <f>GETPIVOTDATA("Sum of Predicted Purchases ",'Purch. Power Model '!$D$5,"Year",A12)</f>
        <v>924465660.20835423</v>
      </c>
      <c r="D12" s="58">
        <f t="shared" ref="D12:D17" si="6">C12-B12</f>
        <v>3975793.2252774239</v>
      </c>
      <c r="E12" s="252">
        <f t="shared" si="0"/>
        <v>4.3192145485622373E-3</v>
      </c>
      <c r="F12" s="43">
        <f t="shared" ref="F12:F17" si="7">1 +(B12-G12)/G12</f>
        <v>1.0172373905888383</v>
      </c>
      <c r="G12" s="253">
        <f t="shared" si="1"/>
        <v>904891892</v>
      </c>
      <c r="H12" s="24">
        <v>287594336</v>
      </c>
      <c r="I12" s="24">
        <v>100078635</v>
      </c>
      <c r="J12" s="24">
        <v>507886846</v>
      </c>
      <c r="K12" s="24">
        <v>446247</v>
      </c>
      <c r="L12" s="24">
        <v>7369714</v>
      </c>
      <c r="M12" s="24">
        <v>1516114</v>
      </c>
      <c r="N12" s="352">
        <f t="shared" si="2"/>
        <v>0.32113358654634677</v>
      </c>
      <c r="O12" s="352">
        <f t="shared" si="3"/>
        <v>0.11174980509425871</v>
      </c>
      <c r="P12" s="352">
        <f t="shared" si="4"/>
        <v>0.56711660835939448</v>
      </c>
      <c r="Q12" s="24">
        <f t="shared" si="5"/>
        <v>4668586</v>
      </c>
      <c r="R12" s="24"/>
      <c r="S12" s="24"/>
    </row>
    <row r="13" spans="1:19" x14ac:dyDescent="0.25">
      <c r="A13" s="28">
        <v>2016</v>
      </c>
      <c r="B13" s="24">
        <f>GETPIVOTDATA("Sum of Purchased2",'Purch. Power Model '!$D$5,"Year",A13)</f>
        <v>928717584.78461564</v>
      </c>
      <c r="C13" s="24">
        <f>GETPIVOTDATA("Sum of Predicted Purchases ",'Purch. Power Model '!$D$5,"Year",A13)</f>
        <v>950199934.43693376</v>
      </c>
      <c r="D13" s="58">
        <f t="shared" si="6"/>
        <v>21482349.65231812</v>
      </c>
      <c r="E13" s="252">
        <f t="shared" si="0"/>
        <v>2.3131197259821691E-2</v>
      </c>
      <c r="F13" s="43">
        <f t="shared" si="7"/>
        <v>1.0213190949791802</v>
      </c>
      <c r="G13" s="253">
        <f t="shared" si="1"/>
        <v>909331461</v>
      </c>
      <c r="H13" s="6">
        <v>291787861</v>
      </c>
      <c r="I13" s="6">
        <v>99573959</v>
      </c>
      <c r="J13" s="6">
        <v>508774431</v>
      </c>
      <c r="K13" s="6">
        <v>314139</v>
      </c>
      <c r="L13" s="6">
        <v>7368093</v>
      </c>
      <c r="M13" s="6">
        <v>1512978</v>
      </c>
      <c r="N13" s="352">
        <f t="shared" si="2"/>
        <v>0.32415965991353013</v>
      </c>
      <c r="O13" s="352">
        <f t="shared" si="3"/>
        <v>0.11062098531125596</v>
      </c>
      <c r="P13" s="352">
        <f t="shared" si="4"/>
        <v>0.5652193547752139</v>
      </c>
      <c r="Q13" s="24">
        <f t="shared" si="5"/>
        <v>4193525</v>
      </c>
    </row>
    <row r="14" spans="1:19" x14ac:dyDescent="0.25">
      <c r="A14" s="28">
        <v>2017</v>
      </c>
      <c r="B14" s="24">
        <f>GETPIVOTDATA("Sum of Purchased2",'Purch. Power Model '!$D$5,"Year",A14)</f>
        <v>914942349.02142859</v>
      </c>
      <c r="C14" s="24">
        <f>GETPIVOTDATA("Sum of Predicted Purchases ",'Purch. Power Model '!$D$5,"Year",A14)</f>
        <v>927473628.12682843</v>
      </c>
      <c r="D14" s="58">
        <f t="shared" si="6"/>
        <v>12531279.105399847</v>
      </c>
      <c r="E14" s="252">
        <f t="shared" si="0"/>
        <v>1.3696249953674793E-2</v>
      </c>
      <c r="F14" s="43">
        <f t="shared" si="7"/>
        <v>1.0254203672470938</v>
      </c>
      <c r="G14" s="253">
        <f t="shared" si="1"/>
        <v>892260753</v>
      </c>
      <c r="H14" s="6">
        <v>273448641</v>
      </c>
      <c r="I14" s="6">
        <v>96495542</v>
      </c>
      <c r="J14" s="6">
        <v>513281236</v>
      </c>
      <c r="K14" s="6">
        <v>186504</v>
      </c>
      <c r="L14" s="6">
        <v>7324649</v>
      </c>
      <c r="M14" s="6">
        <v>1524181</v>
      </c>
      <c r="N14" s="352">
        <f t="shared" si="2"/>
        <v>0.30960232248478797</v>
      </c>
      <c r="O14" s="352">
        <f t="shared" si="3"/>
        <v>0.10925358342749418</v>
      </c>
      <c r="P14" s="352">
        <f t="shared" si="4"/>
        <v>0.58114409408771783</v>
      </c>
      <c r="Q14" s="24">
        <f t="shared" si="5"/>
        <v>-18339220</v>
      </c>
    </row>
    <row r="15" spans="1:19" x14ac:dyDescent="0.25">
      <c r="A15" s="28">
        <v>2018</v>
      </c>
      <c r="B15" s="24">
        <f>GETPIVOTDATA("Sum of Purchased2",'Purch. Power Model '!$D$5,"Year",A15)</f>
        <v>965883912.18000007</v>
      </c>
      <c r="C15" s="24">
        <f>GETPIVOTDATA("Sum of Predicted Purchases ",'Purch. Power Model '!$D$5,"Year",A15)</f>
        <v>962401471.13637781</v>
      </c>
      <c r="D15" s="58">
        <f t="shared" si="6"/>
        <v>-3482441.0436222553</v>
      </c>
      <c r="E15" s="252">
        <f t="shared" si="0"/>
        <v>-3.605444712048662E-3</v>
      </c>
      <c r="F15" s="43">
        <f t="shared" si="7"/>
        <v>1.0335717587143887</v>
      </c>
      <c r="G15" s="253">
        <f t="shared" si="1"/>
        <v>934510743</v>
      </c>
      <c r="H15" s="6">
        <v>301310523</v>
      </c>
      <c r="I15" s="6">
        <v>94728588</v>
      </c>
      <c r="J15" s="6">
        <f>535922957-6330357</f>
        <v>529592600</v>
      </c>
      <c r="K15" s="6">
        <v>190023</v>
      </c>
      <c r="L15" s="6">
        <v>7191580</v>
      </c>
      <c r="M15" s="6">
        <v>1497429</v>
      </c>
      <c r="N15" s="352">
        <f t="shared" si="2"/>
        <v>0.32551879912852294</v>
      </c>
      <c r="O15" s="352">
        <f t="shared" si="3"/>
        <v>0.10233939359927569</v>
      </c>
      <c r="P15" s="352">
        <f t="shared" si="4"/>
        <v>0.57214180727220132</v>
      </c>
      <c r="Q15" s="24">
        <f t="shared" si="5"/>
        <v>27861882</v>
      </c>
    </row>
    <row r="16" spans="1:19" x14ac:dyDescent="0.25">
      <c r="A16" s="28">
        <v>2019</v>
      </c>
      <c r="B16" s="24">
        <f>GETPIVOTDATA("Sum of Purchased2",'Purch. Power Model '!$D$5,"Year",A16)</f>
        <v>959330220.76954007</v>
      </c>
      <c r="C16" s="24">
        <f>GETPIVOTDATA("Sum of Predicted Purchases ",'Purch. Power Model '!$D$5,"Year",A16)</f>
        <v>944871386.86581624</v>
      </c>
      <c r="D16" s="58">
        <f t="shared" si="6"/>
        <v>-14458833.903723836</v>
      </c>
      <c r="E16" s="252">
        <f t="shared" si="0"/>
        <v>-1.5071800711256111E-2</v>
      </c>
      <c r="F16" s="43">
        <f t="shared" si="7"/>
        <v>1.02893028556975</v>
      </c>
      <c r="G16" s="253">
        <f t="shared" si="1"/>
        <v>932356870.25999999</v>
      </c>
      <c r="H16" s="6">
        <v>292180864.93883711</v>
      </c>
      <c r="I16" s="6">
        <v>93124427.492277056</v>
      </c>
      <c r="J16" s="6">
        <v>538150482.33084905</v>
      </c>
      <c r="K16" s="6">
        <v>194957.89217390213</v>
      </c>
      <c r="L16" s="6">
        <v>7147042.3329913896</v>
      </c>
      <c r="M16" s="6">
        <v>1559095.2728715499</v>
      </c>
      <c r="N16" s="352">
        <f t="shared" si="2"/>
        <v>0.3163994128621393</v>
      </c>
      <c r="O16" s="352">
        <f t="shared" si="3"/>
        <v>0.10084340803032121</v>
      </c>
      <c r="P16" s="352">
        <f t="shared" si="4"/>
        <v>0.58275717910753944</v>
      </c>
      <c r="Q16" s="24">
        <f t="shared" si="5"/>
        <v>-9129658.061162889</v>
      </c>
    </row>
    <row r="17" spans="1:19" x14ac:dyDescent="0.25">
      <c r="A17" s="28">
        <v>2020</v>
      </c>
      <c r="B17" s="24">
        <f>GETPIVOTDATA("Sum of Purchased2",'Purch. Power Model '!$D$5,"Year",A17)</f>
        <v>961031702.85464001</v>
      </c>
      <c r="C17" s="24">
        <f>GETPIVOTDATA("Sum of Predicted Purchases ",'Purch. Power Model '!$D$5,"Year",A17)</f>
        <v>917239283.8450731</v>
      </c>
      <c r="D17" s="58">
        <f t="shared" si="6"/>
        <v>-43792419.009566903</v>
      </c>
      <c r="E17" s="252">
        <f t="shared" si="0"/>
        <v>-4.5568131498145474E-2</v>
      </c>
      <c r="F17" s="43">
        <f t="shared" si="7"/>
        <v>1.0298810757618091</v>
      </c>
      <c r="G17" s="253">
        <f t="shared" si="1"/>
        <v>933148229.9000001</v>
      </c>
      <c r="H17" s="24">
        <v>315774546.06238711</v>
      </c>
      <c r="I17" s="24">
        <v>87228067.152691096</v>
      </c>
      <c r="J17" s="24">
        <v>521485545.00903696</v>
      </c>
      <c r="K17" s="24">
        <v>187738.7264654169</v>
      </c>
      <c r="L17" s="24">
        <v>6962317.0293546142</v>
      </c>
      <c r="M17" s="24">
        <v>1510015.9200649587</v>
      </c>
      <c r="N17" s="352">
        <f>H17/SUM($H17:$J17)</f>
        <v>0.34156689109893046</v>
      </c>
      <c r="O17" s="352">
        <f>I17/SUM($H17:$J17)</f>
        <v>9.4352822561027547E-2</v>
      </c>
      <c r="P17" s="352">
        <f>J17/SUM($H17:$J17)</f>
        <v>0.56408028634004204</v>
      </c>
      <c r="Q17" s="24">
        <f t="shared" si="5"/>
        <v>23593681.123549998</v>
      </c>
    </row>
    <row r="18" spans="1:19" x14ac:dyDescent="0.25">
      <c r="A18" s="28">
        <v>2021</v>
      </c>
      <c r="B18" s="24"/>
      <c r="C18" s="24">
        <f>GETPIVOTDATA("Sum of Predicted Purchases ",'Purch. Power Model '!$D$5,"Year",A18)</f>
        <v>881577393.12093174</v>
      </c>
      <c r="G18" s="18">
        <f>C18/$F$23</f>
        <v>857658458.6916101</v>
      </c>
      <c r="N18" s="352"/>
      <c r="O18" s="352"/>
      <c r="P18" s="352"/>
      <c r="Q18" s="24"/>
    </row>
    <row r="19" spans="1:19" x14ac:dyDescent="0.25">
      <c r="A19" s="28">
        <v>2022</v>
      </c>
      <c r="B19" s="24"/>
      <c r="C19" s="24">
        <f>GETPIVOTDATA("Sum of Predicted Purchases ",'Purch. Power Model '!$D$5,"Year",A19)</f>
        <v>902766029.26516461</v>
      </c>
      <c r="G19" s="18">
        <f>C19/$F$23</f>
        <v>878272205.32241476</v>
      </c>
      <c r="N19" s="352"/>
      <c r="O19" s="352"/>
      <c r="P19" s="352"/>
      <c r="Q19" s="24"/>
    </row>
    <row r="20" spans="1:19" x14ac:dyDescent="0.25">
      <c r="B20" s="6"/>
      <c r="C20" s="6"/>
      <c r="G20" s="24"/>
    </row>
    <row r="21" spans="1:19" x14ac:dyDescent="0.25">
      <c r="B21" s="6"/>
      <c r="C21" s="6"/>
      <c r="G21" s="24"/>
    </row>
    <row r="22" spans="1:19" x14ac:dyDescent="0.25">
      <c r="I22" s="22"/>
    </row>
    <row r="23" spans="1:19" x14ac:dyDescent="0.25">
      <c r="A23" s="16" t="s">
        <v>11</v>
      </c>
      <c r="F23" s="42">
        <f>AVERAGE(F8:F17)</f>
        <v>1.0278886474993914</v>
      </c>
    </row>
    <row r="24" spans="1:19" x14ac:dyDescent="0.25">
      <c r="E24" s="15"/>
      <c r="F24" s="15" t="s">
        <v>66</v>
      </c>
      <c r="G24" s="18"/>
    </row>
    <row r="26" spans="1:19" x14ac:dyDescent="0.25">
      <c r="A26" s="19" t="s">
        <v>13</v>
      </c>
      <c r="B26" s="12"/>
    </row>
    <row r="27" spans="1:19" x14ac:dyDescent="0.25">
      <c r="C27" s="206"/>
      <c r="D27" s="206"/>
      <c r="E27" s="206"/>
    </row>
    <row r="28" spans="1:19" x14ac:dyDescent="0.25">
      <c r="A28">
        <f>A7</f>
        <v>2010</v>
      </c>
      <c r="H28" s="24">
        <f>H7/'Rate Class Customer Model'!B7</f>
        <v>8388.5258640822049</v>
      </c>
      <c r="I28" s="24">
        <f>I7/'Rate Class Customer Model'!C7</f>
        <v>36722.595348837211</v>
      </c>
      <c r="J28" s="24">
        <f>J7/'Rate Class Customer Model'!D7</f>
        <v>1251140.8800959233</v>
      </c>
      <c r="K28" s="24">
        <f>K7/'Rate Class Customer Model'!E7</f>
        <v>797.70124481327798</v>
      </c>
      <c r="L28" s="24">
        <f>L7/'Rate Class Customer Model'!F7</f>
        <v>738.90796744700094</v>
      </c>
      <c r="M28" s="24">
        <f>M7/'Rate Class Customer Model'!G7</f>
        <v>3500.8574635241303</v>
      </c>
    </row>
    <row r="29" spans="1:19" x14ac:dyDescent="0.25">
      <c r="A29">
        <f>A8</f>
        <v>2011</v>
      </c>
      <c r="H29" s="24">
        <f>H8/'Rate Class Customer Model'!B8</f>
        <v>8410.9624455156882</v>
      </c>
      <c r="I29" s="24">
        <f>I8/'Rate Class Customer Model'!C8</f>
        <v>36545.461424880028</v>
      </c>
      <c r="J29" s="24">
        <f>J8/'Rate Class Customer Model'!D8</f>
        <v>1234002.6080760094</v>
      </c>
      <c r="K29" s="24">
        <f>K8/'Rate Class Customer Model'!E8</f>
        <v>766.19983883964539</v>
      </c>
      <c r="L29" s="24">
        <f>L8/'Rate Class Customer Model'!F8</f>
        <v>733.96375650780942</v>
      </c>
      <c r="M29" s="24">
        <f>M8/'Rate Class Customer Model'!G8</f>
        <v>3493.8945005611672</v>
      </c>
    </row>
    <row r="30" spans="1:19" s="28" customFormat="1" x14ac:dyDescent="0.25">
      <c r="A30" s="28">
        <f>A9</f>
        <v>2012</v>
      </c>
      <c r="B30" s="20"/>
      <c r="C30" s="20"/>
      <c r="D30" s="20"/>
      <c r="E30" s="20"/>
      <c r="F30" s="20"/>
      <c r="G30" s="24"/>
      <c r="H30" s="24">
        <f>H9/'Rate Class Customer Model'!B9</f>
        <v>8216.216555040357</v>
      </c>
      <c r="I30" s="24">
        <f>I9/'Rate Class Customer Model'!C9</f>
        <v>36781.612170087974</v>
      </c>
      <c r="J30" s="24">
        <f>J9/'Rate Class Customer Model'!D9</f>
        <v>1287640.1312649164</v>
      </c>
      <c r="K30" s="24">
        <f>K9/'Rate Class Customer Model'!E9</f>
        <v>735.03039999999999</v>
      </c>
      <c r="L30" s="24">
        <f>L9/'Rate Class Customer Model'!F9</f>
        <v>729.75863430037498</v>
      </c>
      <c r="M30" s="24">
        <f>M9/'Rate Class Customer Model'!G9</f>
        <v>3491.387570621469</v>
      </c>
      <c r="N30" s="24"/>
      <c r="O30" s="24"/>
      <c r="P30" s="24"/>
      <c r="Q30" s="24"/>
      <c r="R30" s="24"/>
      <c r="S30" s="24"/>
    </row>
    <row r="31" spans="1:19" s="28" customFormat="1" x14ac:dyDescent="0.25">
      <c r="A31" s="28">
        <f>A10</f>
        <v>2013</v>
      </c>
      <c r="B31" s="20"/>
      <c r="C31" s="20"/>
      <c r="D31" s="20"/>
      <c r="E31" s="20"/>
      <c r="F31" s="20"/>
      <c r="G31" s="24"/>
      <c r="H31" s="24">
        <f>H10/'Rate Class Customer Model'!B10</f>
        <v>8019.8136861080748</v>
      </c>
      <c r="I31" s="24">
        <f>I10/'Rate Class Customer Model'!C10</f>
        <v>36324.662543205384</v>
      </c>
      <c r="J31" s="24">
        <f>J10/'Rate Class Customer Model'!D10</f>
        <v>1262387.5182998818</v>
      </c>
      <c r="K31" s="24">
        <f>K10/'Rate Class Customer Model'!E10</f>
        <v>718.61969575660532</v>
      </c>
      <c r="L31" s="24">
        <f>L10/'Rate Class Customer Model'!F10</f>
        <v>721.95836387626446</v>
      </c>
      <c r="M31" s="24">
        <f>M10/'Rate Class Customer Model'!G10</f>
        <v>3548.2171428571428</v>
      </c>
      <c r="N31" s="24"/>
      <c r="O31" s="24"/>
      <c r="P31" s="24"/>
      <c r="Q31" s="24"/>
      <c r="R31" s="24"/>
      <c r="S31" s="24"/>
    </row>
    <row r="32" spans="1:19" s="28" customFormat="1" x14ac:dyDescent="0.25">
      <c r="A32" s="28">
        <v>2014</v>
      </c>
      <c r="B32" s="20"/>
      <c r="C32" s="20"/>
      <c r="D32" s="20"/>
      <c r="E32" s="20"/>
      <c r="F32" s="20"/>
      <c r="G32" s="24"/>
      <c r="H32" s="24">
        <f>H11/'Rate Class Customer Model'!B11</f>
        <v>7974.4567208771387</v>
      </c>
      <c r="I32" s="24">
        <f>I11/'Rate Class Customer Model'!C11</f>
        <v>35849.388417824281</v>
      </c>
      <c r="J32" s="24">
        <f>J11/'Rate Class Customer Model'!D11</f>
        <v>1152744.6967592593</v>
      </c>
      <c r="K32" s="24">
        <f>K11/'Rate Class Customer Model'!E11</f>
        <v>716.24617860016087</v>
      </c>
      <c r="L32" s="24">
        <f>L11/'Rate Class Customer Model'!F11</f>
        <v>709.99413010007697</v>
      </c>
      <c r="M32" s="24">
        <f>M11/'Rate Class Customer Model'!G11</f>
        <v>3521.1843317972352</v>
      </c>
      <c r="N32" s="24"/>
      <c r="O32" s="24"/>
      <c r="P32" s="24"/>
      <c r="Q32" s="24"/>
      <c r="R32" s="24"/>
      <c r="S32" s="24"/>
    </row>
    <row r="33" spans="1:13" x14ac:dyDescent="0.25">
      <c r="A33">
        <v>2015</v>
      </c>
      <c r="H33" s="24">
        <f>H12/'Rate Class Customer Model'!B12</f>
        <v>8046.0597311399279</v>
      </c>
      <c r="I33" s="24">
        <f>I12/'Rate Class Customer Model'!C12</f>
        <v>35947.785560344826</v>
      </c>
      <c r="J33" s="24">
        <f>J12/'Rate Class Customer Model'!D12</f>
        <v>1160884.2194285714</v>
      </c>
      <c r="K33" s="24">
        <f>K12/'Rate Class Customer Model'!E12</f>
        <v>721.49878738884399</v>
      </c>
      <c r="L33" s="24">
        <f>L12/'Rate Class Customer Model'!F12</f>
        <v>693.19606828763585</v>
      </c>
      <c r="M33" s="24">
        <f>M12/'Rate Class Customer Model'!G12</f>
        <v>3521.7514518002322</v>
      </c>
    </row>
    <row r="34" spans="1:13" x14ac:dyDescent="0.25">
      <c r="A34">
        <v>2016</v>
      </c>
      <c r="H34" s="24">
        <f>H13/'Rate Class Customer Model'!B13</f>
        <v>8095.6048303750404</v>
      </c>
      <c r="I34" s="24">
        <f>I13/'Rate Class Customer Model'!C13</f>
        <v>35660.832303697738</v>
      </c>
      <c r="J34" s="24">
        <f>J13/'Rate Class Customer Model'!D13</f>
        <v>1125607.1482300884</v>
      </c>
      <c r="K34" s="24">
        <f>K13/'Rate Class Customer Model'!E13</f>
        <v>569.86666666666667</v>
      </c>
      <c r="L34" s="24">
        <f>L13/'Rate Class Customer Model'!F13</f>
        <v>720.34931808183023</v>
      </c>
      <c r="M34" s="24">
        <f>M13/'Rate Class Customer Model'!G13</f>
        <v>3545.3497363796132</v>
      </c>
    </row>
    <row r="35" spans="1:13" x14ac:dyDescent="0.25">
      <c r="A35">
        <v>2017</v>
      </c>
      <c r="H35" s="24">
        <f>H14/'Rate Class Customer Model'!B14</f>
        <v>7545.3361478446222</v>
      </c>
      <c r="I35" s="24">
        <f>I14/'Rate Class Customer Model'!C14</f>
        <v>34490.409078723977</v>
      </c>
      <c r="J35" s="24">
        <f>J14/'Rate Class Customer Model'!D14</f>
        <v>1123768.442255063</v>
      </c>
      <c r="K35" s="24">
        <f>K14/'Rate Class Customer Model'!E14</f>
        <v>364.6217008797654</v>
      </c>
      <c r="L35" s="24">
        <f>L14/'Rate Class Customer Model'!F14</f>
        <v>1269.6566129311839</v>
      </c>
      <c r="M35" s="24">
        <f>M14/'Rate Class Customer Model'!G14</f>
        <v>3588.4190700412005</v>
      </c>
    </row>
    <row r="36" spans="1:13" x14ac:dyDescent="0.25">
      <c r="A36">
        <v>2018</v>
      </c>
      <c r="H36" s="24">
        <f>H15/'Rate Class Customer Model'!B15</f>
        <v>8250.4490080913456</v>
      </c>
      <c r="I36" s="24">
        <f>I15/'Rate Class Customer Model'!C15</f>
        <v>33783.376604850215</v>
      </c>
      <c r="J36" s="24">
        <f>J15/'Rate Class Customer Model'!D15</f>
        <v>1095897.7754785307</v>
      </c>
      <c r="K36" s="24">
        <f>K15/'Rate Class Customer Model'!E15</f>
        <v>375.16880552813427</v>
      </c>
      <c r="L36" s="24">
        <f>L15/'Rate Class Customer Model'!F15</f>
        <v>1246.1583780973835</v>
      </c>
      <c r="M36" s="24">
        <f>M15/'Rate Class Customer Model'!G15</f>
        <v>3563.1861986912554</v>
      </c>
    </row>
    <row r="37" spans="1:13" x14ac:dyDescent="0.25">
      <c r="A37">
        <v>2019</v>
      </c>
      <c r="H37" s="24">
        <f>H16/'Rate Class Customer Model'!B16</f>
        <v>7954.287482170751</v>
      </c>
      <c r="I37" s="24">
        <f>I16/'Rate Class Customer Model'!C16</f>
        <v>32859.713300027193</v>
      </c>
      <c r="J37" s="24">
        <f>J16/'Rate Class Customer Model'!D16</f>
        <v>1101075.1556641413</v>
      </c>
      <c r="K37" s="24">
        <f>K16/'Rate Class Customer Model'!E16</f>
        <v>388.9434257833459</v>
      </c>
      <c r="L37" s="24">
        <f>L16/'Rate Class Customer Model'!F16</f>
        <v>1238.4408825145365</v>
      </c>
      <c r="M37" s="24">
        <f>M16/'Rate Class Customer Model'!G16</f>
        <v>3821.3119433126226</v>
      </c>
    </row>
    <row r="38" spans="1:13" x14ac:dyDescent="0.25">
      <c r="A38">
        <v>2020</v>
      </c>
      <c r="H38" s="24">
        <f>H17/'Rate Class Customer Model'!B17</f>
        <v>8516.8380527392583</v>
      </c>
      <c r="I38" s="24">
        <f>I17/'Rate Class Customer Model'!C17</f>
        <v>29768.131440215373</v>
      </c>
      <c r="J38" s="24">
        <f>J17/'Rate Class Customer Model'!D17</f>
        <v>1062810.2140129828</v>
      </c>
      <c r="K38" s="24">
        <f>K17/'Rate Class Customer Model'!E17</f>
        <v>379.39789787554781</v>
      </c>
      <c r="L38" s="24">
        <f>L17/'Rate Class Customer Model'!F17</f>
        <v>1206.4316460500111</v>
      </c>
      <c r="M38" s="24">
        <f>M17/'Rate Class Customer Model'!G17</f>
        <v>3692.7228532259028</v>
      </c>
    </row>
    <row r="39" spans="1:13" x14ac:dyDescent="0.25">
      <c r="A39">
        <v>2021</v>
      </c>
      <c r="H39" s="18">
        <f t="shared" ref="H39:M39" si="8">H38*H54</f>
        <v>8528.6839721054894</v>
      </c>
      <c r="I39" s="18">
        <f t="shared" si="8"/>
        <v>29097.36008224537</v>
      </c>
      <c r="J39" s="18">
        <f t="shared" si="8"/>
        <v>1045319.406095818</v>
      </c>
      <c r="K39" s="18">
        <f t="shared" si="8"/>
        <v>350.89612464574407</v>
      </c>
      <c r="L39" s="18">
        <f t="shared" si="8"/>
        <v>1274.9220176441249</v>
      </c>
      <c r="M39" s="18">
        <f t="shared" si="8"/>
        <v>3715.5018664500685</v>
      </c>
    </row>
    <row r="40" spans="1:13" x14ac:dyDescent="0.25">
      <c r="A40">
        <v>2022</v>
      </c>
      <c r="H40" s="18">
        <f t="shared" ref="H40:M40" si="9">H39*H54</f>
        <v>8540.5463677513853</v>
      </c>
      <c r="I40" s="18">
        <f t="shared" si="9"/>
        <v>28441.703351660581</v>
      </c>
      <c r="J40" s="18">
        <f t="shared" si="9"/>
        <v>1028116.44671225</v>
      </c>
      <c r="K40" s="18">
        <f t="shared" si="9"/>
        <v>324.53551003013388</v>
      </c>
      <c r="L40" s="18">
        <f t="shared" si="9"/>
        <v>1347.3006584298325</v>
      </c>
      <c r="M40" s="18">
        <f t="shared" si="9"/>
        <v>3738.4213948074002</v>
      </c>
    </row>
    <row r="42" spans="1:13" x14ac:dyDescent="0.25">
      <c r="A42" s="31">
        <v>2011</v>
      </c>
      <c r="D42" s="6"/>
      <c r="H42" s="22">
        <f t="shared" ref="H42:M51" si="10">H29/H28</f>
        <v>1.0026746751213527</v>
      </c>
      <c r="I42" s="22">
        <f t="shared" si="10"/>
        <v>0.99517643232253761</v>
      </c>
      <c r="J42" s="22">
        <f t="shared" si="10"/>
        <v>0.9863018847097379</v>
      </c>
      <c r="K42" s="22">
        <f t="shared" si="10"/>
        <v>0.960509769567921</v>
      </c>
      <c r="L42" s="22">
        <f t="shared" si="10"/>
        <v>0.99330875947071695</v>
      </c>
      <c r="M42" s="22">
        <f t="shared" si="10"/>
        <v>0.99801106927788086</v>
      </c>
    </row>
    <row r="43" spans="1:13" x14ac:dyDescent="0.25">
      <c r="A43" s="59">
        <v>2012</v>
      </c>
      <c r="D43" s="6"/>
      <c r="H43" s="22">
        <f t="shared" si="10"/>
        <v>0.97684618237962051</v>
      </c>
      <c r="I43" s="22">
        <f t="shared" si="10"/>
        <v>1.006461835095265</v>
      </c>
      <c r="J43" s="22">
        <f t="shared" si="10"/>
        <v>1.0434662964550259</v>
      </c>
      <c r="K43" s="22">
        <f t="shared" si="10"/>
        <v>0.95931943957747456</v>
      </c>
      <c r="L43" s="22">
        <f t="shared" si="10"/>
        <v>0.99427066776778961</v>
      </c>
      <c r="M43" s="22">
        <f t="shared" si="10"/>
        <v>0.9992824826452843</v>
      </c>
    </row>
    <row r="44" spans="1:13" x14ac:dyDescent="0.25">
      <c r="A44" s="59">
        <v>2013</v>
      </c>
      <c r="D44" s="6"/>
      <c r="H44" s="22">
        <f t="shared" si="10"/>
        <v>0.97609570443809734</v>
      </c>
      <c r="I44" s="22">
        <f t="shared" si="10"/>
        <v>0.98757668302385626</v>
      </c>
      <c r="J44" s="22">
        <f t="shared" si="10"/>
        <v>0.98038845454418422</v>
      </c>
      <c r="K44" s="22">
        <f t="shared" si="10"/>
        <v>0.97767343467236911</v>
      </c>
      <c r="L44" s="22">
        <f t="shared" si="10"/>
        <v>0.98931116391436913</v>
      </c>
      <c r="M44" s="22">
        <f t="shared" si="10"/>
        <v>1.0162770735377162</v>
      </c>
    </row>
    <row r="45" spans="1:13" x14ac:dyDescent="0.25">
      <c r="A45" s="59">
        <v>2014</v>
      </c>
      <c r="D45" s="6"/>
      <c r="H45" s="22">
        <f t="shared" si="10"/>
        <v>0.99434438666455516</v>
      </c>
      <c r="I45" s="22">
        <f t="shared" si="10"/>
        <v>0.98691593831557822</v>
      </c>
      <c r="J45" s="22">
        <f t="shared" si="10"/>
        <v>0.91314646259471599</v>
      </c>
      <c r="K45" s="22">
        <f t="shared" si="10"/>
        <v>0.99669711647139669</v>
      </c>
      <c r="L45" s="22">
        <f t="shared" si="10"/>
        <v>0.983428083425822</v>
      </c>
      <c r="M45" s="22">
        <f t="shared" si="10"/>
        <v>0.99238129743149261</v>
      </c>
    </row>
    <row r="46" spans="1:13" x14ac:dyDescent="0.25">
      <c r="A46" s="59">
        <v>2015</v>
      </c>
      <c r="D46" s="6"/>
      <c r="H46" s="22">
        <f t="shared" si="10"/>
        <v>1.0089790455662431</v>
      </c>
      <c r="I46" s="22">
        <f t="shared" si="10"/>
        <v>1.0027447369917091</v>
      </c>
      <c r="J46" s="22">
        <f t="shared" si="10"/>
        <v>1.0070609933771069</v>
      </c>
      <c r="K46" s="22">
        <f t="shared" si="10"/>
        <v>1.0073335243462644</v>
      </c>
      <c r="L46" s="22">
        <f t="shared" si="10"/>
        <v>0.97634056240708167</v>
      </c>
      <c r="M46" s="22">
        <f t="shared" si="10"/>
        <v>1.0001610594474921</v>
      </c>
    </row>
    <row r="47" spans="1:13" x14ac:dyDescent="0.25">
      <c r="A47" s="59">
        <v>2016</v>
      </c>
      <c r="D47" s="6"/>
      <c r="H47" s="22">
        <f t="shared" si="10"/>
        <v>1.0061576847414346</v>
      </c>
      <c r="I47" s="22">
        <f t="shared" si="10"/>
        <v>0.99201749837509778</v>
      </c>
      <c r="J47" s="22">
        <f t="shared" si="10"/>
        <v>0.96961189530524616</v>
      </c>
      <c r="K47" s="22">
        <f t="shared" si="10"/>
        <v>0.78983731730035911</v>
      </c>
      <c r="L47" s="22">
        <f t="shared" si="10"/>
        <v>1.0391710960814731</v>
      </c>
      <c r="M47" s="22">
        <f t="shared" si="10"/>
        <v>1.0067007240296069</v>
      </c>
    </row>
    <row r="48" spans="1:13" x14ac:dyDescent="0.25">
      <c r="A48" s="59">
        <v>2017</v>
      </c>
      <c r="D48" s="6"/>
      <c r="H48" s="22">
        <f t="shared" si="10"/>
        <v>0.93202871260887299</v>
      </c>
      <c r="I48" s="22">
        <f t="shared" si="10"/>
        <v>0.96717902669780376</v>
      </c>
      <c r="J48" s="22">
        <f t="shared" si="10"/>
        <v>0.99836647628089725</v>
      </c>
      <c r="K48" s="22">
        <f t="shared" si="10"/>
        <v>0.63983686396776795</v>
      </c>
      <c r="L48" s="22">
        <f t="shared" si="10"/>
        <v>1.7625568332764818</v>
      </c>
      <c r="M48" s="22">
        <f t="shared" si="10"/>
        <v>1.0121481198934039</v>
      </c>
    </row>
    <row r="49" spans="1:14" x14ac:dyDescent="0.25">
      <c r="A49" s="59">
        <v>2018</v>
      </c>
      <c r="D49" s="6"/>
      <c r="H49" s="22">
        <f t="shared" si="10"/>
        <v>1.0934501586716112</v>
      </c>
      <c r="I49" s="22">
        <f t="shared" si="10"/>
        <v>0.97950060632044211</v>
      </c>
      <c r="J49" s="22">
        <f t="shared" si="10"/>
        <v>0.97519892379198303</v>
      </c>
      <c r="K49" s="22">
        <f t="shared" si="10"/>
        <v>1.0289261572279451</v>
      </c>
      <c r="L49" s="22">
        <f t="shared" si="10"/>
        <v>0.9814924487499409</v>
      </c>
      <c r="M49" s="22">
        <f t="shared" si="10"/>
        <v>0.99296824845219223</v>
      </c>
    </row>
    <row r="50" spans="1:14" x14ac:dyDescent="0.25">
      <c r="A50" s="59">
        <v>2019</v>
      </c>
      <c r="D50" s="6"/>
      <c r="H50" s="22">
        <f t="shared" si="10"/>
        <v>0.96410358689204134</v>
      </c>
      <c r="I50" s="22">
        <f t="shared" si="10"/>
        <v>0.97265923665278586</v>
      </c>
      <c r="J50" s="22">
        <f t="shared" si="10"/>
        <v>1.0047243276713012</v>
      </c>
      <c r="K50" s="22">
        <f t="shared" si="10"/>
        <v>1.0367157931369608</v>
      </c>
      <c r="L50" s="22">
        <f t="shared" si="10"/>
        <v>0.99380697051154121</v>
      </c>
      <c r="M50" s="22">
        <f t="shared" si="10"/>
        <v>1.0724423957176799</v>
      </c>
    </row>
    <row r="51" spans="1:14" x14ac:dyDescent="0.25">
      <c r="A51" s="59">
        <v>2020</v>
      </c>
      <c r="D51" s="6"/>
      <c r="H51" s="22">
        <f t="shared" si="10"/>
        <v>1.0707229367595079</v>
      </c>
      <c r="I51" s="22">
        <f t="shared" si="10"/>
        <v>0.90591573847330975</v>
      </c>
      <c r="J51" s="22">
        <f t="shared" si="10"/>
        <v>0.96524765684311709</v>
      </c>
      <c r="K51" s="22">
        <f t="shared" si="10"/>
        <v>0.97545779855110537</v>
      </c>
      <c r="L51" s="22">
        <f t="shared" si="10"/>
        <v>0.97415360158368347</v>
      </c>
      <c r="M51" s="22">
        <f t="shared" si="10"/>
        <v>0.96634949148505045</v>
      </c>
    </row>
    <row r="52" spans="1:14" x14ac:dyDescent="0.25">
      <c r="A52" s="59"/>
      <c r="D52" s="6"/>
      <c r="H52" s="22"/>
      <c r="I52" s="22"/>
      <c r="J52" s="22"/>
      <c r="K52" s="22"/>
      <c r="L52" s="22"/>
      <c r="M52" s="22"/>
    </row>
    <row r="53" spans="1:14" x14ac:dyDescent="0.25">
      <c r="A53" s="3"/>
      <c r="D53" s="6"/>
      <c r="E53" s="6"/>
      <c r="F53" s="6"/>
    </row>
    <row r="54" spans="1:14" x14ac:dyDescent="0.25">
      <c r="A54" t="s">
        <v>15</v>
      </c>
      <c r="D54" s="6"/>
      <c r="H54" s="22">
        <f t="shared" ref="H54:M54" si="11">H56</f>
        <v>1.0013908823078326</v>
      </c>
      <c r="I54" s="22">
        <f t="shared" si="11"/>
        <v>0.97746679668768788</v>
      </c>
      <c r="J54" s="22">
        <f t="shared" si="11"/>
        <v>0.98354286806190683</v>
      </c>
      <c r="K54" s="22">
        <f t="shared" si="11"/>
        <v>0.92487630166271229</v>
      </c>
      <c r="L54" s="22">
        <f t="shared" si="11"/>
        <v>1.0567710336663987</v>
      </c>
      <c r="M54" s="22">
        <f t="shared" si="11"/>
        <v>1.0061686224852391</v>
      </c>
    </row>
    <row r="55" spans="1:14" x14ac:dyDescent="0.25">
      <c r="A55" s="3"/>
      <c r="D55" s="6"/>
      <c r="H55" s="12"/>
      <c r="I55" s="12"/>
      <c r="L55" s="10"/>
      <c r="M55" s="10"/>
    </row>
    <row r="56" spans="1:14" x14ac:dyDescent="0.25">
      <c r="A56" t="s">
        <v>12</v>
      </c>
      <c r="D56" s="6"/>
      <c r="H56" s="22">
        <f>GEOMEAN(H43:H51)</f>
        <v>1.0013908823078326</v>
      </c>
      <c r="I56" s="22">
        <f t="shared" ref="I56:M56" si="12">GEOMEAN(I43:I51)</f>
        <v>0.97746679668768788</v>
      </c>
      <c r="J56" s="22">
        <f t="shared" si="12"/>
        <v>0.98354286806190683</v>
      </c>
      <c r="K56" s="22">
        <f t="shared" si="12"/>
        <v>0.92487630166271229</v>
      </c>
      <c r="L56" s="22">
        <f t="shared" si="12"/>
        <v>1.0567710336663987</v>
      </c>
      <c r="M56" s="22">
        <f t="shared" si="12"/>
        <v>1.0061686224852391</v>
      </c>
    </row>
    <row r="57" spans="1:14" x14ac:dyDescent="0.25">
      <c r="D57" s="6"/>
      <c r="H57" s="22"/>
      <c r="I57" s="22"/>
      <c r="J57" s="22"/>
      <c r="K57" s="22"/>
      <c r="L57" s="22"/>
      <c r="M57" s="22"/>
    </row>
    <row r="58" spans="1:14" x14ac:dyDescent="0.25">
      <c r="A58" s="16" t="s">
        <v>43</v>
      </c>
    </row>
    <row r="59" spans="1:14" x14ac:dyDescent="0.25">
      <c r="A59">
        <v>2021</v>
      </c>
      <c r="B59"/>
      <c r="C59"/>
      <c r="G59" s="30">
        <f>SUM(H59:M59)</f>
        <v>935078335.10817885</v>
      </c>
      <c r="H59" s="30">
        <f>H39*'Rate Class Customer Model'!B18</f>
        <v>318725609.53526515</v>
      </c>
      <c r="I59" s="30">
        <f>'Rate Class Customer Model'!C18*I39</f>
        <v>86003055.94591032</v>
      </c>
      <c r="J59" s="30">
        <f>'Rate Class Customer Model'!D18*J39</f>
        <v>521315476.69359136</v>
      </c>
      <c r="K59" s="30">
        <f>'Rate Class Customer Model'!E18*K39</f>
        <v>170250.23052332981</v>
      </c>
      <c r="L59" s="30">
        <f>'Rate Class Customer Model'!F18*L39</f>
        <v>7357574.9638242451</v>
      </c>
      <c r="M59" s="30">
        <f>'Rate Class Customer Model'!G18*M39</f>
        <v>1506367.7390644536</v>
      </c>
      <c r="N59" s="30"/>
    </row>
    <row r="60" spans="1:14" x14ac:dyDescent="0.25">
      <c r="A60">
        <v>2022</v>
      </c>
      <c r="G60" s="30">
        <f>SUM(H60:M60)</f>
        <v>937077355.78031194</v>
      </c>
      <c r="H60" s="30">
        <f>H40*'Rate Class Customer Model'!B19</f>
        <v>321704252.10129535</v>
      </c>
      <c r="I60" s="30">
        <f>I40*'Rate Class Customer Model'!C19</f>
        <v>84795248.518895879</v>
      </c>
      <c r="J60" s="30">
        <f>J40*'Rate Class Customer Model'!D19</f>
        <v>521145463.84129751</v>
      </c>
      <c r="K60" s="30">
        <f>K40*'Rate Class Customer Model'!E19</f>
        <v>154390.84699760258</v>
      </c>
      <c r="L60" s="30">
        <f>L40*'Rate Class Customer Model'!F19</f>
        <v>7775272.0997985639</v>
      </c>
      <c r="M60" s="30">
        <f>M40*'Rate Class Customer Model'!G19</f>
        <v>1502728.3720270565</v>
      </c>
      <c r="N60" s="30"/>
    </row>
    <row r="61" spans="1:14" x14ac:dyDescent="0.25">
      <c r="G61" s="30"/>
      <c r="H61" s="30"/>
      <c r="I61" s="30"/>
      <c r="J61" s="30"/>
      <c r="K61" s="30"/>
      <c r="L61" s="30"/>
      <c r="M61" s="30"/>
      <c r="N61" s="30"/>
    </row>
    <row r="62" spans="1:14" x14ac:dyDescent="0.25">
      <c r="A62" s="16" t="s">
        <v>42</v>
      </c>
      <c r="G62" s="30"/>
      <c r="H62" s="30"/>
      <c r="I62" s="30"/>
      <c r="J62" s="30"/>
      <c r="K62" s="30"/>
      <c r="L62" s="30"/>
      <c r="M62" s="30"/>
      <c r="N62" s="30" t="s">
        <v>14</v>
      </c>
    </row>
    <row r="63" spans="1:14" x14ac:dyDescent="0.25">
      <c r="A63">
        <v>2021</v>
      </c>
      <c r="G63" s="45">
        <f>G18</f>
        <v>857658458.6916101</v>
      </c>
      <c r="H63" s="30">
        <f t="shared" ref="H63:M64" si="13">H59+H71</f>
        <v>281856414.84104896</v>
      </c>
      <c r="I63" s="30">
        <f t="shared" si="13"/>
        <v>76054487.901469886</v>
      </c>
      <c r="J63" s="30">
        <f t="shared" si="13"/>
        <v>490713363.01567924</v>
      </c>
      <c r="K63" s="30">
        <f t="shared" si="13"/>
        <v>170250.23052332981</v>
      </c>
      <c r="L63" s="30">
        <f t="shared" si="13"/>
        <v>7357574.9638242451</v>
      </c>
      <c r="M63" s="30">
        <f t="shared" si="13"/>
        <v>1506367.7390644536</v>
      </c>
      <c r="N63" s="30">
        <f>SUM(H63:M63)</f>
        <v>857658458.6916101</v>
      </c>
    </row>
    <row r="64" spans="1:14" x14ac:dyDescent="0.25">
      <c r="A64">
        <v>2022</v>
      </c>
      <c r="G64" s="45">
        <f>G19</f>
        <v>878272205.32241476</v>
      </c>
      <c r="H64" s="30">
        <f t="shared" si="13"/>
        <v>293509086.81476605</v>
      </c>
      <c r="I64" s="30">
        <f t="shared" si="13"/>
        <v>77363528.136319786</v>
      </c>
      <c r="J64" s="30">
        <f t="shared" si="13"/>
        <v>497967199.05250567</v>
      </c>
      <c r="K64" s="30">
        <f t="shared" si="13"/>
        <v>154390.84699760258</v>
      </c>
      <c r="L64" s="30">
        <f t="shared" si="13"/>
        <v>7775272.0997985639</v>
      </c>
      <c r="M64" s="30">
        <f t="shared" si="13"/>
        <v>1502728.3720270565</v>
      </c>
      <c r="N64" s="30">
        <f>SUM(H64:M64)</f>
        <v>878272205.32241476</v>
      </c>
    </row>
    <row r="65" spans="1:14" x14ac:dyDescent="0.25">
      <c r="G65" s="30"/>
      <c r="H65" s="30"/>
      <c r="I65" s="30"/>
      <c r="J65" s="30"/>
      <c r="K65" s="30"/>
      <c r="L65" s="30"/>
      <c r="M65" s="30"/>
      <c r="N65" s="30"/>
    </row>
    <row r="66" spans="1:14" x14ac:dyDescent="0.25">
      <c r="A66" s="41" t="s">
        <v>44</v>
      </c>
      <c r="G66" s="30"/>
      <c r="H66" s="46">
        <v>0.67</v>
      </c>
      <c r="I66" s="46">
        <v>0.67</v>
      </c>
      <c r="J66" s="46">
        <v>0.34</v>
      </c>
      <c r="K66" s="167">
        <v>0</v>
      </c>
      <c r="L66" s="46">
        <v>0</v>
      </c>
      <c r="M66" s="46">
        <v>0</v>
      </c>
      <c r="N66" s="30" t="s">
        <v>14</v>
      </c>
    </row>
    <row r="67" spans="1:14" x14ac:dyDescent="0.25">
      <c r="A67">
        <v>2021</v>
      </c>
      <c r="G67" s="30">
        <f>G63-G59</f>
        <v>-77419876.416568756</v>
      </c>
      <c r="H67" s="30">
        <f t="shared" ref="H67:M67" si="14">H59*H66</f>
        <v>213546158.38862765</v>
      </c>
      <c r="I67" s="30">
        <f t="shared" si="14"/>
        <v>57622047.483759917</v>
      </c>
      <c r="J67" s="30">
        <f t="shared" si="14"/>
        <v>177247262.07582107</v>
      </c>
      <c r="K67" s="30">
        <f t="shared" si="14"/>
        <v>0</v>
      </c>
      <c r="L67" s="30">
        <f t="shared" si="14"/>
        <v>0</v>
      </c>
      <c r="M67" s="30">
        <f t="shared" si="14"/>
        <v>0</v>
      </c>
      <c r="N67" s="30">
        <f>SUM(H67:M67)</f>
        <v>448415467.94820869</v>
      </c>
    </row>
    <row r="68" spans="1:14" x14ac:dyDescent="0.25">
      <c r="A68">
        <v>2022</v>
      </c>
      <c r="G68" s="30">
        <f>G64-G60</f>
        <v>-58805150.457897186</v>
      </c>
      <c r="H68" s="30">
        <f t="shared" ref="H68:M68" si="15">H60*H66</f>
        <v>215541848.90786791</v>
      </c>
      <c r="I68" s="30">
        <f t="shared" si="15"/>
        <v>56812816.50766024</v>
      </c>
      <c r="J68" s="30">
        <f t="shared" si="15"/>
        <v>177189457.70604116</v>
      </c>
      <c r="K68" s="30">
        <f t="shared" si="15"/>
        <v>0</v>
      </c>
      <c r="L68" s="30">
        <f t="shared" si="15"/>
        <v>0</v>
      </c>
      <c r="M68" s="30">
        <f t="shared" si="15"/>
        <v>0</v>
      </c>
      <c r="N68" s="30">
        <f>SUM(H68:M68)</f>
        <v>449544123.12156934</v>
      </c>
    </row>
    <row r="69" spans="1:14" ht="12" customHeight="1" x14ac:dyDescent="0.25">
      <c r="G69" s="30"/>
      <c r="H69" s="30"/>
      <c r="I69" s="30"/>
      <c r="J69" s="30"/>
      <c r="K69" s="30"/>
      <c r="L69" s="30"/>
      <c r="M69" s="30"/>
      <c r="N69" s="30"/>
    </row>
    <row r="70" spans="1:14" x14ac:dyDescent="0.25">
      <c r="A70" t="s">
        <v>45</v>
      </c>
      <c r="G70" s="30"/>
      <c r="H70" s="30"/>
      <c r="I70" s="30"/>
      <c r="J70" s="30"/>
      <c r="K70" s="30"/>
      <c r="L70" s="30"/>
      <c r="M70" s="30"/>
      <c r="N70" s="30"/>
    </row>
    <row r="71" spans="1:14" x14ac:dyDescent="0.25">
      <c r="A71">
        <v>2021</v>
      </c>
      <c r="G71" s="30"/>
      <c r="H71" s="30">
        <f t="shared" ref="H71:M71" si="16">H67/$N$67*$G$67</f>
        <v>-36869194.694216199</v>
      </c>
      <c r="I71" s="30">
        <f t="shared" si="16"/>
        <v>-9948568.0444404259</v>
      </c>
      <c r="J71" s="30">
        <f t="shared" si="16"/>
        <v>-30602113.67791212</v>
      </c>
      <c r="K71" s="30">
        <f t="shared" si="16"/>
        <v>0</v>
      </c>
      <c r="L71" s="30">
        <f t="shared" si="16"/>
        <v>0</v>
      </c>
      <c r="M71" s="30">
        <f t="shared" si="16"/>
        <v>0</v>
      </c>
      <c r="N71" s="30">
        <f>SUM(H71:M71)</f>
        <v>-77419876.416568741</v>
      </c>
    </row>
    <row r="72" spans="1:14" x14ac:dyDescent="0.25">
      <c r="A72">
        <v>2022</v>
      </c>
      <c r="H72" s="30">
        <f t="shared" ref="H72:M72" si="17">H68/$N$68*$G$68</f>
        <v>-28195165.286529277</v>
      </c>
      <c r="I72" s="30">
        <f t="shared" si="17"/>
        <v>-7431720.3825760977</v>
      </c>
      <c r="J72" s="30">
        <f t="shared" si="17"/>
        <v>-23178264.788791809</v>
      </c>
      <c r="K72" s="30">
        <f t="shared" si="17"/>
        <v>0</v>
      </c>
      <c r="L72" s="30">
        <f t="shared" si="17"/>
        <v>0</v>
      </c>
      <c r="M72" s="30">
        <f t="shared" si="17"/>
        <v>0</v>
      </c>
      <c r="N72" s="30">
        <f>SUM(H72:M72)</f>
        <v>-58805150.457897186</v>
      </c>
    </row>
    <row r="74" spans="1:14" x14ac:dyDescent="0.25">
      <c r="A74" s="13" t="s">
        <v>72</v>
      </c>
    </row>
    <row r="75" spans="1:14" x14ac:dyDescent="0.25">
      <c r="G75" s="62" t="s">
        <v>74</v>
      </c>
      <c r="H75" s="209">
        <f>'CDM Results'!D50</f>
        <v>5.410560600989428E-2</v>
      </c>
      <c r="I75" s="209">
        <f>'CDM Results'!D51</f>
        <v>5.1847756283270201E-2</v>
      </c>
      <c r="J75" s="209">
        <f>'CDM Results'!D52</f>
        <v>0.89404663770683557</v>
      </c>
      <c r="K75" s="61">
        <v>0</v>
      </c>
      <c r="L75" s="61">
        <v>0</v>
      </c>
      <c r="M75" s="61">
        <v>0</v>
      </c>
      <c r="N75" s="30">
        <f>SUM(H75:M75)</f>
        <v>1</v>
      </c>
    </row>
    <row r="76" spans="1:14" x14ac:dyDescent="0.25">
      <c r="A76">
        <v>2021</v>
      </c>
      <c r="G76" s="45">
        <v>0</v>
      </c>
      <c r="H76" s="24">
        <f t="shared" ref="H76:M76" si="18">$G$76*H75</f>
        <v>0</v>
      </c>
      <c r="I76" s="24">
        <f t="shared" si="18"/>
        <v>0</v>
      </c>
      <c r="J76" s="24">
        <f t="shared" si="18"/>
        <v>0</v>
      </c>
      <c r="K76" s="24">
        <f t="shared" si="18"/>
        <v>0</v>
      </c>
      <c r="L76" s="24">
        <f t="shared" si="18"/>
        <v>0</v>
      </c>
      <c r="M76" s="24">
        <f t="shared" si="18"/>
        <v>0</v>
      </c>
      <c r="N76" s="30">
        <f>SUM(H76:M76)</f>
        <v>0</v>
      </c>
    </row>
    <row r="77" spans="1:14" x14ac:dyDescent="0.25">
      <c r="A77">
        <v>2022</v>
      </c>
      <c r="G77" s="268">
        <v>0</v>
      </c>
      <c r="H77" s="24">
        <f>$G$77*H75</f>
        <v>0</v>
      </c>
      <c r="I77" s="24">
        <f t="shared" ref="I77:N77" si="19">$G$77*I75</f>
        <v>0</v>
      </c>
      <c r="J77" s="24">
        <f t="shared" si="19"/>
        <v>0</v>
      </c>
      <c r="K77" s="24">
        <f t="shared" si="19"/>
        <v>0</v>
      </c>
      <c r="L77" s="24">
        <f t="shared" si="19"/>
        <v>0</v>
      </c>
      <c r="M77" s="24">
        <f t="shared" si="19"/>
        <v>0</v>
      </c>
      <c r="N77" s="24">
        <f t="shared" si="19"/>
        <v>0</v>
      </c>
    </row>
    <row r="79" spans="1:14" x14ac:dyDescent="0.25">
      <c r="A79" s="41" t="s">
        <v>170</v>
      </c>
      <c r="B79" s="20"/>
      <c r="C79" s="20"/>
      <c r="D79" s="20"/>
      <c r="E79" s="20"/>
      <c r="F79" s="20"/>
      <c r="G79" s="24"/>
      <c r="H79" s="24"/>
      <c r="I79" s="24"/>
      <c r="J79" s="24"/>
      <c r="K79" s="24"/>
      <c r="L79" s="24"/>
      <c r="M79" s="24"/>
    </row>
    <row r="80" spans="1:14" x14ac:dyDescent="0.25">
      <c r="A80" s="28">
        <v>2021</v>
      </c>
      <c r="B80" s="20"/>
      <c r="C80" s="20"/>
      <c r="D80" s="20"/>
      <c r="E80" s="20"/>
      <c r="F80" s="20"/>
      <c r="G80" s="24"/>
      <c r="H80" s="24"/>
      <c r="I80" s="24"/>
      <c r="J80" s="24"/>
      <c r="K80" s="24">
        <v>0</v>
      </c>
      <c r="L80" s="363"/>
      <c r="M80" s="24"/>
    </row>
    <row r="81" spans="1:14" x14ac:dyDescent="0.25">
      <c r="A81" s="28">
        <v>2022</v>
      </c>
      <c r="B81" s="20"/>
      <c r="C81" s="20"/>
      <c r="D81" s="20"/>
      <c r="E81" s="20"/>
      <c r="F81" s="20"/>
      <c r="G81" s="24"/>
      <c r="H81" s="24"/>
      <c r="I81" s="24"/>
      <c r="J81" s="24"/>
      <c r="K81" s="24">
        <v>0</v>
      </c>
      <c r="L81" s="24"/>
      <c r="M81" s="24"/>
    </row>
    <row r="82" spans="1:14" x14ac:dyDescent="0.25">
      <c r="A82" s="357" t="s">
        <v>73</v>
      </c>
      <c r="B82" s="356"/>
      <c r="C82" s="356"/>
    </row>
    <row r="83" spans="1:14" x14ac:dyDescent="0.25">
      <c r="A83" s="63"/>
      <c r="B83" s="356"/>
      <c r="C83" s="356"/>
      <c r="G83" s="58"/>
    </row>
    <row r="84" spans="1:14" x14ac:dyDescent="0.25">
      <c r="A84" s="63">
        <v>2021</v>
      </c>
      <c r="B84" s="356"/>
      <c r="C84" s="356"/>
      <c r="G84" s="58">
        <f>G63+G76-K80</f>
        <v>857658458.6916101</v>
      </c>
      <c r="H84" s="6">
        <f t="shared" ref="H84:J85" si="20">H63+H76</f>
        <v>281856414.84104896</v>
      </c>
      <c r="I84" s="6">
        <f t="shared" si="20"/>
        <v>76054487.901469886</v>
      </c>
      <c r="J84" s="6">
        <f t="shared" si="20"/>
        <v>490713363.01567924</v>
      </c>
      <c r="K84" s="6">
        <f>K63+K76-K80</f>
        <v>170250.23052332981</v>
      </c>
      <c r="L84" s="6">
        <f>L63+L76</f>
        <v>7357574.9638242451</v>
      </c>
      <c r="M84" s="6">
        <f>M63+M76</f>
        <v>1506367.7390644536</v>
      </c>
      <c r="N84" s="30">
        <f>SUM(H84:M84)</f>
        <v>857658458.6916101</v>
      </c>
    </row>
    <row r="85" spans="1:14" x14ac:dyDescent="0.25">
      <c r="A85" s="63">
        <v>2022</v>
      </c>
      <c r="B85" s="356"/>
      <c r="C85" s="356"/>
      <c r="G85" s="58">
        <f>G64+G77-K81</f>
        <v>878272205.32241476</v>
      </c>
      <c r="H85" s="6">
        <f>H64+H77</f>
        <v>293509086.81476605</v>
      </c>
      <c r="I85" s="6">
        <f t="shared" si="20"/>
        <v>77363528.136319786</v>
      </c>
      <c r="J85" s="6">
        <f t="shared" si="20"/>
        <v>497967199.05250567</v>
      </c>
      <c r="K85" s="6">
        <f>K64+K77-K81</f>
        <v>154390.84699760258</v>
      </c>
      <c r="L85" s="6">
        <f>L64+L77</f>
        <v>7775272.0997985639</v>
      </c>
      <c r="M85" s="6">
        <f>M64+M77</f>
        <v>1502728.3720270565</v>
      </c>
      <c r="N85" s="30">
        <f>SUM(H85:M85)</f>
        <v>878272205.32241476</v>
      </c>
    </row>
    <row r="86" spans="1:14" x14ac:dyDescent="0.25">
      <c r="A86" s="63"/>
      <c r="B86" s="356"/>
      <c r="C86" s="356"/>
      <c r="G86" s="24"/>
    </row>
    <row r="87" spans="1:14" x14ac:dyDescent="0.25">
      <c r="A87" s="355"/>
      <c r="B87" s="356"/>
      <c r="C87" s="356"/>
      <c r="G87" s="197"/>
    </row>
    <row r="88" spans="1:14" x14ac:dyDescent="0.25">
      <c r="A88" s="63"/>
      <c r="B88" s="356"/>
      <c r="C88" s="356"/>
      <c r="G88" s="197"/>
    </row>
    <row r="89" spans="1:14" x14ac:dyDescent="0.25">
      <c r="A89" s="63"/>
      <c r="B89" s="358" t="s">
        <v>189</v>
      </c>
      <c r="C89" s="356">
        <v>2016</v>
      </c>
      <c r="G89" s="215">
        <f>'CDM Results'!N43</f>
        <v>7730071.7124323202</v>
      </c>
      <c r="H89" s="6">
        <f>$G$89*H75</f>
        <v>418240.21450109192</v>
      </c>
      <c r="I89" s="6">
        <f>$G$89*I75</f>
        <v>400786.87419839209</v>
      </c>
      <c r="J89" s="6">
        <f>$G$89*J75</f>
        <v>6911044.6237328369</v>
      </c>
    </row>
    <row r="90" spans="1:14" x14ac:dyDescent="0.25">
      <c r="A90" s="63"/>
      <c r="B90" s="356"/>
      <c r="C90" s="356">
        <v>2017</v>
      </c>
      <c r="G90" s="24">
        <f>'CDM Results'!O44</f>
        <v>15611676.1812141</v>
      </c>
      <c r="H90" s="6">
        <f>$G$90*H75</f>
        <v>844679.20061482093</v>
      </c>
      <c r="I90" s="6">
        <f>$G$90*I75</f>
        <v>809430.38181692304</v>
      </c>
      <c r="J90" s="6">
        <f>$G$90*J75</f>
        <v>13957566.598782357</v>
      </c>
    </row>
    <row r="92" spans="1:14" x14ac:dyDescent="0.25">
      <c r="H92" s="6">
        <f>SUM(H89:H91)</f>
        <v>1262919.4151159129</v>
      </c>
      <c r="I92" s="6">
        <f>SUM(I89:I91)</f>
        <v>1210217.2560153152</v>
      </c>
      <c r="J92" s="6">
        <f>SUM(J89:J91)</f>
        <v>20868611.222515196</v>
      </c>
    </row>
  </sheetData>
  <phoneticPr fontId="0" type="noConversion"/>
  <pageMargins left="0.38" right="0.75" top="0.73" bottom="0.74" header="0.5" footer="0.5"/>
  <pageSetup scale="45"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pageSetUpPr fitToPage="1"/>
  </sheetPr>
  <dimension ref="A1:M95"/>
  <sheetViews>
    <sheetView topLeftCell="A25" workbookViewId="0">
      <selection activeCell="H19" sqref="H19"/>
    </sheetView>
  </sheetViews>
  <sheetFormatPr defaultRowHeight="13.2" x14ac:dyDescent="0.25"/>
  <cols>
    <col min="1" max="1" width="11" customWidth="1"/>
    <col min="2" max="2" width="15" style="6" customWidth="1"/>
    <col min="3" max="4" width="14.21875" style="6" bestFit="1" customWidth="1"/>
    <col min="5" max="5" width="14.21875" style="6" customWidth="1"/>
    <col min="6" max="6" width="17.5546875" style="6" customWidth="1"/>
    <col min="7" max="7" width="12.5546875" style="6" customWidth="1"/>
    <col min="8" max="9" width="12.5546875" style="6" bestFit="1" customWidth="1"/>
    <col min="10" max="10" width="11.5546875" style="6" bestFit="1" customWidth="1"/>
    <col min="11" max="11" width="10.5546875" style="6" bestFit="1" customWidth="1"/>
    <col min="12" max="13" width="9.21875" style="6" customWidth="1"/>
  </cols>
  <sheetData>
    <row r="1" spans="1:13" x14ac:dyDescent="0.25">
      <c r="A1" s="178" t="s">
        <v>263</v>
      </c>
    </row>
    <row r="2" spans="1:13" ht="42" customHeight="1" x14ac:dyDescent="0.25">
      <c r="B2" s="9" t="str">
        <f>'Rate Class Energy Model'!H2</f>
        <v>Residential</v>
      </c>
      <c r="C2" s="9" t="str">
        <f>'Rate Class Energy Model'!I2</f>
        <v>GS&lt;50</v>
      </c>
      <c r="D2" s="9" t="str">
        <f>'Rate Class Energy Model'!J2</f>
        <v>GS&gt;50 (excl. WMP)</v>
      </c>
      <c r="E2" s="9" t="str">
        <f>'Rate Class Energy Model'!K2</f>
        <v>Sentinels</v>
      </c>
      <c r="F2" s="9" t="str">
        <f>'Rate Class Energy Model'!L2</f>
        <v>Streetlights</v>
      </c>
      <c r="G2" s="9" t="str">
        <f>'Rate Class Energy Model'!M2</f>
        <v>USL</v>
      </c>
      <c r="H2" s="6" t="s">
        <v>10</v>
      </c>
    </row>
    <row r="3" spans="1:13" x14ac:dyDescent="0.25">
      <c r="A3" s="4">
        <v>2006</v>
      </c>
      <c r="B3" s="33">
        <v>32800</v>
      </c>
      <c r="C3" s="33">
        <v>2546</v>
      </c>
      <c r="D3" s="33">
        <v>398.5</v>
      </c>
      <c r="E3" s="44">
        <v>276.5</v>
      </c>
      <c r="F3" s="33">
        <v>9366</v>
      </c>
      <c r="G3" s="33">
        <v>455.5</v>
      </c>
      <c r="H3" s="32">
        <f t="shared" ref="H3:H18" si="0">SUM(B3:G3)</f>
        <v>45842.5</v>
      </c>
      <c r="K3"/>
    </row>
    <row r="4" spans="1:13" x14ac:dyDescent="0.25">
      <c r="A4" s="4">
        <v>2007</v>
      </c>
      <c r="B4" s="33">
        <v>33263.5</v>
      </c>
      <c r="C4" s="33">
        <v>2640</v>
      </c>
      <c r="D4" s="33">
        <v>409</v>
      </c>
      <c r="E4" s="44">
        <v>569</v>
      </c>
      <c r="F4" s="33">
        <v>9602</v>
      </c>
      <c r="G4" s="33">
        <v>439</v>
      </c>
      <c r="H4" s="32">
        <f t="shared" si="0"/>
        <v>46922.5</v>
      </c>
      <c r="K4"/>
    </row>
    <row r="5" spans="1:13" x14ac:dyDescent="0.25">
      <c r="A5" s="4">
        <v>2008</v>
      </c>
      <c r="B5" s="33">
        <v>33683.5</v>
      </c>
      <c r="C5" s="33">
        <v>2702</v>
      </c>
      <c r="D5" s="33">
        <v>407</v>
      </c>
      <c r="E5" s="44">
        <v>585</v>
      </c>
      <c r="F5" s="33">
        <v>9740</v>
      </c>
      <c r="G5" s="33">
        <v>442</v>
      </c>
      <c r="H5" s="32">
        <f t="shared" si="0"/>
        <v>47559.5</v>
      </c>
      <c r="K5"/>
    </row>
    <row r="6" spans="1:13" x14ac:dyDescent="0.25">
      <c r="A6" s="4">
        <v>2009</v>
      </c>
      <c r="B6" s="33">
        <v>33947</v>
      </c>
      <c r="C6" s="33">
        <v>2703.5</v>
      </c>
      <c r="D6" s="33">
        <v>408.5</v>
      </c>
      <c r="E6" s="44">
        <v>590</v>
      </c>
      <c r="F6" s="33">
        <v>9852</v>
      </c>
      <c r="G6" s="33">
        <v>444</v>
      </c>
      <c r="H6" s="32">
        <f t="shared" si="0"/>
        <v>47945</v>
      </c>
      <c r="K6"/>
    </row>
    <row r="7" spans="1:13" x14ac:dyDescent="0.25">
      <c r="A7" s="4">
        <v>2010</v>
      </c>
      <c r="B7" s="33">
        <v>34256</v>
      </c>
      <c r="C7" s="33">
        <v>2687.5</v>
      </c>
      <c r="D7" s="33">
        <v>417</v>
      </c>
      <c r="E7" s="44">
        <v>602.5</v>
      </c>
      <c r="F7" s="33">
        <v>9953</v>
      </c>
      <c r="G7" s="33">
        <v>445.5</v>
      </c>
      <c r="H7" s="32">
        <f t="shared" si="0"/>
        <v>48361.5</v>
      </c>
    </row>
    <row r="8" spans="1:13" x14ac:dyDescent="0.25">
      <c r="A8" s="4">
        <v>2011</v>
      </c>
      <c r="B8" s="33">
        <v>34643</v>
      </c>
      <c r="C8" s="33">
        <v>2709</v>
      </c>
      <c r="D8" s="33">
        <v>421</v>
      </c>
      <c r="E8" s="44">
        <v>620.5</v>
      </c>
      <c r="F8" s="33">
        <v>9988</v>
      </c>
      <c r="G8" s="33">
        <v>445.5</v>
      </c>
      <c r="H8" s="32">
        <f t="shared" si="0"/>
        <v>48827</v>
      </c>
      <c r="K8"/>
    </row>
    <row r="9" spans="1:13" s="28" customFormat="1" x14ac:dyDescent="0.25">
      <c r="A9" s="64">
        <v>2012</v>
      </c>
      <c r="B9" s="33">
        <v>34938</v>
      </c>
      <c r="C9" s="33">
        <v>2728</v>
      </c>
      <c r="D9" s="33">
        <v>419</v>
      </c>
      <c r="E9" s="44">
        <v>625</v>
      </c>
      <c r="F9" s="33">
        <v>10134</v>
      </c>
      <c r="G9" s="33">
        <v>442.5</v>
      </c>
      <c r="H9" s="32">
        <f t="shared" si="0"/>
        <v>49286.5</v>
      </c>
      <c r="I9" s="24"/>
      <c r="J9" s="24"/>
      <c r="K9" s="6"/>
      <c r="L9" s="24"/>
      <c r="M9" s="24"/>
    </row>
    <row r="10" spans="1:13" s="28" customFormat="1" x14ac:dyDescent="0.25">
      <c r="A10" s="64">
        <v>2013</v>
      </c>
      <c r="B10" s="33">
        <v>35225.5</v>
      </c>
      <c r="C10" s="33">
        <v>2748.5</v>
      </c>
      <c r="D10" s="33">
        <v>423.5</v>
      </c>
      <c r="E10" s="44">
        <v>624.5</v>
      </c>
      <c r="F10" s="33">
        <v>10231.5</v>
      </c>
      <c r="G10" s="33">
        <v>437.5</v>
      </c>
      <c r="H10" s="32">
        <f t="shared" si="0"/>
        <v>49691</v>
      </c>
      <c r="I10" s="24"/>
      <c r="J10" s="24"/>
      <c r="K10"/>
      <c r="L10" s="24"/>
      <c r="M10" s="24"/>
    </row>
    <row r="11" spans="1:13" s="28" customFormat="1" x14ac:dyDescent="0.25">
      <c r="A11" s="64">
        <v>2014</v>
      </c>
      <c r="B11" s="33">
        <v>35479</v>
      </c>
      <c r="C11" s="33">
        <v>2771.5</v>
      </c>
      <c r="D11" s="33">
        <v>432</v>
      </c>
      <c r="E11" s="44">
        <v>621.5</v>
      </c>
      <c r="F11" s="33">
        <v>10392</v>
      </c>
      <c r="G11" s="33">
        <v>434</v>
      </c>
      <c r="H11" s="32">
        <f t="shared" si="0"/>
        <v>50130</v>
      </c>
      <c r="I11" s="24"/>
      <c r="J11" s="24"/>
      <c r="K11" s="6"/>
      <c r="L11" s="6"/>
      <c r="M11" s="24"/>
    </row>
    <row r="12" spans="1:13" s="28" customFormat="1" x14ac:dyDescent="0.25">
      <c r="A12" s="64">
        <v>2015</v>
      </c>
      <c r="B12" s="33">
        <v>35743.5</v>
      </c>
      <c r="C12" s="33">
        <v>2784</v>
      </c>
      <c r="D12" s="33">
        <v>437.5</v>
      </c>
      <c r="E12" s="44">
        <v>618.5</v>
      </c>
      <c r="F12" s="33">
        <v>10631.5</v>
      </c>
      <c r="G12" s="33">
        <v>430.5</v>
      </c>
      <c r="H12" s="32">
        <f t="shared" si="0"/>
        <v>50645.5</v>
      </c>
      <c r="I12" s="24"/>
      <c r="J12" s="24"/>
      <c r="K12"/>
      <c r="L12" s="24"/>
      <c r="M12" s="24"/>
    </row>
    <row r="13" spans="1:13" s="28" customFormat="1" x14ac:dyDescent="0.25">
      <c r="A13" s="64">
        <v>2016</v>
      </c>
      <c r="B13" s="33">
        <v>36042.75</v>
      </c>
      <c r="C13" s="33">
        <v>2792.25</v>
      </c>
      <c r="D13" s="33">
        <v>452</v>
      </c>
      <c r="E13" s="44">
        <v>551.25</v>
      </c>
      <c r="F13" s="33">
        <v>10228.5</v>
      </c>
      <c r="G13" s="33">
        <v>426.75</v>
      </c>
      <c r="H13" s="32">
        <f t="shared" si="0"/>
        <v>50493.5</v>
      </c>
      <c r="I13" s="24"/>
      <c r="J13" s="24"/>
      <c r="K13" s="6"/>
      <c r="L13" s="24"/>
      <c r="M13" s="24"/>
    </row>
    <row r="14" spans="1:13" s="28" customFormat="1" x14ac:dyDescent="0.25">
      <c r="A14" s="64">
        <v>2017</v>
      </c>
      <c r="B14" s="33">
        <v>36240.75</v>
      </c>
      <c r="C14" s="33">
        <v>2797.75</v>
      </c>
      <c r="D14" s="33">
        <v>456.75</v>
      </c>
      <c r="E14" s="44">
        <v>511.5</v>
      </c>
      <c r="F14" s="33">
        <v>5769</v>
      </c>
      <c r="G14" s="33">
        <v>424.75</v>
      </c>
      <c r="H14" s="32">
        <f t="shared" si="0"/>
        <v>46200.5</v>
      </c>
      <c r="I14" s="24"/>
      <c r="J14" s="24"/>
      <c r="K14"/>
      <c r="L14" s="6"/>
      <c r="M14" s="24"/>
    </row>
    <row r="15" spans="1:13" s="28" customFormat="1" x14ac:dyDescent="0.25">
      <c r="A15" s="64">
        <v>2018</v>
      </c>
      <c r="B15" s="33">
        <v>36520.5</v>
      </c>
      <c r="C15" s="33">
        <v>2804</v>
      </c>
      <c r="D15" s="33">
        <v>483.25</v>
      </c>
      <c r="E15" s="44">
        <v>506.5</v>
      </c>
      <c r="F15" s="33">
        <v>5771</v>
      </c>
      <c r="G15" s="33">
        <v>420.25</v>
      </c>
      <c r="H15" s="32">
        <f t="shared" si="0"/>
        <v>46505.5</v>
      </c>
      <c r="I15" s="24"/>
      <c r="J15" s="24"/>
      <c r="K15" s="6"/>
      <c r="L15" s="24"/>
      <c r="M15" s="24"/>
    </row>
    <row r="16" spans="1:13" s="28" customFormat="1" x14ac:dyDescent="0.25">
      <c r="A16" s="64">
        <v>2019</v>
      </c>
      <c r="B16" s="33">
        <v>36732.5</v>
      </c>
      <c r="C16" s="33">
        <v>2834</v>
      </c>
      <c r="D16" s="33">
        <v>488.75</v>
      </c>
      <c r="E16" s="44">
        <v>501.25</v>
      </c>
      <c r="F16" s="33">
        <v>5771</v>
      </c>
      <c r="G16" s="33">
        <v>408</v>
      </c>
      <c r="H16" s="32">
        <f t="shared" si="0"/>
        <v>46735.5</v>
      </c>
      <c r="I16" s="24"/>
      <c r="J16" s="24"/>
      <c r="K16"/>
      <c r="L16" s="24"/>
      <c r="M16" s="24"/>
    </row>
    <row r="17" spans="1:13" s="28" customFormat="1" x14ac:dyDescent="0.25">
      <c r="A17" s="64">
        <v>2020</v>
      </c>
      <c r="B17" s="33">
        <v>37076.5</v>
      </c>
      <c r="C17" s="33">
        <v>2930.25</v>
      </c>
      <c r="D17" s="33">
        <v>490.66666666666669</v>
      </c>
      <c r="E17" s="44">
        <v>494.83333333333331</v>
      </c>
      <c r="F17" s="33">
        <v>5771</v>
      </c>
      <c r="G17" s="33">
        <v>408.91666666666669</v>
      </c>
      <c r="H17" s="32">
        <f t="shared" si="0"/>
        <v>47172.166666666664</v>
      </c>
      <c r="I17" s="24"/>
      <c r="J17" s="24"/>
      <c r="K17" s="6"/>
      <c r="L17" s="6"/>
      <c r="M17" s="24"/>
    </row>
    <row r="18" spans="1:13" x14ac:dyDescent="0.25">
      <c r="A18" s="4">
        <v>2021</v>
      </c>
      <c r="B18" s="60">
        <f>B17*B39</f>
        <v>37371.01885563018</v>
      </c>
      <c r="C18" s="60">
        <f>C17*C39</f>
        <v>2955.6996133950884</v>
      </c>
      <c r="D18" s="60">
        <f>D17*D39</f>
        <v>498.71405204334792</v>
      </c>
      <c r="E18" s="60">
        <f>E17*E39</f>
        <v>485.18697861143431</v>
      </c>
      <c r="F18" s="280">
        <f>F17</f>
        <v>5771</v>
      </c>
      <c r="G18" s="60">
        <f>G17*G39</f>
        <v>405.42779769982849</v>
      </c>
      <c r="H18" s="60">
        <f t="shared" si="0"/>
        <v>47487.047297379875</v>
      </c>
    </row>
    <row r="19" spans="1:13" x14ac:dyDescent="0.25">
      <c r="A19" s="4">
        <v>2022</v>
      </c>
      <c r="B19" s="60">
        <f>B18*B39</f>
        <v>37667.87723511838</v>
      </c>
      <c r="C19" s="60">
        <f>C18*C39</f>
        <v>2981.3702600883457</v>
      </c>
      <c r="D19" s="60">
        <f>D18*D39</f>
        <v>506.89342195413406</v>
      </c>
      <c r="E19" s="60">
        <f>E18*E39</f>
        <v>475.72867136562968</v>
      </c>
      <c r="F19" s="280">
        <f>F18</f>
        <v>5771</v>
      </c>
      <c r="G19" s="60">
        <f>G18*G39</f>
        <v>401.96869569447659</v>
      </c>
      <c r="H19" s="60">
        <f>SUM(B19:G19)</f>
        <v>47804.838284220968</v>
      </c>
    </row>
    <row r="20" spans="1:13" x14ac:dyDescent="0.25">
      <c r="A20" s="17"/>
    </row>
    <row r="21" spans="1:13" x14ac:dyDescent="0.25">
      <c r="A21" s="16" t="s">
        <v>40</v>
      </c>
      <c r="B21" s="5"/>
      <c r="C21" s="5"/>
      <c r="D21" s="5"/>
      <c r="E21" s="5"/>
      <c r="F21" s="5"/>
      <c r="G21" s="5"/>
    </row>
    <row r="22" spans="1:13" x14ac:dyDescent="0.25">
      <c r="A22" s="4">
        <v>2006</v>
      </c>
      <c r="B22" s="21"/>
      <c r="C22" s="21"/>
      <c r="D22" s="21"/>
      <c r="E22" s="21"/>
      <c r="F22" s="21"/>
      <c r="G22" s="21"/>
    </row>
    <row r="23" spans="1:13" x14ac:dyDescent="0.25">
      <c r="A23" s="4">
        <v>2007</v>
      </c>
      <c r="B23" s="21">
        <f t="shared" ref="B23:D31" si="1">B4/B3</f>
        <v>1.0141310975609756</v>
      </c>
      <c r="C23" s="21">
        <f t="shared" si="1"/>
        <v>1.0369206598586018</v>
      </c>
      <c r="D23" s="21">
        <f t="shared" si="1"/>
        <v>1.0263488080301129</v>
      </c>
      <c r="E23" s="21"/>
      <c r="F23" s="21">
        <f t="shared" ref="F23:G31" si="2">F4/F3</f>
        <v>1.0251975229553705</v>
      </c>
      <c r="G23" s="21">
        <f t="shared" si="2"/>
        <v>0.96377607025246981</v>
      </c>
    </row>
    <row r="24" spans="1:13" x14ac:dyDescent="0.25">
      <c r="A24" s="4">
        <v>2008</v>
      </c>
      <c r="B24" s="21">
        <f t="shared" si="1"/>
        <v>1.0126264524178152</v>
      </c>
      <c r="C24" s="21">
        <f t="shared" si="1"/>
        <v>1.0234848484848484</v>
      </c>
      <c r="D24" s="21">
        <f t="shared" si="1"/>
        <v>0.99511002444987773</v>
      </c>
      <c r="E24" s="21">
        <f t="shared" ref="E24:E31" si="3">E5/E4</f>
        <v>1.0281195079086116</v>
      </c>
      <c r="F24" s="21">
        <f t="shared" si="2"/>
        <v>1.0143720058321184</v>
      </c>
      <c r="G24" s="21">
        <f t="shared" si="2"/>
        <v>1.0068337129840548</v>
      </c>
    </row>
    <row r="25" spans="1:13" x14ac:dyDescent="0.25">
      <c r="A25" s="4">
        <v>2009</v>
      </c>
      <c r="B25" s="21">
        <f t="shared" si="1"/>
        <v>1.0078228212626361</v>
      </c>
      <c r="C25" s="21">
        <f t="shared" si="1"/>
        <v>1.0005551443375278</v>
      </c>
      <c r="D25" s="21">
        <f t="shared" si="1"/>
        <v>1.0036855036855037</v>
      </c>
      <c r="E25" s="21">
        <f t="shared" si="3"/>
        <v>1.0085470085470085</v>
      </c>
      <c r="F25" s="21">
        <f t="shared" si="2"/>
        <v>1.0114989733059547</v>
      </c>
      <c r="G25" s="21">
        <f t="shared" si="2"/>
        <v>1.004524886877828</v>
      </c>
    </row>
    <row r="26" spans="1:13" x14ac:dyDescent="0.25">
      <c r="A26" s="4">
        <v>2010</v>
      </c>
      <c r="B26" s="21">
        <f t="shared" si="1"/>
        <v>1.0091024243673963</v>
      </c>
      <c r="C26" s="21">
        <f t="shared" si="1"/>
        <v>0.9940817458849639</v>
      </c>
      <c r="D26" s="21">
        <f t="shared" si="1"/>
        <v>1.0208078335373316</v>
      </c>
      <c r="E26" s="21">
        <f t="shared" si="3"/>
        <v>1.021186440677966</v>
      </c>
      <c r="F26" s="21">
        <f t="shared" si="2"/>
        <v>1.0102517255379619</v>
      </c>
      <c r="G26" s="21">
        <f t="shared" si="2"/>
        <v>1.0033783783783783</v>
      </c>
    </row>
    <row r="27" spans="1:13" x14ac:dyDescent="0.25">
      <c r="A27" s="4">
        <v>2011</v>
      </c>
      <c r="B27" s="21">
        <f t="shared" si="1"/>
        <v>1.0112972909855207</v>
      </c>
      <c r="C27" s="21">
        <f t="shared" si="1"/>
        <v>1.008</v>
      </c>
      <c r="D27" s="21">
        <f t="shared" si="1"/>
        <v>1.0095923261390887</v>
      </c>
      <c r="E27" s="21">
        <f t="shared" si="3"/>
        <v>1.0298755186721991</v>
      </c>
      <c r="F27" s="21">
        <f t="shared" si="2"/>
        <v>1.0035165276800964</v>
      </c>
      <c r="G27" s="21">
        <f t="shared" si="2"/>
        <v>1</v>
      </c>
    </row>
    <row r="28" spans="1:13" x14ac:dyDescent="0.25">
      <c r="A28" s="4">
        <v>2012</v>
      </c>
      <c r="B28" s="21">
        <f t="shared" si="1"/>
        <v>1.0085154288023555</v>
      </c>
      <c r="C28" s="21">
        <f t="shared" si="1"/>
        <v>1.0070136581764488</v>
      </c>
      <c r="D28" s="21">
        <f t="shared" si="1"/>
        <v>0.99524940617577196</v>
      </c>
      <c r="E28" s="21">
        <f t="shared" si="3"/>
        <v>1.0072522159548751</v>
      </c>
      <c r="F28" s="21">
        <f t="shared" si="2"/>
        <v>1.0146175410492591</v>
      </c>
      <c r="G28" s="21">
        <f t="shared" si="2"/>
        <v>0.9932659932659933</v>
      </c>
    </row>
    <row r="29" spans="1:13" x14ac:dyDescent="0.25">
      <c r="A29" s="4">
        <v>2013</v>
      </c>
      <c r="B29" s="21">
        <f t="shared" si="1"/>
        <v>1.0082288625565288</v>
      </c>
      <c r="C29" s="21">
        <f t="shared" si="1"/>
        <v>1.0075146627565983</v>
      </c>
      <c r="D29" s="21">
        <f t="shared" si="1"/>
        <v>1.0107398568019093</v>
      </c>
      <c r="E29" s="21">
        <f t="shared" si="3"/>
        <v>0.99919999999999998</v>
      </c>
      <c r="F29" s="21">
        <f t="shared" si="2"/>
        <v>1.0096210775606869</v>
      </c>
      <c r="G29" s="21">
        <f t="shared" si="2"/>
        <v>0.98870056497175141</v>
      </c>
    </row>
    <row r="30" spans="1:13" x14ac:dyDescent="0.25">
      <c r="A30" s="4">
        <v>2014</v>
      </c>
      <c r="B30" s="21">
        <f t="shared" si="1"/>
        <v>1.0071964911782658</v>
      </c>
      <c r="C30" s="21">
        <f t="shared" si="1"/>
        <v>1.00836820083682</v>
      </c>
      <c r="D30" s="21">
        <f t="shared" si="1"/>
        <v>1.0200708382526564</v>
      </c>
      <c r="E30" s="21">
        <f t="shared" si="3"/>
        <v>0.99519615692554042</v>
      </c>
      <c r="F30" s="21">
        <f t="shared" si="2"/>
        <v>1.0156868494355666</v>
      </c>
      <c r="G30" s="21">
        <f t="shared" si="2"/>
        <v>0.99199999999999999</v>
      </c>
    </row>
    <row r="31" spans="1:13" x14ac:dyDescent="0.25">
      <c r="A31" s="4">
        <v>2015</v>
      </c>
      <c r="B31" s="21">
        <f t="shared" si="1"/>
        <v>1.007455114292962</v>
      </c>
      <c r="C31" s="21">
        <f t="shared" si="1"/>
        <v>1.0045101930362619</v>
      </c>
      <c r="D31" s="21">
        <f t="shared" si="1"/>
        <v>1.0127314814814814</v>
      </c>
      <c r="E31" s="21">
        <f t="shared" si="3"/>
        <v>0.99517296862429605</v>
      </c>
      <c r="F31" s="21">
        <f t="shared" si="2"/>
        <v>1.0230465742879138</v>
      </c>
      <c r="G31" s="21">
        <f t="shared" si="2"/>
        <v>0.99193548387096775</v>
      </c>
    </row>
    <row r="32" spans="1:13" x14ac:dyDescent="0.25">
      <c r="A32" s="4">
        <v>2016</v>
      </c>
      <c r="B32" s="21">
        <f t="shared" ref="B32:G32" si="4">B13/B12</f>
        <v>1.0083721515800075</v>
      </c>
      <c r="C32" s="21">
        <f t="shared" si="4"/>
        <v>1.0029633620689655</v>
      </c>
      <c r="D32" s="21">
        <f t="shared" si="4"/>
        <v>1.0331428571428571</v>
      </c>
      <c r="E32" s="21">
        <f t="shared" si="4"/>
        <v>0.89126919967663698</v>
      </c>
      <c r="F32" s="21">
        <f t="shared" si="4"/>
        <v>0.96209377792409345</v>
      </c>
      <c r="G32" s="21">
        <f t="shared" si="4"/>
        <v>0.99128919860627174</v>
      </c>
    </row>
    <row r="33" spans="1:7" x14ac:dyDescent="0.25">
      <c r="A33" s="4">
        <v>2017</v>
      </c>
      <c r="B33" s="21">
        <f t="shared" ref="B33:G33" si="5">B14/B13</f>
        <v>1.0054934764966603</v>
      </c>
      <c r="C33" s="21">
        <f t="shared" si="5"/>
        <v>1.0019697376667562</v>
      </c>
      <c r="D33" s="21">
        <f t="shared" si="5"/>
        <v>1.0105088495575221</v>
      </c>
      <c r="E33" s="21">
        <f t="shared" si="5"/>
        <v>0.92789115646258502</v>
      </c>
      <c r="F33" s="21">
        <f t="shared" si="5"/>
        <v>0.56401231852177736</v>
      </c>
      <c r="G33" s="21">
        <f t="shared" si="5"/>
        <v>0.99531341534856477</v>
      </c>
    </row>
    <row r="34" spans="1:7" x14ac:dyDescent="0.25">
      <c r="A34" s="4">
        <v>2018</v>
      </c>
      <c r="B34" s="21">
        <f t="shared" ref="B34:G34" si="6">B15/B14</f>
        <v>1.0077192111090416</v>
      </c>
      <c r="C34" s="21">
        <f t="shared" si="6"/>
        <v>1.0022339379858816</v>
      </c>
      <c r="D34" s="21">
        <f t="shared" si="6"/>
        <v>1.0580186097427478</v>
      </c>
      <c r="E34" s="21">
        <f t="shared" si="6"/>
        <v>0.99022482893450636</v>
      </c>
      <c r="F34" s="21">
        <f t="shared" si="6"/>
        <v>1.0003466805338881</v>
      </c>
      <c r="G34" s="21">
        <f t="shared" si="6"/>
        <v>0.98940553266627429</v>
      </c>
    </row>
    <row r="35" spans="1:7" x14ac:dyDescent="0.25">
      <c r="A35" s="4">
        <v>2019</v>
      </c>
      <c r="B35" s="21">
        <f t="shared" ref="B35:G36" si="7">B16/B15</f>
        <v>1.0058049588587232</v>
      </c>
      <c r="C35" s="21">
        <f t="shared" si="7"/>
        <v>1.0106990014265336</v>
      </c>
      <c r="D35" s="21">
        <f t="shared" si="7"/>
        <v>1.0113812726332125</v>
      </c>
      <c r="E35" s="21">
        <f t="shared" si="7"/>
        <v>0.98963474827245801</v>
      </c>
      <c r="F35" s="21">
        <f t="shared" si="7"/>
        <v>1</v>
      </c>
      <c r="G35" s="21">
        <f t="shared" si="7"/>
        <v>0.97085068411659725</v>
      </c>
    </row>
    <row r="36" spans="1:7" x14ac:dyDescent="0.25">
      <c r="A36" s="4">
        <v>2020</v>
      </c>
      <c r="B36" s="21">
        <f t="shared" si="7"/>
        <v>1.0093650037432791</v>
      </c>
      <c r="C36" s="21">
        <f t="shared" si="7"/>
        <v>1.0339625970359916</v>
      </c>
      <c r="D36" s="21">
        <f t="shared" si="7"/>
        <v>1.003921568627451</v>
      </c>
      <c r="E36" s="21">
        <f t="shared" si="7"/>
        <v>0.98719866999168737</v>
      </c>
      <c r="F36" s="21">
        <f t="shared" si="7"/>
        <v>1</v>
      </c>
      <c r="G36" s="21">
        <f t="shared" si="7"/>
        <v>1.0022467320261439</v>
      </c>
    </row>
    <row r="37" spans="1:7" x14ac:dyDescent="0.25">
      <c r="A37" s="4"/>
      <c r="B37" s="21"/>
      <c r="C37" s="21"/>
      <c r="D37" s="21"/>
      <c r="E37" s="21"/>
      <c r="F37" s="21"/>
      <c r="G37" s="21"/>
    </row>
    <row r="39" spans="1:7" x14ac:dyDescent="0.25">
      <c r="A39" t="s">
        <v>55</v>
      </c>
      <c r="B39" s="22">
        <f t="shared" ref="B39:G39" si="8">B41</f>
        <v>1.0079435452545462</v>
      </c>
      <c r="C39" s="22">
        <f t="shared" si="8"/>
        <v>1.0086851338264955</v>
      </c>
      <c r="D39" s="22">
        <f t="shared" si="8"/>
        <v>1.0164009212839971</v>
      </c>
      <c r="E39" s="22">
        <f t="shared" si="8"/>
        <v>0.98050585101670795</v>
      </c>
      <c r="F39" s="365">
        <v>1</v>
      </c>
      <c r="G39" s="22">
        <f t="shared" si="8"/>
        <v>0.9914680196449851</v>
      </c>
    </row>
    <row r="40" spans="1:7" x14ac:dyDescent="0.25">
      <c r="B40" s="22"/>
      <c r="C40" s="22"/>
      <c r="D40" s="22"/>
      <c r="E40" s="22"/>
      <c r="F40" s="22"/>
      <c r="G40" s="22"/>
    </row>
    <row r="41" spans="1:7" x14ac:dyDescent="0.25">
      <c r="A41" t="s">
        <v>12</v>
      </c>
      <c r="B41" s="22">
        <f t="shared" ref="B41:G41" si="9">GEOMEAN(B27:B36)</f>
        <v>1.0079435452545462</v>
      </c>
      <c r="C41" s="22">
        <f t="shared" si="9"/>
        <v>1.0086851338264955</v>
      </c>
      <c r="D41" s="22">
        <f t="shared" si="9"/>
        <v>1.0164009212839971</v>
      </c>
      <c r="E41" s="22">
        <f t="shared" si="9"/>
        <v>0.98050585101670795</v>
      </c>
      <c r="F41" s="22">
        <f t="shared" si="9"/>
        <v>0.94695579700595467</v>
      </c>
      <c r="G41" s="22">
        <f t="shared" si="9"/>
        <v>0.9914680196449851</v>
      </c>
    </row>
    <row r="42" spans="1:7" x14ac:dyDescent="0.25">
      <c r="A42" s="4"/>
      <c r="B42" s="22"/>
      <c r="C42" s="22"/>
      <c r="D42" s="22"/>
      <c r="E42" s="22"/>
      <c r="F42" s="22"/>
      <c r="G42" s="22"/>
    </row>
    <row r="43" spans="1:7" x14ac:dyDescent="0.25">
      <c r="A43" s="4"/>
      <c r="B43" s="22"/>
      <c r="C43" s="22"/>
      <c r="D43" s="22"/>
      <c r="E43" s="22"/>
      <c r="F43" s="22"/>
      <c r="G43" s="22"/>
    </row>
    <row r="44" spans="1:7" x14ac:dyDescent="0.25">
      <c r="A44" s="4"/>
      <c r="B44" s="22"/>
      <c r="C44" s="22"/>
      <c r="D44" s="22"/>
      <c r="E44" s="22"/>
      <c r="F44" s="22"/>
      <c r="G44" s="22"/>
    </row>
    <row r="45" spans="1:7" x14ac:dyDescent="0.25">
      <c r="A45" s="4"/>
      <c r="B45" s="22"/>
      <c r="C45" s="22"/>
      <c r="D45" s="22"/>
      <c r="E45" s="22"/>
      <c r="F45" s="22"/>
      <c r="G45" s="22"/>
    </row>
    <row r="46" spans="1:7" x14ac:dyDescent="0.25">
      <c r="A46" s="4"/>
      <c r="B46" s="22"/>
      <c r="C46" s="22"/>
      <c r="D46" s="22"/>
      <c r="E46" s="22"/>
      <c r="F46" s="22"/>
      <c r="G46" s="22"/>
    </row>
    <row r="47" spans="1:7" x14ac:dyDescent="0.25">
      <c r="A47" s="4"/>
      <c r="B47" s="22"/>
      <c r="C47" s="22"/>
      <c r="D47" s="22"/>
      <c r="E47" s="22"/>
      <c r="F47" s="22"/>
      <c r="G47" s="22"/>
    </row>
    <row r="48" spans="1:7" x14ac:dyDescent="0.25">
      <c r="A48" s="4"/>
      <c r="B48" s="22"/>
      <c r="C48" s="22"/>
      <c r="D48" s="22"/>
      <c r="E48" s="22"/>
      <c r="F48" s="22"/>
      <c r="G48" s="22"/>
    </row>
    <row r="49" spans="2:7" x14ac:dyDescent="0.25">
      <c r="B49" s="22"/>
      <c r="C49" s="22"/>
      <c r="D49" s="22"/>
      <c r="E49" s="22"/>
      <c r="F49" s="22"/>
      <c r="G49" s="22"/>
    </row>
    <row r="50" spans="2:7" x14ac:dyDescent="0.25">
      <c r="B50" s="22"/>
      <c r="C50" s="22"/>
      <c r="D50" s="22"/>
      <c r="E50" s="22"/>
      <c r="F50" s="22"/>
      <c r="G50" s="22"/>
    </row>
    <row r="51" spans="2:7" x14ac:dyDescent="0.25">
      <c r="B51" s="22"/>
      <c r="C51" s="22"/>
      <c r="D51" s="22"/>
      <c r="E51" s="22"/>
      <c r="F51" s="22"/>
      <c r="G51" s="22"/>
    </row>
    <row r="52" spans="2:7" x14ac:dyDescent="0.25">
      <c r="B52" s="22"/>
      <c r="C52" s="22"/>
      <c r="D52" s="22"/>
      <c r="E52" s="22"/>
      <c r="F52" s="22"/>
      <c r="G52" s="22"/>
    </row>
    <row r="53" spans="2:7" x14ac:dyDescent="0.25">
      <c r="B53" s="22"/>
      <c r="C53" s="22"/>
      <c r="D53" s="22"/>
      <c r="E53" s="22"/>
      <c r="F53" s="22"/>
      <c r="G53" s="22"/>
    </row>
    <row r="54" spans="2:7" x14ac:dyDescent="0.25">
      <c r="B54" s="22"/>
      <c r="C54" s="22"/>
      <c r="D54" s="22"/>
      <c r="E54" s="22"/>
      <c r="F54" s="22"/>
      <c r="G54" s="22"/>
    </row>
    <row r="55" spans="2:7" x14ac:dyDescent="0.25">
      <c r="B55" s="22"/>
      <c r="C55" s="22"/>
      <c r="D55" s="22"/>
      <c r="E55" s="22"/>
      <c r="F55" s="22"/>
      <c r="G55" s="22"/>
    </row>
    <row r="56" spans="2:7" x14ac:dyDescent="0.25">
      <c r="B56" s="22"/>
      <c r="C56" s="22"/>
      <c r="D56" s="22"/>
      <c r="E56" s="22"/>
      <c r="F56" s="22"/>
      <c r="G56" s="22"/>
    </row>
    <row r="57" spans="2:7" x14ac:dyDescent="0.25">
      <c r="B57" s="22"/>
      <c r="C57" s="22"/>
      <c r="D57" s="22"/>
      <c r="E57" s="22"/>
      <c r="F57" s="22"/>
      <c r="G57" s="22"/>
    </row>
    <row r="58" spans="2:7" x14ac:dyDescent="0.25">
      <c r="B58" s="22"/>
      <c r="C58" s="22"/>
      <c r="D58" s="22"/>
      <c r="E58" s="22"/>
      <c r="F58" s="22"/>
      <c r="G58" s="22"/>
    </row>
    <row r="59" spans="2:7" x14ac:dyDescent="0.25">
      <c r="B59" s="22"/>
      <c r="C59" s="22"/>
      <c r="D59" s="22"/>
      <c r="E59" s="22"/>
      <c r="F59" s="22"/>
      <c r="G59" s="22"/>
    </row>
    <row r="60" spans="2:7" x14ac:dyDescent="0.25">
      <c r="B60" s="22"/>
      <c r="C60" s="22"/>
      <c r="D60" s="22"/>
      <c r="E60" s="22"/>
      <c r="F60" s="22"/>
      <c r="G60" s="22"/>
    </row>
    <row r="61" spans="2:7" x14ac:dyDescent="0.25">
      <c r="B61" s="22"/>
      <c r="C61" s="22"/>
      <c r="D61" s="22"/>
      <c r="E61" s="22"/>
      <c r="F61" s="22"/>
      <c r="G61" s="22"/>
    </row>
    <row r="62" spans="2:7" x14ac:dyDescent="0.25">
      <c r="B62" s="22"/>
      <c r="C62" s="22"/>
      <c r="D62" s="22"/>
      <c r="E62" s="22"/>
      <c r="F62" s="22"/>
      <c r="G62" s="22"/>
    </row>
    <row r="63" spans="2:7" x14ac:dyDescent="0.25">
      <c r="B63" s="22"/>
      <c r="C63" s="22"/>
      <c r="D63" s="22"/>
      <c r="E63" s="22"/>
      <c r="F63" s="22"/>
      <c r="G63" s="22"/>
    </row>
    <row r="64" spans="2:7" x14ac:dyDescent="0.25">
      <c r="B64" s="22"/>
      <c r="C64" s="22"/>
      <c r="D64" s="22"/>
      <c r="E64" s="22"/>
      <c r="F64" s="22"/>
      <c r="G64" s="22"/>
    </row>
    <row r="65" spans="2:7" x14ac:dyDescent="0.25">
      <c r="B65" s="22"/>
      <c r="C65" s="22"/>
      <c r="D65" s="22"/>
      <c r="E65" s="22"/>
      <c r="F65" s="22"/>
      <c r="G65" s="22"/>
    </row>
    <row r="66" spans="2:7" x14ac:dyDescent="0.25">
      <c r="B66" s="22"/>
      <c r="C66" s="22"/>
      <c r="D66" s="22"/>
      <c r="E66" s="22"/>
      <c r="F66" s="22"/>
      <c r="G66" s="22"/>
    </row>
    <row r="67" spans="2:7" x14ac:dyDescent="0.25">
      <c r="B67" s="22"/>
      <c r="C67" s="22"/>
      <c r="F67" s="22"/>
      <c r="G67" s="22"/>
    </row>
    <row r="73" spans="2:7" x14ac:dyDescent="0.25">
      <c r="D73" s="23"/>
      <c r="E73" s="23"/>
    </row>
    <row r="74" spans="2:7" x14ac:dyDescent="0.25">
      <c r="B74" s="23"/>
      <c r="C74" s="23"/>
      <c r="D74" s="23"/>
      <c r="E74" s="23"/>
      <c r="F74" s="23"/>
      <c r="G74" s="23"/>
    </row>
    <row r="75" spans="2:7" x14ac:dyDescent="0.25">
      <c r="B75" s="23"/>
      <c r="C75" s="23"/>
      <c r="F75" s="23"/>
      <c r="G75" s="23"/>
    </row>
    <row r="93" spans="2:7" x14ac:dyDescent="0.25">
      <c r="D93" s="14"/>
      <c r="E93" s="14"/>
    </row>
    <row r="94" spans="2:7" x14ac:dyDescent="0.25">
      <c r="B94" s="14"/>
      <c r="C94" s="14"/>
      <c r="D94" s="14"/>
      <c r="E94" s="14"/>
      <c r="F94" s="14"/>
      <c r="G94" s="14"/>
    </row>
    <row r="95" spans="2:7" x14ac:dyDescent="0.25">
      <c r="B95" s="14"/>
      <c r="C95" s="14"/>
      <c r="F95" s="14"/>
      <c r="G95" s="14"/>
    </row>
  </sheetData>
  <phoneticPr fontId="0" type="noConversion"/>
  <pageMargins left="0.38" right="0.75" top="0.73" bottom="0.74" header="0.5" footer="0.5"/>
  <pageSetup scale="86"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pageSetUpPr fitToPage="1"/>
  </sheetPr>
  <dimension ref="A1:J57"/>
  <sheetViews>
    <sheetView workbookViewId="0">
      <selection activeCell="C33" sqref="C33"/>
    </sheetView>
  </sheetViews>
  <sheetFormatPr defaultRowHeight="13.2" x14ac:dyDescent="0.25"/>
  <cols>
    <col min="1" max="1" width="17" bestFit="1" customWidth="1"/>
    <col min="2" max="2" width="14.21875" style="6" bestFit="1" customWidth="1"/>
    <col min="3" max="3" width="14.21875" style="6" customWidth="1"/>
    <col min="4" max="4" width="17.5546875" style="6" customWidth="1"/>
    <col min="5" max="5" width="12.5546875" style="6" bestFit="1" customWidth="1"/>
    <col min="6" max="6" width="14.44140625" style="6" bestFit="1" customWidth="1"/>
    <col min="7" max="7" width="11.5546875" style="6" bestFit="1" customWidth="1"/>
    <col min="8" max="8" width="10.5546875" style="6" bestFit="1" customWidth="1"/>
    <col min="9" max="10" width="9.21875" style="6" customWidth="1"/>
  </cols>
  <sheetData>
    <row r="1" spans="1:10" ht="42" customHeight="1" x14ac:dyDescent="0.25">
      <c r="B1" s="8" t="str">
        <f>'Rate Class Customer Model'!D2</f>
        <v>GS&gt;50 (excl. WMP)</v>
      </c>
      <c r="C1" s="8" t="str">
        <f>'Rate Class Customer Model'!E2</f>
        <v>Sentinels</v>
      </c>
      <c r="D1" s="8" t="str">
        <f>'Rate Class Customer Model'!F2</f>
        <v>Streetlights</v>
      </c>
      <c r="E1" s="6" t="s">
        <v>10</v>
      </c>
      <c r="G1" s="238" t="s">
        <v>262</v>
      </c>
    </row>
    <row r="2" spans="1:10" x14ac:dyDescent="0.25">
      <c r="A2" s="26">
        <v>2006</v>
      </c>
      <c r="B2" s="37">
        <v>1481342.88</v>
      </c>
      <c r="C2" s="36">
        <v>0</v>
      </c>
      <c r="D2" s="37">
        <v>21299</v>
      </c>
      <c r="E2" s="6">
        <f t="shared" ref="E2:E18" si="0">SUM(B2:D2)</f>
        <v>1502641.88</v>
      </c>
    </row>
    <row r="3" spans="1:10" x14ac:dyDescent="0.25">
      <c r="A3" s="26">
        <v>2007</v>
      </c>
      <c r="B3" s="37">
        <v>1489945.61</v>
      </c>
      <c r="C3" s="36">
        <v>0</v>
      </c>
      <c r="D3" s="37">
        <v>21758</v>
      </c>
      <c r="E3" s="6">
        <f t="shared" si="0"/>
        <v>1511703.61</v>
      </c>
    </row>
    <row r="4" spans="1:10" x14ac:dyDescent="0.25">
      <c r="A4" s="26">
        <v>2008</v>
      </c>
      <c r="B4" s="37">
        <v>1450726.3200000003</v>
      </c>
      <c r="C4" s="36">
        <v>0</v>
      </c>
      <c r="D4" s="37">
        <v>22064</v>
      </c>
      <c r="E4" s="6">
        <f t="shared" si="0"/>
        <v>1472790.3200000003</v>
      </c>
    </row>
    <row r="5" spans="1:10" x14ac:dyDescent="0.25">
      <c r="A5" s="26">
        <v>2009</v>
      </c>
      <c r="B5" s="37">
        <v>1326769.78</v>
      </c>
      <c r="C5" s="36">
        <v>0</v>
      </c>
      <c r="D5" s="37">
        <v>22380</v>
      </c>
      <c r="E5" s="6">
        <f t="shared" si="0"/>
        <v>1349149.78</v>
      </c>
    </row>
    <row r="6" spans="1:10" x14ac:dyDescent="0.25">
      <c r="A6" s="26">
        <v>2010</v>
      </c>
      <c r="B6" s="37">
        <v>1323482.2400000002</v>
      </c>
      <c r="C6" s="36">
        <v>1534.31</v>
      </c>
      <c r="D6" s="37">
        <v>22480</v>
      </c>
      <c r="E6" s="6">
        <f t="shared" si="0"/>
        <v>1347496.5500000003</v>
      </c>
    </row>
    <row r="7" spans="1:10" s="28" customFormat="1" x14ac:dyDescent="0.25">
      <c r="A7" s="229">
        <v>2011</v>
      </c>
      <c r="B7" s="37">
        <v>1344251</v>
      </c>
      <c r="C7" s="36">
        <v>1487.24</v>
      </c>
      <c r="D7" s="37">
        <v>22428</v>
      </c>
      <c r="E7" s="24">
        <f>SUM(B7:D7)</f>
        <v>1368166.24</v>
      </c>
      <c r="F7" s="24"/>
      <c r="G7" s="24"/>
      <c r="H7" s="24"/>
      <c r="I7" s="24"/>
      <c r="J7" s="24"/>
    </row>
    <row r="8" spans="1:10" s="28" customFormat="1" x14ac:dyDescent="0.25">
      <c r="A8" s="229">
        <v>2012</v>
      </c>
      <c r="B8" s="37">
        <v>1398783.62</v>
      </c>
      <c r="C8" s="36">
        <v>1392.0700000000002</v>
      </c>
      <c r="D8" s="37">
        <v>22533</v>
      </c>
      <c r="E8" s="24">
        <f t="shared" si="0"/>
        <v>1422708.6900000002</v>
      </c>
      <c r="F8" s="24"/>
      <c r="G8" s="24"/>
      <c r="H8" s="24"/>
      <c r="I8" s="24"/>
      <c r="J8" s="24"/>
    </row>
    <row r="9" spans="1:10" s="28" customFormat="1" x14ac:dyDescent="0.25">
      <c r="A9" s="229">
        <v>2013</v>
      </c>
      <c r="B9" s="37">
        <v>1395148.24</v>
      </c>
      <c r="C9" s="36">
        <v>1384.9899999999998</v>
      </c>
      <c r="D9" s="37">
        <v>22581</v>
      </c>
      <c r="E9" s="24">
        <f t="shared" si="0"/>
        <v>1419114.23</v>
      </c>
      <c r="F9" s="24"/>
      <c r="G9" s="24"/>
      <c r="H9" s="24"/>
      <c r="I9" s="24"/>
      <c r="J9" s="24"/>
    </row>
    <row r="10" spans="1:10" s="28" customFormat="1" x14ac:dyDescent="0.25">
      <c r="A10" s="229">
        <v>2014</v>
      </c>
      <c r="B10" s="37">
        <v>1368652.3</v>
      </c>
      <c r="C10" s="36">
        <v>1361</v>
      </c>
      <c r="D10" s="37">
        <v>22553</v>
      </c>
      <c r="E10" s="24">
        <f t="shared" si="0"/>
        <v>1392566.3</v>
      </c>
      <c r="F10" s="24"/>
      <c r="G10" s="24"/>
      <c r="H10" s="24"/>
      <c r="I10" s="24"/>
      <c r="J10" s="24"/>
    </row>
    <row r="11" spans="1:10" s="28" customFormat="1" x14ac:dyDescent="0.25">
      <c r="A11" s="229">
        <v>2015</v>
      </c>
      <c r="B11" s="37">
        <v>1388241.3</v>
      </c>
      <c r="C11" s="36">
        <v>1363.29</v>
      </c>
      <c r="D11" s="37">
        <v>22527</v>
      </c>
      <c r="E11" s="24">
        <f t="shared" si="0"/>
        <v>1412131.59</v>
      </c>
      <c r="F11" s="24" t="s">
        <v>202</v>
      </c>
      <c r="G11" s="24"/>
      <c r="H11" s="24"/>
      <c r="I11" s="24"/>
      <c r="J11" s="24"/>
    </row>
    <row r="12" spans="1:10" x14ac:dyDescent="0.25">
      <c r="A12" s="26">
        <v>2016</v>
      </c>
      <c r="B12" s="37">
        <f>994736.57+384221.71</f>
        <v>1378958.28</v>
      </c>
      <c r="C12" s="36">
        <v>923</v>
      </c>
      <c r="D12" s="37">
        <v>22444</v>
      </c>
      <c r="E12" s="6">
        <f>SUM(B12:D12)</f>
        <v>1402325.28</v>
      </c>
      <c r="F12" s="24" t="s">
        <v>202</v>
      </c>
    </row>
    <row r="13" spans="1:10" x14ac:dyDescent="0.25">
      <c r="A13" s="26">
        <v>2017</v>
      </c>
      <c r="B13" s="37">
        <f>112237+1288154</f>
        <v>1400391</v>
      </c>
      <c r="C13" s="36">
        <v>570</v>
      </c>
      <c r="D13" s="37">
        <v>22338</v>
      </c>
      <c r="E13" s="6">
        <f t="shared" si="0"/>
        <v>1423299</v>
      </c>
      <c r="F13" s="24" t="s">
        <v>202</v>
      </c>
    </row>
    <row r="14" spans="1:10" x14ac:dyDescent="0.25">
      <c r="A14" s="279">
        <v>2018</v>
      </c>
      <c r="B14" s="37">
        <f>106845+1328400</f>
        <v>1435245</v>
      </c>
      <c r="C14" s="36">
        <v>520</v>
      </c>
      <c r="D14" s="37">
        <v>22227</v>
      </c>
      <c r="E14" s="6">
        <f t="shared" si="0"/>
        <v>1457992</v>
      </c>
      <c r="F14" s="24" t="s">
        <v>202</v>
      </c>
    </row>
    <row r="15" spans="1:10" x14ac:dyDescent="0.25">
      <c r="A15" s="279">
        <v>2019</v>
      </c>
      <c r="B15" s="37">
        <f>1355662.76+95246.57</f>
        <v>1450909.33</v>
      </c>
      <c r="C15" s="36">
        <v>568</v>
      </c>
      <c r="D15" s="37">
        <v>21978.7</v>
      </c>
      <c r="E15" s="6">
        <f t="shared" si="0"/>
        <v>1473456.03</v>
      </c>
      <c r="F15" s="24" t="s">
        <v>202</v>
      </c>
    </row>
    <row r="16" spans="1:10" x14ac:dyDescent="0.25">
      <c r="A16" s="279">
        <v>2020</v>
      </c>
      <c r="B16" s="37">
        <v>1428136.72</v>
      </c>
      <c r="C16" s="36">
        <v>554.28999999999974</v>
      </c>
      <c r="D16" s="37">
        <v>21543.26</v>
      </c>
      <c r="E16" s="6">
        <f>SUM(B16:D16)</f>
        <v>1450234.27</v>
      </c>
      <c r="F16" s="24" t="s">
        <v>202</v>
      </c>
    </row>
    <row r="17" spans="1:10" x14ac:dyDescent="0.25">
      <c r="A17" s="279">
        <v>2021</v>
      </c>
      <c r="B17" s="27">
        <f>$B$33*'Rate Class Energy Model'!J84</f>
        <v>1317808.2277504546</v>
      </c>
      <c r="C17" s="27">
        <f>$C$33*'Rate Class Energy Model'!K84</f>
        <v>509.96507329783549</v>
      </c>
      <c r="D17" s="27">
        <f>$D$33*'Rate Class Energy Model'!L84+G17</f>
        <v>22103.207939749733</v>
      </c>
      <c r="E17" s="6">
        <f t="shared" si="0"/>
        <v>1340421.4007635021</v>
      </c>
      <c r="G17" s="367">
        <v>-435</v>
      </c>
    </row>
    <row r="18" spans="1:10" x14ac:dyDescent="0.25">
      <c r="A18" s="279">
        <v>2022</v>
      </c>
      <c r="B18" s="27">
        <f>$B$33*'Rate Class Energy Model'!J85</f>
        <v>1337288.3673442425</v>
      </c>
      <c r="C18" s="27">
        <f>$C$33*'Rate Class Energy Model'!K85</f>
        <v>462.46010571397261</v>
      </c>
      <c r="D18" s="27">
        <f>$D$33*'Rate Class Energy Model'!L85+G18</f>
        <v>22947.72530147756</v>
      </c>
      <c r="E18" s="6">
        <f t="shared" si="0"/>
        <v>1360698.552751434</v>
      </c>
      <c r="G18" s="367">
        <f>-435*2</f>
        <v>-870</v>
      </c>
    </row>
    <row r="19" spans="1:10" x14ac:dyDescent="0.25">
      <c r="A19" s="17"/>
    </row>
    <row r="20" spans="1:10" x14ac:dyDescent="0.25">
      <c r="A20" s="16" t="s">
        <v>56</v>
      </c>
      <c r="B20" s="5"/>
      <c r="C20" s="5"/>
      <c r="D20" s="5"/>
    </row>
    <row r="21" spans="1:10" x14ac:dyDescent="0.25">
      <c r="A21" s="4">
        <v>2010</v>
      </c>
      <c r="B21" s="254">
        <f>B6/'Rate Class Energy Model'!J7</f>
        <v>2.5367393647145425E-3</v>
      </c>
      <c r="C21" s="25">
        <f>C6/'Rate Class Energy Model'!K7</f>
        <v>3.1923889183650112E-3</v>
      </c>
      <c r="D21" s="25">
        <f>D6/'Rate Class Energy Model'!L7</f>
        <v>3.0566939217342225E-3</v>
      </c>
    </row>
    <row r="22" spans="1:10" x14ac:dyDescent="0.25">
      <c r="A22" s="4">
        <v>2011</v>
      </c>
      <c r="B22" s="254">
        <f>B7/'Rate Class Energy Model'!J8</f>
        <v>2.5875109408273634E-3</v>
      </c>
      <c r="C22" s="25">
        <f>C7/'Rate Class Energy Model'!K8</f>
        <v>3.1282194742831182E-3</v>
      </c>
      <c r="D22" s="25">
        <f>D7/'Rate Class Energy Model'!L8</f>
        <v>3.0594080070060281E-3</v>
      </c>
    </row>
    <row r="23" spans="1:10" x14ac:dyDescent="0.25">
      <c r="A23" s="4">
        <v>2012</v>
      </c>
      <c r="B23" s="254">
        <f>B8/'Rate Class Energy Model'!J9</f>
        <v>2.5926387713965985E-3</v>
      </c>
      <c r="C23" s="25">
        <f>C8/'Rate Class Energy Model'!K9</f>
        <v>3.0302311305763683E-3</v>
      </c>
      <c r="D23" s="25">
        <f>D8/'Rate Class Energy Model'!L9</f>
        <v>3.046904727198381E-3</v>
      </c>
    </row>
    <row r="24" spans="1:10" x14ac:dyDescent="0.25">
      <c r="A24" s="4">
        <v>2013</v>
      </c>
      <c r="B24" s="254">
        <f>B9/'Rate Class Energy Model'!J10</f>
        <v>2.6096018347677905E-3</v>
      </c>
      <c r="C24" s="25">
        <f>C9/'Rate Class Energy Model'!K10</f>
        <v>3.0861361296676748E-3</v>
      </c>
      <c r="D24" s="25">
        <f>D9/'Rate Class Energy Model'!L10</f>
        <v>3.0569737543755908E-3</v>
      </c>
    </row>
    <row r="25" spans="1:10" x14ac:dyDescent="0.25">
      <c r="A25" s="4">
        <v>2014</v>
      </c>
      <c r="B25" s="254">
        <f>B10/'Rate Class Energy Model'!J11</f>
        <v>2.7483766607446962E-3</v>
      </c>
      <c r="C25" s="25">
        <f>C10/'Rate Class Energy Model'!K11</f>
        <v>3.0574169880960671E-3</v>
      </c>
      <c r="D25" s="25">
        <f>D10/'Rate Class Energy Model'!L11</f>
        <v>3.0566831551996211E-3</v>
      </c>
    </row>
    <row r="26" spans="1:10" x14ac:dyDescent="0.25">
      <c r="A26" s="4">
        <v>2015</v>
      </c>
      <c r="B26" s="254">
        <f>B11/'Rate Class Energy Model'!J12</f>
        <v>2.7333673059924063E-3</v>
      </c>
      <c r="C26" s="25">
        <f>C11/'Rate Class Energy Model'!K12</f>
        <v>3.0550121345353583E-3</v>
      </c>
      <c r="D26" s="25">
        <f>D11/'Rate Class Energy Model'!L12</f>
        <v>3.0566993508839013E-3</v>
      </c>
    </row>
    <row r="27" spans="1:10" x14ac:dyDescent="0.25">
      <c r="A27" s="4">
        <v>2016</v>
      </c>
      <c r="B27" s="254">
        <f>B12/'Rate Class Energy Model'!J13</f>
        <v>2.7103529501072746E-3</v>
      </c>
      <c r="C27" s="25">
        <f>C12/'Rate Class Energy Model'!K13</f>
        <v>2.9381897822301595E-3</v>
      </c>
      <c r="D27" s="25">
        <f>D12/'Rate Class Energy Model'!L13</f>
        <v>3.0461070456086806E-3</v>
      </c>
    </row>
    <row r="28" spans="1:10" x14ac:dyDescent="0.25">
      <c r="A28" s="4">
        <v>2017</v>
      </c>
      <c r="B28" s="254">
        <f>B13/'Rate Class Energy Model'!J14</f>
        <v>2.7283113072927531E-3</v>
      </c>
      <c r="C28" s="25">
        <f>C13/'Rate Class Energy Model'!K14</f>
        <v>3.0562347188264061E-3</v>
      </c>
      <c r="D28" s="25">
        <f>D13/'Rate Class Energy Model'!L14</f>
        <v>3.0497024499057906E-3</v>
      </c>
    </row>
    <row r="29" spans="1:10" x14ac:dyDescent="0.25">
      <c r="A29" s="4">
        <v>2018</v>
      </c>
      <c r="B29" s="254">
        <f>B14/'Rate Class Energy Model'!J15</f>
        <v>2.710092625916601E-3</v>
      </c>
      <c r="C29" s="25">
        <f>C14/'Rate Class Energy Model'!K15</f>
        <v>2.7365108434242169E-3</v>
      </c>
      <c r="D29" s="25">
        <f>D14/'Rate Class Energy Model'!L15</f>
        <v>3.09069773262621E-3</v>
      </c>
    </row>
    <row r="30" spans="1:10" x14ac:dyDescent="0.25">
      <c r="A30" s="4">
        <v>2019</v>
      </c>
      <c r="B30" s="254">
        <f>B15/'Rate Class Energy Model'!J16</f>
        <v>2.6961033718966303E-3</v>
      </c>
      <c r="C30" s="25">
        <f>C15/'Rate Class Energy Model'!K16</f>
        <v>2.9134496360544611E-3</v>
      </c>
      <c r="D30" s="25">
        <f>D15/'Rate Class Energy Model'!L16</f>
        <v>3.0752161489997543E-3</v>
      </c>
      <c r="E30"/>
      <c r="F30"/>
      <c r="G30"/>
      <c r="H30"/>
      <c r="I30"/>
      <c r="J30"/>
    </row>
    <row r="31" spans="1:10" x14ac:dyDescent="0.25">
      <c r="A31" s="4">
        <v>2020</v>
      </c>
      <c r="B31" s="254">
        <f>B16/'Rate Class Energy Model'!J17</f>
        <v>2.7385931089906842E-3</v>
      </c>
      <c r="C31" s="25">
        <f>C16/'Rate Class Energy Model'!K17</f>
        <v>2.9524542455128711E-3</v>
      </c>
      <c r="D31" s="25">
        <f>D16/'Rate Class Energy Model'!L17</f>
        <v>3.0942658757377776E-3</v>
      </c>
      <c r="E31"/>
      <c r="F31"/>
      <c r="G31"/>
      <c r="H31"/>
      <c r="I31"/>
      <c r="J31"/>
    </row>
    <row r="32" spans="1:10" x14ac:dyDescent="0.25">
      <c r="A32" s="4"/>
      <c r="E32"/>
      <c r="F32"/>
      <c r="G32"/>
      <c r="H32"/>
      <c r="I32"/>
      <c r="J32"/>
    </row>
    <row r="33" spans="1:10" x14ac:dyDescent="0.25">
      <c r="A33" t="s">
        <v>11</v>
      </c>
      <c r="B33" s="25">
        <f>AVERAGE(B22:B31)</f>
        <v>2.6854948877932799E-3</v>
      </c>
      <c r="C33" s="25">
        <f>AVERAGE(C22:C31)</f>
        <v>2.99538550832067E-3</v>
      </c>
      <c r="D33" s="25">
        <f>AVERAGE(D22:D31)</f>
        <v>3.0632658247541733E-3</v>
      </c>
      <c r="E33"/>
      <c r="F33"/>
      <c r="G33"/>
      <c r="H33"/>
      <c r="I33"/>
      <c r="J33"/>
    </row>
    <row r="35" spans="1:10" x14ac:dyDescent="0.25">
      <c r="A35" s="336" t="s">
        <v>190</v>
      </c>
      <c r="B35" s="364">
        <f>AVERAGE(B27:B31)</f>
        <v>2.7166906728407882E-3</v>
      </c>
      <c r="C35" s="364">
        <f>AVERAGE(C27:C31)</f>
        <v>2.9193678452096227E-3</v>
      </c>
      <c r="D35" s="364">
        <f>AVERAGE(D27:D31)</f>
        <v>3.0711978505756428E-3</v>
      </c>
      <c r="E35"/>
      <c r="F35"/>
      <c r="G35"/>
      <c r="H35"/>
      <c r="I35"/>
      <c r="J35"/>
    </row>
    <row r="36" spans="1:10" x14ac:dyDescent="0.25">
      <c r="B36" s="23"/>
      <c r="D36" s="23"/>
      <c r="E36"/>
      <c r="F36"/>
      <c r="G36"/>
      <c r="H36"/>
      <c r="I36"/>
      <c r="J36"/>
    </row>
    <row r="37" spans="1:10" x14ac:dyDescent="0.25">
      <c r="B37" s="23"/>
      <c r="D37" s="23"/>
      <c r="E37"/>
      <c r="F37"/>
      <c r="G37"/>
      <c r="H37"/>
      <c r="I37"/>
      <c r="J37"/>
    </row>
    <row r="56" spans="2:10" x14ac:dyDescent="0.25">
      <c r="B56" s="14"/>
      <c r="C56" s="14"/>
      <c r="D56" s="14"/>
      <c r="E56"/>
      <c r="F56"/>
      <c r="G56"/>
      <c r="H56"/>
      <c r="I56"/>
      <c r="J56"/>
    </row>
    <row r="57" spans="2:10" x14ac:dyDescent="0.25">
      <c r="B57" s="14"/>
      <c r="C57" s="14"/>
      <c r="D57" s="14"/>
      <c r="E57"/>
      <c r="F57"/>
      <c r="G57"/>
      <c r="H57"/>
      <c r="I57"/>
      <c r="J57"/>
    </row>
  </sheetData>
  <phoneticPr fontId="0" type="noConversion"/>
  <pageMargins left="0.38" right="0.75" top="0.73" bottom="0.74" header="0.5" footer="0.5"/>
  <pageSetup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I218"/>
  <sheetViews>
    <sheetView zoomScale="70" zoomScaleNormal="70" workbookViewId="0">
      <selection activeCell="I10" sqref="I10"/>
    </sheetView>
  </sheetViews>
  <sheetFormatPr defaultColWidth="8.77734375" defaultRowHeight="13.2" x14ac:dyDescent="0.25"/>
  <cols>
    <col min="1" max="1" width="8.77734375" style="54"/>
    <col min="2" max="3" width="16.44140625" style="322" customWidth="1"/>
    <col min="4" max="4" width="7.77734375" style="54" customWidth="1"/>
    <col min="5" max="5" width="20.77734375" style="85" customWidth="1"/>
    <col min="6" max="6" width="20.5546875" style="322" customWidth="1"/>
    <col min="7" max="7" width="29.77734375" style="322" customWidth="1"/>
    <col min="8" max="8" width="29.77734375" style="332" customWidth="1"/>
    <col min="9" max="9" width="30" style="322" customWidth="1"/>
    <col min="10" max="10" width="32.21875" style="322" customWidth="1"/>
    <col min="11" max="11" width="8.77734375" style="322" customWidth="1"/>
    <col min="12" max="12" width="16.21875" style="333" bestFit="1" customWidth="1"/>
    <col min="13" max="13" width="14.77734375" style="322" customWidth="1"/>
    <col min="14" max="14" width="20" style="322" customWidth="1"/>
    <col min="15" max="15" width="15.44140625" style="333" customWidth="1"/>
    <col min="16" max="16" width="17" style="54" customWidth="1"/>
    <col min="17" max="17" width="17.77734375" style="54" customWidth="1"/>
    <col min="18" max="18" width="12.77734375" style="54" bestFit="1" customWidth="1"/>
    <col min="19" max="19" width="13.77734375" style="54" bestFit="1" customWidth="1"/>
    <col min="20" max="26" width="8.77734375" style="54"/>
    <col min="27" max="27" width="30.5546875" style="54" bestFit="1" customWidth="1"/>
    <col min="28" max="28" width="18.44140625" style="54" bestFit="1" customWidth="1"/>
    <col min="29" max="29" width="13.44140625" style="54" bestFit="1" customWidth="1"/>
    <col min="30" max="16384" width="8.77734375" style="54"/>
  </cols>
  <sheetData>
    <row r="1" spans="4:35" x14ac:dyDescent="0.25">
      <c r="AA1" t="s">
        <v>16</v>
      </c>
      <c r="AB1"/>
      <c r="AC1"/>
      <c r="AD1"/>
      <c r="AE1"/>
      <c r="AF1"/>
      <c r="AG1"/>
      <c r="AH1"/>
      <c r="AI1"/>
    </row>
    <row r="2" spans="4:35" ht="42" customHeight="1" thickBot="1" x14ac:dyDescent="0.3">
      <c r="AA2"/>
      <c r="AB2"/>
      <c r="AC2"/>
      <c r="AD2"/>
      <c r="AE2"/>
      <c r="AF2"/>
      <c r="AG2"/>
      <c r="AH2"/>
      <c r="AI2"/>
    </row>
    <row r="3" spans="4:35" x14ac:dyDescent="0.25">
      <c r="AA3" s="214" t="s">
        <v>17</v>
      </c>
      <c r="AB3" s="214"/>
      <c r="AC3"/>
      <c r="AD3"/>
      <c r="AE3"/>
      <c r="AF3"/>
      <c r="AG3"/>
      <c r="AH3"/>
      <c r="AI3"/>
    </row>
    <row r="4" spans="4:35" x14ac:dyDescent="0.25">
      <c r="AA4" s="211" t="s">
        <v>18</v>
      </c>
      <c r="AB4" s="211">
        <v>0.95023337091850368</v>
      </c>
      <c r="AC4"/>
      <c r="AD4"/>
      <c r="AE4"/>
      <c r="AF4"/>
      <c r="AG4"/>
      <c r="AH4"/>
      <c r="AI4"/>
    </row>
    <row r="5" spans="4:35" ht="15" x14ac:dyDescent="0.25">
      <c r="D5" s="390"/>
      <c r="E5" s="391" t="s">
        <v>226</v>
      </c>
      <c r="F5" s="392"/>
      <c r="G5" s="392"/>
      <c r="H5" s="392"/>
      <c r="I5" s="392"/>
      <c r="J5" s="393"/>
      <c r="AA5" s="211" t="s">
        <v>19</v>
      </c>
      <c r="AB5" s="211">
        <v>0.90294345920714258</v>
      </c>
      <c r="AC5"/>
      <c r="AD5"/>
      <c r="AE5"/>
      <c r="AF5"/>
      <c r="AG5"/>
      <c r="AH5"/>
      <c r="AI5"/>
    </row>
    <row r="6" spans="4:35" ht="15" x14ac:dyDescent="0.25">
      <c r="D6" s="391" t="s">
        <v>217</v>
      </c>
      <c r="E6" s="390" t="s">
        <v>251</v>
      </c>
      <c r="F6" s="394" t="s">
        <v>253</v>
      </c>
      <c r="G6" s="394" t="s">
        <v>258</v>
      </c>
      <c r="H6" s="394" t="s">
        <v>259</v>
      </c>
      <c r="I6" s="394" t="s">
        <v>252</v>
      </c>
      <c r="J6" s="395" t="s">
        <v>257</v>
      </c>
      <c r="AA6" s="211" t="s">
        <v>20</v>
      </c>
      <c r="AB6" s="211">
        <v>0.89500246950590878</v>
      </c>
      <c r="AC6"/>
      <c r="AD6"/>
      <c r="AE6"/>
      <c r="AF6"/>
      <c r="AG6"/>
      <c r="AH6"/>
      <c r="AI6"/>
    </row>
    <row r="7" spans="4:35" ht="15" x14ac:dyDescent="0.25">
      <c r="D7" s="390">
        <v>2010</v>
      </c>
      <c r="E7" s="396">
        <v>12</v>
      </c>
      <c r="F7" s="397">
        <v>950759112.65007687</v>
      </c>
      <c r="G7" s="397">
        <v>3500.8999999999996</v>
      </c>
      <c r="H7" s="407">
        <v>439.6</v>
      </c>
      <c r="I7" s="407">
        <v>960319810.41915989</v>
      </c>
      <c r="J7" s="398">
        <v>-9560697.7690829039</v>
      </c>
      <c r="K7" s="411">
        <f>J7/F7</f>
        <v>-1.0055857095530864E-2</v>
      </c>
      <c r="N7" s="333"/>
      <c r="AA7" s="211" t="s">
        <v>21</v>
      </c>
      <c r="AB7" s="211">
        <v>2068852.5407114995</v>
      </c>
      <c r="AC7"/>
      <c r="AD7"/>
      <c r="AE7"/>
      <c r="AF7"/>
      <c r="AG7"/>
      <c r="AH7"/>
      <c r="AI7"/>
    </row>
    <row r="8" spans="4:35" ht="15.6" thickBot="1" x14ac:dyDescent="0.3">
      <c r="D8" s="399">
        <v>2011</v>
      </c>
      <c r="E8" s="400">
        <v>12</v>
      </c>
      <c r="F8" s="401">
        <v>944902732.12384617</v>
      </c>
      <c r="G8" s="401">
        <v>3647.4999999999995</v>
      </c>
      <c r="H8" s="408">
        <v>427.99999999999994</v>
      </c>
      <c r="I8" s="408">
        <v>958844382.30784512</v>
      </c>
      <c r="J8" s="402">
        <v>-13941650.183998927</v>
      </c>
      <c r="K8" s="411">
        <f t="shared" ref="K8:K17" si="0">J8/F8</f>
        <v>-1.475458765227872E-2</v>
      </c>
      <c r="AA8" s="212" t="s">
        <v>22</v>
      </c>
      <c r="AB8" s="212">
        <v>120</v>
      </c>
      <c r="AC8"/>
      <c r="AD8"/>
      <c r="AE8"/>
      <c r="AF8"/>
      <c r="AG8"/>
      <c r="AH8"/>
      <c r="AI8"/>
    </row>
    <row r="9" spans="4:35" ht="15" x14ac:dyDescent="0.25">
      <c r="D9" s="399">
        <v>2012</v>
      </c>
      <c r="E9" s="400">
        <v>12</v>
      </c>
      <c r="F9" s="401">
        <v>964379230.70517492</v>
      </c>
      <c r="G9" s="401">
        <v>3215.4000000000005</v>
      </c>
      <c r="H9" s="408">
        <v>477.40000000000003</v>
      </c>
      <c r="I9" s="408">
        <v>950666119.44824326</v>
      </c>
      <c r="J9" s="402">
        <v>13713111.256931573</v>
      </c>
      <c r="K9" s="411">
        <f t="shared" si="0"/>
        <v>1.4219625247325422E-2</v>
      </c>
      <c r="AA9"/>
      <c r="AB9"/>
      <c r="AC9"/>
      <c r="AD9"/>
      <c r="AE9"/>
      <c r="AF9"/>
      <c r="AG9"/>
      <c r="AH9"/>
      <c r="AI9"/>
    </row>
    <row r="10" spans="4:35" ht="15.6" thickBot="1" x14ac:dyDescent="0.3">
      <c r="D10" s="399">
        <v>2013</v>
      </c>
      <c r="E10" s="400">
        <v>12</v>
      </c>
      <c r="F10" s="401">
        <v>961335479.00000012</v>
      </c>
      <c r="G10" s="401">
        <v>3774.7000000000003</v>
      </c>
      <c r="H10" s="408">
        <v>325.79999999999995</v>
      </c>
      <c r="I10" s="408">
        <v>927029805.31403124</v>
      </c>
      <c r="J10" s="402">
        <v>34305673.685968891</v>
      </c>
      <c r="K10" s="411">
        <f t="shared" si="0"/>
        <v>3.5685433894163898E-2</v>
      </c>
      <c r="AA10" t="s">
        <v>23</v>
      </c>
      <c r="AB10"/>
      <c r="AC10"/>
      <c r="AD10"/>
      <c r="AE10"/>
      <c r="AF10"/>
      <c r="AG10"/>
      <c r="AH10"/>
      <c r="AI10"/>
    </row>
    <row r="11" spans="4:35" ht="15" x14ac:dyDescent="0.25">
      <c r="D11" s="399">
        <v>2014</v>
      </c>
      <c r="E11" s="400">
        <v>12</v>
      </c>
      <c r="F11" s="401">
        <v>913546785.3566668</v>
      </c>
      <c r="G11" s="401">
        <v>4102.8999999999996</v>
      </c>
      <c r="H11" s="408">
        <v>264.2</v>
      </c>
      <c r="I11" s="408">
        <v>918015075.310835</v>
      </c>
      <c r="J11" s="402">
        <v>-4468289.9541683197</v>
      </c>
      <c r="K11" s="411">
        <f t="shared" si="0"/>
        <v>-4.891145178102521E-3</v>
      </c>
      <c r="AA11" s="213"/>
      <c r="AB11" s="213" t="s">
        <v>27</v>
      </c>
      <c r="AC11" s="213" t="s">
        <v>28</v>
      </c>
      <c r="AD11" s="213" t="s">
        <v>29</v>
      </c>
      <c r="AE11" s="213" t="s">
        <v>30</v>
      </c>
      <c r="AF11" s="213" t="s">
        <v>31</v>
      </c>
      <c r="AG11"/>
      <c r="AH11"/>
      <c r="AI11"/>
    </row>
    <row r="12" spans="4:35" ht="15" x14ac:dyDescent="0.25">
      <c r="D12" s="399">
        <v>2015</v>
      </c>
      <c r="E12" s="400">
        <v>12</v>
      </c>
      <c r="F12" s="401">
        <v>920489866.98307681</v>
      </c>
      <c r="G12" s="401">
        <v>3765.5</v>
      </c>
      <c r="H12" s="408">
        <v>351.19999999999993</v>
      </c>
      <c r="I12" s="408">
        <v>924465660.20835423</v>
      </c>
      <c r="J12" s="402">
        <v>-3975793.2252772748</v>
      </c>
      <c r="K12" s="411">
        <f t="shared" si="0"/>
        <v>-4.3192145485620751E-3</v>
      </c>
      <c r="AA12" s="211" t="s">
        <v>24</v>
      </c>
      <c r="AB12" s="211">
        <v>9</v>
      </c>
      <c r="AC12" s="211">
        <v>4380135111400384</v>
      </c>
      <c r="AD12" s="211">
        <v>486681679044487.12</v>
      </c>
      <c r="AE12" s="211">
        <v>113.70666543829584</v>
      </c>
      <c r="AF12" s="211">
        <v>1.6613093252871921E-51</v>
      </c>
      <c r="AG12"/>
      <c r="AH12"/>
      <c r="AI12"/>
    </row>
    <row r="13" spans="4:35" ht="15" x14ac:dyDescent="0.25">
      <c r="D13" s="399">
        <v>2016</v>
      </c>
      <c r="E13" s="400">
        <v>12</v>
      </c>
      <c r="F13" s="401">
        <v>928717584.78461564</v>
      </c>
      <c r="G13" s="401">
        <v>3462.2999999999997</v>
      </c>
      <c r="H13" s="408">
        <v>566.4</v>
      </c>
      <c r="I13" s="408">
        <v>950199934.43693376</v>
      </c>
      <c r="J13" s="402">
        <v>-21482349.652318329</v>
      </c>
      <c r="K13" s="411">
        <f t="shared" si="0"/>
        <v>-2.3131197259821917E-2</v>
      </c>
      <c r="AA13" s="211" t="s">
        <v>25</v>
      </c>
      <c r="AB13" s="211">
        <v>110</v>
      </c>
      <c r="AC13" s="211">
        <v>470816591872926.94</v>
      </c>
      <c r="AD13" s="211">
        <v>4280150835208.4268</v>
      </c>
      <c r="AE13" s="211"/>
      <c r="AF13" s="211"/>
      <c r="AG13"/>
      <c r="AH13"/>
      <c r="AI13"/>
    </row>
    <row r="14" spans="4:35" ht="15.6" thickBot="1" x14ac:dyDescent="0.3">
      <c r="D14" s="399">
        <v>2017</v>
      </c>
      <c r="E14" s="400">
        <v>12</v>
      </c>
      <c r="F14" s="401">
        <v>914942349.02142859</v>
      </c>
      <c r="G14" s="401">
        <v>3501.8999999999996</v>
      </c>
      <c r="H14" s="408">
        <v>348.5</v>
      </c>
      <c r="I14" s="408">
        <v>927473628.12682843</v>
      </c>
      <c r="J14" s="402">
        <v>-12531279.105399661</v>
      </c>
      <c r="K14" s="411">
        <f t="shared" si="0"/>
        <v>-1.369624995367459E-2</v>
      </c>
      <c r="AA14" s="212" t="s">
        <v>10</v>
      </c>
      <c r="AB14" s="212">
        <v>119</v>
      </c>
      <c r="AC14" s="212">
        <v>4850951703273311</v>
      </c>
      <c r="AD14" s="212"/>
      <c r="AE14" s="212"/>
      <c r="AF14" s="212"/>
      <c r="AG14"/>
      <c r="AH14"/>
      <c r="AI14"/>
    </row>
    <row r="15" spans="4:35" ht="15.6" thickBot="1" x14ac:dyDescent="0.3">
      <c r="D15" s="399">
        <v>2018</v>
      </c>
      <c r="E15" s="400">
        <v>12</v>
      </c>
      <c r="F15" s="401">
        <v>965883912.18000007</v>
      </c>
      <c r="G15" s="401">
        <v>3758.3</v>
      </c>
      <c r="H15" s="408">
        <v>518.70000000000005</v>
      </c>
      <c r="I15" s="408">
        <v>962401471.13637781</v>
      </c>
      <c r="J15" s="402">
        <v>3482441.0436221659</v>
      </c>
      <c r="K15" s="411">
        <f t="shared" si="0"/>
        <v>3.6054447120485692E-3</v>
      </c>
      <c r="AA15"/>
      <c r="AB15"/>
      <c r="AC15"/>
      <c r="AD15"/>
      <c r="AE15"/>
      <c r="AF15"/>
      <c r="AG15"/>
      <c r="AH15"/>
      <c r="AI15"/>
    </row>
    <row r="16" spans="4:35" ht="15" x14ac:dyDescent="0.25">
      <c r="D16" s="399">
        <v>2019</v>
      </c>
      <c r="E16" s="400">
        <v>12</v>
      </c>
      <c r="F16" s="401">
        <v>959330220.76954007</v>
      </c>
      <c r="G16" s="401">
        <v>3914.900000000001</v>
      </c>
      <c r="H16" s="408">
        <v>342.00000000000006</v>
      </c>
      <c r="I16" s="408">
        <v>944871386.86581624</v>
      </c>
      <c r="J16" s="402">
        <v>14458833.903723866</v>
      </c>
      <c r="K16" s="411">
        <f t="shared" si="0"/>
        <v>1.5071800711256142E-2</v>
      </c>
      <c r="AA16" s="213"/>
      <c r="AB16" s="213" t="s">
        <v>32</v>
      </c>
      <c r="AC16" s="213" t="s">
        <v>21</v>
      </c>
      <c r="AD16" s="213" t="s">
        <v>33</v>
      </c>
      <c r="AE16" s="213" t="s">
        <v>34</v>
      </c>
      <c r="AF16" s="213" t="s">
        <v>35</v>
      </c>
      <c r="AG16" s="213" t="s">
        <v>36</v>
      </c>
      <c r="AH16" s="213" t="s">
        <v>37</v>
      </c>
      <c r="AI16" s="213" t="s">
        <v>38</v>
      </c>
    </row>
    <row r="17" spans="4:35" ht="17.399999999999999" x14ac:dyDescent="0.3">
      <c r="D17" s="399">
        <v>2020</v>
      </c>
      <c r="E17" s="400">
        <v>12</v>
      </c>
      <c r="F17" s="401">
        <v>961031702.85464001</v>
      </c>
      <c r="G17" s="401">
        <v>3512.0000000000009</v>
      </c>
      <c r="H17" s="408">
        <v>497.6</v>
      </c>
      <c r="I17" s="408">
        <v>917239283.8450731</v>
      </c>
      <c r="J17" s="402">
        <v>43792419.009566665</v>
      </c>
      <c r="K17" s="411">
        <f t="shared" si="0"/>
        <v>4.5568131498145224E-2</v>
      </c>
      <c r="L17" s="344" t="s">
        <v>260</v>
      </c>
      <c r="M17" s="360"/>
      <c r="N17" s="360"/>
      <c r="O17" s="361"/>
      <c r="P17" s="362"/>
      <c r="Q17" s="362"/>
      <c r="AA17" s="472" t="s">
        <v>26</v>
      </c>
      <c r="AB17" s="472">
        <v>-59011249.233977541</v>
      </c>
      <c r="AC17" s="211">
        <v>17293553.957177151</v>
      </c>
      <c r="AD17" s="211">
        <v>-3.4123263141921596</v>
      </c>
      <c r="AE17" s="211">
        <v>9.0220516417604103E-4</v>
      </c>
      <c r="AF17" s="211">
        <v>-93283014.070994139</v>
      </c>
      <c r="AG17" s="211">
        <v>-24739484.396960944</v>
      </c>
      <c r="AH17" s="211">
        <v>-93283014.070994139</v>
      </c>
      <c r="AI17" s="211">
        <v>-24739484.396960944</v>
      </c>
    </row>
    <row r="18" spans="4:35" ht="17.399999999999999" x14ac:dyDescent="0.3">
      <c r="D18" s="399">
        <v>2021</v>
      </c>
      <c r="E18" s="400"/>
      <c r="F18" s="401"/>
      <c r="G18" s="401">
        <v>3681.61</v>
      </c>
      <c r="H18" s="408">
        <v>411.97999999999996</v>
      </c>
      <c r="I18" s="408">
        <v>881577393.12093174</v>
      </c>
      <c r="J18" s="402">
        <v>-881577393.12093174</v>
      </c>
      <c r="K18" s="411"/>
      <c r="L18" s="344" t="s">
        <v>255</v>
      </c>
      <c r="M18" s="360"/>
      <c r="N18" s="360"/>
      <c r="O18" s="361"/>
      <c r="P18" s="362"/>
      <c r="Q18" s="362"/>
      <c r="AA18" s="472" t="s">
        <v>3</v>
      </c>
      <c r="AB18" s="472">
        <v>14056.505221607167</v>
      </c>
      <c r="AC18" s="211">
        <v>1215.1342337079734</v>
      </c>
      <c r="AD18" s="211">
        <v>11.567862077849492</v>
      </c>
      <c r="AE18" s="211">
        <v>9.8999760590353287E-21</v>
      </c>
      <c r="AF18" s="211">
        <v>11648.394384114181</v>
      </c>
      <c r="AG18" s="211">
        <v>16464.616059100154</v>
      </c>
      <c r="AH18" s="211">
        <v>11648.394384114181</v>
      </c>
      <c r="AI18" s="211">
        <v>16464.616059100154</v>
      </c>
    </row>
    <row r="19" spans="4:35" ht="17.399999999999999" x14ac:dyDescent="0.3">
      <c r="D19" s="403">
        <v>2022</v>
      </c>
      <c r="E19" s="404"/>
      <c r="F19" s="405"/>
      <c r="G19" s="405">
        <v>3681.61</v>
      </c>
      <c r="H19" s="409">
        <v>411.97999999999996</v>
      </c>
      <c r="I19" s="409">
        <v>902766029.26516461</v>
      </c>
      <c r="J19" s="406">
        <v>-902766029.26516461</v>
      </c>
      <c r="L19" s="344" t="s">
        <v>255</v>
      </c>
      <c r="M19" s="360"/>
      <c r="N19" s="360"/>
      <c r="O19" s="361"/>
      <c r="P19" s="362"/>
      <c r="Q19" s="362"/>
      <c r="AA19" s="472" t="s">
        <v>4</v>
      </c>
      <c r="AB19" s="472">
        <v>123984.13891595755</v>
      </c>
      <c r="AC19" s="211">
        <v>6484.986386437371</v>
      </c>
      <c r="AD19" s="211">
        <v>19.118642897270625</v>
      </c>
      <c r="AE19" s="211">
        <v>9.2985298507326671E-37</v>
      </c>
      <c r="AF19" s="211">
        <v>111132.41804021489</v>
      </c>
      <c r="AG19" s="211">
        <v>136835.8597917002</v>
      </c>
      <c r="AH19" s="211">
        <v>111132.41804021489</v>
      </c>
      <c r="AI19" s="211">
        <v>136835.8597917002</v>
      </c>
    </row>
    <row r="20" spans="4:35" x14ac:dyDescent="0.25">
      <c r="D20"/>
      <c r="E20"/>
      <c r="F20"/>
      <c r="G20"/>
      <c r="H20" s="54"/>
      <c r="I20" s="54"/>
      <c r="J20" s="54"/>
      <c r="AA20" s="482" t="s">
        <v>324</v>
      </c>
      <c r="AB20" s="472">
        <v>519199.50880638621</v>
      </c>
      <c r="AC20" s="211">
        <v>118704.44979260441</v>
      </c>
      <c r="AD20" s="211">
        <v>4.3738841274569777</v>
      </c>
      <c r="AE20" s="211">
        <v>2.7850931766056404E-5</v>
      </c>
      <c r="AF20" s="211">
        <v>283955.15137277736</v>
      </c>
      <c r="AG20" s="211">
        <v>754443.866239995</v>
      </c>
      <c r="AH20" s="211">
        <v>283955.15137277736</v>
      </c>
      <c r="AI20" s="211">
        <v>754443.866239995</v>
      </c>
    </row>
    <row r="21" spans="4:35" x14ac:dyDescent="0.25">
      <c r="D21"/>
      <c r="E21"/>
      <c r="F21"/>
      <c r="G21" s="54"/>
      <c r="H21" s="54"/>
      <c r="I21" s="54"/>
      <c r="J21" s="54"/>
      <c r="K21" s="54"/>
      <c r="AA21" s="472" t="s">
        <v>5</v>
      </c>
      <c r="AB21" s="472">
        <v>2118055.3004018185</v>
      </c>
      <c r="AC21" s="211">
        <v>271653.75158599485</v>
      </c>
      <c r="AD21" s="211">
        <v>7.7968932438296399</v>
      </c>
      <c r="AE21" s="211">
        <v>3.8793383960566149E-12</v>
      </c>
      <c r="AF21" s="211">
        <v>1579701.3267476817</v>
      </c>
      <c r="AG21" s="211">
        <v>2656409.274055955</v>
      </c>
      <c r="AH21" s="211">
        <v>1579701.3267476817</v>
      </c>
      <c r="AI21" s="211">
        <v>2656409.274055955</v>
      </c>
    </row>
    <row r="22" spans="4:35" x14ac:dyDescent="0.25">
      <c r="D22"/>
      <c r="E22"/>
      <c r="F22"/>
      <c r="G22" s="54"/>
      <c r="H22" s="54"/>
      <c r="I22" s="54"/>
      <c r="J22" s="54"/>
      <c r="K22" s="54"/>
      <c r="AA22" s="472" t="s">
        <v>97</v>
      </c>
      <c r="AB22" s="472">
        <v>-1778951.7087120952</v>
      </c>
      <c r="AC22" s="211">
        <v>767877.26318570809</v>
      </c>
      <c r="AD22" s="211">
        <v>-2.3167136129695023</v>
      </c>
      <c r="AE22" s="211">
        <v>2.2371452757410756E-2</v>
      </c>
      <c r="AF22" s="211">
        <v>-3300704.2098323544</v>
      </c>
      <c r="AG22" s="211">
        <v>-257199.20759183564</v>
      </c>
      <c r="AH22" s="211">
        <v>-3300704.2098323544</v>
      </c>
      <c r="AI22" s="211">
        <v>-257199.20759183564</v>
      </c>
    </row>
    <row r="23" spans="4:35" x14ac:dyDescent="0.25">
      <c r="D23"/>
      <c r="E23"/>
      <c r="F23"/>
      <c r="G23" s="54"/>
      <c r="H23" s="54"/>
      <c r="I23" s="54"/>
      <c r="J23" s="54"/>
      <c r="K23" s="54"/>
      <c r="AA23" s="472" t="s">
        <v>98</v>
      </c>
      <c r="AB23" s="472">
        <v>-4190279.030240031</v>
      </c>
      <c r="AC23" s="211">
        <v>742714.21789638337</v>
      </c>
      <c r="AD23" s="211">
        <v>-5.6418457184087734</v>
      </c>
      <c r="AE23" s="211">
        <v>1.3227842352173607E-7</v>
      </c>
      <c r="AF23" s="211">
        <v>-5662164.2818131819</v>
      </c>
      <c r="AG23" s="211">
        <v>-2718393.77866688</v>
      </c>
      <c r="AH23" s="211">
        <v>-5662164.2818131819</v>
      </c>
      <c r="AI23" s="211">
        <v>-2718393.77866688</v>
      </c>
    </row>
    <row r="24" spans="4:35" x14ac:dyDescent="0.25">
      <c r="E24" s="54"/>
      <c r="F24" s="54"/>
      <c r="G24" s="54"/>
      <c r="H24" s="54"/>
      <c r="I24" s="54"/>
      <c r="J24" s="54"/>
      <c r="AA24" s="472" t="s">
        <v>85</v>
      </c>
      <c r="AB24" s="472">
        <v>-3150225.6767492034</v>
      </c>
      <c r="AC24" s="211">
        <v>814390.23501078214</v>
      </c>
      <c r="AD24" s="211">
        <v>-3.868201681847887</v>
      </c>
      <c r="AE24" s="211">
        <v>1.8613209593574254E-4</v>
      </c>
      <c r="AF24" s="211">
        <v>-4764155.9706011955</v>
      </c>
      <c r="AG24" s="211">
        <v>-1536295.3828972108</v>
      </c>
      <c r="AH24" s="211">
        <v>-4764155.9706011955</v>
      </c>
      <c r="AI24" s="211">
        <v>-1536295.3828972108</v>
      </c>
    </row>
    <row r="25" spans="4:35" x14ac:dyDescent="0.25">
      <c r="E25" s="54"/>
      <c r="F25" s="54"/>
      <c r="AA25" s="472" t="s">
        <v>103</v>
      </c>
      <c r="AB25" s="472">
        <v>-1930403.2172383599</v>
      </c>
      <c r="AC25" s="211">
        <v>831522.83198348235</v>
      </c>
      <c r="AD25" s="211">
        <v>-2.3215276153435869</v>
      </c>
      <c r="AE25" s="211">
        <v>2.2100520140623355E-2</v>
      </c>
      <c r="AF25" s="211">
        <v>-3578286.2969636158</v>
      </c>
      <c r="AG25" s="211">
        <v>-282520.13751310389</v>
      </c>
      <c r="AH25" s="211">
        <v>-3578286.2969636158</v>
      </c>
      <c r="AI25" s="211">
        <v>-282520.13751310389</v>
      </c>
    </row>
    <row r="26" spans="4:35" ht="13.8" thickBot="1" x14ac:dyDescent="0.3">
      <c r="E26" s="54"/>
      <c r="F26" s="54"/>
      <c r="AA26" s="480" t="s">
        <v>323</v>
      </c>
      <c r="AB26" s="481">
        <v>-147249.17197393018</v>
      </c>
      <c r="AC26" s="212">
        <v>32159.902718337878</v>
      </c>
      <c r="AD26" s="212">
        <v>-4.5786572572549264</v>
      </c>
      <c r="AE26" s="212">
        <v>1.2385244441754316E-5</v>
      </c>
      <c r="AF26" s="212">
        <v>-210982.55065788672</v>
      </c>
      <c r="AG26" s="212">
        <v>-83515.793289973633</v>
      </c>
      <c r="AH26" s="212">
        <v>-210982.55065788672</v>
      </c>
      <c r="AI26" s="212">
        <v>-83515.793289973633</v>
      </c>
    </row>
    <row r="27" spans="4:35" x14ac:dyDescent="0.25">
      <c r="E27" s="54"/>
      <c r="F27" s="54"/>
      <c r="AA27"/>
      <c r="AB27"/>
      <c r="AC27"/>
      <c r="AD27"/>
      <c r="AE27"/>
      <c r="AF27"/>
      <c r="AG27"/>
      <c r="AH27"/>
      <c r="AI27"/>
    </row>
    <row r="28" spans="4:35" x14ac:dyDescent="0.25">
      <c r="E28" s="54"/>
      <c r="F28" s="54"/>
      <c r="AA28"/>
      <c r="AB28"/>
      <c r="AC28"/>
      <c r="AD28"/>
      <c r="AE28"/>
      <c r="AF28"/>
      <c r="AG28"/>
      <c r="AH28"/>
      <c r="AI28"/>
    </row>
    <row r="29" spans="4:35" x14ac:dyDescent="0.25">
      <c r="E29" s="54"/>
      <c r="F29" s="54"/>
      <c r="AA29"/>
      <c r="AB29"/>
      <c r="AC29"/>
      <c r="AD29"/>
      <c r="AE29"/>
      <c r="AF29"/>
      <c r="AG29"/>
      <c r="AH29"/>
      <c r="AI29"/>
    </row>
    <row r="30" spans="4:35" x14ac:dyDescent="0.25">
      <c r="E30" s="54"/>
      <c r="F30" s="54"/>
      <c r="AA30"/>
      <c r="AB30"/>
      <c r="AC30"/>
      <c r="AD30"/>
      <c r="AE30"/>
      <c r="AF30"/>
      <c r="AG30"/>
      <c r="AH30"/>
      <c r="AI30"/>
    </row>
    <row r="31" spans="4:35" x14ac:dyDescent="0.25">
      <c r="E31" s="54"/>
      <c r="F31" s="54"/>
      <c r="AA31" s="211"/>
      <c r="AB31" s="211"/>
      <c r="AC31" s="211"/>
      <c r="AD31" s="211"/>
      <c r="AE31"/>
      <c r="AF31"/>
      <c r="AG31"/>
      <c r="AH31"/>
      <c r="AI31"/>
    </row>
    <row r="32" spans="4:35" x14ac:dyDescent="0.25">
      <c r="E32" s="54"/>
      <c r="F32" s="54"/>
      <c r="AA32" s="211"/>
      <c r="AB32" s="211"/>
      <c r="AC32" s="211"/>
      <c r="AD32" s="211"/>
      <c r="AE32"/>
      <c r="AF32"/>
      <c r="AG32"/>
      <c r="AH32"/>
      <c r="AI32"/>
    </row>
    <row r="33" spans="2:35" x14ac:dyDescent="0.25">
      <c r="E33" s="54"/>
      <c r="F33" s="54"/>
      <c r="O33" s="54"/>
      <c r="AA33" s="211"/>
      <c r="AB33" s="211"/>
      <c r="AC33" s="211"/>
      <c r="AD33" s="211"/>
      <c r="AE33"/>
      <c r="AF33"/>
      <c r="AG33"/>
      <c r="AH33"/>
      <c r="AI33"/>
    </row>
    <row r="34" spans="2:35" ht="37.5" customHeight="1" x14ac:dyDescent="0.3">
      <c r="B34" s="349" t="s">
        <v>250</v>
      </c>
      <c r="C34" s="349" t="s">
        <v>79</v>
      </c>
      <c r="D34" s="349" t="s">
        <v>217</v>
      </c>
      <c r="E34" s="349" t="s">
        <v>0</v>
      </c>
      <c r="F34" s="349" t="s">
        <v>3</v>
      </c>
      <c r="G34" s="349" t="s">
        <v>4</v>
      </c>
      <c r="H34" s="350" t="s">
        <v>325</v>
      </c>
      <c r="I34" s="349" t="s">
        <v>5</v>
      </c>
      <c r="J34" s="349" t="s">
        <v>97</v>
      </c>
      <c r="K34" s="349" t="s">
        <v>98</v>
      </c>
      <c r="L34" s="349" t="s">
        <v>85</v>
      </c>
      <c r="M34" s="349" t="s">
        <v>103</v>
      </c>
      <c r="N34" s="351" t="s">
        <v>323</v>
      </c>
      <c r="O34" s="351" t="s">
        <v>157</v>
      </c>
      <c r="P34" s="351" t="s">
        <v>256</v>
      </c>
      <c r="AA34" s="211"/>
      <c r="AB34" s="211"/>
      <c r="AC34" s="211"/>
      <c r="AD34" s="211"/>
      <c r="AE34"/>
      <c r="AF34"/>
      <c r="AG34"/>
      <c r="AH34"/>
      <c r="AI34"/>
    </row>
    <row r="35" spans="2:35" ht="14.4" x14ac:dyDescent="0.3">
      <c r="B35" s="353">
        <v>40179</v>
      </c>
      <c r="C35" s="322">
        <f>MONTH(B35)</f>
        <v>1</v>
      </c>
      <c r="D35" s="322">
        <v>2010</v>
      </c>
      <c r="E35" s="343">
        <v>85740317.673846155</v>
      </c>
      <c r="F35" s="319">
        <v>720</v>
      </c>
      <c r="G35" s="319">
        <v>0</v>
      </c>
      <c r="H35" s="373">
        <f>'GDP A'!AF84</f>
        <v>128.72733605771626</v>
      </c>
      <c r="I35" s="53">
        <v>31</v>
      </c>
      <c r="J35" s="53">
        <f>IF(MONTH($B35)=3,1,0)</f>
        <v>0</v>
      </c>
      <c r="K35" s="53">
        <f>IF(MONTH($B35)=4,1,0)</f>
        <v>0</v>
      </c>
      <c r="L35" s="53">
        <f>IF(MONTH($B35)=5,1,0)</f>
        <v>0</v>
      </c>
      <c r="M35" s="53">
        <f>IF(MONTH($B35)=10,1,0)</f>
        <v>0</v>
      </c>
      <c r="N35" s="341">
        <v>1</v>
      </c>
      <c r="O35" s="389">
        <f>$AB$17+MMULT(F35:N35,$AB$18:$AB$26)</f>
        <v>83457069.317182913</v>
      </c>
      <c r="P35" s="389">
        <f>E35-O35</f>
        <v>2283248.356663242</v>
      </c>
      <c r="Q35" s="389"/>
      <c r="R35" s="389"/>
      <c r="S35" s="196"/>
      <c r="AA35" s="211"/>
      <c r="AB35" s="211"/>
      <c r="AC35" s="211"/>
      <c r="AD35" s="211"/>
      <c r="AE35"/>
      <c r="AF35"/>
      <c r="AG35"/>
      <c r="AH35"/>
      <c r="AI35"/>
    </row>
    <row r="36" spans="2:35" ht="14.4" x14ac:dyDescent="0.3">
      <c r="B36" s="353">
        <v>40210</v>
      </c>
      <c r="C36" s="322">
        <f t="shared" ref="C36:C99" si="1">MONTH(B36)</f>
        <v>2</v>
      </c>
      <c r="D36" s="322">
        <v>2010</v>
      </c>
      <c r="E36" s="343">
        <v>76200452.517692298</v>
      </c>
      <c r="F36" s="319">
        <v>598.29999999999995</v>
      </c>
      <c r="G36" s="319">
        <v>0</v>
      </c>
      <c r="H36" s="373">
        <f>'GDP A'!AF85</f>
        <v>129.07908855613877</v>
      </c>
      <c r="I36" s="53">
        <v>28</v>
      </c>
      <c r="J36" s="53">
        <f t="shared" ref="J36:J99" si="2">IF(MONTH($B36)=3,1,0)</f>
        <v>0</v>
      </c>
      <c r="K36" s="53">
        <f t="shared" ref="K36:K99" si="3">IF(MONTH($B36)=4,1,0)</f>
        <v>0</v>
      </c>
      <c r="L36" s="53">
        <f t="shared" ref="L36:L99" si="4">IF(MONTH($B36)=5,1,0)</f>
        <v>0</v>
      </c>
      <c r="M36" s="53">
        <f t="shared" ref="M36:M99" si="5">IF(MONTH($B36)=10,1,0)</f>
        <v>0</v>
      </c>
      <c r="N36" s="341">
        <v>2</v>
      </c>
      <c r="O36" s="389">
        <f t="shared" ref="O36:O99" si="6">$AB$17+MMULT(F36:N36,$AB$18:$AB$26)</f>
        <v>75427607.282936379</v>
      </c>
      <c r="P36" s="389">
        <f t="shared" ref="P36:P99" si="7">E36-O36</f>
        <v>772845.23475591838</v>
      </c>
      <c r="Q36" s="389"/>
      <c r="AA36" s="211"/>
      <c r="AB36" s="211"/>
      <c r="AC36" s="211"/>
      <c r="AD36" s="211"/>
      <c r="AE36"/>
      <c r="AF36"/>
      <c r="AG36"/>
      <c r="AH36"/>
      <c r="AI36"/>
    </row>
    <row r="37" spans="2:35" ht="14.4" x14ac:dyDescent="0.3">
      <c r="B37" s="353">
        <v>40238</v>
      </c>
      <c r="C37" s="322">
        <f t="shared" si="1"/>
        <v>3</v>
      </c>
      <c r="D37" s="322">
        <v>2010</v>
      </c>
      <c r="E37" s="343">
        <v>78025070.524615392</v>
      </c>
      <c r="F37" s="319">
        <v>422.8</v>
      </c>
      <c r="G37" s="319">
        <v>0</v>
      </c>
      <c r="H37" s="373">
        <f>'GDP A'!AF86</f>
        <v>129.43180223206977</v>
      </c>
      <c r="I37" s="53">
        <v>31</v>
      </c>
      <c r="J37" s="53">
        <f t="shared" si="2"/>
        <v>1</v>
      </c>
      <c r="K37" s="53">
        <f t="shared" si="3"/>
        <v>0</v>
      </c>
      <c r="L37" s="53">
        <f t="shared" si="4"/>
        <v>0</v>
      </c>
      <c r="M37" s="53">
        <f t="shared" si="5"/>
        <v>0</v>
      </c>
      <c r="N37" s="341">
        <v>3</v>
      </c>
      <c r="O37" s="389">
        <f t="shared" si="6"/>
        <v>77571784.404356405</v>
      </c>
      <c r="P37" s="389">
        <f t="shared" si="7"/>
        <v>453286.12025898695</v>
      </c>
      <c r="Q37" s="389"/>
      <c r="AA37" s="211"/>
      <c r="AB37" s="211"/>
      <c r="AC37" s="211"/>
      <c r="AD37" s="211"/>
      <c r="AE37"/>
      <c r="AF37"/>
      <c r="AG37"/>
      <c r="AH37"/>
      <c r="AI37"/>
    </row>
    <row r="38" spans="2:35" ht="14.4" x14ac:dyDescent="0.3">
      <c r="B38" s="353">
        <v>40269</v>
      </c>
      <c r="C38" s="322">
        <f t="shared" si="1"/>
        <v>4</v>
      </c>
      <c r="D38" s="322">
        <v>2010</v>
      </c>
      <c r="E38" s="343">
        <v>69790833.687692314</v>
      </c>
      <c r="F38" s="319">
        <v>225.1</v>
      </c>
      <c r="G38" s="319">
        <v>0</v>
      </c>
      <c r="H38" s="373">
        <f>'GDP A'!AF87</f>
        <v>129.78547971196454</v>
      </c>
      <c r="I38" s="53">
        <v>30</v>
      </c>
      <c r="J38" s="53">
        <f t="shared" si="2"/>
        <v>0</v>
      </c>
      <c r="K38" s="53">
        <f t="shared" si="3"/>
        <v>1</v>
      </c>
      <c r="L38" s="53">
        <f t="shared" si="4"/>
        <v>0</v>
      </c>
      <c r="M38" s="53">
        <f t="shared" si="5"/>
        <v>0</v>
      </c>
      <c r="N38" s="341">
        <v>4</v>
      </c>
      <c r="O38" s="389">
        <f t="shared" si="6"/>
        <v>70299810.701978222</v>
      </c>
      <c r="P38" s="389">
        <f t="shared" si="7"/>
        <v>-508977.01428590715</v>
      </c>
      <c r="Q38" s="389"/>
      <c r="AA38" s="211"/>
      <c r="AB38" s="211"/>
      <c r="AC38" s="211"/>
      <c r="AD38" s="211"/>
      <c r="AE38"/>
      <c r="AF38"/>
      <c r="AG38"/>
      <c r="AH38"/>
      <c r="AI38"/>
    </row>
    <row r="39" spans="2:35" ht="14.4" x14ac:dyDescent="0.3">
      <c r="B39" s="353">
        <v>40299</v>
      </c>
      <c r="C39" s="322">
        <f t="shared" si="1"/>
        <v>5</v>
      </c>
      <c r="D39" s="322">
        <v>2010</v>
      </c>
      <c r="E39" s="343">
        <v>76066069.509230763</v>
      </c>
      <c r="F39" s="319">
        <v>107.9</v>
      </c>
      <c r="G39" s="319">
        <v>45.7</v>
      </c>
      <c r="H39" s="373">
        <f>'GDP A'!AF88</f>
        <v>130.14012362945522</v>
      </c>
      <c r="I39" s="53">
        <v>31</v>
      </c>
      <c r="J39" s="53">
        <f t="shared" si="2"/>
        <v>0</v>
      </c>
      <c r="K39" s="53">
        <f t="shared" si="3"/>
        <v>0</v>
      </c>
      <c r="L39" s="53">
        <f t="shared" si="4"/>
        <v>1</v>
      </c>
      <c r="M39" s="53">
        <f t="shared" si="5"/>
        <v>0</v>
      </c>
      <c r="N39" s="341">
        <v>5</v>
      </c>
      <c r="O39" s="389">
        <f t="shared" si="6"/>
        <v>77513453.868146166</v>
      </c>
      <c r="P39" s="389">
        <f t="shared" si="7"/>
        <v>-1447384.3589154035</v>
      </c>
      <c r="Q39" s="389"/>
      <c r="AA39" s="211"/>
      <c r="AB39" s="211"/>
      <c r="AC39" s="211"/>
      <c r="AD39" s="211"/>
      <c r="AE39"/>
      <c r="AF39"/>
      <c r="AG39"/>
      <c r="AH39"/>
      <c r="AI39"/>
    </row>
    <row r="40" spans="2:35" ht="14.4" x14ac:dyDescent="0.3">
      <c r="B40" s="353">
        <v>40330</v>
      </c>
      <c r="C40" s="322">
        <f t="shared" si="1"/>
        <v>6</v>
      </c>
      <c r="D40" s="322">
        <v>2010</v>
      </c>
      <c r="E40" s="343">
        <v>79225717.646153852</v>
      </c>
      <c r="F40" s="319">
        <v>21.7</v>
      </c>
      <c r="G40" s="319">
        <v>58.7</v>
      </c>
      <c r="H40" s="373">
        <f>'GDP A'!AF89</f>
        <v>130.49573662537048</v>
      </c>
      <c r="I40" s="53">
        <v>30</v>
      </c>
      <c r="J40" s="53">
        <f t="shared" si="2"/>
        <v>0</v>
      </c>
      <c r="K40" s="53">
        <f t="shared" si="3"/>
        <v>0</v>
      </c>
      <c r="L40" s="53">
        <f t="shared" si="4"/>
        <v>0</v>
      </c>
      <c r="M40" s="53">
        <f t="shared" si="5"/>
        <v>0</v>
      </c>
      <c r="N40" s="341">
        <v>6</v>
      </c>
      <c r="O40" s="389">
        <f t="shared" si="6"/>
        <v>78983132.221128926</v>
      </c>
      <c r="P40" s="389">
        <f t="shared" si="7"/>
        <v>242585.42502492666</v>
      </c>
      <c r="Q40" s="389"/>
      <c r="AA40" s="211"/>
      <c r="AB40" s="211"/>
      <c r="AC40" s="211"/>
      <c r="AD40" s="211"/>
      <c r="AE40"/>
      <c r="AF40"/>
      <c r="AG40"/>
      <c r="AH40"/>
      <c r="AI40"/>
    </row>
    <row r="41" spans="2:35" ht="14.4" x14ac:dyDescent="0.3">
      <c r="B41" s="353">
        <v>40360</v>
      </c>
      <c r="C41" s="322">
        <f t="shared" si="1"/>
        <v>7</v>
      </c>
      <c r="D41" s="322">
        <v>2010</v>
      </c>
      <c r="E41" s="343">
        <v>89977040.172307685</v>
      </c>
      <c r="F41" s="319">
        <v>1.8</v>
      </c>
      <c r="G41" s="319">
        <v>164.9</v>
      </c>
      <c r="H41" s="373">
        <f>'GDP A'!AF90</f>
        <v>130.85232134775515</v>
      </c>
      <c r="I41" s="53">
        <f>DAY(EOMONTH(B41,0))</f>
        <v>31</v>
      </c>
      <c r="J41" s="53">
        <f t="shared" si="2"/>
        <v>0</v>
      </c>
      <c r="K41" s="53">
        <f t="shared" si="3"/>
        <v>0</v>
      </c>
      <c r="L41" s="53">
        <f t="shared" si="4"/>
        <v>0</v>
      </c>
      <c r="M41" s="53">
        <f t="shared" si="5"/>
        <v>0</v>
      </c>
      <c r="N41" s="341">
        <v>7</v>
      </c>
      <c r="O41" s="389">
        <f t="shared" si="6"/>
        <v>94026468.061231479</v>
      </c>
      <c r="P41" s="389">
        <f t="shared" si="7"/>
        <v>-4049427.888923794</v>
      </c>
      <c r="Q41" s="389"/>
      <c r="AA41" s="211"/>
      <c r="AB41" s="211"/>
      <c r="AC41" s="211"/>
      <c r="AD41" s="211"/>
      <c r="AE41"/>
      <c r="AF41"/>
      <c r="AG41"/>
      <c r="AH41"/>
      <c r="AI41"/>
    </row>
    <row r="42" spans="2:35" ht="14.4" x14ac:dyDescent="0.3">
      <c r="B42" s="353">
        <v>40391</v>
      </c>
      <c r="C42" s="322">
        <f t="shared" si="1"/>
        <v>8</v>
      </c>
      <c r="D42" s="322">
        <v>2010</v>
      </c>
      <c r="E42" s="343">
        <v>88856918.292384624</v>
      </c>
      <c r="F42" s="319">
        <v>2.1</v>
      </c>
      <c r="G42" s="319">
        <v>138.80000000000001</v>
      </c>
      <c r="H42" s="373">
        <f>'GDP A'!AF91</f>
        <v>131.20988045188997</v>
      </c>
      <c r="I42" s="53">
        <f t="shared" ref="I42:I105" si="8">DAY(EOMONTH(B42,0))</f>
        <v>31</v>
      </c>
      <c r="J42" s="53">
        <f t="shared" si="2"/>
        <v>0</v>
      </c>
      <c r="K42" s="53">
        <f t="shared" si="3"/>
        <v>0</v>
      </c>
      <c r="L42" s="53">
        <f t="shared" si="4"/>
        <v>0</v>
      </c>
      <c r="M42" s="53">
        <f t="shared" si="5"/>
        <v>0</v>
      </c>
      <c r="N42" s="341">
        <v>8</v>
      </c>
      <c r="O42" s="389">
        <f t="shared" si="6"/>
        <v>90833094.326353624</v>
      </c>
      <c r="P42" s="389">
        <f t="shared" si="7"/>
        <v>-1976176.033969</v>
      </c>
      <c r="Q42" s="389"/>
      <c r="AA42" s="211"/>
      <c r="AB42" s="211"/>
      <c r="AC42" s="211"/>
      <c r="AD42" s="211"/>
      <c r="AE42"/>
      <c r="AF42"/>
      <c r="AG42"/>
      <c r="AH42"/>
      <c r="AI42"/>
    </row>
    <row r="43" spans="2:35" ht="14.4" x14ac:dyDescent="0.3">
      <c r="B43" s="353">
        <v>40422</v>
      </c>
      <c r="C43" s="322">
        <f t="shared" si="1"/>
        <v>9</v>
      </c>
      <c r="D43" s="322">
        <v>2010</v>
      </c>
      <c r="E43" s="343">
        <v>74349622.304615363</v>
      </c>
      <c r="F43" s="319">
        <v>78.099999999999994</v>
      </c>
      <c r="G43" s="319">
        <v>31.5</v>
      </c>
      <c r="H43" s="373">
        <f>'GDP A'!AF92</f>
        <v>131.56841660031131</v>
      </c>
      <c r="I43" s="53">
        <f t="shared" si="8"/>
        <v>30</v>
      </c>
      <c r="J43" s="53">
        <f t="shared" si="2"/>
        <v>0</v>
      </c>
      <c r="K43" s="53">
        <f t="shared" si="3"/>
        <v>0</v>
      </c>
      <c r="L43" s="53">
        <f t="shared" si="4"/>
        <v>0</v>
      </c>
      <c r="M43" s="53">
        <f t="shared" si="5"/>
        <v>0</v>
      </c>
      <c r="N43" s="341">
        <v>9</v>
      </c>
      <c r="O43" s="389">
        <f t="shared" si="6"/>
        <v>76518737.937287435</v>
      </c>
      <c r="P43" s="389">
        <f t="shared" si="7"/>
        <v>-2169115.6326720715</v>
      </c>
      <c r="Q43" s="389"/>
      <c r="AA43" s="211"/>
      <c r="AB43" s="211"/>
      <c r="AC43" s="211"/>
      <c r="AD43" s="211"/>
      <c r="AE43"/>
      <c r="AF43"/>
      <c r="AG43"/>
      <c r="AH43"/>
      <c r="AI43"/>
    </row>
    <row r="44" spans="2:35" ht="14.4" x14ac:dyDescent="0.3">
      <c r="B44" s="353">
        <v>40452</v>
      </c>
      <c r="C44" s="322">
        <f t="shared" si="1"/>
        <v>10</v>
      </c>
      <c r="D44" s="322">
        <v>2010</v>
      </c>
      <c r="E44" s="343">
        <v>73264038.258461535</v>
      </c>
      <c r="F44" s="319">
        <v>241.6</v>
      </c>
      <c r="G44" s="319">
        <v>0</v>
      </c>
      <c r="H44" s="373">
        <f>'GDP A'!AF93</f>
        <v>131.92793246283102</v>
      </c>
      <c r="I44" s="53">
        <f t="shared" si="8"/>
        <v>31</v>
      </c>
      <c r="J44" s="53">
        <f t="shared" si="2"/>
        <v>0</v>
      </c>
      <c r="K44" s="53">
        <f t="shared" si="3"/>
        <v>0</v>
      </c>
      <c r="L44" s="53">
        <f t="shared" si="4"/>
        <v>0</v>
      </c>
      <c r="M44" s="53">
        <f t="shared" si="5"/>
        <v>1</v>
      </c>
      <c r="N44" s="341">
        <v>10</v>
      </c>
      <c r="O44" s="389">
        <f t="shared" si="6"/>
        <v>75138539.535585403</v>
      </c>
      <c r="P44" s="389">
        <f t="shared" si="7"/>
        <v>-1874501.2771238685</v>
      </c>
      <c r="Q44" s="389"/>
      <c r="AA44" s="211"/>
      <c r="AB44" s="211"/>
      <c r="AC44" s="211"/>
      <c r="AD44" s="211"/>
      <c r="AE44"/>
      <c r="AF44"/>
      <c r="AG44"/>
      <c r="AH44"/>
      <c r="AI44"/>
    </row>
    <row r="45" spans="2:35" ht="14.4" x14ac:dyDescent="0.3">
      <c r="B45" s="353">
        <v>40483</v>
      </c>
      <c r="C45" s="322">
        <f t="shared" si="1"/>
        <v>11</v>
      </c>
      <c r="D45" s="322">
        <v>2010</v>
      </c>
      <c r="E45" s="343">
        <v>76397905.17076923</v>
      </c>
      <c r="F45" s="319">
        <v>405.3</v>
      </c>
      <c r="G45" s="319">
        <v>0</v>
      </c>
      <c r="H45" s="373">
        <f>'GDP A'!AF94</f>
        <v>132.28843071655632</v>
      </c>
      <c r="I45" s="53">
        <f t="shared" si="8"/>
        <v>30</v>
      </c>
      <c r="J45" s="53">
        <f t="shared" si="2"/>
        <v>0</v>
      </c>
      <c r="K45" s="53">
        <f t="shared" si="3"/>
        <v>0</v>
      </c>
      <c r="L45" s="53">
        <f t="shared" si="4"/>
        <v>0</v>
      </c>
      <c r="M45" s="53">
        <f t="shared" si="5"/>
        <v>0</v>
      </c>
      <c r="N45" s="341">
        <v>11</v>
      </c>
      <c r="O45" s="389">
        <f t="shared" si="6"/>
        <v>77291858.701484844</v>
      </c>
      <c r="P45" s="389">
        <f t="shared" si="7"/>
        <v>-893953.53071561456</v>
      </c>
      <c r="Q45" s="389"/>
      <c r="AA45" s="211"/>
      <c r="AB45" s="211"/>
      <c r="AC45" s="211"/>
      <c r="AD45" s="211"/>
      <c r="AE45"/>
      <c r="AF45"/>
      <c r="AG45"/>
      <c r="AH45"/>
      <c r="AI45"/>
    </row>
    <row r="46" spans="2:35" ht="14.4" x14ac:dyDescent="0.3">
      <c r="B46" s="353">
        <v>40513</v>
      </c>
      <c r="C46" s="322">
        <f t="shared" si="1"/>
        <v>12</v>
      </c>
      <c r="D46" s="322">
        <v>2010</v>
      </c>
      <c r="E46" s="343">
        <v>82865126.892307699</v>
      </c>
      <c r="F46" s="319">
        <v>676.2</v>
      </c>
      <c r="G46" s="319">
        <v>0</v>
      </c>
      <c r="H46" s="373">
        <f>'GDP A'!AF95</f>
        <v>132.64991404590961</v>
      </c>
      <c r="I46" s="53">
        <f t="shared" si="8"/>
        <v>31</v>
      </c>
      <c r="J46" s="53">
        <f t="shared" si="2"/>
        <v>0</v>
      </c>
      <c r="K46" s="53">
        <f t="shared" si="3"/>
        <v>0</v>
      </c>
      <c r="L46" s="53">
        <f t="shared" si="4"/>
        <v>0</v>
      </c>
      <c r="M46" s="53">
        <f t="shared" si="5"/>
        <v>0</v>
      </c>
      <c r="N46" s="341">
        <v>12</v>
      </c>
      <c r="O46" s="389">
        <f t="shared" si="6"/>
        <v>83258254.061488017</v>
      </c>
      <c r="P46" s="389">
        <f t="shared" si="7"/>
        <v>-393127.16918031871</v>
      </c>
      <c r="Q46" s="389"/>
      <c r="AA46" s="211"/>
      <c r="AB46" s="211"/>
      <c r="AC46" s="211"/>
      <c r="AD46" s="211"/>
      <c r="AE46"/>
      <c r="AF46"/>
      <c r="AG46"/>
      <c r="AH46"/>
      <c r="AI46"/>
    </row>
    <row r="47" spans="2:35" ht="14.4" x14ac:dyDescent="0.3">
      <c r="B47" s="353">
        <v>40544</v>
      </c>
      <c r="C47" s="322">
        <f t="shared" si="1"/>
        <v>1</v>
      </c>
      <c r="D47" s="322">
        <v>2011</v>
      </c>
      <c r="E47" s="343">
        <v>86054286.131538451</v>
      </c>
      <c r="F47" s="319">
        <v>775.3</v>
      </c>
      <c r="G47" s="319">
        <v>0</v>
      </c>
      <c r="H47" s="373">
        <f>'GDP A'!AF96</f>
        <v>132.81780450021679</v>
      </c>
      <c r="I47" s="53">
        <f t="shared" si="8"/>
        <v>31</v>
      </c>
      <c r="J47" s="53">
        <f t="shared" si="2"/>
        <v>0</v>
      </c>
      <c r="K47" s="53">
        <f t="shared" si="3"/>
        <v>0</v>
      </c>
      <c r="L47" s="53">
        <f t="shared" si="4"/>
        <v>0</v>
      </c>
      <c r="M47" s="53">
        <f t="shared" si="5"/>
        <v>0</v>
      </c>
      <c r="N47" s="341">
        <v>13</v>
      </c>
      <c r="O47" s="389">
        <f t="shared" si="6"/>
        <v>84591173.198384956</v>
      </c>
      <c r="P47" s="389">
        <f t="shared" si="7"/>
        <v>1463112.9331534952</v>
      </c>
      <c r="Q47" s="389"/>
      <c r="AA47" s="211"/>
      <c r="AB47" s="211"/>
      <c r="AC47" s="211"/>
      <c r="AD47" s="211"/>
      <c r="AE47"/>
      <c r="AF47"/>
      <c r="AG47"/>
      <c r="AH47"/>
      <c r="AI47"/>
    </row>
    <row r="48" spans="2:35" ht="14.4" x14ac:dyDescent="0.3">
      <c r="B48" s="353">
        <v>40575</v>
      </c>
      <c r="C48" s="322">
        <f t="shared" si="1"/>
        <v>2</v>
      </c>
      <c r="D48" s="322">
        <v>2011</v>
      </c>
      <c r="E48" s="343">
        <v>76331649.843846157</v>
      </c>
      <c r="F48" s="319">
        <v>654.20000000000005</v>
      </c>
      <c r="G48" s="319">
        <v>0</v>
      </c>
      <c r="H48" s="373">
        <f>'GDP A'!AF97</f>
        <v>132.98590744772346</v>
      </c>
      <c r="I48" s="53">
        <f t="shared" si="8"/>
        <v>28</v>
      </c>
      <c r="J48" s="53">
        <f t="shared" si="2"/>
        <v>0</v>
      </c>
      <c r="K48" s="53">
        <f t="shared" si="3"/>
        <v>0</v>
      </c>
      <c r="L48" s="53">
        <f t="shared" si="4"/>
        <v>0</v>
      </c>
      <c r="M48" s="53">
        <f t="shared" si="5"/>
        <v>0</v>
      </c>
      <c r="N48" s="341">
        <v>14</v>
      </c>
      <c r="O48" s="389">
        <f t="shared" si="6"/>
        <v>76474794.3106433</v>
      </c>
      <c r="P48" s="389">
        <f t="shared" si="7"/>
        <v>-143144.46679714322</v>
      </c>
      <c r="Q48" s="389"/>
      <c r="AA48" s="211"/>
      <c r="AB48" s="211"/>
      <c r="AC48" s="211"/>
      <c r="AD48" s="211"/>
      <c r="AE48"/>
      <c r="AF48"/>
      <c r="AG48"/>
      <c r="AH48"/>
      <c r="AI48"/>
    </row>
    <row r="49" spans="2:35" ht="14.4" x14ac:dyDescent="0.3">
      <c r="B49" s="353">
        <v>40603</v>
      </c>
      <c r="C49" s="322">
        <f t="shared" si="1"/>
        <v>3</v>
      </c>
      <c r="D49" s="322">
        <v>2011</v>
      </c>
      <c r="E49" s="343">
        <v>80293454.303076923</v>
      </c>
      <c r="F49" s="319">
        <v>572.79999999999995</v>
      </c>
      <c r="G49" s="319">
        <v>0</v>
      </c>
      <c r="H49" s="373">
        <f>'GDP A'!AF98</f>
        <v>133.15422315737499</v>
      </c>
      <c r="I49" s="53">
        <f t="shared" si="8"/>
        <v>31</v>
      </c>
      <c r="J49" s="53">
        <f t="shared" si="2"/>
        <v>1</v>
      </c>
      <c r="K49" s="53">
        <f t="shared" si="3"/>
        <v>0</v>
      </c>
      <c r="L49" s="53">
        <f t="shared" si="4"/>
        <v>0</v>
      </c>
      <c r="M49" s="53">
        <f t="shared" si="5"/>
        <v>0</v>
      </c>
      <c r="N49" s="341">
        <v>15</v>
      </c>
      <c r="O49" s="389">
        <f t="shared" si="6"/>
        <v>79845949.239899382</v>
      </c>
      <c r="P49" s="389">
        <f t="shared" si="7"/>
        <v>447505.0631775409</v>
      </c>
      <c r="Q49" s="389"/>
      <c r="AA49" s="211"/>
      <c r="AB49" s="211"/>
      <c r="AC49" s="211"/>
      <c r="AD49" s="211"/>
      <c r="AE49"/>
      <c r="AF49"/>
      <c r="AG49"/>
      <c r="AH49"/>
      <c r="AI49"/>
    </row>
    <row r="50" spans="2:35" ht="14.4" x14ac:dyDescent="0.3">
      <c r="B50" s="353">
        <v>40634</v>
      </c>
      <c r="C50" s="322">
        <f t="shared" si="1"/>
        <v>4</v>
      </c>
      <c r="D50" s="322">
        <v>2011</v>
      </c>
      <c r="E50" s="343">
        <v>71266777.976153851</v>
      </c>
      <c r="F50" s="319">
        <v>332.3</v>
      </c>
      <c r="G50" s="319">
        <v>0</v>
      </c>
      <c r="H50" s="373">
        <f>'GDP A'!AF99</f>
        <v>133.32275189845711</v>
      </c>
      <c r="I50" s="53">
        <f t="shared" si="8"/>
        <v>30</v>
      </c>
      <c r="J50" s="53">
        <f t="shared" si="2"/>
        <v>0</v>
      </c>
      <c r="K50" s="53">
        <f t="shared" si="3"/>
        <v>1</v>
      </c>
      <c r="L50" s="53">
        <f t="shared" si="4"/>
        <v>0</v>
      </c>
      <c r="M50" s="53">
        <f t="shared" si="5"/>
        <v>0</v>
      </c>
      <c r="N50" s="341">
        <v>16</v>
      </c>
      <c r="O50" s="389">
        <f t="shared" si="6"/>
        <v>71876227.97978878</v>
      </c>
      <c r="P50" s="389">
        <f t="shared" si="7"/>
        <v>-609450.00363492966</v>
      </c>
      <c r="Q50" s="389"/>
      <c r="AA50" s="211"/>
      <c r="AB50" s="211"/>
      <c r="AC50" s="211"/>
      <c r="AD50" s="211"/>
      <c r="AE50"/>
      <c r="AF50"/>
      <c r="AG50"/>
      <c r="AH50"/>
      <c r="AI50"/>
    </row>
    <row r="51" spans="2:35" ht="14.4" x14ac:dyDescent="0.3">
      <c r="B51" s="353">
        <v>40664</v>
      </c>
      <c r="C51" s="322">
        <f t="shared" si="1"/>
        <v>5</v>
      </c>
      <c r="D51" s="322">
        <v>2011</v>
      </c>
      <c r="E51" s="343">
        <v>72652305.789999992</v>
      </c>
      <c r="F51" s="319">
        <v>134.1</v>
      </c>
      <c r="G51" s="319">
        <v>13</v>
      </c>
      <c r="H51" s="373">
        <f>'GDP A'!AF100</f>
        <v>133.49149394059646</v>
      </c>
      <c r="I51" s="53">
        <f t="shared" si="8"/>
        <v>31</v>
      </c>
      <c r="J51" s="53">
        <f t="shared" si="2"/>
        <v>0</v>
      </c>
      <c r="K51" s="53">
        <f t="shared" si="3"/>
        <v>0</v>
      </c>
      <c r="L51" s="53">
        <f t="shared" si="4"/>
        <v>1</v>
      </c>
      <c r="M51" s="53">
        <f t="shared" si="5"/>
        <v>0</v>
      </c>
      <c r="N51" s="341">
        <v>17</v>
      </c>
      <c r="O51" s="389">
        <f t="shared" si="6"/>
        <v>73800492.718086153</v>
      </c>
      <c r="P51" s="389">
        <f t="shared" si="7"/>
        <v>-1148186.9280861616</v>
      </c>
      <c r="Q51" s="389"/>
      <c r="AA51" s="211"/>
      <c r="AB51" s="211"/>
      <c r="AC51" s="211"/>
      <c r="AD51" s="211"/>
      <c r="AE51"/>
      <c r="AF51"/>
      <c r="AG51"/>
      <c r="AH51"/>
      <c r="AI51"/>
    </row>
    <row r="52" spans="2:35" ht="14.4" x14ac:dyDescent="0.3">
      <c r="B52" s="353">
        <v>40695</v>
      </c>
      <c r="C52" s="322">
        <f t="shared" si="1"/>
        <v>6</v>
      </c>
      <c r="D52" s="322">
        <v>2011</v>
      </c>
      <c r="E52" s="343">
        <v>76886231.902307689</v>
      </c>
      <c r="F52" s="319">
        <v>19</v>
      </c>
      <c r="G52" s="319">
        <v>52.2</v>
      </c>
      <c r="H52" s="373">
        <f>'GDP A'!AF101</f>
        <v>133.66044955376086</v>
      </c>
      <c r="I52" s="53">
        <f t="shared" si="8"/>
        <v>30</v>
      </c>
      <c r="J52" s="53">
        <f t="shared" si="2"/>
        <v>0</v>
      </c>
      <c r="K52" s="53">
        <f t="shared" si="3"/>
        <v>0</v>
      </c>
      <c r="L52" s="53">
        <f t="shared" si="4"/>
        <v>0</v>
      </c>
      <c r="M52" s="53">
        <f t="shared" si="5"/>
        <v>0</v>
      </c>
      <c r="N52" s="341">
        <v>18</v>
      </c>
      <c r="O52" s="389">
        <f t="shared" si="6"/>
        <v>78015410.088323191</v>
      </c>
      <c r="P52" s="389">
        <f t="shared" si="7"/>
        <v>-1129178.1860155016</v>
      </c>
      <c r="Q52" s="389"/>
      <c r="AA52" s="211"/>
      <c r="AB52" s="211"/>
      <c r="AC52" s="211"/>
      <c r="AD52" s="211"/>
      <c r="AE52"/>
      <c r="AF52"/>
      <c r="AG52"/>
      <c r="AH52"/>
      <c r="AI52"/>
    </row>
    <row r="53" spans="2:35" ht="14.4" x14ac:dyDescent="0.3">
      <c r="B53" s="353">
        <v>40725</v>
      </c>
      <c r="C53" s="322">
        <f t="shared" si="1"/>
        <v>7</v>
      </c>
      <c r="D53" s="322">
        <v>2011</v>
      </c>
      <c r="E53" s="343">
        <v>93432707.71615386</v>
      </c>
      <c r="F53" s="319">
        <v>0</v>
      </c>
      <c r="G53" s="319">
        <v>198.5</v>
      </c>
      <c r="H53" s="373">
        <f>'GDP A'!AF102</f>
        <v>133.82961900825984</v>
      </c>
      <c r="I53" s="53">
        <f t="shared" si="8"/>
        <v>31</v>
      </c>
      <c r="J53" s="53">
        <f t="shared" si="2"/>
        <v>0</v>
      </c>
      <c r="K53" s="53">
        <f t="shared" si="3"/>
        <v>0</v>
      </c>
      <c r="L53" s="53">
        <f t="shared" si="4"/>
        <v>0</v>
      </c>
      <c r="M53" s="53">
        <f t="shared" si="5"/>
        <v>0</v>
      </c>
      <c r="N53" s="341">
        <v>19</v>
      </c>
      <c r="O53" s="389">
        <f t="shared" si="6"/>
        <v>97945854.838626042</v>
      </c>
      <c r="P53" s="389">
        <f t="shared" si="7"/>
        <v>-4513147.1224721819</v>
      </c>
      <c r="Q53" s="389"/>
      <c r="AA53" s="211"/>
      <c r="AB53" s="211"/>
      <c r="AC53" s="211"/>
      <c r="AD53" s="211"/>
      <c r="AE53"/>
      <c r="AF53"/>
      <c r="AG53"/>
      <c r="AH53"/>
      <c r="AI53"/>
    </row>
    <row r="54" spans="2:35" ht="14.4" x14ac:dyDescent="0.3">
      <c r="B54" s="353">
        <v>40756</v>
      </c>
      <c r="C54" s="322">
        <f t="shared" si="1"/>
        <v>8</v>
      </c>
      <c r="D54" s="322">
        <v>2011</v>
      </c>
      <c r="E54" s="343">
        <v>86792642.630769238</v>
      </c>
      <c r="F54" s="319">
        <v>0</v>
      </c>
      <c r="G54" s="319">
        <v>122.2</v>
      </c>
      <c r="H54" s="373">
        <f>'GDP A'!AF103</f>
        <v>133.99900257474505</v>
      </c>
      <c r="I54" s="53">
        <f t="shared" si="8"/>
        <v>31</v>
      </c>
      <c r="J54" s="53">
        <f t="shared" si="2"/>
        <v>0</v>
      </c>
      <c r="K54" s="53">
        <f t="shared" si="3"/>
        <v>0</v>
      </c>
      <c r="L54" s="53">
        <f t="shared" si="4"/>
        <v>0</v>
      </c>
      <c r="M54" s="53">
        <f t="shared" si="5"/>
        <v>0</v>
      </c>
      <c r="N54" s="341">
        <v>20</v>
      </c>
      <c r="O54" s="389">
        <f t="shared" si="6"/>
        <v>88426559.731883541</v>
      </c>
      <c r="P54" s="389">
        <f t="shared" si="7"/>
        <v>-1633917.1011143029</v>
      </c>
      <c r="Q54" s="389"/>
      <c r="AA54" s="211"/>
      <c r="AB54" s="211"/>
      <c r="AC54" s="211"/>
      <c r="AD54" s="211"/>
      <c r="AE54"/>
      <c r="AF54"/>
      <c r="AG54"/>
      <c r="AH54"/>
      <c r="AI54"/>
    </row>
    <row r="55" spans="2:35" ht="14.4" x14ac:dyDescent="0.3">
      <c r="B55" s="353">
        <v>40787</v>
      </c>
      <c r="C55" s="322">
        <f t="shared" si="1"/>
        <v>9</v>
      </c>
      <c r="D55" s="322">
        <v>2011</v>
      </c>
      <c r="E55" s="343">
        <v>75561450.664615378</v>
      </c>
      <c r="F55" s="319">
        <v>48.2</v>
      </c>
      <c r="G55" s="319">
        <v>39.700000000000003</v>
      </c>
      <c r="H55" s="373">
        <f>'GDP A'!AF104</f>
        <v>134.16860052421072</v>
      </c>
      <c r="I55" s="53">
        <f t="shared" si="8"/>
        <v>30</v>
      </c>
      <c r="J55" s="53">
        <f t="shared" si="2"/>
        <v>0</v>
      </c>
      <c r="K55" s="53">
        <f t="shared" si="3"/>
        <v>0</v>
      </c>
      <c r="L55" s="53">
        <f t="shared" si="4"/>
        <v>0</v>
      </c>
      <c r="M55" s="53">
        <f t="shared" si="5"/>
        <v>0</v>
      </c>
      <c r="N55" s="341">
        <v>21</v>
      </c>
      <c r="O55" s="389">
        <f t="shared" si="6"/>
        <v>76698142.52267994</v>
      </c>
      <c r="P55" s="389">
        <f t="shared" si="7"/>
        <v>-1136691.8580645621</v>
      </c>
      <c r="Q55" s="389"/>
      <c r="AA55" s="211"/>
      <c r="AB55" s="211"/>
      <c r="AC55" s="211"/>
      <c r="AD55" s="211"/>
      <c r="AE55"/>
      <c r="AF55"/>
      <c r="AG55"/>
      <c r="AH55"/>
      <c r="AI55"/>
    </row>
    <row r="56" spans="2:35" ht="14.4" x14ac:dyDescent="0.3">
      <c r="B56" s="353">
        <v>40817</v>
      </c>
      <c r="C56" s="322">
        <f t="shared" si="1"/>
        <v>10</v>
      </c>
      <c r="D56" s="322">
        <v>2011</v>
      </c>
      <c r="E56" s="343">
        <v>73210551.581538469</v>
      </c>
      <c r="F56" s="319">
        <v>235.5</v>
      </c>
      <c r="G56" s="319">
        <v>2.4</v>
      </c>
      <c r="H56" s="373">
        <f>'GDP A'!AF105</f>
        <v>134.33841312799402</v>
      </c>
      <c r="I56" s="53">
        <f t="shared" si="8"/>
        <v>31</v>
      </c>
      <c r="J56" s="53">
        <f t="shared" si="2"/>
        <v>0</v>
      </c>
      <c r="K56" s="53">
        <f t="shared" si="3"/>
        <v>0</v>
      </c>
      <c r="L56" s="53">
        <f t="shared" si="4"/>
        <v>0</v>
      </c>
      <c r="M56" s="53">
        <f t="shared" si="5"/>
        <v>1</v>
      </c>
      <c r="N56" s="341">
        <v>22</v>
      </c>
      <c r="O56" s="389">
        <f t="shared" si="6"/>
        <v>74834887.100784674</v>
      </c>
      <c r="P56" s="389">
        <f t="shared" si="7"/>
        <v>-1624335.5192462057</v>
      </c>
      <c r="Q56" s="389"/>
      <c r="AA56" s="211"/>
      <c r="AB56" s="211"/>
      <c r="AC56" s="211"/>
      <c r="AD56" s="211"/>
      <c r="AE56"/>
      <c r="AF56"/>
      <c r="AG56"/>
      <c r="AH56"/>
      <c r="AI56"/>
    </row>
    <row r="57" spans="2:35" ht="14.4" x14ac:dyDescent="0.3">
      <c r="B57" s="353">
        <v>40848</v>
      </c>
      <c r="C57" s="322">
        <f t="shared" si="1"/>
        <v>11</v>
      </c>
      <c r="D57" s="322">
        <v>2011</v>
      </c>
      <c r="E57" s="343">
        <v>74362594.600769222</v>
      </c>
      <c r="F57" s="319">
        <v>342.1</v>
      </c>
      <c r="G57" s="319">
        <v>0</v>
      </c>
      <c r="H57" s="373">
        <f>'GDP A'!AF106</f>
        <v>134.50844065777559</v>
      </c>
      <c r="I57" s="53">
        <f t="shared" si="8"/>
        <v>30</v>
      </c>
      <c r="J57" s="53">
        <f t="shared" si="2"/>
        <v>0</v>
      </c>
      <c r="K57" s="53">
        <f t="shared" si="3"/>
        <v>0</v>
      </c>
      <c r="L57" s="53">
        <f t="shared" si="4"/>
        <v>0</v>
      </c>
      <c r="M57" s="53">
        <f t="shared" si="5"/>
        <v>0</v>
      </c>
      <c r="N57" s="341">
        <v>23</v>
      </c>
      <c r="O57" s="389">
        <f t="shared" si="6"/>
        <v>75789125.578818455</v>
      </c>
      <c r="P57" s="389">
        <f t="shared" si="7"/>
        <v>-1426530.9780492336</v>
      </c>
      <c r="Q57" s="389"/>
      <c r="AA57" s="211"/>
      <c r="AB57" s="211"/>
      <c r="AC57" s="211"/>
      <c r="AD57" s="211"/>
      <c r="AE57"/>
      <c r="AF57"/>
      <c r="AG57"/>
      <c r="AH57"/>
      <c r="AI57"/>
    </row>
    <row r="58" spans="2:35" ht="14.4" x14ac:dyDescent="0.3">
      <c r="B58" s="353">
        <v>40878</v>
      </c>
      <c r="C58" s="322">
        <f t="shared" si="1"/>
        <v>12</v>
      </c>
      <c r="D58" s="322">
        <v>2011</v>
      </c>
      <c r="E58" s="343">
        <v>78058078.98307693</v>
      </c>
      <c r="F58" s="319">
        <v>534</v>
      </c>
      <c r="G58" s="319">
        <v>0</v>
      </c>
      <c r="H58" s="373">
        <f>'GDP A'!AF107</f>
        <v>134.67868338557994</v>
      </c>
      <c r="I58" s="53">
        <f t="shared" si="8"/>
        <v>31</v>
      </c>
      <c r="J58" s="53">
        <f t="shared" si="2"/>
        <v>0</v>
      </c>
      <c r="K58" s="53">
        <f t="shared" si="3"/>
        <v>0</v>
      </c>
      <c r="L58" s="53">
        <f t="shared" si="4"/>
        <v>0</v>
      </c>
      <c r="M58" s="53">
        <f t="shared" si="5"/>
        <v>0</v>
      </c>
      <c r="N58" s="341">
        <v>24</v>
      </c>
      <c r="O58" s="389">
        <f t="shared" si="6"/>
        <v>80545764.999926671</v>
      </c>
      <c r="P58" s="389">
        <f t="shared" si="7"/>
        <v>-2487686.0168497413</v>
      </c>
      <c r="Q58" s="389"/>
      <c r="AA58" s="211"/>
      <c r="AB58" s="211"/>
      <c r="AC58" s="211"/>
      <c r="AD58" s="211"/>
      <c r="AE58"/>
      <c r="AF58"/>
      <c r="AG58"/>
      <c r="AH58"/>
      <c r="AI58"/>
    </row>
    <row r="59" spans="2:35" ht="14.4" x14ac:dyDescent="0.3">
      <c r="B59" s="353">
        <v>40909</v>
      </c>
      <c r="C59" s="322">
        <f t="shared" si="1"/>
        <v>1</v>
      </c>
      <c r="D59" s="322">
        <v>2012</v>
      </c>
      <c r="E59" s="343">
        <v>83475292.246923089</v>
      </c>
      <c r="F59" s="319">
        <v>610.80000000000007</v>
      </c>
      <c r="G59" s="319">
        <v>0</v>
      </c>
      <c r="H59" s="373">
        <f>'GDP A'!AF108</f>
        <v>134.80289547341587</v>
      </c>
      <c r="I59" s="53">
        <f t="shared" si="8"/>
        <v>31</v>
      </c>
      <c r="J59" s="53">
        <f t="shared" si="2"/>
        <v>0</v>
      </c>
      <c r="K59" s="53">
        <f t="shared" si="3"/>
        <v>0</v>
      </c>
      <c r="L59" s="53">
        <f t="shared" si="4"/>
        <v>0</v>
      </c>
      <c r="M59" s="53">
        <f t="shared" si="5"/>
        <v>0</v>
      </c>
      <c r="N59" s="341">
        <v>25</v>
      </c>
      <c r="O59" s="389">
        <f t="shared" si="6"/>
        <v>81542546.283964381</v>
      </c>
      <c r="P59" s="389">
        <f t="shared" si="7"/>
        <v>1932745.9629587084</v>
      </c>
      <c r="Q59" s="389"/>
      <c r="AA59" s="211"/>
      <c r="AB59" s="211"/>
      <c r="AC59" s="211"/>
      <c r="AD59" s="211"/>
      <c r="AE59"/>
      <c r="AF59"/>
      <c r="AG59"/>
      <c r="AH59"/>
      <c r="AI59"/>
    </row>
    <row r="60" spans="2:35" ht="14.4" x14ac:dyDescent="0.3">
      <c r="B60" s="353">
        <v>40940</v>
      </c>
      <c r="C60" s="322">
        <f t="shared" si="1"/>
        <v>2</v>
      </c>
      <c r="D60" s="322">
        <v>2012</v>
      </c>
      <c r="E60" s="343">
        <v>76561559.599230751</v>
      </c>
      <c r="F60" s="319">
        <v>532</v>
      </c>
      <c r="G60" s="319">
        <v>0</v>
      </c>
      <c r="H60" s="373">
        <f>'GDP A'!AF109</f>
        <v>134.92722212015877</v>
      </c>
      <c r="I60" s="53">
        <f t="shared" si="8"/>
        <v>29</v>
      </c>
      <c r="J60" s="53">
        <f t="shared" si="2"/>
        <v>0</v>
      </c>
      <c r="K60" s="53">
        <f t="shared" si="3"/>
        <v>0</v>
      </c>
      <c r="L60" s="53">
        <f t="shared" si="4"/>
        <v>0</v>
      </c>
      <c r="M60" s="53">
        <f t="shared" si="5"/>
        <v>0</v>
      </c>
      <c r="N60" s="341">
        <v>26</v>
      </c>
      <c r="O60" s="389">
        <f t="shared" si="6"/>
        <v>76116084.233644649</v>
      </c>
      <c r="P60" s="389">
        <f t="shared" si="7"/>
        <v>445475.36558610201</v>
      </c>
      <c r="Q60" s="389"/>
      <c r="AA60" s="211"/>
      <c r="AB60" s="211"/>
      <c r="AC60" s="211"/>
      <c r="AD60" s="211"/>
      <c r="AE60"/>
      <c r="AF60"/>
      <c r="AG60"/>
      <c r="AH60"/>
      <c r="AI60"/>
    </row>
    <row r="61" spans="2:35" ht="14.4" x14ac:dyDescent="0.3">
      <c r="B61" s="353">
        <v>40969</v>
      </c>
      <c r="C61" s="322">
        <f t="shared" si="1"/>
        <v>3</v>
      </c>
      <c r="D61" s="322">
        <v>2012</v>
      </c>
      <c r="E61" s="343">
        <v>76020277.875384629</v>
      </c>
      <c r="F61" s="319">
        <v>349.40000000000009</v>
      </c>
      <c r="G61" s="319">
        <v>0.2</v>
      </c>
      <c r="H61" s="373">
        <f>'GDP A'!AF110</f>
        <v>135.05166343146462</v>
      </c>
      <c r="I61" s="53">
        <f t="shared" si="8"/>
        <v>31</v>
      </c>
      <c r="J61" s="53">
        <f t="shared" si="2"/>
        <v>1</v>
      </c>
      <c r="K61" s="53">
        <f t="shared" si="3"/>
        <v>0</v>
      </c>
      <c r="L61" s="53">
        <f t="shared" si="4"/>
        <v>0</v>
      </c>
      <c r="M61" s="53">
        <f t="shared" si="5"/>
        <v>0</v>
      </c>
      <c r="N61" s="341">
        <v>27</v>
      </c>
      <c r="O61" s="389">
        <f t="shared" si="6"/>
        <v>75948682.795785144</v>
      </c>
      <c r="P61" s="389">
        <f t="shared" si="7"/>
        <v>71595.079599484801</v>
      </c>
      <c r="Q61" s="389"/>
      <c r="AA61" s="211"/>
      <c r="AB61" s="211"/>
      <c r="AC61" s="211"/>
      <c r="AD61" s="211"/>
      <c r="AE61"/>
      <c r="AF61"/>
      <c r="AG61"/>
      <c r="AH61"/>
      <c r="AI61"/>
    </row>
    <row r="62" spans="2:35" ht="14.4" x14ac:dyDescent="0.3">
      <c r="B62" s="353">
        <v>41000</v>
      </c>
      <c r="C62" s="322">
        <f t="shared" si="1"/>
        <v>4</v>
      </c>
      <c r="D62" s="322">
        <v>2012</v>
      </c>
      <c r="E62" s="343">
        <v>69885111.659999996</v>
      </c>
      <c r="F62" s="319">
        <v>321.70000000000005</v>
      </c>
      <c r="G62" s="319">
        <v>0</v>
      </c>
      <c r="H62" s="373">
        <f>'GDP A'!AF111</f>
        <v>135.17621951308675</v>
      </c>
      <c r="I62" s="53">
        <f t="shared" si="8"/>
        <v>30</v>
      </c>
      <c r="J62" s="53">
        <f t="shared" si="2"/>
        <v>0</v>
      </c>
      <c r="K62" s="53">
        <f t="shared" si="3"/>
        <v>1</v>
      </c>
      <c r="L62" s="53">
        <f t="shared" si="4"/>
        <v>0</v>
      </c>
      <c r="M62" s="53">
        <f t="shared" si="5"/>
        <v>0</v>
      </c>
      <c r="N62" s="341">
        <v>28</v>
      </c>
      <c r="O62" s="389">
        <f t="shared" si="6"/>
        <v>70922558.435856849</v>
      </c>
      <c r="P62" s="389">
        <f t="shared" si="7"/>
        <v>-1037446.7758568525</v>
      </c>
      <c r="Q62" s="389"/>
      <c r="AA62" s="211"/>
      <c r="AB62" s="211"/>
      <c r="AC62" s="211"/>
      <c r="AD62" s="211"/>
      <c r="AE62"/>
      <c r="AF62"/>
      <c r="AG62"/>
      <c r="AH62"/>
      <c r="AI62"/>
    </row>
    <row r="63" spans="2:35" ht="14.4" x14ac:dyDescent="0.3">
      <c r="B63" s="353">
        <v>41030</v>
      </c>
      <c r="C63" s="322">
        <f t="shared" si="1"/>
        <v>5</v>
      </c>
      <c r="D63" s="322">
        <v>2012</v>
      </c>
      <c r="E63" s="343">
        <v>77152267.277272731</v>
      </c>
      <c r="F63" s="319">
        <v>81.300000000000011</v>
      </c>
      <c r="G63" s="319">
        <v>36.700000000000003</v>
      </c>
      <c r="H63" s="373">
        <f>'GDP A'!AF112</f>
        <v>135.30089047087608</v>
      </c>
      <c r="I63" s="53">
        <f t="shared" si="8"/>
        <v>31</v>
      </c>
      <c r="J63" s="53">
        <f t="shared" si="2"/>
        <v>0</v>
      </c>
      <c r="K63" s="53">
        <f t="shared" si="3"/>
        <v>0</v>
      </c>
      <c r="L63" s="53">
        <f t="shared" si="4"/>
        <v>1</v>
      </c>
      <c r="M63" s="53">
        <f t="shared" si="5"/>
        <v>0</v>
      </c>
      <c r="N63" s="341">
        <v>29</v>
      </c>
      <c r="O63" s="389">
        <f t="shared" si="6"/>
        <v>75169181.060763493</v>
      </c>
      <c r="P63" s="389">
        <f t="shared" si="7"/>
        <v>1983086.2165092379</v>
      </c>
      <c r="Q63" s="389"/>
      <c r="AA63" s="211"/>
      <c r="AB63" s="211"/>
      <c r="AC63" s="211"/>
      <c r="AD63" s="211"/>
      <c r="AE63"/>
      <c r="AF63"/>
      <c r="AG63"/>
      <c r="AH63"/>
      <c r="AI63"/>
    </row>
    <row r="64" spans="2:35" ht="14.4" x14ac:dyDescent="0.3">
      <c r="B64" s="353">
        <v>41061</v>
      </c>
      <c r="C64" s="322">
        <f t="shared" si="1"/>
        <v>6</v>
      </c>
      <c r="D64" s="322">
        <v>2012</v>
      </c>
      <c r="E64" s="343">
        <v>83683996.899090916</v>
      </c>
      <c r="F64" s="319">
        <v>23.2</v>
      </c>
      <c r="G64" s="319">
        <v>101.60000000000001</v>
      </c>
      <c r="H64" s="373">
        <f>'GDP A'!AF113</f>
        <v>135.42567641078114</v>
      </c>
      <c r="I64" s="53">
        <f t="shared" si="8"/>
        <v>30</v>
      </c>
      <c r="J64" s="53">
        <f t="shared" si="2"/>
        <v>0</v>
      </c>
      <c r="K64" s="53">
        <f t="shared" si="3"/>
        <v>0</v>
      </c>
      <c r="L64" s="53">
        <f t="shared" si="4"/>
        <v>0</v>
      </c>
      <c r="M64" s="53">
        <f t="shared" si="5"/>
        <v>0</v>
      </c>
      <c r="N64" s="341">
        <v>30</v>
      </c>
      <c r="O64" s="389">
        <f t="shared" si="6"/>
        <v>83348778.726111874</v>
      </c>
      <c r="P64" s="389">
        <f t="shared" si="7"/>
        <v>335218.17297904193</v>
      </c>
      <c r="Q64" s="389"/>
      <c r="AA64" s="211"/>
      <c r="AB64" s="211"/>
      <c r="AC64" s="211"/>
      <c r="AD64" s="211"/>
      <c r="AE64"/>
      <c r="AF64"/>
      <c r="AG64"/>
      <c r="AH64"/>
      <c r="AI64"/>
    </row>
    <row r="65" spans="2:35" ht="14.4" x14ac:dyDescent="0.3">
      <c r="B65" s="353">
        <v>41091</v>
      </c>
      <c r="C65" s="322">
        <f t="shared" si="1"/>
        <v>7</v>
      </c>
      <c r="D65" s="322">
        <v>2012</v>
      </c>
      <c r="E65" s="343">
        <v>97430291.178181812</v>
      </c>
      <c r="F65" s="319">
        <v>0</v>
      </c>
      <c r="G65" s="319">
        <v>190.09999999999997</v>
      </c>
      <c r="H65" s="373">
        <f>'GDP A'!AF114</f>
        <v>135.55057743884817</v>
      </c>
      <c r="I65" s="53">
        <f t="shared" si="8"/>
        <v>31</v>
      </c>
      <c r="J65" s="53">
        <f t="shared" si="2"/>
        <v>0</v>
      </c>
      <c r="K65" s="53">
        <f t="shared" si="3"/>
        <v>0</v>
      </c>
      <c r="L65" s="53">
        <f t="shared" si="4"/>
        <v>0</v>
      </c>
      <c r="M65" s="53">
        <f t="shared" si="5"/>
        <v>0</v>
      </c>
      <c r="N65" s="341">
        <v>31</v>
      </c>
      <c r="O65" s="389">
        <f t="shared" si="6"/>
        <v>96030918.779882506</v>
      </c>
      <c r="P65" s="389">
        <f t="shared" si="7"/>
        <v>1399372.3982993066</v>
      </c>
      <c r="Q65" s="389"/>
      <c r="AA65" s="211"/>
      <c r="AB65" s="211"/>
      <c r="AC65" s="211"/>
      <c r="AD65" s="211"/>
      <c r="AE65"/>
      <c r="AF65"/>
      <c r="AG65"/>
      <c r="AH65"/>
      <c r="AI65"/>
    </row>
    <row r="66" spans="2:35" ht="14.4" x14ac:dyDescent="0.3">
      <c r="B66" s="353">
        <v>41122</v>
      </c>
      <c r="C66" s="322">
        <f t="shared" si="1"/>
        <v>8</v>
      </c>
      <c r="D66" s="322">
        <v>2012</v>
      </c>
      <c r="E66" s="343">
        <v>90717698.745454535</v>
      </c>
      <c r="F66" s="319">
        <v>2</v>
      </c>
      <c r="G66" s="319">
        <v>112.10000000000001</v>
      </c>
      <c r="H66" s="373">
        <f>'GDP A'!AF115</f>
        <v>135.67559366122123</v>
      </c>
      <c r="I66" s="53">
        <f t="shared" si="8"/>
        <v>31</v>
      </c>
      <c r="J66" s="53">
        <f t="shared" si="2"/>
        <v>0</v>
      </c>
      <c r="K66" s="53">
        <f t="shared" si="3"/>
        <v>0</v>
      </c>
      <c r="L66" s="53">
        <f t="shared" si="4"/>
        <v>0</v>
      </c>
      <c r="M66" s="53">
        <f t="shared" si="5"/>
        <v>0</v>
      </c>
      <c r="N66" s="341">
        <v>32</v>
      </c>
      <c r="O66" s="389">
        <f t="shared" si="6"/>
        <v>86305928.144156024</v>
      </c>
      <c r="P66" s="389">
        <f t="shared" si="7"/>
        <v>4411770.601298511</v>
      </c>
      <c r="Q66" s="389"/>
      <c r="AA66" s="211"/>
      <c r="AB66" s="211"/>
      <c r="AC66" s="211"/>
      <c r="AD66" s="211"/>
      <c r="AE66"/>
      <c r="AF66"/>
      <c r="AG66"/>
      <c r="AH66"/>
      <c r="AI66"/>
    </row>
    <row r="67" spans="2:35" ht="14.4" x14ac:dyDescent="0.3">
      <c r="B67" s="353">
        <v>41153</v>
      </c>
      <c r="C67" s="322">
        <f t="shared" si="1"/>
        <v>9</v>
      </c>
      <c r="D67" s="322">
        <v>2012</v>
      </c>
      <c r="E67" s="343">
        <v>77862574.99090907</v>
      </c>
      <c r="F67" s="319">
        <v>85</v>
      </c>
      <c r="G67" s="319">
        <v>35.6</v>
      </c>
      <c r="H67" s="373">
        <f>'GDP A'!AF116</f>
        <v>135.80072518414227</v>
      </c>
      <c r="I67" s="53">
        <f t="shared" si="8"/>
        <v>30</v>
      </c>
      <c r="J67" s="53">
        <f t="shared" si="2"/>
        <v>0</v>
      </c>
      <c r="K67" s="53">
        <f t="shared" si="3"/>
        <v>0</v>
      </c>
      <c r="L67" s="53">
        <f t="shared" si="4"/>
        <v>0</v>
      </c>
      <c r="M67" s="53">
        <f t="shared" si="5"/>
        <v>0</v>
      </c>
      <c r="N67" s="341">
        <v>33</v>
      </c>
      <c r="O67" s="389">
        <f t="shared" si="6"/>
        <v>75787495.203339711</v>
      </c>
      <c r="P67" s="389">
        <f t="shared" si="7"/>
        <v>2075079.7875693589</v>
      </c>
      <c r="Q67" s="389"/>
      <c r="AA67" s="211"/>
      <c r="AB67" s="211"/>
      <c r="AC67" s="211"/>
      <c r="AD67" s="211"/>
      <c r="AE67"/>
      <c r="AF67"/>
      <c r="AG67"/>
      <c r="AH67"/>
      <c r="AI67"/>
    </row>
    <row r="68" spans="2:35" ht="14.4" x14ac:dyDescent="0.3">
      <c r="B68" s="353">
        <v>41183</v>
      </c>
      <c r="C68" s="322">
        <f t="shared" si="1"/>
        <v>10</v>
      </c>
      <c r="D68" s="322">
        <v>2012</v>
      </c>
      <c r="E68" s="343">
        <v>75966062.297272757</v>
      </c>
      <c r="F68" s="319">
        <v>242.50000000000003</v>
      </c>
      <c r="G68" s="319">
        <v>1.1000000000000001</v>
      </c>
      <c r="H68" s="373">
        <f>'GDP A'!AF117</f>
        <v>135.92597211395122</v>
      </c>
      <c r="I68" s="53">
        <f t="shared" si="8"/>
        <v>31</v>
      </c>
      <c r="J68" s="53">
        <f t="shared" si="2"/>
        <v>0</v>
      </c>
      <c r="K68" s="53">
        <f t="shared" si="3"/>
        <v>0</v>
      </c>
      <c r="L68" s="53">
        <f t="shared" si="4"/>
        <v>0</v>
      </c>
      <c r="M68" s="53">
        <f t="shared" si="5"/>
        <v>1</v>
      </c>
      <c r="N68" s="341">
        <v>34</v>
      </c>
      <c r="O68" s="389">
        <f t="shared" si="6"/>
        <v>73829373.038768142</v>
      </c>
      <c r="P68" s="389">
        <f t="shared" si="7"/>
        <v>2136689.2585046142</v>
      </c>
      <c r="Q68" s="389"/>
      <c r="AA68" s="211"/>
      <c r="AB68" s="211"/>
      <c r="AC68" s="211"/>
      <c r="AD68" s="211"/>
      <c r="AE68"/>
      <c r="AF68"/>
      <c r="AG68"/>
      <c r="AH68"/>
      <c r="AI68"/>
    </row>
    <row r="69" spans="2:35" ht="14.4" x14ac:dyDescent="0.3">
      <c r="B69" s="353">
        <v>41214</v>
      </c>
      <c r="C69" s="322">
        <f t="shared" si="1"/>
        <v>11</v>
      </c>
      <c r="D69" s="322">
        <v>2012</v>
      </c>
      <c r="E69" s="343">
        <v>77579680.941818193</v>
      </c>
      <c r="F69" s="319">
        <v>433.99999999999994</v>
      </c>
      <c r="G69" s="319">
        <v>0</v>
      </c>
      <c r="H69" s="373">
        <f>'GDP A'!AF118</f>
        <v>136.05133455708605</v>
      </c>
      <c r="I69" s="53">
        <f t="shared" si="8"/>
        <v>30</v>
      </c>
      <c r="J69" s="53">
        <f t="shared" si="2"/>
        <v>0</v>
      </c>
      <c r="K69" s="53">
        <f t="shared" si="3"/>
        <v>0</v>
      </c>
      <c r="L69" s="53">
        <f t="shared" si="4"/>
        <v>0</v>
      </c>
      <c r="M69" s="53">
        <f t="shared" si="5"/>
        <v>0</v>
      </c>
      <c r="N69" s="341">
        <v>35</v>
      </c>
      <c r="O69" s="389">
        <f t="shared" si="6"/>
        <v>76114998.099659368</v>
      </c>
      <c r="P69" s="389">
        <f t="shared" si="7"/>
        <v>1464682.8421588242</v>
      </c>
      <c r="Q69" s="389"/>
      <c r="AA69" s="211"/>
      <c r="AB69" s="211"/>
      <c r="AC69" s="211"/>
      <c r="AD69" s="211"/>
      <c r="AE69"/>
      <c r="AF69"/>
      <c r="AG69"/>
      <c r="AH69"/>
      <c r="AI69"/>
    </row>
    <row r="70" spans="2:35" ht="14.4" x14ac:dyDescent="0.3">
      <c r="B70" s="353">
        <v>41244</v>
      </c>
      <c r="C70" s="322">
        <f t="shared" si="1"/>
        <v>12</v>
      </c>
      <c r="D70" s="322">
        <v>2012</v>
      </c>
      <c r="E70" s="343">
        <v>78044416.993636355</v>
      </c>
      <c r="F70" s="319">
        <v>533.50000000000011</v>
      </c>
      <c r="G70" s="319">
        <v>0</v>
      </c>
      <c r="H70" s="373">
        <f>'GDP A'!AF119</f>
        <v>136.17681262008293</v>
      </c>
      <c r="I70" s="53">
        <f t="shared" si="8"/>
        <v>31</v>
      </c>
      <c r="J70" s="53">
        <f t="shared" si="2"/>
        <v>0</v>
      </c>
      <c r="K70" s="53">
        <f t="shared" si="3"/>
        <v>0</v>
      </c>
      <c r="L70" s="53">
        <f t="shared" si="4"/>
        <v>0</v>
      </c>
      <c r="M70" s="53">
        <f t="shared" si="5"/>
        <v>0</v>
      </c>
      <c r="N70" s="341">
        <v>36</v>
      </c>
      <c r="O70" s="389">
        <f t="shared" si="6"/>
        <v>79549574.646311119</v>
      </c>
      <c r="P70" s="389">
        <f t="shared" si="7"/>
        <v>-1505157.6526747644</v>
      </c>
      <c r="Q70" s="389"/>
      <c r="AA70" s="211"/>
      <c r="AB70" s="211"/>
      <c r="AC70" s="211"/>
      <c r="AD70" s="211"/>
      <c r="AE70"/>
      <c r="AF70"/>
      <c r="AG70"/>
      <c r="AH70"/>
      <c r="AI70"/>
    </row>
    <row r="71" spans="2:35" ht="14.4" x14ac:dyDescent="0.3">
      <c r="B71" s="353">
        <v>41275</v>
      </c>
      <c r="C71" s="322">
        <f t="shared" si="1"/>
        <v>1</v>
      </c>
      <c r="D71" s="322">
        <v>2013</v>
      </c>
      <c r="E71" s="343">
        <v>84721792.143333375</v>
      </c>
      <c r="F71" s="319">
        <v>624.40000000000009</v>
      </c>
      <c r="G71" s="319">
        <v>0</v>
      </c>
      <c r="H71" s="373">
        <f>'GDP A'!AF120</f>
        <v>136.33254285243484</v>
      </c>
      <c r="I71" s="53">
        <f t="shared" si="8"/>
        <v>31</v>
      </c>
      <c r="J71" s="53">
        <f t="shared" si="2"/>
        <v>0</v>
      </c>
      <c r="K71" s="53">
        <f t="shared" si="3"/>
        <v>0</v>
      </c>
      <c r="L71" s="53">
        <f t="shared" si="4"/>
        <v>0</v>
      </c>
      <c r="M71" s="53">
        <f t="shared" si="5"/>
        <v>0</v>
      </c>
      <c r="N71" s="341">
        <v>37</v>
      </c>
      <c r="O71" s="389">
        <f t="shared" si="6"/>
        <v>80760916.859124705</v>
      </c>
      <c r="P71" s="389">
        <f t="shared" si="7"/>
        <v>3960875.2842086703</v>
      </c>
      <c r="Q71" s="389"/>
      <c r="AA71" s="211"/>
      <c r="AB71" s="211"/>
      <c r="AC71" s="211"/>
      <c r="AD71" s="211"/>
      <c r="AE71"/>
      <c r="AF71"/>
      <c r="AG71"/>
      <c r="AH71"/>
      <c r="AI71"/>
    </row>
    <row r="72" spans="2:35" ht="14.4" x14ac:dyDescent="0.3">
      <c r="B72" s="353">
        <v>41306</v>
      </c>
      <c r="C72" s="322">
        <f t="shared" si="1"/>
        <v>2</v>
      </c>
      <c r="D72" s="322">
        <v>2013</v>
      </c>
      <c r="E72" s="343">
        <v>76515852.360000014</v>
      </c>
      <c r="F72" s="319">
        <v>631.49999999999989</v>
      </c>
      <c r="G72" s="319">
        <v>0</v>
      </c>
      <c r="H72" s="373">
        <f>'GDP A'!AF121</f>
        <v>136.4884511760844</v>
      </c>
      <c r="I72" s="53">
        <f t="shared" si="8"/>
        <v>28</v>
      </c>
      <c r="J72" s="53">
        <f t="shared" si="2"/>
        <v>0</v>
      </c>
      <c r="K72" s="53">
        <f t="shared" si="3"/>
        <v>0</v>
      </c>
      <c r="L72" s="53">
        <f t="shared" si="4"/>
        <v>0</v>
      </c>
      <c r="M72" s="53">
        <f t="shared" si="5"/>
        <v>0</v>
      </c>
      <c r="N72" s="341">
        <v>38</v>
      </c>
      <c r="O72" s="389">
        <f t="shared" si="6"/>
        <v>74440250.498076394</v>
      </c>
      <c r="P72" s="389">
        <f t="shared" si="7"/>
        <v>2075601.8619236201</v>
      </c>
      <c r="Q72" s="389"/>
      <c r="AA72" s="211"/>
      <c r="AB72" s="211"/>
      <c r="AC72" s="211"/>
      <c r="AD72" s="211"/>
      <c r="AE72"/>
      <c r="AF72"/>
      <c r="AG72"/>
      <c r="AH72"/>
      <c r="AI72"/>
    </row>
    <row r="73" spans="2:35" ht="14.4" x14ac:dyDescent="0.3">
      <c r="B73" s="353">
        <v>41334</v>
      </c>
      <c r="C73" s="322">
        <f t="shared" si="1"/>
        <v>3</v>
      </c>
      <c r="D73" s="322">
        <v>2013</v>
      </c>
      <c r="E73" s="343">
        <v>80320040.103333354</v>
      </c>
      <c r="F73" s="319">
        <v>554.79999999999995</v>
      </c>
      <c r="G73" s="319">
        <v>0</v>
      </c>
      <c r="H73" s="373">
        <f>'GDP A'!AF122</f>
        <v>136.64453779469474</v>
      </c>
      <c r="I73" s="53">
        <f t="shared" si="8"/>
        <v>31</v>
      </c>
      <c r="J73" s="53">
        <f t="shared" si="2"/>
        <v>1</v>
      </c>
      <c r="K73" s="53">
        <f t="shared" si="3"/>
        <v>0</v>
      </c>
      <c r="L73" s="53">
        <f t="shared" si="4"/>
        <v>0</v>
      </c>
      <c r="M73" s="53">
        <f t="shared" si="5"/>
        <v>0</v>
      </c>
      <c r="N73" s="341">
        <v>39</v>
      </c>
      <c r="O73" s="389">
        <f t="shared" si="6"/>
        <v>77871121.663812295</v>
      </c>
      <c r="P73" s="389">
        <f t="shared" si="7"/>
        <v>2448918.4395210594</v>
      </c>
      <c r="Q73" s="389"/>
      <c r="AA73" s="211"/>
      <c r="AB73" s="211"/>
      <c r="AC73" s="211"/>
      <c r="AD73" s="211"/>
      <c r="AE73"/>
      <c r="AF73"/>
      <c r="AG73"/>
      <c r="AH73"/>
      <c r="AI73"/>
    </row>
    <row r="74" spans="2:35" ht="14.4" x14ac:dyDescent="0.3">
      <c r="B74" s="353">
        <v>41365</v>
      </c>
      <c r="C74" s="322">
        <f t="shared" si="1"/>
        <v>4</v>
      </c>
      <c r="D74" s="322">
        <v>2013</v>
      </c>
      <c r="E74" s="343">
        <v>73854214.826666668</v>
      </c>
      <c r="F74" s="319">
        <v>358.6</v>
      </c>
      <c r="G74" s="319">
        <v>0</v>
      </c>
      <c r="H74" s="373">
        <f>'GDP A'!AF123</f>
        <v>136.80080291216194</v>
      </c>
      <c r="I74" s="53">
        <f t="shared" si="8"/>
        <v>30</v>
      </c>
      <c r="J74" s="53">
        <f t="shared" si="2"/>
        <v>0</v>
      </c>
      <c r="K74" s="53">
        <f t="shared" si="3"/>
        <v>1</v>
      </c>
      <c r="L74" s="53">
        <f t="shared" si="4"/>
        <v>0</v>
      </c>
      <c r="M74" s="53">
        <f t="shared" si="5"/>
        <v>0</v>
      </c>
      <c r="N74" s="341">
        <v>40</v>
      </c>
      <c r="O74" s="389">
        <f t="shared" si="6"/>
        <v>70517736.317661837</v>
      </c>
      <c r="P74" s="389">
        <f t="shared" si="7"/>
        <v>3336478.5090048313</v>
      </c>
      <c r="Q74" s="389"/>
      <c r="AA74" s="211"/>
      <c r="AB74" s="211"/>
      <c r="AC74" s="211"/>
      <c r="AD74" s="211"/>
      <c r="AE74"/>
      <c r="AF74"/>
      <c r="AG74"/>
      <c r="AH74"/>
      <c r="AI74"/>
    </row>
    <row r="75" spans="2:35" ht="14.4" x14ac:dyDescent="0.3">
      <c r="B75" s="353">
        <v>41395</v>
      </c>
      <c r="C75" s="322">
        <f t="shared" si="1"/>
        <v>5</v>
      </c>
      <c r="D75" s="322">
        <v>2013</v>
      </c>
      <c r="E75" s="343">
        <v>75766818.393333361</v>
      </c>
      <c r="F75" s="319">
        <v>109.10000000000001</v>
      </c>
      <c r="G75" s="319">
        <v>23.1</v>
      </c>
      <c r="H75" s="373">
        <f>'GDP A'!AF124</f>
        <v>136.95724673261523</v>
      </c>
      <c r="I75" s="53">
        <f t="shared" si="8"/>
        <v>31</v>
      </c>
      <c r="J75" s="53">
        <f t="shared" si="2"/>
        <v>0</v>
      </c>
      <c r="K75" s="53">
        <f t="shared" si="3"/>
        <v>0</v>
      </c>
      <c r="L75" s="53">
        <f t="shared" si="4"/>
        <v>1</v>
      </c>
      <c r="M75" s="53">
        <f t="shared" si="5"/>
        <v>0</v>
      </c>
      <c r="N75" s="341">
        <v>41</v>
      </c>
      <c r="O75" s="389">
        <f t="shared" si="6"/>
        <v>72966756.910483301</v>
      </c>
      <c r="P75" s="389">
        <f t="shared" si="7"/>
        <v>2800061.4828500599</v>
      </c>
      <c r="Q75" s="389"/>
      <c r="AA75" s="211"/>
      <c r="AB75" s="211"/>
      <c r="AC75" s="211"/>
      <c r="AD75" s="211"/>
      <c r="AE75"/>
      <c r="AF75"/>
      <c r="AG75"/>
      <c r="AH75"/>
      <c r="AI75"/>
    </row>
    <row r="76" spans="2:35" ht="14.4" x14ac:dyDescent="0.3">
      <c r="B76" s="353">
        <v>41426</v>
      </c>
      <c r="C76" s="322">
        <f t="shared" si="1"/>
        <v>6</v>
      </c>
      <c r="D76" s="322">
        <v>2013</v>
      </c>
      <c r="E76" s="343">
        <v>79605453.473333344</v>
      </c>
      <c r="F76" s="334">
        <v>33</v>
      </c>
      <c r="G76" s="334">
        <v>59.599999999999994</v>
      </c>
      <c r="H76" s="373">
        <f>'GDP A'!AF125</f>
        <v>137.11386946041728</v>
      </c>
      <c r="I76" s="53">
        <f t="shared" si="8"/>
        <v>30</v>
      </c>
      <c r="J76" s="53">
        <f t="shared" si="2"/>
        <v>0</v>
      </c>
      <c r="K76" s="53">
        <f t="shared" si="3"/>
        <v>0</v>
      </c>
      <c r="L76" s="53">
        <f t="shared" si="4"/>
        <v>0</v>
      </c>
      <c r="M76" s="53">
        <f t="shared" si="5"/>
        <v>0</v>
      </c>
      <c r="N76" s="341">
        <v>42</v>
      </c>
      <c r="O76" s="389">
        <f t="shared" si="6"/>
        <v>77388717.58126767</v>
      </c>
      <c r="P76" s="389">
        <f t="shared" si="7"/>
        <v>2216735.8920656741</v>
      </c>
      <c r="Q76" s="389"/>
      <c r="AA76" s="211"/>
      <c r="AB76" s="211"/>
      <c r="AC76" s="211"/>
      <c r="AD76" s="211"/>
      <c r="AE76"/>
      <c r="AF76"/>
      <c r="AG76"/>
      <c r="AH76"/>
      <c r="AI76"/>
    </row>
    <row r="77" spans="2:35" ht="14.4" x14ac:dyDescent="0.3">
      <c r="B77" s="353">
        <v>41456</v>
      </c>
      <c r="C77" s="322">
        <f t="shared" si="1"/>
        <v>7</v>
      </c>
      <c r="D77" s="322">
        <v>2013</v>
      </c>
      <c r="E77" s="343">
        <v>91347063.430000022</v>
      </c>
      <c r="F77" s="319">
        <v>1.2999999999999998</v>
      </c>
      <c r="G77" s="319">
        <v>120.80000000000003</v>
      </c>
      <c r="H77" s="373">
        <f>'GDP A'!AF126</f>
        <v>137.27067130016448</v>
      </c>
      <c r="I77" s="53">
        <f t="shared" si="8"/>
        <v>31</v>
      </c>
      <c r="J77" s="53">
        <f t="shared" si="2"/>
        <v>0</v>
      </c>
      <c r="K77" s="53">
        <f t="shared" si="3"/>
        <v>0</v>
      </c>
      <c r="L77" s="53">
        <f t="shared" si="4"/>
        <v>0</v>
      </c>
      <c r="M77" s="53">
        <f t="shared" si="5"/>
        <v>0</v>
      </c>
      <c r="N77" s="341">
        <v>43</v>
      </c>
      <c r="O77" s="389">
        <f t="shared" si="6"/>
        <v>86583173.234003916</v>
      </c>
      <c r="P77" s="389">
        <f t="shared" si="7"/>
        <v>4763890.1959961057</v>
      </c>
      <c r="Q77" s="389"/>
      <c r="AA77" s="211"/>
      <c r="AB77" s="211"/>
      <c r="AC77" s="211"/>
      <c r="AD77" s="211"/>
      <c r="AE77"/>
      <c r="AF77"/>
      <c r="AG77"/>
      <c r="AH77"/>
      <c r="AI77"/>
    </row>
    <row r="78" spans="2:35" ht="14.4" x14ac:dyDescent="0.3">
      <c r="B78" s="353">
        <v>41487</v>
      </c>
      <c r="C78" s="322">
        <f t="shared" si="1"/>
        <v>8</v>
      </c>
      <c r="D78" s="322">
        <v>2013</v>
      </c>
      <c r="E78" s="343">
        <v>86194913.580000013</v>
      </c>
      <c r="F78" s="319">
        <v>4.4000000000000004</v>
      </c>
      <c r="G78" s="319">
        <v>93.799999999999983</v>
      </c>
      <c r="H78" s="373">
        <f>'GDP A'!AF127</f>
        <v>137.42765245668718</v>
      </c>
      <c r="I78" s="53">
        <f t="shared" si="8"/>
        <v>31</v>
      </c>
      <c r="J78" s="53">
        <f t="shared" si="2"/>
        <v>0</v>
      </c>
      <c r="K78" s="53">
        <f t="shared" si="3"/>
        <v>0</v>
      </c>
      <c r="L78" s="53">
        <f t="shared" si="4"/>
        <v>0</v>
      </c>
      <c r="M78" s="53">
        <f t="shared" si="5"/>
        <v>0</v>
      </c>
      <c r="N78" s="341">
        <v>44</v>
      </c>
      <c r="O78" s="389">
        <f t="shared" si="6"/>
        <v>83213432.016844526</v>
      </c>
      <c r="P78" s="389">
        <f t="shared" si="7"/>
        <v>2981481.5631554872</v>
      </c>
      <c r="Q78" s="389"/>
      <c r="AA78" s="211"/>
      <c r="AB78" s="211"/>
      <c r="AC78" s="211"/>
      <c r="AD78" s="211"/>
      <c r="AE78"/>
      <c r="AF78"/>
      <c r="AG78"/>
      <c r="AH78"/>
      <c r="AI78"/>
    </row>
    <row r="79" spans="2:35" ht="14.4" x14ac:dyDescent="0.3">
      <c r="B79" s="353">
        <v>41518</v>
      </c>
      <c r="C79" s="322">
        <f t="shared" si="1"/>
        <v>9</v>
      </c>
      <c r="D79" s="322">
        <v>2013</v>
      </c>
      <c r="E79" s="343">
        <v>77473370.183333322</v>
      </c>
      <c r="F79" s="319">
        <v>82.999999999999986</v>
      </c>
      <c r="G79" s="319">
        <v>28.099999999999998</v>
      </c>
      <c r="H79" s="373">
        <f>'GDP A'!AF128</f>
        <v>137.58481313504998</v>
      </c>
      <c r="I79" s="53">
        <f t="shared" si="8"/>
        <v>30</v>
      </c>
      <c r="J79" s="53">
        <f t="shared" si="2"/>
        <v>0</v>
      </c>
      <c r="K79" s="53">
        <f t="shared" si="3"/>
        <v>0</v>
      </c>
      <c r="L79" s="53">
        <f t="shared" si="4"/>
        <v>0</v>
      </c>
      <c r="M79" s="53">
        <f t="shared" si="5"/>
        <v>0</v>
      </c>
      <c r="N79" s="341">
        <v>45</v>
      </c>
      <c r="O79" s="389">
        <f t="shared" si="6"/>
        <v>73988808.675118357</v>
      </c>
      <c r="P79" s="389">
        <f t="shared" si="7"/>
        <v>3484561.5082149655</v>
      </c>
      <c r="Q79" s="389"/>
      <c r="AA79" s="211"/>
      <c r="AB79" s="211"/>
      <c r="AC79" s="211"/>
      <c r="AD79" s="211"/>
      <c r="AE79"/>
      <c r="AF79"/>
      <c r="AG79"/>
      <c r="AH79"/>
      <c r="AI79"/>
    </row>
    <row r="80" spans="2:35" ht="14.4" x14ac:dyDescent="0.3">
      <c r="B80" s="353">
        <v>41548</v>
      </c>
      <c r="C80" s="322">
        <f t="shared" si="1"/>
        <v>10</v>
      </c>
      <c r="D80" s="322">
        <v>2013</v>
      </c>
      <c r="E80" s="343">
        <v>76800878.560000002</v>
      </c>
      <c r="F80" s="319">
        <v>208.5</v>
      </c>
      <c r="G80" s="319">
        <v>0.4</v>
      </c>
      <c r="H80" s="373">
        <f>'GDP A'!AF129</f>
        <v>137.74215354055198</v>
      </c>
      <c r="I80" s="53">
        <f t="shared" si="8"/>
        <v>31</v>
      </c>
      <c r="J80" s="53">
        <f t="shared" si="2"/>
        <v>0</v>
      </c>
      <c r="K80" s="53">
        <f t="shared" si="3"/>
        <v>0</v>
      </c>
      <c r="L80" s="53">
        <f t="shared" si="4"/>
        <v>0</v>
      </c>
      <c r="M80" s="53">
        <f t="shared" si="5"/>
        <v>1</v>
      </c>
      <c r="N80" s="341">
        <v>46</v>
      </c>
      <c r="O80" s="389">
        <f t="shared" si="6"/>
        <v>72440633.404899582</v>
      </c>
      <c r="P80" s="389">
        <f t="shared" si="7"/>
        <v>4360245.1551004201</v>
      </c>
      <c r="Q80" s="389"/>
      <c r="AA80" s="211"/>
      <c r="AB80" s="211"/>
      <c r="AC80" s="211"/>
      <c r="AD80" s="211"/>
      <c r="AE80"/>
      <c r="AF80"/>
      <c r="AG80"/>
      <c r="AH80"/>
      <c r="AI80"/>
    </row>
    <row r="81" spans="2:35" ht="14.4" x14ac:dyDescent="0.3">
      <c r="B81" s="353">
        <v>41579</v>
      </c>
      <c r="C81" s="322">
        <f t="shared" si="1"/>
        <v>11</v>
      </c>
      <c r="D81" s="322">
        <v>2013</v>
      </c>
      <c r="E81" s="343">
        <v>77253769.396666661</v>
      </c>
      <c r="F81" s="319">
        <v>478.20000000000005</v>
      </c>
      <c r="G81" s="319">
        <v>0</v>
      </c>
      <c r="H81" s="373">
        <f>'GDP A'!AF130</f>
        <v>137.89967387872707</v>
      </c>
      <c r="I81" s="53">
        <f t="shared" si="8"/>
        <v>30</v>
      </c>
      <c r="J81" s="53">
        <f t="shared" si="2"/>
        <v>0</v>
      </c>
      <c r="K81" s="53">
        <f t="shared" si="3"/>
        <v>0</v>
      </c>
      <c r="L81" s="53">
        <f t="shared" si="4"/>
        <v>0</v>
      </c>
      <c r="M81" s="53">
        <f t="shared" si="5"/>
        <v>0</v>
      </c>
      <c r="N81" s="341">
        <v>47</v>
      </c>
      <c r="O81" s="389">
        <f t="shared" si="6"/>
        <v>75928962.434670761</v>
      </c>
      <c r="P81" s="389">
        <f t="shared" si="7"/>
        <v>1324806.9619958997</v>
      </c>
      <c r="Q81" s="389"/>
      <c r="AA81" s="211"/>
      <c r="AB81" s="211"/>
      <c r="AC81" s="211"/>
      <c r="AD81" s="211"/>
      <c r="AE81"/>
      <c r="AF81"/>
      <c r="AG81"/>
      <c r="AH81"/>
      <c r="AI81"/>
    </row>
    <row r="82" spans="2:35" ht="14.4" x14ac:dyDescent="0.3">
      <c r="B82" s="353">
        <v>41609</v>
      </c>
      <c r="C82" s="322">
        <f t="shared" si="1"/>
        <v>12</v>
      </c>
      <c r="D82" s="322">
        <v>2013</v>
      </c>
      <c r="E82" s="343">
        <v>81481312.549999997</v>
      </c>
      <c r="F82" s="319">
        <v>687.9</v>
      </c>
      <c r="G82" s="319">
        <v>0</v>
      </c>
      <c r="H82" s="373">
        <f>'GDP A'!AF131</f>
        <v>138.05737435534434</v>
      </c>
      <c r="I82" s="53">
        <f t="shared" si="8"/>
        <v>31</v>
      </c>
      <c r="J82" s="53">
        <f t="shared" si="2"/>
        <v>0</v>
      </c>
      <c r="K82" s="53">
        <f t="shared" si="3"/>
        <v>0</v>
      </c>
      <c r="L82" s="53">
        <f t="shared" si="4"/>
        <v>0</v>
      </c>
      <c r="M82" s="53">
        <f t="shared" si="5"/>
        <v>0</v>
      </c>
      <c r="N82" s="341">
        <v>48</v>
      </c>
      <c r="O82" s="389">
        <f t="shared" si="6"/>
        <v>80929295.718067899</v>
      </c>
      <c r="P82" s="389">
        <f t="shared" si="7"/>
        <v>552016.83193209767</v>
      </c>
      <c r="Q82" s="389"/>
      <c r="AA82" s="211"/>
      <c r="AB82" s="211"/>
      <c r="AC82" s="211"/>
      <c r="AD82" s="211"/>
      <c r="AE82"/>
      <c r="AF82"/>
      <c r="AG82"/>
      <c r="AH82"/>
      <c r="AI82"/>
    </row>
    <row r="83" spans="2:35" ht="14.4" x14ac:dyDescent="0.3">
      <c r="B83" s="353">
        <v>41640</v>
      </c>
      <c r="C83" s="322">
        <f t="shared" si="1"/>
        <v>1</v>
      </c>
      <c r="D83" s="322">
        <v>2014</v>
      </c>
      <c r="E83" s="343">
        <v>87110628.419999987</v>
      </c>
      <c r="F83" s="319">
        <v>825.90000000000009</v>
      </c>
      <c r="G83" s="319">
        <v>0</v>
      </c>
      <c r="H83" s="373">
        <f>'GDP A'!AF132</f>
        <v>138.29854859030914</v>
      </c>
      <c r="I83" s="53">
        <f t="shared" si="8"/>
        <v>31</v>
      </c>
      <c r="J83" s="53">
        <f t="shared" si="2"/>
        <v>0</v>
      </c>
      <c r="K83" s="53">
        <f t="shared" si="3"/>
        <v>0</v>
      </c>
      <c r="L83" s="53">
        <f t="shared" si="4"/>
        <v>0</v>
      </c>
      <c r="M83" s="53">
        <f t="shared" si="5"/>
        <v>0</v>
      </c>
      <c r="N83" s="341">
        <v>49</v>
      </c>
      <c r="O83" s="389">
        <f t="shared" si="6"/>
        <v>82847061.811006233</v>
      </c>
      <c r="P83" s="389">
        <f t="shared" si="7"/>
        <v>4263566.6089937538</v>
      </c>
      <c r="Q83" s="389"/>
      <c r="AA83" s="211"/>
      <c r="AB83" s="211"/>
      <c r="AC83" s="211"/>
      <c r="AD83" s="211"/>
      <c r="AE83"/>
      <c r="AF83"/>
      <c r="AG83"/>
      <c r="AH83"/>
      <c r="AI83"/>
    </row>
    <row r="84" spans="2:35" ht="14.4" x14ac:dyDescent="0.3">
      <c r="B84" s="353">
        <v>41671</v>
      </c>
      <c r="C84" s="322">
        <f t="shared" si="1"/>
        <v>2</v>
      </c>
      <c r="D84" s="322">
        <v>2014</v>
      </c>
      <c r="E84" s="343">
        <v>75310896.296666682</v>
      </c>
      <c r="F84" s="319">
        <v>737.09999999999991</v>
      </c>
      <c r="G84" s="319">
        <v>0</v>
      </c>
      <c r="H84" s="373">
        <f>'GDP A'!AF133</f>
        <v>138.54014413570292</v>
      </c>
      <c r="I84" s="53">
        <f t="shared" si="8"/>
        <v>28</v>
      </c>
      <c r="J84" s="53">
        <f t="shared" si="2"/>
        <v>0</v>
      </c>
      <c r="K84" s="53">
        <f t="shared" si="3"/>
        <v>0</v>
      </c>
      <c r="L84" s="53">
        <f t="shared" si="4"/>
        <v>0</v>
      </c>
      <c r="M84" s="53">
        <f t="shared" si="5"/>
        <v>0</v>
      </c>
      <c r="N84" s="341">
        <v>50</v>
      </c>
      <c r="O84" s="389">
        <f t="shared" si="6"/>
        <v>75222865.362646416</v>
      </c>
      <c r="P84" s="389">
        <f t="shared" si="7"/>
        <v>88030.934020265937</v>
      </c>
      <c r="Q84" s="389"/>
      <c r="AA84" s="211"/>
      <c r="AB84" s="211"/>
      <c r="AC84" s="211"/>
      <c r="AD84" s="211"/>
      <c r="AE84"/>
      <c r="AF84"/>
      <c r="AG84"/>
      <c r="AH84"/>
      <c r="AI84"/>
    </row>
    <row r="85" spans="2:35" ht="14.4" x14ac:dyDescent="0.3">
      <c r="B85" s="353">
        <v>41699</v>
      </c>
      <c r="C85" s="322">
        <f t="shared" si="1"/>
        <v>3</v>
      </c>
      <c r="D85" s="322">
        <v>2014</v>
      </c>
      <c r="E85" s="343">
        <v>79598361.859999985</v>
      </c>
      <c r="F85" s="319">
        <v>690.6</v>
      </c>
      <c r="G85" s="319">
        <v>0</v>
      </c>
      <c r="H85" s="373">
        <f>'GDP A'!AF134</f>
        <v>138.78216172751834</v>
      </c>
      <c r="I85" s="53">
        <f t="shared" si="8"/>
        <v>31</v>
      </c>
      <c r="J85" s="53">
        <f t="shared" si="2"/>
        <v>1</v>
      </c>
      <c r="K85" s="53">
        <f t="shared" si="3"/>
        <v>0</v>
      </c>
      <c r="L85" s="53">
        <f t="shared" si="4"/>
        <v>0</v>
      </c>
      <c r="M85" s="53">
        <f t="shared" si="5"/>
        <v>0</v>
      </c>
      <c r="N85" s="341">
        <v>51</v>
      </c>
      <c r="O85" s="389">
        <f t="shared" si="6"/>
        <v>79122858.305154189</v>
      </c>
      <c r="P85" s="389">
        <f t="shared" si="7"/>
        <v>475503.55484579504</v>
      </c>
      <c r="Q85" s="389"/>
      <c r="AA85" s="211"/>
      <c r="AB85" s="211"/>
      <c r="AC85" s="211"/>
      <c r="AD85" s="211"/>
      <c r="AE85"/>
      <c r="AF85"/>
      <c r="AG85"/>
      <c r="AH85"/>
      <c r="AI85"/>
    </row>
    <row r="86" spans="2:35" ht="14.4" x14ac:dyDescent="0.3">
      <c r="B86" s="353">
        <v>41730</v>
      </c>
      <c r="C86" s="322">
        <f t="shared" si="1"/>
        <v>4</v>
      </c>
      <c r="D86" s="322">
        <v>2014</v>
      </c>
      <c r="E86" s="343">
        <v>69107663.240000024</v>
      </c>
      <c r="F86" s="319">
        <v>356.90000000000003</v>
      </c>
      <c r="G86" s="319">
        <v>0</v>
      </c>
      <c r="H86" s="373">
        <f>'GDP A'!AF135</f>
        <v>139.02460210303386</v>
      </c>
      <c r="I86" s="53">
        <f t="shared" si="8"/>
        <v>30</v>
      </c>
      <c r="J86" s="53">
        <f t="shared" si="2"/>
        <v>0</v>
      </c>
      <c r="K86" s="53">
        <f t="shared" si="3"/>
        <v>1</v>
      </c>
      <c r="L86" s="53">
        <f t="shared" si="4"/>
        <v>0</v>
      </c>
      <c r="M86" s="53">
        <f t="shared" si="5"/>
        <v>0</v>
      </c>
      <c r="N86" s="341">
        <v>52</v>
      </c>
      <c r="O86" s="389">
        <f t="shared" si="6"/>
        <v>69881445.642682672</v>
      </c>
      <c r="P86" s="389">
        <f t="shared" si="7"/>
        <v>-773782.40268264711</v>
      </c>
      <c r="Q86" s="389"/>
      <c r="AA86" s="211"/>
      <c r="AB86" s="211"/>
      <c r="AC86" s="211"/>
      <c r="AD86" s="211"/>
      <c r="AE86"/>
      <c r="AF86"/>
      <c r="AG86"/>
      <c r="AH86"/>
      <c r="AI86"/>
    </row>
    <row r="87" spans="2:35" ht="14.4" x14ac:dyDescent="0.3">
      <c r="B87" s="353">
        <v>41760</v>
      </c>
      <c r="C87" s="322">
        <f t="shared" si="1"/>
        <v>5</v>
      </c>
      <c r="D87" s="322">
        <v>2014</v>
      </c>
      <c r="E87" s="343">
        <v>69871028.140769228</v>
      </c>
      <c r="F87" s="319">
        <v>132.10000000000005</v>
      </c>
      <c r="G87" s="319">
        <v>11.9</v>
      </c>
      <c r="H87" s="373">
        <f>'GDP A'!AF136</f>
        <v>139.26746600081583</v>
      </c>
      <c r="I87" s="53">
        <f t="shared" si="8"/>
        <v>31</v>
      </c>
      <c r="J87" s="53">
        <f t="shared" si="2"/>
        <v>0</v>
      </c>
      <c r="K87" s="53">
        <f t="shared" si="3"/>
        <v>0</v>
      </c>
      <c r="L87" s="53">
        <f t="shared" si="4"/>
        <v>1</v>
      </c>
      <c r="M87" s="53">
        <f t="shared" si="5"/>
        <v>0</v>
      </c>
      <c r="N87" s="341">
        <v>53</v>
      </c>
      <c r="O87" s="389">
        <f t="shared" si="6"/>
        <v>71333908.820319191</v>
      </c>
      <c r="P87" s="389">
        <f t="shared" si="7"/>
        <v>-1462880.6795499623</v>
      </c>
      <c r="Q87" s="389"/>
      <c r="AA87" s="211"/>
      <c r="AB87" s="211"/>
      <c r="AC87" s="211"/>
      <c r="AD87" s="211"/>
      <c r="AE87"/>
      <c r="AF87"/>
      <c r="AG87"/>
      <c r="AH87"/>
      <c r="AI87"/>
    </row>
    <row r="88" spans="2:35" ht="14.4" x14ac:dyDescent="0.3">
      <c r="B88" s="353">
        <v>41791</v>
      </c>
      <c r="C88" s="322">
        <f t="shared" si="1"/>
        <v>6</v>
      </c>
      <c r="D88" s="322">
        <v>2014</v>
      </c>
      <c r="E88" s="343">
        <v>77517701.584615394</v>
      </c>
      <c r="F88" s="319">
        <v>14.1</v>
      </c>
      <c r="G88" s="319">
        <v>68.099999999999994</v>
      </c>
      <c r="H88" s="373">
        <f>'GDP A'!AF137</f>
        <v>139.51075416072086</v>
      </c>
      <c r="I88" s="53">
        <f t="shared" si="8"/>
        <v>30</v>
      </c>
      <c r="J88" s="53">
        <f t="shared" si="2"/>
        <v>0</v>
      </c>
      <c r="K88" s="53">
        <f t="shared" si="3"/>
        <v>0</v>
      </c>
      <c r="L88" s="53">
        <f t="shared" si="4"/>
        <v>0</v>
      </c>
      <c r="M88" s="53">
        <f t="shared" si="5"/>
        <v>0</v>
      </c>
      <c r="N88" s="341">
        <v>54</v>
      </c>
      <c r="O88" s="389">
        <f t="shared" si="6"/>
        <v>77654386.108740941</v>
      </c>
      <c r="P88" s="389">
        <f t="shared" si="7"/>
        <v>-136684.52412554622</v>
      </c>
      <c r="Q88" s="389"/>
      <c r="AA88" s="211"/>
      <c r="AB88" s="211"/>
      <c r="AC88" s="211"/>
      <c r="AD88" s="211"/>
      <c r="AE88"/>
      <c r="AF88"/>
      <c r="AG88"/>
      <c r="AH88"/>
      <c r="AI88"/>
    </row>
    <row r="89" spans="2:35" ht="14.4" x14ac:dyDescent="0.3">
      <c r="B89" s="353">
        <v>41821</v>
      </c>
      <c r="C89" s="322">
        <f t="shared" si="1"/>
        <v>7</v>
      </c>
      <c r="D89" s="322">
        <v>2014</v>
      </c>
      <c r="E89" s="343">
        <v>79980081.605384618</v>
      </c>
      <c r="F89" s="319">
        <v>4</v>
      </c>
      <c r="G89" s="319">
        <v>71</v>
      </c>
      <c r="H89" s="373">
        <f>'GDP A'!AF138</f>
        <v>139.75446732389804</v>
      </c>
      <c r="I89" s="53">
        <f t="shared" si="8"/>
        <v>31</v>
      </c>
      <c r="J89" s="53">
        <f t="shared" si="2"/>
        <v>0</v>
      </c>
      <c r="K89" s="53">
        <f t="shared" si="3"/>
        <v>0</v>
      </c>
      <c r="L89" s="53">
        <f t="shared" si="4"/>
        <v>0</v>
      </c>
      <c r="M89" s="53">
        <f t="shared" si="5"/>
        <v>0</v>
      </c>
      <c r="N89" s="341">
        <v>55</v>
      </c>
      <c r="O89" s="389">
        <f t="shared" si="6"/>
        <v>79969311.291898116</v>
      </c>
      <c r="P89" s="389">
        <f t="shared" si="7"/>
        <v>10770.313486501575</v>
      </c>
      <c r="Q89" s="389"/>
      <c r="AA89" s="211"/>
      <c r="AB89" s="211"/>
      <c r="AC89" s="211"/>
      <c r="AD89" s="211"/>
      <c r="AE89"/>
      <c r="AF89"/>
      <c r="AG89"/>
      <c r="AH89"/>
      <c r="AI89"/>
    </row>
    <row r="90" spans="2:35" ht="14.4" x14ac:dyDescent="0.3">
      <c r="B90" s="353">
        <v>41852</v>
      </c>
      <c r="C90" s="322">
        <f t="shared" si="1"/>
        <v>8</v>
      </c>
      <c r="D90" s="322">
        <v>2014</v>
      </c>
      <c r="E90" s="343">
        <v>78148911.668461546</v>
      </c>
      <c r="F90" s="319">
        <v>8.7999999999999989</v>
      </c>
      <c r="G90" s="319">
        <v>81.799999999999983</v>
      </c>
      <c r="H90" s="373">
        <f>'GDP A'!AF139</f>
        <v>139.9986062327911</v>
      </c>
      <c r="I90" s="53">
        <f t="shared" si="8"/>
        <v>31</v>
      </c>
      <c r="J90" s="53">
        <f t="shared" si="2"/>
        <v>0</v>
      </c>
      <c r="K90" s="53">
        <f t="shared" si="3"/>
        <v>0</v>
      </c>
      <c r="L90" s="53">
        <f t="shared" si="4"/>
        <v>0</v>
      </c>
      <c r="M90" s="53">
        <f t="shared" si="5"/>
        <v>0</v>
      </c>
      <c r="N90" s="341">
        <v>56</v>
      </c>
      <c r="O90" s="389">
        <f t="shared" si="6"/>
        <v>81355318.84685801</v>
      </c>
      <c r="P90" s="389">
        <f t="shared" si="7"/>
        <v>-3206407.1783964634</v>
      </c>
      <c r="Q90" s="389"/>
      <c r="AA90" s="211"/>
      <c r="AB90" s="211"/>
      <c r="AC90" s="211"/>
      <c r="AD90" s="211"/>
      <c r="AE90"/>
      <c r="AF90"/>
      <c r="AG90"/>
      <c r="AH90"/>
      <c r="AI90"/>
    </row>
    <row r="91" spans="2:35" ht="14.4" x14ac:dyDescent="0.3">
      <c r="B91" s="353">
        <v>41883</v>
      </c>
      <c r="C91" s="322">
        <f t="shared" si="1"/>
        <v>9</v>
      </c>
      <c r="D91" s="322">
        <v>2014</v>
      </c>
      <c r="E91" s="343">
        <v>73189575.230769232</v>
      </c>
      <c r="F91" s="319">
        <v>69.700000000000017</v>
      </c>
      <c r="G91" s="319">
        <v>30.099999999999998</v>
      </c>
      <c r="H91" s="373">
        <f>'GDP A'!AF140</f>
        <v>140.24317163114083</v>
      </c>
      <c r="I91" s="53">
        <f t="shared" si="8"/>
        <v>30</v>
      </c>
      <c r="J91" s="53">
        <f t="shared" si="2"/>
        <v>0</v>
      </c>
      <c r="K91" s="53">
        <f t="shared" si="3"/>
        <v>0</v>
      </c>
      <c r="L91" s="53">
        <f t="shared" si="4"/>
        <v>0</v>
      </c>
      <c r="M91" s="53">
        <f t="shared" si="5"/>
        <v>0</v>
      </c>
      <c r="N91" s="341">
        <v>57</v>
      </c>
      <c r="O91" s="389">
        <f t="shared" si="6"/>
        <v>73663053.79521738</v>
      </c>
      <c r="P91" s="389">
        <f t="shared" si="7"/>
        <v>-473478.56444814801</v>
      </c>
      <c r="Q91" s="389"/>
      <c r="AA91" s="211"/>
      <c r="AB91" s="211"/>
      <c r="AC91" s="211"/>
      <c r="AD91" s="211"/>
      <c r="AE91"/>
      <c r="AF91"/>
      <c r="AG91"/>
      <c r="AH91"/>
      <c r="AI91"/>
    </row>
    <row r="92" spans="2:35" ht="14.4" x14ac:dyDescent="0.3">
      <c r="B92" s="353">
        <v>41913</v>
      </c>
      <c r="C92" s="322">
        <f t="shared" si="1"/>
        <v>10</v>
      </c>
      <c r="D92" s="322">
        <v>2014</v>
      </c>
      <c r="E92" s="343">
        <v>72005492.011538461</v>
      </c>
      <c r="F92" s="319">
        <v>224.30000000000004</v>
      </c>
      <c r="G92" s="319">
        <v>1.3</v>
      </c>
      <c r="H92" s="373">
        <f>'GDP A'!AF141</f>
        <v>140.48816426398724</v>
      </c>
      <c r="I92" s="53">
        <f t="shared" si="8"/>
        <v>31</v>
      </c>
      <c r="J92" s="53">
        <f t="shared" si="2"/>
        <v>0</v>
      </c>
      <c r="K92" s="53">
        <f t="shared" si="3"/>
        <v>0</v>
      </c>
      <c r="L92" s="53">
        <f t="shared" si="4"/>
        <v>0</v>
      </c>
      <c r="M92" s="53">
        <f t="shared" si="5"/>
        <v>1</v>
      </c>
      <c r="N92" s="341">
        <v>58</v>
      </c>
      <c r="O92" s="389">
        <f t="shared" si="6"/>
        <v>72433049.267522842</v>
      </c>
      <c r="P92" s="389">
        <f t="shared" si="7"/>
        <v>-427557.25598438084</v>
      </c>
      <c r="Q92" s="389"/>
      <c r="AA92" s="211"/>
      <c r="AB92" s="211"/>
      <c r="AC92" s="211"/>
      <c r="AD92" s="211"/>
      <c r="AE92"/>
      <c r="AF92"/>
      <c r="AG92"/>
      <c r="AH92"/>
      <c r="AI92"/>
    </row>
    <row r="93" spans="2:35" ht="14.4" x14ac:dyDescent="0.3">
      <c r="B93" s="353">
        <v>41944</v>
      </c>
      <c r="C93" s="322">
        <f t="shared" si="1"/>
        <v>11</v>
      </c>
      <c r="D93" s="322">
        <v>2014</v>
      </c>
      <c r="E93" s="343">
        <v>74401960.572307676</v>
      </c>
      <c r="F93" s="319">
        <v>482.1</v>
      </c>
      <c r="G93" s="319">
        <v>0</v>
      </c>
      <c r="H93" s="373">
        <f>'GDP A'!AF142</f>
        <v>140.73358487767186</v>
      </c>
      <c r="I93" s="53">
        <f t="shared" si="8"/>
        <v>30</v>
      </c>
      <c r="J93" s="53">
        <f t="shared" si="2"/>
        <v>0</v>
      </c>
      <c r="K93" s="53">
        <f t="shared" si="3"/>
        <v>0</v>
      </c>
      <c r="L93" s="53">
        <f t="shared" si="4"/>
        <v>0</v>
      </c>
      <c r="M93" s="53">
        <f t="shared" si="5"/>
        <v>0</v>
      </c>
      <c r="N93" s="341">
        <v>59</v>
      </c>
      <c r="O93" s="389">
        <f t="shared" si="6"/>
        <v>75688157.940001056</v>
      </c>
      <c r="P93" s="389">
        <f t="shared" si="7"/>
        <v>-1286197.3676933795</v>
      </c>
      <c r="Q93" s="389"/>
      <c r="AA93" s="211"/>
      <c r="AB93" s="211"/>
      <c r="AC93" s="211"/>
      <c r="AD93" s="211"/>
      <c r="AE93"/>
      <c r="AF93"/>
      <c r="AG93"/>
      <c r="AH93"/>
      <c r="AI93"/>
    </row>
    <row r="94" spans="2:35" ht="14.4" x14ac:dyDescent="0.3">
      <c r="B94" s="353">
        <v>41974</v>
      </c>
      <c r="C94" s="322">
        <f t="shared" si="1"/>
        <v>12</v>
      </c>
      <c r="D94" s="322">
        <v>2014</v>
      </c>
      <c r="E94" s="343">
        <v>77304484.726153851</v>
      </c>
      <c r="F94" s="319">
        <v>557.29999999999995</v>
      </c>
      <c r="G94" s="319">
        <v>0</v>
      </c>
      <c r="H94" s="373">
        <f>'GDP A'!AF143</f>
        <v>140.97943421984021</v>
      </c>
      <c r="I94" s="53">
        <f t="shared" si="8"/>
        <v>31</v>
      </c>
      <c r="J94" s="53">
        <f t="shared" si="2"/>
        <v>0</v>
      </c>
      <c r="K94" s="53">
        <f t="shared" si="3"/>
        <v>0</v>
      </c>
      <c r="L94" s="53">
        <f t="shared" si="4"/>
        <v>0</v>
      </c>
      <c r="M94" s="53">
        <f t="shared" si="5"/>
        <v>0</v>
      </c>
      <c r="N94" s="341">
        <v>60</v>
      </c>
      <c r="O94" s="389">
        <f t="shared" si="6"/>
        <v>78843658.118787959</v>
      </c>
      <c r="P94" s="389">
        <f t="shared" si="7"/>
        <v>-1539173.3926341087</v>
      </c>
      <c r="Q94" s="389"/>
      <c r="AA94" s="211"/>
      <c r="AB94" s="211"/>
      <c r="AC94" s="211"/>
      <c r="AD94" s="211"/>
      <c r="AE94"/>
      <c r="AF94"/>
      <c r="AG94"/>
      <c r="AH94"/>
      <c r="AI94"/>
    </row>
    <row r="95" spans="2:35" ht="14.4" x14ac:dyDescent="0.3">
      <c r="B95" s="353">
        <v>42005</v>
      </c>
      <c r="C95" s="322">
        <f t="shared" si="1"/>
        <v>1</v>
      </c>
      <c r="D95" s="322">
        <v>2015</v>
      </c>
      <c r="E95" s="343">
        <v>84626740.919999987</v>
      </c>
      <c r="F95" s="319">
        <v>792.39999999999975</v>
      </c>
      <c r="G95" s="319">
        <v>0</v>
      </c>
      <c r="H95" s="373">
        <f>'GDP A'!AF144</f>
        <v>141.3034903565966</v>
      </c>
      <c r="I95" s="53">
        <f t="shared" si="8"/>
        <v>31</v>
      </c>
      <c r="J95" s="53">
        <f t="shared" si="2"/>
        <v>0</v>
      </c>
      <c r="K95" s="53">
        <f t="shared" si="3"/>
        <v>0</v>
      </c>
      <c r="L95" s="53">
        <f t="shared" si="4"/>
        <v>0</v>
      </c>
      <c r="M95" s="53">
        <f t="shared" si="5"/>
        <v>0</v>
      </c>
      <c r="N95" s="341">
        <v>61</v>
      </c>
      <c r="O95" s="389">
        <f t="shared" si="6"/>
        <v>82169343.111443505</v>
      </c>
      <c r="P95" s="389">
        <f t="shared" si="7"/>
        <v>2457397.8085564822</v>
      </c>
      <c r="Q95" s="389"/>
      <c r="AA95" s="211"/>
      <c r="AB95" s="211"/>
      <c r="AC95" s="211"/>
      <c r="AD95" s="211"/>
      <c r="AE95"/>
      <c r="AF95"/>
      <c r="AG95"/>
      <c r="AH95"/>
      <c r="AI95"/>
    </row>
    <row r="96" spans="2:35" ht="14.4" x14ac:dyDescent="0.3">
      <c r="B96" s="353">
        <v>42036</v>
      </c>
      <c r="C96" s="322">
        <f t="shared" si="1"/>
        <v>2</v>
      </c>
      <c r="D96" s="322">
        <v>2015</v>
      </c>
      <c r="E96" s="343">
        <v>77436620.475384608</v>
      </c>
      <c r="F96" s="319">
        <v>856.8</v>
      </c>
      <c r="G96" s="319">
        <v>0</v>
      </c>
      <c r="H96" s="373">
        <f>'GDP A'!AF145</f>
        <v>141.62829137064909</v>
      </c>
      <c r="I96" s="53">
        <f t="shared" si="8"/>
        <v>28</v>
      </c>
      <c r="J96" s="53">
        <f t="shared" si="2"/>
        <v>0</v>
      </c>
      <c r="K96" s="53">
        <f t="shared" si="3"/>
        <v>0</v>
      </c>
      <c r="L96" s="53">
        <f t="shared" si="4"/>
        <v>0</v>
      </c>
      <c r="M96" s="53">
        <f t="shared" si="5"/>
        <v>0</v>
      </c>
      <c r="N96" s="341">
        <v>62</v>
      </c>
      <c r="O96" s="389">
        <f t="shared" si="6"/>
        <v>76741803.501491502</v>
      </c>
      <c r="P96" s="389">
        <f t="shared" si="7"/>
        <v>694816.97389310598</v>
      </c>
      <c r="Q96" s="389"/>
      <c r="AA96" s="211"/>
      <c r="AB96" s="211"/>
      <c r="AC96" s="211"/>
      <c r="AD96" s="211"/>
      <c r="AE96"/>
      <c r="AF96"/>
      <c r="AG96"/>
      <c r="AH96"/>
      <c r="AI96"/>
    </row>
    <row r="97" spans="2:35" ht="14.4" x14ac:dyDescent="0.3">
      <c r="B97" s="353">
        <v>42064</v>
      </c>
      <c r="C97" s="322">
        <f t="shared" si="1"/>
        <v>3</v>
      </c>
      <c r="D97" s="322">
        <v>2015</v>
      </c>
      <c r="E97" s="343">
        <v>78097659.106923103</v>
      </c>
      <c r="F97" s="319">
        <v>615.49999999999989</v>
      </c>
      <c r="G97" s="319">
        <v>0</v>
      </c>
      <c r="H97" s="373">
        <f>'GDP A'!AF146</f>
        <v>141.95383897417693</v>
      </c>
      <c r="I97" s="53">
        <f t="shared" si="8"/>
        <v>31</v>
      </c>
      <c r="J97" s="53">
        <f t="shared" si="2"/>
        <v>1</v>
      </c>
      <c r="K97" s="53">
        <f t="shared" si="3"/>
        <v>0</v>
      </c>
      <c r="L97" s="53">
        <f t="shared" si="4"/>
        <v>0</v>
      </c>
      <c r="M97" s="53">
        <f t="shared" si="5"/>
        <v>0</v>
      </c>
      <c r="N97" s="341">
        <v>63</v>
      </c>
      <c r="O97" s="389">
        <f t="shared" si="6"/>
        <v>77946957.967881843</v>
      </c>
      <c r="P97" s="389">
        <f t="shared" si="7"/>
        <v>150701.13904125988</v>
      </c>
      <c r="Q97" s="389"/>
      <c r="AA97" s="211"/>
      <c r="AB97" s="211"/>
      <c r="AC97" s="211"/>
      <c r="AD97" s="211"/>
      <c r="AE97"/>
      <c r="AF97"/>
      <c r="AG97"/>
      <c r="AH97"/>
      <c r="AI97"/>
    </row>
    <row r="98" spans="2:35" ht="14.4" x14ac:dyDescent="0.3">
      <c r="B98" s="353">
        <v>42095</v>
      </c>
      <c r="C98" s="322">
        <f t="shared" si="1"/>
        <v>4</v>
      </c>
      <c r="D98" s="322">
        <v>2015</v>
      </c>
      <c r="E98" s="343">
        <v>68989289.843076915</v>
      </c>
      <c r="F98" s="319">
        <v>313.7</v>
      </c>
      <c r="G98" s="319">
        <v>0</v>
      </c>
      <c r="H98" s="373">
        <f>'GDP A'!AF147</f>
        <v>142.28013488329495</v>
      </c>
      <c r="I98" s="53">
        <f t="shared" si="8"/>
        <v>30</v>
      </c>
      <c r="J98" s="53">
        <f t="shared" si="2"/>
        <v>0</v>
      </c>
      <c r="K98" s="53">
        <f t="shared" si="3"/>
        <v>1</v>
      </c>
      <c r="L98" s="53">
        <f t="shared" si="4"/>
        <v>0</v>
      </c>
      <c r="M98" s="53">
        <f t="shared" si="5"/>
        <v>0</v>
      </c>
      <c r="N98" s="341">
        <v>64</v>
      </c>
      <c r="O98" s="389">
        <f t="shared" si="6"/>
        <v>69197485.573836729</v>
      </c>
      <c r="P98" s="389">
        <f t="shared" si="7"/>
        <v>-208195.73075981438</v>
      </c>
      <c r="Q98" s="389"/>
      <c r="AA98" s="211"/>
      <c r="AB98" s="211"/>
      <c r="AC98" s="211"/>
      <c r="AD98" s="211"/>
      <c r="AE98"/>
      <c r="AF98"/>
      <c r="AG98"/>
      <c r="AH98"/>
      <c r="AI98"/>
    </row>
    <row r="99" spans="2:35" ht="14.4" x14ac:dyDescent="0.3">
      <c r="B99" s="353">
        <v>42125</v>
      </c>
      <c r="C99" s="322">
        <f t="shared" si="1"/>
        <v>5</v>
      </c>
      <c r="D99" s="322">
        <v>2015</v>
      </c>
      <c r="E99" s="343">
        <v>73375077.214615405</v>
      </c>
      <c r="F99" s="319">
        <v>89.3</v>
      </c>
      <c r="G99" s="319">
        <v>34.1</v>
      </c>
      <c r="H99" s="373">
        <f>'GDP A'!AF148</f>
        <v>142.60718081806269</v>
      </c>
      <c r="I99" s="53">
        <f t="shared" si="8"/>
        <v>31</v>
      </c>
      <c r="J99" s="53">
        <f t="shared" si="2"/>
        <v>0</v>
      </c>
      <c r="K99" s="53">
        <f t="shared" si="3"/>
        <v>0</v>
      </c>
      <c r="L99" s="53">
        <f t="shared" si="4"/>
        <v>1</v>
      </c>
      <c r="M99" s="53">
        <f t="shared" si="5"/>
        <v>0</v>
      </c>
      <c r="N99" s="341">
        <v>65</v>
      </c>
      <c r="O99" s="389">
        <f t="shared" si="6"/>
        <v>73451726.509749502</v>
      </c>
      <c r="P99" s="389">
        <f t="shared" si="7"/>
        <v>-76649.295134097338</v>
      </c>
      <c r="Q99" s="389"/>
      <c r="AA99" s="211"/>
      <c r="AB99" s="211"/>
      <c r="AC99" s="211"/>
      <c r="AD99" s="211"/>
      <c r="AE99"/>
      <c r="AF99"/>
      <c r="AG99"/>
      <c r="AH99"/>
      <c r="AI99"/>
    </row>
    <row r="100" spans="2:35" ht="14.4" x14ac:dyDescent="0.3">
      <c r="B100" s="353">
        <v>42156</v>
      </c>
      <c r="C100" s="322">
        <f t="shared" ref="C100:C163" si="9">MONTH(B100)</f>
        <v>6</v>
      </c>
      <c r="D100" s="322">
        <v>2015</v>
      </c>
      <c r="E100" s="343">
        <v>75340519.323076934</v>
      </c>
      <c r="F100" s="319">
        <v>33.800000000000004</v>
      </c>
      <c r="G100" s="319">
        <v>32.299999999999997</v>
      </c>
      <c r="H100" s="373">
        <f>'GDP A'!AF149</f>
        <v>142.93497850249344</v>
      </c>
      <c r="I100" s="53">
        <f t="shared" si="8"/>
        <v>30</v>
      </c>
      <c r="J100" s="53">
        <f t="shared" ref="J100:J163" si="10">IF(MONTH($B100)=3,1,0)</f>
        <v>0</v>
      </c>
      <c r="K100" s="53">
        <f t="shared" ref="K100:K163" si="11">IF(MONTH($B100)=4,1,0)</f>
        <v>0</v>
      </c>
      <c r="L100" s="53">
        <f t="shared" ref="L100:L163" si="12">IF(MONTH($B100)=5,1,0)</f>
        <v>0</v>
      </c>
      <c r="M100" s="53">
        <f t="shared" ref="M100:M163" si="13">IF(MONTH($B100)=10,1,0)</f>
        <v>0</v>
      </c>
      <c r="N100" s="341">
        <v>66</v>
      </c>
      <c r="O100" s="389">
        <f t="shared" ref="O100:O163" si="14">$AB$17+MMULT(F100:N100,$AB$18:$AB$26)</f>
        <v>73503532.621019349</v>
      </c>
      <c r="P100" s="389">
        <f t="shared" ref="P100:P163" si="15">E100-O100</f>
        <v>1836986.7020575851</v>
      </c>
      <c r="Q100" s="389"/>
      <c r="AA100" s="211"/>
      <c r="AB100" s="211"/>
      <c r="AC100" s="211"/>
      <c r="AD100" s="211"/>
      <c r="AE100"/>
      <c r="AF100"/>
      <c r="AG100"/>
      <c r="AH100"/>
      <c r="AI100"/>
    </row>
    <row r="101" spans="2:35" ht="14.4" x14ac:dyDescent="0.3">
      <c r="B101" s="353">
        <v>42186</v>
      </c>
      <c r="C101" s="322">
        <f t="shared" si="9"/>
        <v>7</v>
      </c>
      <c r="D101" s="322">
        <v>2015</v>
      </c>
      <c r="E101" s="343">
        <v>85365000.161538452</v>
      </c>
      <c r="F101" s="319">
        <v>4</v>
      </c>
      <c r="G101" s="319">
        <v>114.29999999999998</v>
      </c>
      <c r="H101" s="373">
        <f>'GDP A'!AF150</f>
        <v>143.26352966456326</v>
      </c>
      <c r="I101" s="53">
        <f t="shared" si="8"/>
        <v>31</v>
      </c>
      <c r="J101" s="53">
        <f t="shared" si="10"/>
        <v>0</v>
      </c>
      <c r="K101" s="53">
        <f t="shared" si="11"/>
        <v>0</v>
      </c>
      <c r="L101" s="53">
        <f t="shared" si="12"/>
        <v>0</v>
      </c>
      <c r="M101" s="53">
        <f t="shared" si="13"/>
        <v>0</v>
      </c>
      <c r="N101" s="341">
        <v>67</v>
      </c>
      <c r="O101" s="389">
        <f t="shared" si="14"/>
        <v>85392737.886916265</v>
      </c>
      <c r="P101" s="389">
        <f t="shared" si="15"/>
        <v>-27737.725377812982</v>
      </c>
      <c r="Q101" s="389"/>
      <c r="AA101" s="211"/>
      <c r="AB101" s="211"/>
      <c r="AC101" s="211"/>
      <c r="AD101" s="211"/>
      <c r="AE101"/>
      <c r="AF101"/>
      <c r="AG101"/>
      <c r="AH101"/>
      <c r="AI101"/>
    </row>
    <row r="102" spans="2:35" ht="14.4" x14ac:dyDescent="0.3">
      <c r="B102" s="353">
        <v>42217</v>
      </c>
      <c r="C102" s="322">
        <f t="shared" si="9"/>
        <v>8</v>
      </c>
      <c r="D102" s="322">
        <v>2015</v>
      </c>
      <c r="E102" s="343">
        <v>81751305.839230776</v>
      </c>
      <c r="F102" s="319">
        <v>4.4000000000000004</v>
      </c>
      <c r="G102" s="319">
        <v>88.6</v>
      </c>
      <c r="H102" s="373">
        <f>'GDP A'!AF151</f>
        <v>143.59283603622018</v>
      </c>
      <c r="I102" s="53">
        <f t="shared" si="8"/>
        <v>31</v>
      </c>
      <c r="J102" s="53">
        <f t="shared" si="10"/>
        <v>0</v>
      </c>
      <c r="K102" s="53">
        <f t="shared" si="11"/>
        <v>0</v>
      </c>
      <c r="L102" s="53">
        <f t="shared" si="12"/>
        <v>0</v>
      </c>
      <c r="M102" s="53">
        <f t="shared" si="13"/>
        <v>0</v>
      </c>
      <c r="N102" s="341">
        <v>68</v>
      </c>
      <c r="O102" s="389">
        <f t="shared" si="14"/>
        <v>82235694.653301939</v>
      </c>
      <c r="P102" s="389">
        <f t="shared" si="15"/>
        <v>-484388.81407116354</v>
      </c>
      <c r="Q102" s="389"/>
      <c r="AA102" s="211"/>
      <c r="AB102" s="211"/>
      <c r="AC102" s="211"/>
      <c r="AD102" s="211"/>
      <c r="AE102"/>
      <c r="AF102"/>
      <c r="AG102"/>
      <c r="AH102"/>
      <c r="AI102"/>
    </row>
    <row r="103" spans="2:35" ht="14.4" x14ac:dyDescent="0.3">
      <c r="B103" s="353">
        <v>42248</v>
      </c>
      <c r="C103" s="322">
        <f t="shared" si="9"/>
        <v>9</v>
      </c>
      <c r="D103" s="322">
        <v>2015</v>
      </c>
      <c r="E103" s="343">
        <v>79343691.187692299</v>
      </c>
      <c r="F103" s="319">
        <v>31.099999999999994</v>
      </c>
      <c r="G103" s="319">
        <v>81.900000000000006</v>
      </c>
      <c r="H103" s="373">
        <f>'GDP A'!AF152</f>
        <v>143.92289935339329</v>
      </c>
      <c r="I103" s="53">
        <f t="shared" si="8"/>
        <v>30</v>
      </c>
      <c r="J103" s="53">
        <f t="shared" si="10"/>
        <v>0</v>
      </c>
      <c r="K103" s="53">
        <f t="shared" si="11"/>
        <v>0</v>
      </c>
      <c r="L103" s="53">
        <f t="shared" si="12"/>
        <v>0</v>
      </c>
      <c r="M103" s="53">
        <f t="shared" si="13"/>
        <v>0</v>
      </c>
      <c r="N103" s="341">
        <v>69</v>
      </c>
      <c r="O103" s="389">
        <f t="shared" si="14"/>
        <v>79686373.851757482</v>
      </c>
      <c r="P103" s="389">
        <f t="shared" si="15"/>
        <v>-342682.66406518221</v>
      </c>
      <c r="Q103" s="389"/>
      <c r="AA103" s="211"/>
      <c r="AB103" s="211"/>
      <c r="AC103" s="211"/>
      <c r="AD103" s="211"/>
      <c r="AE103"/>
      <c r="AF103"/>
      <c r="AG103"/>
      <c r="AH103"/>
      <c r="AI103"/>
    </row>
    <row r="104" spans="2:35" ht="14.4" x14ac:dyDescent="0.3">
      <c r="B104" s="353">
        <v>42278</v>
      </c>
      <c r="C104" s="322">
        <f t="shared" si="9"/>
        <v>10</v>
      </c>
      <c r="D104" s="322">
        <v>2015</v>
      </c>
      <c r="E104" s="343">
        <v>71236445.923076928</v>
      </c>
      <c r="F104" s="319">
        <v>249.8</v>
      </c>
      <c r="G104" s="319">
        <v>0</v>
      </c>
      <c r="H104" s="373">
        <f>'GDP A'!AF153</f>
        <v>144.2537213560019</v>
      </c>
      <c r="I104" s="53">
        <f t="shared" si="8"/>
        <v>31</v>
      </c>
      <c r="J104" s="53">
        <f t="shared" si="10"/>
        <v>0</v>
      </c>
      <c r="K104" s="53">
        <f t="shared" si="11"/>
        <v>0</v>
      </c>
      <c r="L104" s="53">
        <f t="shared" si="12"/>
        <v>0</v>
      </c>
      <c r="M104" s="53">
        <f t="shared" si="13"/>
        <v>1</v>
      </c>
      <c r="N104" s="341">
        <v>70</v>
      </c>
      <c r="O104" s="389">
        <f t="shared" si="14"/>
        <v>72818396.098952308</v>
      </c>
      <c r="P104" s="389">
        <f t="shared" si="15"/>
        <v>-1581950.1758753806</v>
      </c>
      <c r="Q104" s="389"/>
      <c r="AA104" s="211"/>
      <c r="AB104" s="211"/>
      <c r="AC104" s="211"/>
      <c r="AD104" s="211"/>
      <c r="AE104"/>
      <c r="AF104"/>
      <c r="AG104"/>
      <c r="AH104"/>
      <c r="AI104"/>
    </row>
    <row r="105" spans="2:35" ht="14.4" x14ac:dyDescent="0.3">
      <c r="B105" s="353">
        <v>42309</v>
      </c>
      <c r="C105" s="322">
        <f t="shared" si="9"/>
        <v>11</v>
      </c>
      <c r="D105" s="322">
        <v>2015</v>
      </c>
      <c r="E105" s="343">
        <v>71636023.820769221</v>
      </c>
      <c r="F105" s="319">
        <v>345</v>
      </c>
      <c r="G105" s="319">
        <v>0</v>
      </c>
      <c r="H105" s="373">
        <f>'GDP A'!AF154</f>
        <v>144.58530378796473</v>
      </c>
      <c r="I105" s="53">
        <f t="shared" si="8"/>
        <v>30</v>
      </c>
      <c r="J105" s="53">
        <f t="shared" si="10"/>
        <v>0</v>
      </c>
      <c r="K105" s="53">
        <f t="shared" si="11"/>
        <v>0</v>
      </c>
      <c r="L105" s="53">
        <f t="shared" si="12"/>
        <v>0</v>
      </c>
      <c r="M105" s="53">
        <f t="shared" si="13"/>
        <v>0</v>
      </c>
      <c r="N105" s="341">
        <v>71</v>
      </c>
      <c r="O105" s="389">
        <f t="shared" si="14"/>
        <v>73993831.576715842</v>
      </c>
      <c r="P105" s="389">
        <f t="shared" si="15"/>
        <v>-2357807.7559466213</v>
      </c>
      <c r="Q105" s="389"/>
      <c r="AA105" s="211"/>
      <c r="AB105" s="211"/>
      <c r="AC105" s="211"/>
      <c r="AD105" s="211"/>
      <c r="AE105"/>
      <c r="AF105"/>
      <c r="AG105"/>
      <c r="AH105"/>
      <c r="AI105"/>
    </row>
    <row r="106" spans="2:35" ht="14.4" x14ac:dyDescent="0.3">
      <c r="B106" s="353">
        <v>42339</v>
      </c>
      <c r="C106" s="322">
        <f t="shared" si="9"/>
        <v>12</v>
      </c>
      <c r="D106" s="322">
        <v>2015</v>
      </c>
      <c r="E106" s="343">
        <v>73291493.167692319</v>
      </c>
      <c r="F106" s="319">
        <v>429.70000000000005</v>
      </c>
      <c r="G106" s="319">
        <v>0</v>
      </c>
      <c r="H106" s="373">
        <f>'GDP A'!AF155</f>
        <v>144.91764839720901</v>
      </c>
      <c r="I106" s="53">
        <f t="shared" ref="I106:I169" si="16">DAY(EOMONTH(B106,0))</f>
        <v>31</v>
      </c>
      <c r="J106" s="53">
        <f t="shared" si="10"/>
        <v>0</v>
      </c>
      <c r="K106" s="53">
        <f t="shared" si="11"/>
        <v>0</v>
      </c>
      <c r="L106" s="53">
        <f t="shared" si="12"/>
        <v>0</v>
      </c>
      <c r="M106" s="53">
        <f t="shared" si="13"/>
        <v>0</v>
      </c>
      <c r="N106" s="341">
        <v>72</v>
      </c>
      <c r="O106" s="389">
        <f t="shared" si="14"/>
        <v>77327776.855287954</v>
      </c>
      <c r="P106" s="389">
        <f t="shared" si="15"/>
        <v>-4036283.6875956357</v>
      </c>
      <c r="Q106" s="389"/>
      <c r="AA106" s="211"/>
      <c r="AB106" s="211"/>
      <c r="AC106" s="211"/>
      <c r="AD106" s="211"/>
      <c r="AE106"/>
      <c r="AF106"/>
      <c r="AG106"/>
      <c r="AH106"/>
      <c r="AI106"/>
    </row>
    <row r="107" spans="2:35" ht="14.4" x14ac:dyDescent="0.3">
      <c r="B107" s="353">
        <v>42370</v>
      </c>
      <c r="C107" s="322">
        <f t="shared" si="9"/>
        <v>1</v>
      </c>
      <c r="D107" s="322">
        <v>2016</v>
      </c>
      <c r="E107" s="343">
        <v>79986061.065384641</v>
      </c>
      <c r="F107" s="319">
        <v>670.4</v>
      </c>
      <c r="G107" s="319">
        <v>0</v>
      </c>
      <c r="H107" s="373">
        <f>'GDP A'!AF156</f>
        <v>145.18982487994964</v>
      </c>
      <c r="I107" s="53">
        <f t="shared" si="16"/>
        <v>31</v>
      </c>
      <c r="J107" s="53">
        <f t="shared" si="10"/>
        <v>0</v>
      </c>
      <c r="K107" s="53">
        <f t="shared" si="11"/>
        <v>0</v>
      </c>
      <c r="L107" s="53">
        <f t="shared" si="12"/>
        <v>0</v>
      </c>
      <c r="M107" s="53">
        <f t="shared" si="13"/>
        <v>0</v>
      </c>
      <c r="N107" s="341">
        <v>73</v>
      </c>
      <c r="O107" s="389">
        <f t="shared" si="14"/>
        <v>80705242.386302456</v>
      </c>
      <c r="P107" s="389">
        <f t="shared" si="15"/>
        <v>-719181.32091781497</v>
      </c>
      <c r="Q107" s="389"/>
      <c r="AA107" s="211"/>
      <c r="AB107" s="211"/>
      <c r="AC107" s="211"/>
      <c r="AD107" s="211"/>
      <c r="AE107"/>
      <c r="AF107"/>
      <c r="AG107"/>
      <c r="AH107"/>
      <c r="AI107"/>
    </row>
    <row r="108" spans="2:35" ht="14.4" x14ac:dyDescent="0.3">
      <c r="B108" s="353">
        <v>42401</v>
      </c>
      <c r="C108" s="322">
        <f t="shared" si="9"/>
        <v>2</v>
      </c>
      <c r="D108" s="322">
        <v>2016</v>
      </c>
      <c r="E108" s="343">
        <v>73679442.001538455</v>
      </c>
      <c r="F108" s="319">
        <v>588.4</v>
      </c>
      <c r="G108" s="319">
        <v>0</v>
      </c>
      <c r="H108" s="373">
        <f>'GDP A'!AF157</f>
        <v>145.46251254982707</v>
      </c>
      <c r="I108" s="53">
        <f t="shared" si="16"/>
        <v>29</v>
      </c>
      <c r="J108" s="53">
        <f t="shared" si="10"/>
        <v>0</v>
      </c>
      <c r="K108" s="53">
        <f t="shared" si="11"/>
        <v>0</v>
      </c>
      <c r="L108" s="53">
        <f t="shared" si="12"/>
        <v>0</v>
      </c>
      <c r="M108" s="53">
        <f t="shared" si="13"/>
        <v>0</v>
      </c>
      <c r="N108" s="341">
        <v>74</v>
      </c>
      <c r="O108" s="389">
        <f t="shared" si="14"/>
        <v>75310828.489611015</v>
      </c>
      <c r="P108" s="389">
        <f t="shared" si="15"/>
        <v>-1631386.4880725592</v>
      </c>
      <c r="Q108" s="389"/>
      <c r="AA108" s="211"/>
      <c r="AB108" s="211"/>
      <c r="AC108" s="211"/>
      <c r="AD108" s="211"/>
      <c r="AE108"/>
      <c r="AF108"/>
      <c r="AG108"/>
      <c r="AH108"/>
      <c r="AI108"/>
    </row>
    <row r="109" spans="2:35" ht="14.4" x14ac:dyDescent="0.3">
      <c r="B109" s="353">
        <v>42430</v>
      </c>
      <c r="C109" s="322">
        <f t="shared" si="9"/>
        <v>3</v>
      </c>
      <c r="D109" s="322">
        <v>2016</v>
      </c>
      <c r="E109" s="343">
        <v>73829400.356153846</v>
      </c>
      <c r="F109" s="319">
        <v>476.0999999999998</v>
      </c>
      <c r="G109" s="319">
        <v>0</v>
      </c>
      <c r="H109" s="373">
        <f>'GDP A'!AF158</f>
        <v>145.73571236692533</v>
      </c>
      <c r="I109" s="53">
        <f t="shared" si="16"/>
        <v>31</v>
      </c>
      <c r="J109" s="53">
        <f t="shared" si="10"/>
        <v>1</v>
      </c>
      <c r="K109" s="53">
        <f t="shared" si="11"/>
        <v>0</v>
      </c>
      <c r="L109" s="53">
        <f t="shared" si="12"/>
        <v>0</v>
      </c>
      <c r="M109" s="53">
        <f t="shared" si="13"/>
        <v>0</v>
      </c>
      <c r="N109" s="341">
        <v>75</v>
      </c>
      <c r="O109" s="389">
        <f t="shared" si="14"/>
        <v>76184037.884185567</v>
      </c>
      <c r="P109" s="389">
        <f t="shared" si="15"/>
        <v>-2354637.5280317217</v>
      </c>
      <c r="Q109" s="389"/>
      <c r="AA109" s="211"/>
      <c r="AB109" s="211"/>
      <c r="AC109" s="211"/>
      <c r="AD109" s="211"/>
      <c r="AE109"/>
      <c r="AF109"/>
      <c r="AG109"/>
      <c r="AH109"/>
      <c r="AI109"/>
    </row>
    <row r="110" spans="2:35" ht="14.4" x14ac:dyDescent="0.3">
      <c r="B110" s="353">
        <v>42461</v>
      </c>
      <c r="C110" s="322">
        <f t="shared" si="9"/>
        <v>4</v>
      </c>
      <c r="D110" s="322">
        <v>2016</v>
      </c>
      <c r="E110" s="343">
        <v>69308215.465384632</v>
      </c>
      <c r="F110" s="319">
        <v>394.8</v>
      </c>
      <c r="G110" s="319">
        <v>0</v>
      </c>
      <c r="H110" s="373">
        <f>'GDP A'!AF159</f>
        <v>146.00942529313159</v>
      </c>
      <c r="I110" s="53">
        <f t="shared" si="16"/>
        <v>30</v>
      </c>
      <c r="J110" s="53">
        <f t="shared" si="10"/>
        <v>0</v>
      </c>
      <c r="K110" s="53">
        <f t="shared" si="11"/>
        <v>1</v>
      </c>
      <c r="L110" s="53">
        <f t="shared" si="12"/>
        <v>0</v>
      </c>
      <c r="M110" s="53">
        <f t="shared" si="13"/>
        <v>0</v>
      </c>
      <c r="N110" s="341">
        <v>76</v>
      </c>
      <c r="O110" s="389">
        <f t="shared" si="14"/>
        <v>70506723.832605451</v>
      </c>
      <c r="P110" s="389">
        <f t="shared" si="15"/>
        <v>-1198508.367220819</v>
      </c>
      <c r="Q110" s="389"/>
      <c r="AA110" s="211"/>
      <c r="AB110" s="211"/>
      <c r="AC110" s="211"/>
      <c r="AD110" s="211"/>
      <c r="AE110"/>
      <c r="AF110"/>
      <c r="AG110"/>
      <c r="AH110"/>
      <c r="AI110"/>
    </row>
    <row r="111" spans="2:35" ht="14.4" x14ac:dyDescent="0.3">
      <c r="B111" s="353">
        <v>42491</v>
      </c>
      <c r="C111" s="322">
        <f t="shared" si="9"/>
        <v>5</v>
      </c>
      <c r="D111" s="322">
        <v>2016</v>
      </c>
      <c r="E111" s="343">
        <v>72726898.225384623</v>
      </c>
      <c r="F111" s="319">
        <v>142.50000000000003</v>
      </c>
      <c r="G111" s="319">
        <v>36.9</v>
      </c>
      <c r="H111" s="373">
        <f>'GDP A'!AF160</f>
        <v>146.28365229213961</v>
      </c>
      <c r="I111" s="53">
        <f t="shared" si="16"/>
        <v>31</v>
      </c>
      <c r="J111" s="53">
        <f t="shared" si="10"/>
        <v>0</v>
      </c>
      <c r="K111" s="53">
        <f t="shared" si="11"/>
        <v>0</v>
      </c>
      <c r="L111" s="53">
        <f t="shared" si="12"/>
        <v>1</v>
      </c>
      <c r="M111" s="53">
        <f t="shared" si="13"/>
        <v>0</v>
      </c>
      <c r="N111" s="341">
        <v>77</v>
      </c>
      <c r="O111" s="389">
        <f t="shared" si="14"/>
        <v>74688520.296297923</v>
      </c>
      <c r="P111" s="389">
        <f t="shared" si="15"/>
        <v>-1961622.0709132999</v>
      </c>
      <c r="Q111" s="389"/>
      <c r="AA111" s="211"/>
      <c r="AB111" s="211"/>
      <c r="AC111" s="211"/>
      <c r="AD111" s="211"/>
      <c r="AE111"/>
      <c r="AF111"/>
      <c r="AG111"/>
      <c r="AH111"/>
      <c r="AI111"/>
    </row>
    <row r="112" spans="2:35" ht="14.4" x14ac:dyDescent="0.3">
      <c r="B112" s="353">
        <v>42522</v>
      </c>
      <c r="C112" s="322">
        <f t="shared" si="9"/>
        <v>6</v>
      </c>
      <c r="D112" s="322">
        <v>2016</v>
      </c>
      <c r="E112" s="343">
        <v>79069060.420000032</v>
      </c>
      <c r="F112" s="319">
        <v>24.200000000000003</v>
      </c>
      <c r="G112" s="319">
        <v>83.7</v>
      </c>
      <c r="H112" s="373">
        <f>'GDP A'!AF161</f>
        <v>146.55839432945308</v>
      </c>
      <c r="I112" s="53">
        <f t="shared" si="16"/>
        <v>30</v>
      </c>
      <c r="J112" s="53">
        <f t="shared" si="10"/>
        <v>0</v>
      </c>
      <c r="K112" s="53">
        <f t="shared" si="11"/>
        <v>0</v>
      </c>
      <c r="L112" s="53">
        <f t="shared" si="12"/>
        <v>0</v>
      </c>
      <c r="M112" s="53">
        <f t="shared" si="13"/>
        <v>0</v>
      </c>
      <c r="N112" s="341">
        <v>78</v>
      </c>
      <c r="O112" s="389">
        <f t="shared" si="14"/>
        <v>79855660.565043703</v>
      </c>
      <c r="P112" s="389">
        <f t="shared" si="15"/>
        <v>-786600.14504367113</v>
      </c>
      <c r="Q112" s="389"/>
      <c r="AA112" s="211"/>
      <c r="AB112" s="211"/>
      <c r="AC112" s="211"/>
      <c r="AD112" s="211"/>
      <c r="AE112"/>
      <c r="AF112"/>
      <c r="AG112"/>
      <c r="AH112"/>
      <c r="AI112"/>
    </row>
    <row r="113" spans="2:35" ht="14.4" x14ac:dyDescent="0.3">
      <c r="B113" s="353">
        <v>42552</v>
      </c>
      <c r="C113" s="322">
        <f t="shared" si="9"/>
        <v>7</v>
      </c>
      <c r="D113" s="322">
        <v>2016</v>
      </c>
      <c r="E113" s="343">
        <v>90249922.476153865</v>
      </c>
      <c r="F113" s="319">
        <v>0</v>
      </c>
      <c r="G113" s="319">
        <v>176.89999999999998</v>
      </c>
      <c r="H113" s="373">
        <f>'GDP A'!AF162</f>
        <v>146.83365237238908</v>
      </c>
      <c r="I113" s="53">
        <f t="shared" si="16"/>
        <v>31</v>
      </c>
      <c r="J113" s="53">
        <f t="shared" si="10"/>
        <v>0</v>
      </c>
      <c r="K113" s="53">
        <f t="shared" si="11"/>
        <v>0</v>
      </c>
      <c r="L113" s="53">
        <f t="shared" si="12"/>
        <v>0</v>
      </c>
      <c r="M113" s="53">
        <f t="shared" si="13"/>
        <v>0</v>
      </c>
      <c r="N113" s="341">
        <v>79</v>
      </c>
      <c r="O113" s="389">
        <f t="shared" si="14"/>
        <v>93184534.854763314</v>
      </c>
      <c r="P113" s="389">
        <f t="shared" si="15"/>
        <v>-2934612.3786094487</v>
      </c>
      <c r="Q113" s="389"/>
      <c r="AA113" s="211"/>
      <c r="AB113" s="211"/>
      <c r="AC113" s="211"/>
      <c r="AD113" s="211"/>
      <c r="AE113"/>
      <c r="AF113"/>
      <c r="AG113"/>
      <c r="AH113"/>
      <c r="AI113"/>
    </row>
    <row r="114" spans="2:35" ht="14.4" x14ac:dyDescent="0.3">
      <c r="B114" s="353">
        <v>42583</v>
      </c>
      <c r="C114" s="322">
        <f t="shared" si="9"/>
        <v>8</v>
      </c>
      <c r="D114" s="322">
        <v>2016</v>
      </c>
      <c r="E114" s="343">
        <v>94016713.441538468</v>
      </c>
      <c r="F114" s="319">
        <v>0</v>
      </c>
      <c r="G114" s="319">
        <v>195.4</v>
      </c>
      <c r="H114" s="373">
        <f>'GDP A'!AF163</f>
        <v>147.10942739008146</v>
      </c>
      <c r="I114" s="53">
        <f t="shared" si="16"/>
        <v>31</v>
      </c>
      <c r="J114" s="53">
        <f t="shared" si="10"/>
        <v>0</v>
      </c>
      <c r="K114" s="53">
        <f t="shared" si="11"/>
        <v>0</v>
      </c>
      <c r="L114" s="53">
        <f t="shared" si="12"/>
        <v>0</v>
      </c>
      <c r="M114" s="53">
        <f t="shared" si="13"/>
        <v>0</v>
      </c>
      <c r="N114" s="341">
        <v>80</v>
      </c>
      <c r="O114" s="389">
        <f t="shared" si="14"/>
        <v>95474174.506461546</v>
      </c>
      <c r="P114" s="389">
        <f t="shared" si="15"/>
        <v>-1457461.0649230778</v>
      </c>
      <c r="Q114" s="389"/>
      <c r="AA114" s="211"/>
      <c r="AB114" s="211"/>
      <c r="AC114" s="211"/>
      <c r="AD114" s="211"/>
      <c r="AE114"/>
      <c r="AF114"/>
      <c r="AG114"/>
      <c r="AH114"/>
      <c r="AI114"/>
    </row>
    <row r="115" spans="2:35" ht="14.4" x14ac:dyDescent="0.3">
      <c r="B115" s="353">
        <v>42614</v>
      </c>
      <c r="C115" s="322">
        <f t="shared" si="9"/>
        <v>9</v>
      </c>
      <c r="D115" s="322">
        <v>2016</v>
      </c>
      <c r="E115" s="343">
        <v>77678226.287692308</v>
      </c>
      <c r="F115" s="319">
        <v>25.900000000000006</v>
      </c>
      <c r="G115" s="319">
        <v>69.400000000000006</v>
      </c>
      <c r="H115" s="373">
        <f>'GDP A'!AF164</f>
        <v>147.3857203534842</v>
      </c>
      <c r="I115" s="53">
        <f t="shared" si="16"/>
        <v>30</v>
      </c>
      <c r="J115" s="53">
        <f t="shared" si="10"/>
        <v>0</v>
      </c>
      <c r="K115" s="53">
        <f t="shared" si="11"/>
        <v>0</v>
      </c>
      <c r="L115" s="53">
        <f t="shared" si="12"/>
        <v>0</v>
      </c>
      <c r="M115" s="53">
        <f t="shared" si="13"/>
        <v>0</v>
      </c>
      <c r="N115" s="341">
        <v>81</v>
      </c>
      <c r="O115" s="389">
        <f t="shared" si="14"/>
        <v>78094383.186800137</v>
      </c>
      <c r="P115" s="389">
        <f t="shared" si="15"/>
        <v>-416156.89910782874</v>
      </c>
      <c r="Q115" s="389"/>
      <c r="AA115" s="211"/>
      <c r="AB115" s="211"/>
      <c r="AC115" s="211"/>
      <c r="AD115" s="211"/>
      <c r="AE115"/>
      <c r="AF115"/>
      <c r="AG115"/>
      <c r="AH115"/>
      <c r="AI115"/>
    </row>
    <row r="116" spans="2:35" ht="14.4" x14ac:dyDescent="0.3">
      <c r="B116" s="353">
        <v>42644</v>
      </c>
      <c r="C116" s="322">
        <f t="shared" si="9"/>
        <v>10</v>
      </c>
      <c r="D116" s="322">
        <v>2016</v>
      </c>
      <c r="E116" s="343">
        <v>71025278.580769241</v>
      </c>
      <c r="F116" s="319">
        <v>194.20000000000002</v>
      </c>
      <c r="G116" s="319">
        <v>4.0999999999999996</v>
      </c>
      <c r="H116" s="373">
        <f>'GDP A'!AF165</f>
        <v>147.6625322353749</v>
      </c>
      <c r="I116" s="53">
        <f t="shared" si="16"/>
        <v>31</v>
      </c>
      <c r="J116" s="53">
        <f t="shared" si="10"/>
        <v>0</v>
      </c>
      <c r="K116" s="53">
        <f t="shared" si="11"/>
        <v>0</v>
      </c>
      <c r="L116" s="53">
        <f t="shared" si="12"/>
        <v>0</v>
      </c>
      <c r="M116" s="53">
        <f t="shared" si="13"/>
        <v>1</v>
      </c>
      <c r="N116" s="341">
        <v>82</v>
      </c>
      <c r="O116" s="389">
        <f t="shared" si="14"/>
        <v>72548052.248683527</v>
      </c>
      <c r="P116" s="389">
        <f t="shared" si="15"/>
        <v>-1522773.6679142863</v>
      </c>
      <c r="Q116" s="389"/>
      <c r="AA116" s="211"/>
      <c r="AB116" s="211"/>
      <c r="AC116" s="211"/>
      <c r="AD116" s="211"/>
      <c r="AE116"/>
      <c r="AF116"/>
      <c r="AG116"/>
      <c r="AH116"/>
      <c r="AI116"/>
    </row>
    <row r="117" spans="2:35" ht="14.4" x14ac:dyDescent="0.3">
      <c r="B117" s="353">
        <v>42675</v>
      </c>
      <c r="C117" s="322">
        <f t="shared" si="9"/>
        <v>11</v>
      </c>
      <c r="D117" s="322">
        <v>2016</v>
      </c>
      <c r="E117" s="343">
        <v>71123495.761538461</v>
      </c>
      <c r="F117" s="319">
        <v>337.80000000000007</v>
      </c>
      <c r="G117" s="319">
        <v>0</v>
      </c>
      <c r="H117" s="373">
        <f>'GDP A'!AF166</f>
        <v>147.93986401035815</v>
      </c>
      <c r="I117" s="53">
        <f t="shared" si="16"/>
        <v>30</v>
      </c>
      <c r="J117" s="53">
        <f t="shared" si="10"/>
        <v>0</v>
      </c>
      <c r="K117" s="53">
        <f t="shared" si="11"/>
        <v>0</v>
      </c>
      <c r="L117" s="53">
        <f t="shared" si="12"/>
        <v>0</v>
      </c>
      <c r="M117" s="53">
        <f t="shared" si="13"/>
        <v>0</v>
      </c>
      <c r="N117" s="341">
        <v>83</v>
      </c>
      <c r="O117" s="389">
        <f t="shared" si="14"/>
        <v>73867320.695161223</v>
      </c>
      <c r="P117" s="389">
        <f t="shared" si="15"/>
        <v>-2743824.9336227626</v>
      </c>
      <c r="Q117" s="389"/>
      <c r="AA117" s="211"/>
      <c r="AB117" s="211"/>
      <c r="AC117" s="211"/>
      <c r="AD117" s="211"/>
      <c r="AE117"/>
      <c r="AF117"/>
      <c r="AG117"/>
      <c r="AH117"/>
      <c r="AI117"/>
    </row>
    <row r="118" spans="2:35" ht="14.4" x14ac:dyDescent="0.3">
      <c r="B118" s="353">
        <v>42705</v>
      </c>
      <c r="C118" s="322">
        <f t="shared" si="9"/>
        <v>12</v>
      </c>
      <c r="D118" s="322">
        <v>2016</v>
      </c>
      <c r="E118" s="343">
        <v>76024870.703076944</v>
      </c>
      <c r="F118" s="319">
        <v>607.99999999999989</v>
      </c>
      <c r="G118" s="319">
        <v>0</v>
      </c>
      <c r="H118" s="373">
        <f>'GDP A'!AF167</f>
        <v>148.21771665486904</v>
      </c>
      <c r="I118" s="53">
        <f t="shared" si="16"/>
        <v>31</v>
      </c>
      <c r="J118" s="53">
        <f t="shared" si="10"/>
        <v>0</v>
      </c>
      <c r="K118" s="53">
        <f t="shared" si="11"/>
        <v>0</v>
      </c>
      <c r="L118" s="53">
        <f t="shared" si="12"/>
        <v>0</v>
      </c>
      <c r="M118" s="53">
        <f t="shared" si="13"/>
        <v>0</v>
      </c>
      <c r="N118" s="341">
        <v>84</v>
      </c>
      <c r="O118" s="389">
        <f t="shared" si="14"/>
        <v>79780455.491017982</v>
      </c>
      <c r="P118" s="389">
        <f t="shared" si="15"/>
        <v>-3755584.7879410386</v>
      </c>
      <c r="Q118" s="389"/>
      <c r="AA118" s="211"/>
      <c r="AB118" s="211"/>
      <c r="AC118" s="211"/>
      <c r="AD118" s="211"/>
      <c r="AE118"/>
      <c r="AF118"/>
      <c r="AG118"/>
      <c r="AH118"/>
      <c r="AI118"/>
    </row>
    <row r="119" spans="2:35" ht="14.4" x14ac:dyDescent="0.3">
      <c r="B119" s="353">
        <v>42736</v>
      </c>
      <c r="C119" s="322">
        <f t="shared" si="9"/>
        <v>1</v>
      </c>
      <c r="D119" s="322">
        <v>2017</v>
      </c>
      <c r="E119" s="343">
        <v>78997942.227619052</v>
      </c>
      <c r="F119" s="319">
        <v>608.9</v>
      </c>
      <c r="G119" s="319">
        <v>0</v>
      </c>
      <c r="H119" s="373">
        <f>'GDP A'!AF168</f>
        <v>148.6475381454095</v>
      </c>
      <c r="I119" s="53">
        <f t="shared" si="16"/>
        <v>31</v>
      </c>
      <c r="J119" s="53">
        <f t="shared" si="10"/>
        <v>0</v>
      </c>
      <c r="K119" s="53">
        <f t="shared" si="11"/>
        <v>0</v>
      </c>
      <c r="L119" s="53">
        <f t="shared" si="12"/>
        <v>0</v>
      </c>
      <c r="M119" s="53">
        <f t="shared" si="13"/>
        <v>0</v>
      </c>
      <c r="N119" s="341">
        <v>85</v>
      </c>
      <c r="O119" s="389">
        <f t="shared" si="14"/>
        <v>79869020.280506536</v>
      </c>
      <c r="P119" s="389">
        <f t="shared" si="15"/>
        <v>-871078.05288748443</v>
      </c>
      <c r="Q119" s="389"/>
      <c r="AA119" s="211"/>
      <c r="AB119" s="211"/>
      <c r="AC119" s="211"/>
      <c r="AD119" s="211"/>
      <c r="AE119"/>
      <c r="AF119"/>
      <c r="AG119"/>
      <c r="AH119"/>
      <c r="AI119"/>
    </row>
    <row r="120" spans="2:35" ht="14.4" x14ac:dyDescent="0.3">
      <c r="B120" s="353">
        <v>42767</v>
      </c>
      <c r="C120" s="322">
        <f t="shared" si="9"/>
        <v>2</v>
      </c>
      <c r="D120" s="322">
        <v>2017</v>
      </c>
      <c r="E120" s="343">
        <v>69829356.909999996</v>
      </c>
      <c r="F120" s="319">
        <v>510.4</v>
      </c>
      <c r="G120" s="319">
        <v>0</v>
      </c>
      <c r="H120" s="373">
        <f>'GDP A'!AF169</f>
        <v>149.07860608959868</v>
      </c>
      <c r="I120" s="53">
        <f t="shared" si="16"/>
        <v>28</v>
      </c>
      <c r="J120" s="53">
        <f t="shared" si="10"/>
        <v>0</v>
      </c>
      <c r="K120" s="53">
        <f t="shared" si="11"/>
        <v>0</v>
      </c>
      <c r="L120" s="53">
        <f t="shared" si="12"/>
        <v>0</v>
      </c>
      <c r="M120" s="53">
        <f t="shared" si="13"/>
        <v>0</v>
      </c>
      <c r="N120" s="341">
        <v>86</v>
      </c>
      <c r="O120" s="389">
        <f t="shared" si="14"/>
        <v>72206849.707884058</v>
      </c>
      <c r="P120" s="389">
        <f t="shared" si="15"/>
        <v>-2377492.7978840619</v>
      </c>
      <c r="Q120" s="389"/>
      <c r="AA120" s="211"/>
      <c r="AB120" s="211"/>
      <c r="AC120" s="211"/>
      <c r="AD120" s="211"/>
      <c r="AE120"/>
      <c r="AF120"/>
      <c r="AG120"/>
      <c r="AH120"/>
      <c r="AI120"/>
    </row>
    <row r="121" spans="2:35" ht="14.4" x14ac:dyDescent="0.3">
      <c r="B121" s="353">
        <v>42795</v>
      </c>
      <c r="C121" s="322">
        <f t="shared" si="9"/>
        <v>3</v>
      </c>
      <c r="D121" s="322">
        <v>2017</v>
      </c>
      <c r="E121" s="343">
        <v>76565564.916190505</v>
      </c>
      <c r="F121" s="319">
        <v>574</v>
      </c>
      <c r="G121" s="319">
        <v>0</v>
      </c>
      <c r="H121" s="373">
        <f>'GDP A'!AF170</f>
        <v>149.51092410206903</v>
      </c>
      <c r="I121" s="53">
        <f t="shared" si="16"/>
        <v>31</v>
      </c>
      <c r="J121" s="53">
        <f t="shared" si="10"/>
        <v>1</v>
      </c>
      <c r="K121" s="53">
        <f t="shared" si="11"/>
        <v>0</v>
      </c>
      <c r="L121" s="53">
        <f t="shared" si="12"/>
        <v>0</v>
      </c>
      <c r="M121" s="53">
        <f t="shared" si="13"/>
        <v>0</v>
      </c>
      <c r="N121" s="341">
        <v>87</v>
      </c>
      <c r="O121" s="389">
        <f t="shared" si="14"/>
        <v>77753267.760220423</v>
      </c>
      <c r="P121" s="389">
        <f t="shared" si="15"/>
        <v>-1187702.8440299183</v>
      </c>
      <c r="Q121" s="389"/>
      <c r="AA121" s="211"/>
      <c r="AB121" s="211"/>
      <c r="AC121" s="211"/>
      <c r="AD121" s="211"/>
      <c r="AE121"/>
      <c r="AF121"/>
      <c r="AG121"/>
      <c r="AH121"/>
      <c r="AI121"/>
    </row>
    <row r="122" spans="2:35" ht="14.4" x14ac:dyDescent="0.3">
      <c r="B122" s="353">
        <v>42826</v>
      </c>
      <c r="C122" s="322">
        <f t="shared" si="9"/>
        <v>4</v>
      </c>
      <c r="D122" s="322">
        <v>2017</v>
      </c>
      <c r="E122" s="343">
        <v>66644954.449523814</v>
      </c>
      <c r="F122" s="319">
        <v>257.49999999999994</v>
      </c>
      <c r="G122" s="319">
        <v>0</v>
      </c>
      <c r="H122" s="373">
        <f>'GDP A'!AF171</f>
        <v>149.94449580793514</v>
      </c>
      <c r="I122" s="53">
        <f t="shared" si="16"/>
        <v>30</v>
      </c>
      <c r="J122" s="53">
        <f t="shared" si="10"/>
        <v>0</v>
      </c>
      <c r="K122" s="53">
        <f t="shared" si="11"/>
        <v>1</v>
      </c>
      <c r="L122" s="53">
        <f t="shared" si="12"/>
        <v>0</v>
      </c>
      <c r="M122" s="53">
        <f t="shared" si="13"/>
        <v>0</v>
      </c>
      <c r="N122" s="341">
        <v>88</v>
      </c>
      <c r="O122" s="389">
        <f t="shared" si="14"/>
        <v>68852862.280396119</v>
      </c>
      <c r="P122" s="389">
        <f t="shared" si="15"/>
        <v>-2207907.8308723047</v>
      </c>
      <c r="Q122" s="389"/>
      <c r="AA122" s="211"/>
      <c r="AB122" s="211"/>
      <c r="AC122" s="211"/>
      <c r="AD122" s="211"/>
      <c r="AE122"/>
      <c r="AF122"/>
      <c r="AG122"/>
      <c r="AH122"/>
      <c r="AI122"/>
    </row>
    <row r="123" spans="2:35" ht="14.4" x14ac:dyDescent="0.3">
      <c r="B123" s="353">
        <v>42856</v>
      </c>
      <c r="C123" s="322">
        <f t="shared" si="9"/>
        <v>5</v>
      </c>
      <c r="D123" s="322">
        <v>2017</v>
      </c>
      <c r="E123" s="343">
        <v>70677545.254761904</v>
      </c>
      <c r="F123" s="319">
        <v>177</v>
      </c>
      <c r="G123" s="319">
        <v>9</v>
      </c>
      <c r="H123" s="373">
        <f>'GDP A'!AF172</f>
        <v>150.37932484282425</v>
      </c>
      <c r="I123" s="53">
        <f t="shared" si="16"/>
        <v>31</v>
      </c>
      <c r="J123" s="53">
        <f t="shared" si="10"/>
        <v>0</v>
      </c>
      <c r="K123" s="53">
        <f t="shared" si="11"/>
        <v>0</v>
      </c>
      <c r="L123" s="53">
        <f t="shared" si="12"/>
        <v>1</v>
      </c>
      <c r="M123" s="53">
        <f t="shared" si="13"/>
        <v>0</v>
      </c>
      <c r="N123" s="341">
        <v>89</v>
      </c>
      <c r="O123" s="389">
        <f t="shared" si="14"/>
        <v>72073793.363548279</v>
      </c>
      <c r="P123" s="389">
        <f t="shared" si="15"/>
        <v>-1396248.1087863743</v>
      </c>
      <c r="Q123" s="389"/>
      <c r="AA123" s="211"/>
      <c r="AB123" s="211"/>
      <c r="AC123" s="211"/>
      <c r="AD123" s="211"/>
      <c r="AE123"/>
      <c r="AF123"/>
      <c r="AG123"/>
      <c r="AH123"/>
      <c r="AI123"/>
    </row>
    <row r="124" spans="2:35" ht="14.4" x14ac:dyDescent="0.3">
      <c r="B124" s="353">
        <v>42887</v>
      </c>
      <c r="C124" s="322">
        <f t="shared" si="9"/>
        <v>6</v>
      </c>
      <c r="D124" s="322">
        <v>2017</v>
      </c>
      <c r="E124" s="343">
        <v>78699725.353333339</v>
      </c>
      <c r="F124" s="319">
        <v>26.699999999999996</v>
      </c>
      <c r="G124" s="319">
        <v>68.2</v>
      </c>
      <c r="H124" s="373">
        <f>'GDP A'!AF173</f>
        <v>150.81541485290663</v>
      </c>
      <c r="I124" s="53">
        <f t="shared" si="16"/>
        <v>30</v>
      </c>
      <c r="J124" s="53">
        <f t="shared" si="10"/>
        <v>0</v>
      </c>
      <c r="K124" s="53">
        <f t="shared" si="11"/>
        <v>0</v>
      </c>
      <c r="L124" s="53">
        <f t="shared" si="12"/>
        <v>0</v>
      </c>
      <c r="M124" s="53">
        <f t="shared" si="13"/>
        <v>0</v>
      </c>
      <c r="N124" s="341">
        <v>90</v>
      </c>
      <c r="O124" s="389">
        <f t="shared" si="14"/>
        <v>78412300.575968996</v>
      </c>
      <c r="P124" s="389">
        <f t="shared" si="15"/>
        <v>287424.7773643434</v>
      </c>
      <c r="Q124" s="389"/>
      <c r="AA124" s="211"/>
      <c r="AB124" s="211"/>
      <c r="AC124" s="211"/>
      <c r="AD124" s="211"/>
      <c r="AE124"/>
      <c r="AF124"/>
      <c r="AG124"/>
      <c r="AH124"/>
      <c r="AI124"/>
    </row>
    <row r="125" spans="2:35" ht="14.4" x14ac:dyDescent="0.3">
      <c r="B125" s="353">
        <v>42917</v>
      </c>
      <c r="C125" s="322">
        <f t="shared" si="9"/>
        <v>7</v>
      </c>
      <c r="D125" s="322">
        <v>2017</v>
      </c>
      <c r="E125" s="343">
        <v>85577695.760000005</v>
      </c>
      <c r="F125" s="319">
        <v>0</v>
      </c>
      <c r="G125" s="319">
        <v>116.49999999999999</v>
      </c>
      <c r="H125" s="373">
        <f>'GDP A'!AF174</f>
        <v>151.25276949492624</v>
      </c>
      <c r="I125" s="53">
        <f t="shared" si="16"/>
        <v>31</v>
      </c>
      <c r="J125" s="53">
        <f t="shared" si="10"/>
        <v>0</v>
      </c>
      <c r="K125" s="53">
        <f t="shared" si="11"/>
        <v>0</v>
      </c>
      <c r="L125" s="53">
        <f t="shared" si="12"/>
        <v>0</v>
      </c>
      <c r="M125" s="53">
        <f t="shared" si="13"/>
        <v>0</v>
      </c>
      <c r="N125" s="341">
        <v>91</v>
      </c>
      <c r="O125" s="389">
        <f t="shared" si="14"/>
        <v>86223306.239931509</v>
      </c>
      <c r="P125" s="389">
        <f t="shared" si="15"/>
        <v>-645610.47993150353</v>
      </c>
      <c r="Q125" s="389"/>
      <c r="AA125" s="211"/>
      <c r="AB125" s="211"/>
      <c r="AC125" s="211"/>
      <c r="AD125" s="211"/>
      <c r="AE125"/>
      <c r="AF125"/>
      <c r="AG125"/>
      <c r="AH125"/>
      <c r="AI125"/>
    </row>
    <row r="126" spans="2:35" ht="14.4" x14ac:dyDescent="0.3">
      <c r="B126" s="353">
        <v>42948</v>
      </c>
      <c r="C126" s="322">
        <f t="shared" si="9"/>
        <v>8</v>
      </c>
      <c r="D126" s="322">
        <v>2017</v>
      </c>
      <c r="E126" s="343">
        <v>83019509.650000006</v>
      </c>
      <c r="F126" s="319">
        <v>11.6</v>
      </c>
      <c r="G126" s="319">
        <v>75.2</v>
      </c>
      <c r="H126" s="373">
        <f>'GDP A'!AF175</f>
        <v>151.69139243623133</v>
      </c>
      <c r="I126" s="53">
        <f t="shared" si="16"/>
        <v>31</v>
      </c>
      <c r="J126" s="53">
        <f t="shared" si="10"/>
        <v>0</v>
      </c>
      <c r="K126" s="53">
        <f t="shared" si="11"/>
        <v>0</v>
      </c>
      <c r="L126" s="53">
        <f t="shared" si="12"/>
        <v>0</v>
      </c>
      <c r="M126" s="53">
        <f t="shared" si="13"/>
        <v>0</v>
      </c>
      <c r="N126" s="341">
        <v>92</v>
      </c>
      <c r="O126" s="389">
        <f t="shared" si="14"/>
        <v>81346300.406975999</v>
      </c>
      <c r="P126" s="389">
        <f t="shared" si="15"/>
        <v>1673209.2430240065</v>
      </c>
      <c r="Q126" s="389"/>
      <c r="AA126" s="211"/>
      <c r="AB126" s="211"/>
      <c r="AC126" s="211"/>
      <c r="AD126" s="211"/>
      <c r="AE126"/>
      <c r="AF126"/>
      <c r="AG126"/>
      <c r="AH126"/>
      <c r="AI126"/>
    </row>
    <row r="127" spans="2:35" ht="14.4" x14ac:dyDescent="0.3">
      <c r="B127" s="353">
        <v>42979</v>
      </c>
      <c r="C127" s="322">
        <f t="shared" si="9"/>
        <v>9</v>
      </c>
      <c r="D127" s="322">
        <v>2017</v>
      </c>
      <c r="E127" s="343">
        <v>77334131.13666667</v>
      </c>
      <c r="F127" s="319">
        <v>49.1</v>
      </c>
      <c r="G127" s="319">
        <v>71.499999999999986</v>
      </c>
      <c r="H127" s="373">
        <f>'GDP A'!AF176</f>
        <v>152.13128735480518</v>
      </c>
      <c r="I127" s="53">
        <f t="shared" si="16"/>
        <v>30</v>
      </c>
      <c r="J127" s="53">
        <f t="shared" si="10"/>
        <v>0</v>
      </c>
      <c r="K127" s="53">
        <f t="shared" si="11"/>
        <v>0</v>
      </c>
      <c r="L127" s="53">
        <f t="shared" si="12"/>
        <v>0</v>
      </c>
      <c r="M127" s="53">
        <f t="shared" si="13"/>
        <v>0</v>
      </c>
      <c r="N127" s="341">
        <v>93</v>
      </c>
      <c r="O127" s="389">
        <f t="shared" si="14"/>
        <v>79377766.792071417</v>
      </c>
      <c r="P127" s="389">
        <f t="shared" si="15"/>
        <v>-2043635.6554047465</v>
      </c>
      <c r="Q127" s="389"/>
      <c r="AA127" s="211"/>
      <c r="AB127" s="211"/>
      <c r="AC127" s="211"/>
      <c r="AD127" s="211"/>
      <c r="AE127"/>
      <c r="AF127"/>
      <c r="AG127"/>
      <c r="AH127"/>
      <c r="AI127"/>
    </row>
    <row r="128" spans="2:35" ht="14.4" x14ac:dyDescent="0.3">
      <c r="B128" s="353">
        <v>43009</v>
      </c>
      <c r="C128" s="322">
        <f t="shared" si="9"/>
        <v>10</v>
      </c>
      <c r="D128" s="322">
        <v>2017</v>
      </c>
      <c r="E128" s="343">
        <v>73469057.820000008</v>
      </c>
      <c r="F128" s="319">
        <v>153.99999999999997</v>
      </c>
      <c r="G128" s="319">
        <v>8.1</v>
      </c>
      <c r="H128" s="373">
        <f>'GDP A'!AF177</f>
        <v>152.57245793929707</v>
      </c>
      <c r="I128" s="53">
        <f t="shared" si="16"/>
        <v>31</v>
      </c>
      <c r="J128" s="53">
        <f t="shared" si="10"/>
        <v>0</v>
      </c>
      <c r="K128" s="53">
        <f t="shared" si="11"/>
        <v>0</v>
      </c>
      <c r="L128" s="53">
        <f t="shared" si="12"/>
        <v>0</v>
      </c>
      <c r="M128" s="53">
        <f t="shared" si="13"/>
        <v>1</v>
      </c>
      <c r="N128" s="341">
        <v>94</v>
      </c>
      <c r="O128" s="389">
        <f t="shared" si="14"/>
        <v>73261158.244503826</v>
      </c>
      <c r="P128" s="389">
        <f t="shared" si="15"/>
        <v>207899.57549618185</v>
      </c>
      <c r="Q128" s="389"/>
      <c r="AA128" s="211"/>
      <c r="AB128" s="211"/>
      <c r="AC128" s="211"/>
      <c r="AD128" s="211"/>
      <c r="AE128"/>
      <c r="AF128"/>
      <c r="AG128"/>
      <c r="AH128"/>
      <c r="AI128"/>
    </row>
    <row r="129" spans="2:35" ht="14.4" x14ac:dyDescent="0.3">
      <c r="B129" s="353">
        <v>43040</v>
      </c>
      <c r="C129" s="322">
        <f t="shared" si="9"/>
        <v>11</v>
      </c>
      <c r="D129" s="322">
        <v>2017</v>
      </c>
      <c r="E129" s="343">
        <v>74459348.126666665</v>
      </c>
      <c r="F129" s="319">
        <v>414.2</v>
      </c>
      <c r="G129" s="319">
        <v>0</v>
      </c>
      <c r="H129" s="373">
        <f>'GDP A'!AF178</f>
        <v>153.01490788905303</v>
      </c>
      <c r="I129" s="53">
        <f t="shared" si="16"/>
        <v>30</v>
      </c>
      <c r="J129" s="53">
        <f t="shared" si="10"/>
        <v>0</v>
      </c>
      <c r="K129" s="53">
        <f t="shared" si="11"/>
        <v>0</v>
      </c>
      <c r="L129" s="53">
        <f t="shared" si="12"/>
        <v>0</v>
      </c>
      <c r="M129" s="53">
        <f t="shared" si="13"/>
        <v>0</v>
      </c>
      <c r="N129" s="341">
        <v>95</v>
      </c>
      <c r="O129" s="389">
        <f t="shared" si="14"/>
        <v>75809207.919394091</v>
      </c>
      <c r="P129" s="389">
        <f t="shared" si="15"/>
        <v>-1349859.7927274257</v>
      </c>
      <c r="Q129" s="389"/>
      <c r="AA129" s="211"/>
      <c r="AB129" s="211"/>
      <c r="AC129" s="211"/>
      <c r="AD129" s="211"/>
      <c r="AE129"/>
      <c r="AF129"/>
      <c r="AG129"/>
      <c r="AH129"/>
      <c r="AI129"/>
    </row>
    <row r="130" spans="2:35" ht="14.4" x14ac:dyDescent="0.3">
      <c r="B130" s="353">
        <v>43070</v>
      </c>
      <c r="C130" s="322">
        <f t="shared" si="9"/>
        <v>12</v>
      </c>
      <c r="D130" s="322">
        <v>2017</v>
      </c>
      <c r="E130" s="343">
        <v>79667517.416666657</v>
      </c>
      <c r="F130" s="319">
        <v>718.49999999999989</v>
      </c>
      <c r="G130" s="319">
        <v>0</v>
      </c>
      <c r="H130" s="373">
        <f>'GDP A'!AF179</f>
        <v>153.45864091414703</v>
      </c>
      <c r="I130" s="53">
        <f t="shared" si="16"/>
        <v>31</v>
      </c>
      <c r="J130" s="53">
        <f t="shared" si="10"/>
        <v>0</v>
      </c>
      <c r="K130" s="53">
        <f t="shared" si="11"/>
        <v>0</v>
      </c>
      <c r="L130" s="53">
        <f t="shared" si="12"/>
        <v>0</v>
      </c>
      <c r="M130" s="53">
        <f t="shared" si="13"/>
        <v>0</v>
      </c>
      <c r="N130" s="341">
        <v>96</v>
      </c>
      <c r="O130" s="389">
        <f t="shared" si="14"/>
        <v>82287794.55542703</v>
      </c>
      <c r="P130" s="389">
        <f t="shared" si="15"/>
        <v>-2620277.138760373</v>
      </c>
      <c r="Q130" s="389"/>
      <c r="AA130" s="211"/>
      <c r="AB130" s="211"/>
      <c r="AC130" s="211"/>
      <c r="AD130" s="211"/>
      <c r="AE130"/>
      <c r="AF130"/>
      <c r="AG130"/>
      <c r="AH130"/>
      <c r="AI130"/>
    </row>
    <row r="131" spans="2:35" ht="14.4" x14ac:dyDescent="0.3">
      <c r="B131" s="353">
        <v>43101</v>
      </c>
      <c r="C131" s="322">
        <f t="shared" si="9"/>
        <v>1</v>
      </c>
      <c r="D131" s="322">
        <v>2018</v>
      </c>
      <c r="E131" s="343">
        <v>84752511.140000001</v>
      </c>
      <c r="F131" s="319">
        <v>732.29999999999984</v>
      </c>
      <c r="G131" s="319">
        <v>0</v>
      </c>
      <c r="H131" s="373">
        <f>'GDP A'!AF180</f>
        <v>153.85890281731997</v>
      </c>
      <c r="I131" s="53">
        <f t="shared" si="16"/>
        <v>31</v>
      </c>
      <c r="J131" s="53">
        <f t="shared" si="10"/>
        <v>0</v>
      </c>
      <c r="K131" s="53">
        <f t="shared" si="11"/>
        <v>0</v>
      </c>
      <c r="L131" s="53">
        <f t="shared" si="12"/>
        <v>0</v>
      </c>
      <c r="M131" s="53">
        <f t="shared" si="13"/>
        <v>0</v>
      </c>
      <c r="N131" s="341">
        <v>97</v>
      </c>
      <c r="O131" s="389">
        <f t="shared" si="14"/>
        <v>82542340.93903257</v>
      </c>
      <c r="P131" s="389">
        <f t="shared" si="15"/>
        <v>2210170.2009674311</v>
      </c>
      <c r="Q131" s="389"/>
      <c r="AA131" s="211"/>
      <c r="AB131" s="211"/>
      <c r="AC131" s="211"/>
      <c r="AD131" s="211"/>
      <c r="AE131"/>
      <c r="AF131"/>
      <c r="AG131"/>
      <c r="AH131"/>
      <c r="AI131"/>
    </row>
    <row r="132" spans="2:35" ht="14.4" x14ac:dyDescent="0.3">
      <c r="B132" s="353">
        <v>43132</v>
      </c>
      <c r="C132" s="322">
        <f t="shared" si="9"/>
        <v>2</v>
      </c>
      <c r="D132" s="322">
        <v>2018</v>
      </c>
      <c r="E132" s="343">
        <v>72631313.480000004</v>
      </c>
      <c r="F132" s="319">
        <v>555.00000000000023</v>
      </c>
      <c r="G132" s="319">
        <v>0</v>
      </c>
      <c r="H132" s="373">
        <f>'GDP A'!AF181</f>
        <v>154.26020871247783</v>
      </c>
      <c r="I132" s="53">
        <f t="shared" si="16"/>
        <v>28</v>
      </c>
      <c r="J132" s="53">
        <f t="shared" si="10"/>
        <v>0</v>
      </c>
      <c r="K132" s="53">
        <f t="shared" si="11"/>
        <v>0</v>
      </c>
      <c r="L132" s="53">
        <f t="shared" si="12"/>
        <v>0</v>
      </c>
      <c r="M132" s="53">
        <f t="shared" si="13"/>
        <v>0</v>
      </c>
      <c r="N132" s="341">
        <v>98</v>
      </c>
      <c r="O132" s="389">
        <f t="shared" si="14"/>
        <v>73757065.313709319</v>
      </c>
      <c r="P132" s="389">
        <f t="shared" si="15"/>
        <v>-1125751.8337093145</v>
      </c>
      <c r="Q132" s="389"/>
      <c r="AA132" s="211"/>
      <c r="AB132" s="211"/>
      <c r="AC132" s="211"/>
      <c r="AD132" s="211"/>
      <c r="AE132"/>
      <c r="AF132"/>
      <c r="AG132"/>
      <c r="AH132"/>
      <c r="AI132"/>
    </row>
    <row r="133" spans="2:35" ht="14.4" x14ac:dyDescent="0.3">
      <c r="B133" s="353">
        <v>43160</v>
      </c>
      <c r="C133" s="322">
        <f t="shared" si="9"/>
        <v>3</v>
      </c>
      <c r="D133" s="322">
        <v>2018</v>
      </c>
      <c r="E133" s="343">
        <v>77931843.100000009</v>
      </c>
      <c r="F133" s="319">
        <v>553.99999999999989</v>
      </c>
      <c r="G133" s="319">
        <v>0</v>
      </c>
      <c r="H133" s="373">
        <f>'GDP A'!AF182</f>
        <v>154.66256132263587</v>
      </c>
      <c r="I133" s="53">
        <f t="shared" si="16"/>
        <v>31</v>
      </c>
      <c r="J133" s="53">
        <f t="shared" si="10"/>
        <v>1</v>
      </c>
      <c r="K133" s="53">
        <f t="shared" si="11"/>
        <v>0</v>
      </c>
      <c r="L133" s="53">
        <f t="shared" si="12"/>
        <v>0</v>
      </c>
      <c r="M133" s="53">
        <f t="shared" si="13"/>
        <v>0</v>
      </c>
      <c r="N133" s="341">
        <v>99</v>
      </c>
      <c r="O133" s="389">
        <f t="shared" si="14"/>
        <v>78379875.106568143</v>
      </c>
      <c r="P133" s="389">
        <f t="shared" si="15"/>
        <v>-448032.00656813383</v>
      </c>
      <c r="Q133" s="389"/>
      <c r="AA133" s="211"/>
      <c r="AB133" s="211"/>
      <c r="AC133" s="211"/>
      <c r="AD133" s="211"/>
      <c r="AE133"/>
      <c r="AF133"/>
      <c r="AG133"/>
      <c r="AH133"/>
      <c r="AI133"/>
    </row>
    <row r="134" spans="2:35" ht="14.4" x14ac:dyDescent="0.3">
      <c r="B134" s="353">
        <v>43191</v>
      </c>
      <c r="C134" s="322">
        <f t="shared" si="9"/>
        <v>4</v>
      </c>
      <c r="D134" s="322">
        <v>2018</v>
      </c>
      <c r="E134" s="343">
        <v>72888274.790000007</v>
      </c>
      <c r="F134" s="319">
        <v>437.20000000000005</v>
      </c>
      <c r="G134" s="319">
        <v>0</v>
      </c>
      <c r="H134" s="373">
        <f>'GDP A'!AF183</f>
        <v>155.06596337791169</v>
      </c>
      <c r="I134" s="53">
        <f t="shared" si="16"/>
        <v>30</v>
      </c>
      <c r="J134" s="53">
        <f t="shared" si="10"/>
        <v>0</v>
      </c>
      <c r="K134" s="53">
        <f t="shared" si="11"/>
        <v>1</v>
      </c>
      <c r="L134" s="53">
        <f t="shared" si="12"/>
        <v>0</v>
      </c>
      <c r="M134" s="53">
        <f t="shared" si="13"/>
        <v>0</v>
      </c>
      <c r="N134" s="341">
        <v>100</v>
      </c>
      <c r="O134" s="389">
        <f t="shared" si="14"/>
        <v>72270889.651731431</v>
      </c>
      <c r="P134" s="389">
        <f t="shared" si="15"/>
        <v>617385.13826857507</v>
      </c>
      <c r="Q134" s="389"/>
      <c r="AA134" s="211"/>
      <c r="AB134" s="211"/>
      <c r="AC134" s="211"/>
      <c r="AD134" s="211"/>
      <c r="AE134"/>
      <c r="AF134"/>
      <c r="AG134"/>
      <c r="AH134"/>
      <c r="AI134"/>
    </row>
    <row r="135" spans="2:35" ht="14.4" x14ac:dyDescent="0.3">
      <c r="B135" s="353">
        <v>43221</v>
      </c>
      <c r="C135" s="322">
        <f t="shared" si="9"/>
        <v>5</v>
      </c>
      <c r="D135" s="322">
        <v>2018</v>
      </c>
      <c r="E135" s="343">
        <v>76624694.199999973</v>
      </c>
      <c r="F135" s="319">
        <v>75.3</v>
      </c>
      <c r="G135" s="319">
        <v>43.4</v>
      </c>
      <c r="H135" s="373">
        <f>'GDP A'!AF184</f>
        <v>155.47041761554377</v>
      </c>
      <c r="I135" s="53">
        <f t="shared" si="16"/>
        <v>31</v>
      </c>
      <c r="J135" s="53">
        <f t="shared" si="10"/>
        <v>0</v>
      </c>
      <c r="K135" s="53">
        <f t="shared" si="11"/>
        <v>0</v>
      </c>
      <c r="L135" s="53">
        <f t="shared" si="12"/>
        <v>1</v>
      </c>
      <c r="M135" s="53">
        <f t="shared" si="13"/>
        <v>0</v>
      </c>
      <c r="N135" s="341">
        <v>101</v>
      </c>
      <c r="O135" s="389">
        <f t="shared" si="14"/>
        <v>75785603.96441631</v>
      </c>
      <c r="P135" s="389">
        <f t="shared" si="15"/>
        <v>839090.23558366299</v>
      </c>
      <c r="Q135" s="389"/>
      <c r="AA135" s="211"/>
      <c r="AB135" s="211"/>
      <c r="AC135" s="211"/>
      <c r="AD135" s="211"/>
      <c r="AE135"/>
      <c r="AF135"/>
      <c r="AG135"/>
      <c r="AH135"/>
      <c r="AI135"/>
    </row>
    <row r="136" spans="2:35" ht="14.4" x14ac:dyDescent="0.3">
      <c r="B136" s="353">
        <v>43252</v>
      </c>
      <c r="C136" s="322">
        <f t="shared" si="9"/>
        <v>6</v>
      </c>
      <c r="D136" s="322">
        <v>2018</v>
      </c>
      <c r="E136" s="343">
        <v>80769043.830000013</v>
      </c>
      <c r="F136" s="319">
        <v>14.799999999999999</v>
      </c>
      <c r="G136" s="319">
        <v>60.5</v>
      </c>
      <c r="H136" s="373">
        <f>'GDP A'!AF185</f>
        <v>155.87592677991009</v>
      </c>
      <c r="I136" s="53">
        <f t="shared" si="16"/>
        <v>30</v>
      </c>
      <c r="J136" s="53">
        <f t="shared" si="10"/>
        <v>0</v>
      </c>
      <c r="K136" s="53">
        <f t="shared" si="11"/>
        <v>0</v>
      </c>
      <c r="L136" s="53">
        <f t="shared" si="12"/>
        <v>0</v>
      </c>
      <c r="M136" s="53">
        <f t="shared" si="13"/>
        <v>0</v>
      </c>
      <c r="N136" s="341">
        <v>102</v>
      </c>
      <c r="O136" s="389">
        <f t="shared" si="14"/>
        <v>78150775.5373009</v>
      </c>
      <c r="P136" s="389">
        <f t="shared" si="15"/>
        <v>2618268.2926991135</v>
      </c>
      <c r="Q136" s="389"/>
      <c r="AA136" s="211"/>
      <c r="AB136" s="211"/>
      <c r="AC136" s="211"/>
      <c r="AD136" s="211"/>
      <c r="AE136"/>
      <c r="AF136"/>
      <c r="AG136"/>
      <c r="AH136"/>
      <c r="AI136"/>
    </row>
    <row r="137" spans="2:35" ht="14.4" x14ac:dyDescent="0.3">
      <c r="B137" s="353">
        <v>43282</v>
      </c>
      <c r="C137" s="322">
        <f t="shared" si="9"/>
        <v>7</v>
      </c>
      <c r="D137" s="322">
        <v>2018</v>
      </c>
      <c r="E137" s="343">
        <v>95230727.25999999</v>
      </c>
      <c r="F137" s="319">
        <v>0</v>
      </c>
      <c r="G137" s="319">
        <v>167.8</v>
      </c>
      <c r="H137" s="373">
        <f>'GDP A'!AF186</f>
        <v>156.2824936225467</v>
      </c>
      <c r="I137" s="53">
        <f t="shared" si="16"/>
        <v>31</v>
      </c>
      <c r="J137" s="53">
        <f t="shared" si="10"/>
        <v>0</v>
      </c>
      <c r="K137" s="53">
        <f t="shared" si="11"/>
        <v>0</v>
      </c>
      <c r="L137" s="53">
        <f t="shared" si="12"/>
        <v>0</v>
      </c>
      <c r="M137" s="53">
        <f t="shared" si="13"/>
        <v>0</v>
      </c>
      <c r="N137" s="341">
        <v>103</v>
      </c>
      <c r="O137" s="389">
        <f t="shared" si="14"/>
        <v>93428132.79912512</v>
      </c>
      <c r="P137" s="389">
        <f t="shared" si="15"/>
        <v>1802594.4608748704</v>
      </c>
      <c r="Q137" s="389"/>
      <c r="AA137" s="211"/>
      <c r="AB137" s="211"/>
      <c r="AC137" s="211"/>
      <c r="AD137" s="211"/>
      <c r="AE137"/>
      <c r="AF137"/>
      <c r="AG137"/>
      <c r="AH137"/>
      <c r="AI137"/>
    </row>
    <row r="138" spans="2:35" ht="14.4" x14ac:dyDescent="0.3">
      <c r="B138" s="353">
        <v>43313</v>
      </c>
      <c r="C138" s="322">
        <f t="shared" si="9"/>
        <v>8</v>
      </c>
      <c r="D138" s="322">
        <v>2018</v>
      </c>
      <c r="E138" s="343">
        <v>93580216.839999989</v>
      </c>
      <c r="F138" s="319">
        <v>1.2</v>
      </c>
      <c r="G138" s="319">
        <v>162.4</v>
      </c>
      <c r="H138" s="373">
        <f>'GDP A'!AF187</f>
        <v>156.6901209021664</v>
      </c>
      <c r="I138" s="53">
        <f t="shared" si="16"/>
        <v>31</v>
      </c>
      <c r="J138" s="53">
        <f t="shared" si="10"/>
        <v>0</v>
      </c>
      <c r="K138" s="53">
        <f t="shared" si="11"/>
        <v>0</v>
      </c>
      <c r="L138" s="53">
        <f t="shared" si="12"/>
        <v>0</v>
      </c>
      <c r="M138" s="53">
        <f t="shared" si="13"/>
        <v>0</v>
      </c>
      <c r="N138" s="341">
        <v>104</v>
      </c>
      <c r="O138" s="389">
        <f t="shared" si="14"/>
        <v>92839876.966625586</v>
      </c>
      <c r="P138" s="389">
        <f t="shared" si="15"/>
        <v>740339.87337440252</v>
      </c>
      <c r="Q138" s="389"/>
      <c r="AA138" s="211"/>
      <c r="AB138" s="211"/>
      <c r="AC138" s="211"/>
      <c r="AD138" s="211"/>
      <c r="AE138"/>
      <c r="AF138"/>
      <c r="AG138"/>
      <c r="AH138"/>
      <c r="AI138"/>
    </row>
    <row r="139" spans="2:35" ht="14.4" x14ac:dyDescent="0.3">
      <c r="B139" s="353">
        <v>43344</v>
      </c>
      <c r="C139" s="322">
        <f t="shared" si="9"/>
        <v>9</v>
      </c>
      <c r="D139" s="322">
        <v>2018</v>
      </c>
      <c r="E139" s="343">
        <v>79916023.120000005</v>
      </c>
      <c r="F139" s="319">
        <v>41.399999999999991</v>
      </c>
      <c r="G139" s="319">
        <v>76.399999999999977</v>
      </c>
      <c r="H139" s="373">
        <f>'GDP A'!AF188</f>
        <v>157.09881138467748</v>
      </c>
      <c r="I139" s="53">
        <f t="shared" si="16"/>
        <v>30</v>
      </c>
      <c r="J139" s="53">
        <f t="shared" si="10"/>
        <v>0</v>
      </c>
      <c r="K139" s="53">
        <f t="shared" si="11"/>
        <v>0</v>
      </c>
      <c r="L139" s="53">
        <f t="shared" si="12"/>
        <v>0</v>
      </c>
      <c r="M139" s="53">
        <f t="shared" si="13"/>
        <v>0</v>
      </c>
      <c r="N139" s="341">
        <v>105</v>
      </c>
      <c r="O139" s="389">
        <f t="shared" si="14"/>
        <v>80689199.955159709</v>
      </c>
      <c r="P139" s="389">
        <f t="shared" si="15"/>
        <v>-773176.83515970409</v>
      </c>
      <c r="Q139" s="389"/>
      <c r="AA139" s="211"/>
      <c r="AB139" s="211"/>
      <c r="AC139" s="211"/>
      <c r="AD139" s="211"/>
      <c r="AE139"/>
      <c r="AF139"/>
      <c r="AG139"/>
      <c r="AH139"/>
      <c r="AI139"/>
    </row>
    <row r="140" spans="2:35" ht="14.4" x14ac:dyDescent="0.3">
      <c r="B140" s="353">
        <v>43374</v>
      </c>
      <c r="C140" s="322">
        <f t="shared" si="9"/>
        <v>10</v>
      </c>
      <c r="D140" s="322">
        <v>2018</v>
      </c>
      <c r="E140" s="343">
        <v>75870343.00999999</v>
      </c>
      <c r="F140" s="319">
        <v>289.40000000000003</v>
      </c>
      <c r="G140" s="319">
        <v>8.1999999999999993</v>
      </c>
      <c r="H140" s="373">
        <f>'GDP A'!AF189</f>
        <v>157.50856784320246</v>
      </c>
      <c r="I140" s="53">
        <f t="shared" si="16"/>
        <v>31</v>
      </c>
      <c r="J140" s="53">
        <f t="shared" si="10"/>
        <v>0</v>
      </c>
      <c r="K140" s="53">
        <f t="shared" si="11"/>
        <v>0</v>
      </c>
      <c r="L140" s="53">
        <f t="shared" si="12"/>
        <v>0</v>
      </c>
      <c r="M140" s="53">
        <f t="shared" si="13"/>
        <v>1</v>
      </c>
      <c r="N140" s="341">
        <v>106</v>
      </c>
      <c r="O140" s="389">
        <f t="shared" si="14"/>
        <v>75972643.239235893</v>
      </c>
      <c r="P140" s="389">
        <f t="shared" si="15"/>
        <v>-102300.22923590243</v>
      </c>
      <c r="Q140" s="389"/>
      <c r="AA140" s="211"/>
      <c r="AB140" s="211"/>
      <c r="AC140" s="211"/>
      <c r="AD140" s="211"/>
      <c r="AE140"/>
      <c r="AF140"/>
      <c r="AG140"/>
      <c r="AH140"/>
      <c r="AI140"/>
    </row>
    <row r="141" spans="2:35" ht="14.4" x14ac:dyDescent="0.3">
      <c r="B141" s="353">
        <v>43405</v>
      </c>
      <c r="C141" s="322">
        <f t="shared" si="9"/>
        <v>11</v>
      </c>
      <c r="D141" s="322">
        <v>2018</v>
      </c>
      <c r="E141" s="343">
        <v>77972578.930000007</v>
      </c>
      <c r="F141" s="319">
        <v>494.1</v>
      </c>
      <c r="G141" s="319">
        <v>0</v>
      </c>
      <c r="H141" s="373">
        <f>'GDP A'!AF190</f>
        <v>157.91939305809689</v>
      </c>
      <c r="I141" s="53">
        <f t="shared" si="16"/>
        <v>30</v>
      </c>
      <c r="J141" s="53">
        <f t="shared" si="10"/>
        <v>0</v>
      </c>
      <c r="K141" s="53">
        <f t="shared" si="11"/>
        <v>0</v>
      </c>
      <c r="L141" s="53">
        <f t="shared" si="12"/>
        <v>0</v>
      </c>
      <c r="M141" s="53">
        <f t="shared" si="13"/>
        <v>0</v>
      </c>
      <c r="N141" s="341">
        <v>107</v>
      </c>
      <c r="O141" s="389">
        <f t="shared" si="14"/>
        <v>77711738.91362913</v>
      </c>
      <c r="P141" s="389">
        <f t="shared" si="15"/>
        <v>260840.01637087762</v>
      </c>
      <c r="Q141" s="389"/>
      <c r="AA141" s="211"/>
      <c r="AB141" s="211"/>
      <c r="AC141" s="211"/>
      <c r="AD141" s="211"/>
      <c r="AE141"/>
      <c r="AF141"/>
      <c r="AG141"/>
      <c r="AH141"/>
      <c r="AI141"/>
    </row>
    <row r="142" spans="2:35" ht="14.4" x14ac:dyDescent="0.3">
      <c r="B142" s="353">
        <v>43435</v>
      </c>
      <c r="C142" s="322">
        <f t="shared" si="9"/>
        <v>12</v>
      </c>
      <c r="D142" s="322">
        <v>2018</v>
      </c>
      <c r="E142" s="343">
        <v>77716342.479999989</v>
      </c>
      <c r="F142" s="319">
        <v>563.60000000000014</v>
      </c>
      <c r="G142" s="319">
        <v>0</v>
      </c>
      <c r="H142" s="373">
        <f>'GDP A'!AF191</f>
        <v>158.33128981696836</v>
      </c>
      <c r="I142" s="53">
        <f t="shared" si="16"/>
        <v>31</v>
      </c>
      <c r="J142" s="53">
        <f t="shared" si="10"/>
        <v>0</v>
      </c>
      <c r="K142" s="53">
        <f t="shared" si="11"/>
        <v>0</v>
      </c>
      <c r="L142" s="53">
        <f t="shared" si="12"/>
        <v>0</v>
      </c>
      <c r="M142" s="53">
        <f t="shared" si="13"/>
        <v>0</v>
      </c>
      <c r="N142" s="341">
        <v>108</v>
      </c>
      <c r="O142" s="389">
        <f t="shared" si="14"/>
        <v>80873328.749843702</v>
      </c>
      <c r="P142" s="389">
        <f t="shared" si="15"/>
        <v>-3156986.2698437124</v>
      </c>
      <c r="Q142" s="389"/>
      <c r="AA142" s="211"/>
      <c r="AB142" s="211"/>
      <c r="AC142" s="211"/>
      <c r="AD142" s="211"/>
      <c r="AE142"/>
      <c r="AF142"/>
      <c r="AG142"/>
      <c r="AH142"/>
      <c r="AI142"/>
    </row>
    <row r="143" spans="2:35" ht="14.4" x14ac:dyDescent="0.3">
      <c r="B143" s="353">
        <v>43466</v>
      </c>
      <c r="C143" s="322">
        <f t="shared" si="9"/>
        <v>1</v>
      </c>
      <c r="D143" s="322">
        <v>2019</v>
      </c>
      <c r="E143" s="343">
        <v>85029523.596500009</v>
      </c>
      <c r="F143" s="319">
        <v>764.5</v>
      </c>
      <c r="G143" s="319">
        <v>0</v>
      </c>
      <c r="H143" s="373">
        <f>'GDP A'!AF192</f>
        <v>158.56186296962741</v>
      </c>
      <c r="I143" s="53">
        <f t="shared" si="16"/>
        <v>31</v>
      </c>
      <c r="J143" s="53">
        <f t="shared" si="10"/>
        <v>0</v>
      </c>
      <c r="K143" s="53">
        <f t="shared" si="11"/>
        <v>0</v>
      </c>
      <c r="L143" s="53">
        <f t="shared" si="12"/>
        <v>0</v>
      </c>
      <c r="M143" s="53">
        <f t="shared" si="13"/>
        <v>0</v>
      </c>
      <c r="N143" s="341">
        <v>109</v>
      </c>
      <c r="O143" s="389">
        <f t="shared" si="14"/>
        <v>83669744.944495216</v>
      </c>
      <c r="P143" s="389">
        <f t="shared" si="15"/>
        <v>1359778.6520047933</v>
      </c>
      <c r="Q143" s="389"/>
      <c r="AA143" s="211"/>
      <c r="AB143" s="211"/>
      <c r="AC143" s="211"/>
      <c r="AD143" s="211"/>
      <c r="AE143"/>
      <c r="AF143"/>
      <c r="AG143"/>
      <c r="AH143"/>
      <c r="AI143"/>
    </row>
    <row r="144" spans="2:35" ht="14.4" x14ac:dyDescent="0.3">
      <c r="B144" s="353">
        <v>43497</v>
      </c>
      <c r="C144" s="322">
        <f t="shared" si="9"/>
        <v>2</v>
      </c>
      <c r="D144" s="322">
        <v>2019</v>
      </c>
      <c r="E144" s="343">
        <v>75571374.736000016</v>
      </c>
      <c r="F144" s="319">
        <v>621.70000000000016</v>
      </c>
      <c r="G144" s="319">
        <v>0</v>
      </c>
      <c r="H144" s="373">
        <f>'GDP A'!AF193</f>
        <v>158.79277189911735</v>
      </c>
      <c r="I144" s="53">
        <f t="shared" si="16"/>
        <v>28</v>
      </c>
      <c r="J144" s="53">
        <f t="shared" si="10"/>
        <v>0</v>
      </c>
      <c r="K144" s="53">
        <f t="shared" si="11"/>
        <v>0</v>
      </c>
      <c r="L144" s="53">
        <f t="shared" si="12"/>
        <v>0</v>
      </c>
      <c r="M144" s="53">
        <f t="shared" si="13"/>
        <v>0</v>
      </c>
      <c r="N144" s="341">
        <v>110</v>
      </c>
      <c r="O144" s="389">
        <f t="shared" si="14"/>
        <v>75280948.728440478</v>
      </c>
      <c r="P144" s="389">
        <f t="shared" si="15"/>
        <v>290426.00755953789</v>
      </c>
      <c r="Q144" s="389"/>
      <c r="AA144" s="211"/>
      <c r="AB144" s="211"/>
      <c r="AC144" s="211"/>
      <c r="AD144" s="211"/>
      <c r="AE144"/>
      <c r="AF144"/>
      <c r="AG144"/>
      <c r="AH144"/>
      <c r="AI144"/>
    </row>
    <row r="145" spans="2:35" ht="14.4" x14ac:dyDescent="0.3">
      <c r="B145" s="353">
        <v>43525</v>
      </c>
      <c r="C145" s="322">
        <f t="shared" si="9"/>
        <v>3</v>
      </c>
      <c r="D145" s="322">
        <v>2019</v>
      </c>
      <c r="E145" s="343">
        <v>79381068.277800009</v>
      </c>
      <c r="F145" s="319">
        <v>593.90000000000009</v>
      </c>
      <c r="G145" s="319">
        <v>0</v>
      </c>
      <c r="H145" s="373">
        <f>'GDP A'!AF194</f>
        <v>159.02401709442</v>
      </c>
      <c r="I145" s="53">
        <f t="shared" si="16"/>
        <v>31</v>
      </c>
      <c r="J145" s="53">
        <f t="shared" si="10"/>
        <v>1</v>
      </c>
      <c r="K145" s="53">
        <f t="shared" si="11"/>
        <v>0</v>
      </c>
      <c r="L145" s="53">
        <f t="shared" si="12"/>
        <v>0</v>
      </c>
      <c r="M145" s="53">
        <f t="shared" si="13"/>
        <v>0</v>
      </c>
      <c r="N145" s="341">
        <v>111</v>
      </c>
      <c r="O145" s="389">
        <f t="shared" si="14"/>
        <v>79438205.295614198</v>
      </c>
      <c r="P145" s="389">
        <f t="shared" si="15"/>
        <v>-57137.017814189196</v>
      </c>
      <c r="Q145" s="389"/>
      <c r="AA145" s="211"/>
      <c r="AB145" s="211"/>
      <c r="AC145" s="211"/>
      <c r="AD145" s="211"/>
      <c r="AE145"/>
      <c r="AF145"/>
      <c r="AG145"/>
      <c r="AH145"/>
      <c r="AI145"/>
    </row>
    <row r="146" spans="2:35" ht="14.4" x14ac:dyDescent="0.3">
      <c r="B146" s="353">
        <v>43556</v>
      </c>
      <c r="C146" s="322">
        <f t="shared" si="9"/>
        <v>4</v>
      </c>
      <c r="D146" s="322">
        <v>2019</v>
      </c>
      <c r="E146" s="343">
        <v>73998852.774599999</v>
      </c>
      <c r="F146" s="319">
        <v>346.8</v>
      </c>
      <c r="G146" s="319">
        <v>0</v>
      </c>
      <c r="H146" s="373">
        <f>'GDP A'!AF195</f>
        <v>159.2555990452293</v>
      </c>
      <c r="I146" s="53">
        <f t="shared" si="16"/>
        <v>30</v>
      </c>
      <c r="J146" s="53">
        <f t="shared" si="10"/>
        <v>0</v>
      </c>
      <c r="K146" s="53">
        <f t="shared" si="11"/>
        <v>1</v>
      </c>
      <c r="L146" s="53">
        <f t="shared" si="12"/>
        <v>0</v>
      </c>
      <c r="M146" s="53">
        <f t="shared" si="13"/>
        <v>0</v>
      </c>
      <c r="N146" s="341">
        <v>112</v>
      </c>
      <c r="O146" s="389">
        <f t="shared" si="14"/>
        <v>71408448.296560004</v>
      </c>
      <c r="P146" s="389">
        <f t="shared" si="15"/>
        <v>2590404.4780399948</v>
      </c>
      <c r="Q146" s="389"/>
      <c r="AA146" s="211"/>
      <c r="AB146" s="211"/>
      <c r="AC146" s="211"/>
      <c r="AD146" s="211"/>
      <c r="AE146"/>
      <c r="AF146"/>
      <c r="AG146"/>
      <c r="AH146"/>
      <c r="AI146"/>
    </row>
    <row r="147" spans="2:35" ht="14.4" x14ac:dyDescent="0.3">
      <c r="B147" s="353">
        <v>43586</v>
      </c>
      <c r="C147" s="322">
        <f t="shared" si="9"/>
        <v>5</v>
      </c>
      <c r="D147" s="322">
        <v>2019</v>
      </c>
      <c r="E147" s="343">
        <v>74079885.052200004</v>
      </c>
      <c r="F147" s="319">
        <v>180.99999999999997</v>
      </c>
      <c r="G147" s="319">
        <v>0</v>
      </c>
      <c r="H147" s="373">
        <f>'GDP A'!AF196</f>
        <v>159.48751824195227</v>
      </c>
      <c r="I147" s="53">
        <f t="shared" si="16"/>
        <v>31</v>
      </c>
      <c r="J147" s="53">
        <f t="shared" si="10"/>
        <v>0</v>
      </c>
      <c r="K147" s="53">
        <f t="shared" si="11"/>
        <v>0</v>
      </c>
      <c r="L147" s="53">
        <f t="shared" si="12"/>
        <v>1</v>
      </c>
      <c r="M147" s="53">
        <f t="shared" si="13"/>
        <v>0</v>
      </c>
      <c r="N147" s="341">
        <v>113</v>
      </c>
      <c r="O147" s="389">
        <f t="shared" si="14"/>
        <v>72209151.545757622</v>
      </c>
      <c r="P147" s="389">
        <f t="shared" si="15"/>
        <v>1870733.5064423829</v>
      </c>
      <c r="Q147" s="389"/>
      <c r="AA147" s="211"/>
      <c r="AB147" s="211"/>
      <c r="AC147" s="211"/>
      <c r="AD147" s="211"/>
      <c r="AE147"/>
      <c r="AF147"/>
      <c r="AG147"/>
      <c r="AH147"/>
      <c r="AI147"/>
    </row>
    <row r="148" spans="2:35" ht="14.4" x14ac:dyDescent="0.3">
      <c r="B148" s="353">
        <v>43617</v>
      </c>
      <c r="C148" s="322">
        <f t="shared" si="9"/>
        <v>6</v>
      </c>
      <c r="D148" s="322">
        <v>2019</v>
      </c>
      <c r="E148" s="343">
        <v>77200774.899399996</v>
      </c>
      <c r="F148" s="319">
        <v>35.5</v>
      </c>
      <c r="G148" s="319">
        <v>41.300000000000004</v>
      </c>
      <c r="H148" s="373">
        <f>'GDP A'!AF197</f>
        <v>159.71977517571011</v>
      </c>
      <c r="I148" s="53">
        <f t="shared" si="16"/>
        <v>30</v>
      </c>
      <c r="J148" s="53">
        <f t="shared" si="10"/>
        <v>0</v>
      </c>
      <c r="K148" s="53">
        <f t="shared" si="11"/>
        <v>0</v>
      </c>
      <c r="L148" s="53">
        <f t="shared" si="12"/>
        <v>0</v>
      </c>
      <c r="M148" s="53">
        <f t="shared" si="13"/>
        <v>0</v>
      </c>
      <c r="N148" s="341">
        <v>114</v>
      </c>
      <c r="O148" s="389">
        <f t="shared" si="14"/>
        <v>76289983.863540217</v>
      </c>
      <c r="P148" s="389">
        <f t="shared" si="15"/>
        <v>910791.03585977852</v>
      </c>
      <c r="Q148" s="389"/>
      <c r="AA148" s="211"/>
      <c r="AB148" s="211"/>
      <c r="AC148" s="211"/>
      <c r="AD148" s="211"/>
      <c r="AE148"/>
      <c r="AF148"/>
      <c r="AG148"/>
      <c r="AH148"/>
      <c r="AI148"/>
    </row>
    <row r="149" spans="2:35" ht="14.4" x14ac:dyDescent="0.3">
      <c r="B149" s="353">
        <v>43647</v>
      </c>
      <c r="C149" s="322">
        <f t="shared" si="9"/>
        <v>7</v>
      </c>
      <c r="D149" s="322">
        <v>2019</v>
      </c>
      <c r="E149" s="343">
        <v>97266632.718700007</v>
      </c>
      <c r="F149" s="319">
        <v>0</v>
      </c>
      <c r="G149" s="319">
        <v>166.90000000000003</v>
      </c>
      <c r="H149" s="373">
        <f>'GDP A'!AF198</f>
        <v>159.95237033833922</v>
      </c>
      <c r="I149" s="53">
        <f t="shared" si="16"/>
        <v>31</v>
      </c>
      <c r="J149" s="53">
        <f t="shared" si="10"/>
        <v>0</v>
      </c>
      <c r="K149" s="53">
        <f t="shared" si="11"/>
        <v>0</v>
      </c>
      <c r="L149" s="53">
        <f t="shared" si="12"/>
        <v>0</v>
      </c>
      <c r="M149" s="53">
        <f t="shared" si="13"/>
        <v>0</v>
      </c>
      <c r="N149" s="341">
        <v>115</v>
      </c>
      <c r="O149" s="389">
        <f t="shared" si="14"/>
        <v>93454955.19863306</v>
      </c>
      <c r="P149" s="389">
        <f t="shared" si="15"/>
        <v>3811677.5200669467</v>
      </c>
      <c r="Q149" s="389"/>
      <c r="AA149" s="211"/>
      <c r="AB149" s="211"/>
      <c r="AC149" s="211"/>
      <c r="AD149" s="211"/>
      <c r="AE149"/>
      <c r="AF149"/>
      <c r="AG149"/>
      <c r="AH149"/>
      <c r="AI149"/>
    </row>
    <row r="150" spans="2:35" ht="14.4" x14ac:dyDescent="0.3">
      <c r="B150" s="353">
        <v>43678</v>
      </c>
      <c r="C150" s="322">
        <f t="shared" si="9"/>
        <v>8</v>
      </c>
      <c r="D150" s="322">
        <v>2019</v>
      </c>
      <c r="E150" s="343">
        <v>88226114.621299982</v>
      </c>
      <c r="F150" s="319">
        <v>0.89999999999999991</v>
      </c>
      <c r="G150" s="319">
        <v>103.30000000000003</v>
      </c>
      <c r="H150" s="373">
        <f>'GDP A'!AF199</f>
        <v>160.18530422239229</v>
      </c>
      <c r="I150" s="53">
        <f t="shared" si="16"/>
        <v>31</v>
      </c>
      <c r="J150" s="53">
        <f t="shared" si="10"/>
        <v>0</v>
      </c>
      <c r="K150" s="53">
        <f t="shared" si="11"/>
        <v>0</v>
      </c>
      <c r="L150" s="53">
        <f t="shared" si="12"/>
        <v>0</v>
      </c>
      <c r="M150" s="53">
        <f t="shared" si="13"/>
        <v>0</v>
      </c>
      <c r="N150" s="341">
        <v>116</v>
      </c>
      <c r="O150" s="389">
        <f t="shared" si="14"/>
        <v>85555904.804488406</v>
      </c>
      <c r="P150" s="389">
        <f t="shared" si="15"/>
        <v>2670209.8168115765</v>
      </c>
      <c r="Q150" s="389"/>
      <c r="AA150" s="211"/>
      <c r="AB150" s="211"/>
      <c r="AC150" s="211"/>
      <c r="AD150" s="211"/>
      <c r="AE150"/>
      <c r="AF150"/>
      <c r="AG150"/>
      <c r="AH150"/>
      <c r="AI150"/>
    </row>
    <row r="151" spans="2:35" ht="14.4" x14ac:dyDescent="0.3">
      <c r="B151" s="353">
        <v>43709</v>
      </c>
      <c r="C151" s="322">
        <f t="shared" si="9"/>
        <v>9</v>
      </c>
      <c r="D151" s="322">
        <v>2019</v>
      </c>
      <c r="E151" s="343">
        <v>76664331.356100008</v>
      </c>
      <c r="F151" s="319">
        <v>38.400000000000006</v>
      </c>
      <c r="G151" s="319">
        <v>25.400000000000002</v>
      </c>
      <c r="H151" s="373">
        <f>'GDP A'!AF200</f>
        <v>160.41857732113922</v>
      </c>
      <c r="I151" s="53">
        <f t="shared" si="16"/>
        <v>30</v>
      </c>
      <c r="J151" s="53">
        <f t="shared" si="10"/>
        <v>0</v>
      </c>
      <c r="K151" s="53">
        <f t="shared" si="11"/>
        <v>0</v>
      </c>
      <c r="L151" s="53">
        <f t="shared" si="12"/>
        <v>0</v>
      </c>
      <c r="M151" s="53">
        <f t="shared" si="13"/>
        <v>0</v>
      </c>
      <c r="N151" s="341">
        <v>117</v>
      </c>
      <c r="O151" s="389">
        <f t="shared" si="14"/>
        <v>74280470.134656981</v>
      </c>
      <c r="P151" s="389">
        <f t="shared" si="15"/>
        <v>2383861.2214430273</v>
      </c>
      <c r="Q151" s="389"/>
      <c r="AA151" s="211"/>
      <c r="AB151" s="211"/>
      <c r="AC151" s="211"/>
      <c r="AD151" s="211"/>
      <c r="AE151"/>
      <c r="AF151"/>
      <c r="AG151"/>
      <c r="AH151"/>
      <c r="AI151"/>
    </row>
    <row r="152" spans="2:35" ht="15" thickBot="1" x14ac:dyDescent="0.35">
      <c r="B152" s="353">
        <v>43739</v>
      </c>
      <c r="C152" s="322">
        <f t="shared" si="9"/>
        <v>10</v>
      </c>
      <c r="D152" s="322">
        <v>2019</v>
      </c>
      <c r="E152" s="343">
        <v>75138464.501400009</v>
      </c>
      <c r="F152" s="319">
        <v>236.5</v>
      </c>
      <c r="G152" s="319">
        <v>5.0999999999999996</v>
      </c>
      <c r="H152" s="373">
        <f>'GDP A'!AF201</f>
        <v>160.65219012856832</v>
      </c>
      <c r="I152" s="53">
        <f t="shared" si="16"/>
        <v>31</v>
      </c>
      <c r="J152" s="53">
        <f t="shared" si="10"/>
        <v>0</v>
      </c>
      <c r="K152" s="53">
        <f t="shared" si="11"/>
        <v>0</v>
      </c>
      <c r="L152" s="53">
        <f t="shared" si="12"/>
        <v>0</v>
      </c>
      <c r="M152" s="53">
        <f t="shared" si="13"/>
        <v>1</v>
      </c>
      <c r="N152" s="341">
        <v>118</v>
      </c>
      <c r="O152" s="389">
        <f t="shared" si="14"/>
        <v>74709880.365121007</v>
      </c>
      <c r="P152" s="389">
        <f t="shared" si="15"/>
        <v>428584.13627900183</v>
      </c>
      <c r="Q152" s="389"/>
      <c r="AA152" s="212"/>
      <c r="AB152" s="212"/>
      <c r="AC152" s="212"/>
      <c r="AD152" s="212"/>
      <c r="AE152"/>
      <c r="AF152"/>
      <c r="AG152"/>
      <c r="AH152"/>
      <c r="AI152"/>
    </row>
    <row r="153" spans="2:35" ht="14.4" x14ac:dyDescent="0.3">
      <c r="B153" s="353">
        <v>43770</v>
      </c>
      <c r="C153" s="322">
        <f t="shared" si="9"/>
        <v>11</v>
      </c>
      <c r="D153" s="322">
        <v>2019</v>
      </c>
      <c r="E153" s="343">
        <v>79324528.1259</v>
      </c>
      <c r="F153" s="319">
        <v>513.30000000000007</v>
      </c>
      <c r="G153" s="319">
        <v>0</v>
      </c>
      <c r="H153" s="373">
        <f>'GDP A'!AF202</f>
        <v>160.88614313938723</v>
      </c>
      <c r="I153" s="53">
        <f t="shared" si="16"/>
        <v>30</v>
      </c>
      <c r="J153" s="53">
        <f t="shared" si="10"/>
        <v>0</v>
      </c>
      <c r="K153" s="53">
        <f t="shared" si="11"/>
        <v>0</v>
      </c>
      <c r="L153" s="53">
        <f t="shared" si="12"/>
        <v>0</v>
      </c>
      <c r="M153" s="53">
        <f t="shared" si="13"/>
        <v>0</v>
      </c>
      <c r="N153" s="341">
        <v>119</v>
      </c>
      <c r="O153" s="389">
        <f t="shared" si="14"/>
        <v>77754968.935154065</v>
      </c>
      <c r="P153" s="389">
        <f t="shared" si="15"/>
        <v>1569559.1907459348</v>
      </c>
      <c r="Q153" s="389"/>
    </row>
    <row r="154" spans="2:35" ht="14.4" x14ac:dyDescent="0.3">
      <c r="B154" s="353">
        <v>43800</v>
      </c>
      <c r="C154" s="322">
        <f t="shared" si="9"/>
        <v>12</v>
      </c>
      <c r="D154" s="322">
        <v>2019</v>
      </c>
      <c r="E154" s="343">
        <v>77448670.109640002</v>
      </c>
      <c r="F154" s="319">
        <v>582.4</v>
      </c>
      <c r="G154" s="319">
        <v>0</v>
      </c>
      <c r="H154" s="373">
        <f>'GDP A'!AF203</f>
        <v>161.12043684902417</v>
      </c>
      <c r="I154" s="53">
        <f t="shared" si="16"/>
        <v>31</v>
      </c>
      <c r="J154" s="53">
        <f t="shared" si="10"/>
        <v>0</v>
      </c>
      <c r="K154" s="53">
        <f t="shared" si="11"/>
        <v>0</v>
      </c>
      <c r="L154" s="53">
        <f t="shared" si="12"/>
        <v>0</v>
      </c>
      <c r="M154" s="53">
        <f t="shared" si="13"/>
        <v>0</v>
      </c>
      <c r="N154" s="341">
        <v>120</v>
      </c>
      <c r="O154" s="389">
        <f t="shared" si="14"/>
        <v>80818724.753354922</v>
      </c>
      <c r="P154" s="389">
        <f t="shared" si="15"/>
        <v>-3370054.6437149197</v>
      </c>
      <c r="Q154" s="389"/>
    </row>
    <row r="155" spans="2:35" ht="14.4" x14ac:dyDescent="0.3">
      <c r="B155" s="353">
        <v>43831</v>
      </c>
      <c r="C155" s="322">
        <f t="shared" si="9"/>
        <v>1</v>
      </c>
      <c r="D155" s="322">
        <v>2020</v>
      </c>
      <c r="E155" s="343">
        <v>81251440.013279989</v>
      </c>
      <c r="F155" s="319">
        <v>605</v>
      </c>
      <c r="G155" s="319">
        <v>0</v>
      </c>
      <c r="H155" s="373">
        <f>'GDP A'!AF204</f>
        <v>160.32018522796301</v>
      </c>
      <c r="I155" s="53">
        <f t="shared" si="16"/>
        <v>31</v>
      </c>
      <c r="J155" s="53">
        <f t="shared" si="10"/>
        <v>0</v>
      </c>
      <c r="K155" s="53">
        <f t="shared" si="11"/>
        <v>0</v>
      </c>
      <c r="L155" s="53">
        <f t="shared" si="12"/>
        <v>0</v>
      </c>
      <c r="M155" s="53">
        <f t="shared" si="13"/>
        <v>0</v>
      </c>
      <c r="N155" s="341">
        <v>121</v>
      </c>
      <c r="O155" s="389">
        <f t="shared" si="14"/>
        <v>80573662.350812867</v>
      </c>
      <c r="P155" s="389">
        <f t="shared" si="15"/>
        <v>677777.66246712208</v>
      </c>
      <c r="Q155" s="389"/>
    </row>
    <row r="156" spans="2:35" ht="14.4" x14ac:dyDescent="0.3">
      <c r="B156" s="353">
        <v>43862</v>
      </c>
      <c r="C156" s="322">
        <f t="shared" si="9"/>
        <v>2</v>
      </c>
      <c r="D156" s="322">
        <v>2020</v>
      </c>
      <c r="E156" s="343">
        <v>75883614.011019975</v>
      </c>
      <c r="F156" s="319">
        <v>611.79999999999995</v>
      </c>
      <c r="G156" s="319">
        <v>0</v>
      </c>
      <c r="H156" s="373">
        <f>'GDP A'!AF205</f>
        <v>159.52390828987527</v>
      </c>
      <c r="I156" s="53">
        <f t="shared" si="16"/>
        <v>29</v>
      </c>
      <c r="J156" s="53">
        <f t="shared" si="10"/>
        <v>0</v>
      </c>
      <c r="K156" s="53">
        <f t="shared" si="11"/>
        <v>0</v>
      </c>
      <c r="L156" s="53">
        <f t="shared" si="12"/>
        <v>0</v>
      </c>
      <c r="M156" s="53">
        <f t="shared" si="13"/>
        <v>0</v>
      </c>
      <c r="N156" s="341">
        <v>122</v>
      </c>
      <c r="O156" s="389">
        <f t="shared" si="14"/>
        <v>75872460.218413189</v>
      </c>
      <c r="P156" s="389">
        <f t="shared" si="15"/>
        <v>11153.792606785893</v>
      </c>
      <c r="Q156" s="389"/>
    </row>
    <row r="157" spans="2:35" ht="14.4" x14ac:dyDescent="0.3">
      <c r="B157" s="353">
        <v>43891</v>
      </c>
      <c r="C157" s="322">
        <f t="shared" si="9"/>
        <v>3</v>
      </c>
      <c r="D157" s="322">
        <v>2020</v>
      </c>
      <c r="E157" s="343">
        <v>75425735.247120008</v>
      </c>
      <c r="F157" s="319">
        <v>458.69999999999993</v>
      </c>
      <c r="G157" s="319">
        <v>0</v>
      </c>
      <c r="H157" s="373">
        <f>'GDP A'!AF206</f>
        <v>158.73158629333921</v>
      </c>
      <c r="I157" s="53">
        <f t="shared" si="16"/>
        <v>31</v>
      </c>
      <c r="J157" s="53">
        <f t="shared" si="10"/>
        <v>1</v>
      </c>
      <c r="K157" s="53">
        <f t="shared" si="11"/>
        <v>0</v>
      </c>
      <c r="L157" s="53">
        <f t="shared" si="12"/>
        <v>0</v>
      </c>
      <c r="M157" s="53">
        <f t="shared" si="13"/>
        <v>0</v>
      </c>
      <c r="N157" s="341">
        <v>123</v>
      </c>
      <c r="O157" s="389">
        <f t="shared" si="14"/>
        <v>75618945.797684744</v>
      </c>
      <c r="P157" s="389">
        <f t="shared" si="15"/>
        <v>-193210.55056473613</v>
      </c>
      <c r="Q157" s="389"/>
    </row>
    <row r="158" spans="2:35" ht="14.4" x14ac:dyDescent="0.3">
      <c r="B158" s="353">
        <v>43922</v>
      </c>
      <c r="C158" s="322">
        <f t="shared" si="9"/>
        <v>4</v>
      </c>
      <c r="D158" s="322">
        <v>2020</v>
      </c>
      <c r="E158" s="343">
        <v>68179453.099079981</v>
      </c>
      <c r="F158" s="319">
        <v>362.2999999999999</v>
      </c>
      <c r="G158" s="319">
        <v>0</v>
      </c>
      <c r="H158" s="373">
        <f>'GDP A'!AF207</f>
        <v>157.94319959498461</v>
      </c>
      <c r="I158" s="53">
        <f t="shared" si="16"/>
        <v>30</v>
      </c>
      <c r="J158" s="53">
        <f t="shared" si="10"/>
        <v>0</v>
      </c>
      <c r="K158" s="53">
        <f t="shared" si="11"/>
        <v>1</v>
      </c>
      <c r="L158" s="53">
        <f t="shared" si="12"/>
        <v>0</v>
      </c>
      <c r="M158" s="53">
        <f t="shared" si="13"/>
        <v>0</v>
      </c>
      <c r="N158" s="341">
        <v>124</v>
      </c>
      <c r="O158" s="389">
        <f t="shared" si="14"/>
        <v>69177936.913882926</v>
      </c>
      <c r="P158" s="389">
        <f t="shared" si="15"/>
        <v>-998483.81480294466</v>
      </c>
      <c r="Q158" s="389"/>
    </row>
    <row r="159" spans="2:35" ht="14.4" x14ac:dyDescent="0.3">
      <c r="B159" s="353">
        <v>43952</v>
      </c>
      <c r="C159" s="322">
        <f t="shared" si="9"/>
        <v>5</v>
      </c>
      <c r="D159" s="322">
        <v>2020</v>
      </c>
      <c r="E159" s="343">
        <v>72113730.421249986</v>
      </c>
      <c r="F159" s="319">
        <v>208.09999999999997</v>
      </c>
      <c r="G159" s="319">
        <v>24.2</v>
      </c>
      <c r="H159" s="373">
        <f>'GDP A'!AF208</f>
        <v>157.15872864900581</v>
      </c>
      <c r="I159" s="53">
        <f t="shared" si="16"/>
        <v>31</v>
      </c>
      <c r="J159" s="53">
        <f t="shared" si="10"/>
        <v>0</v>
      </c>
      <c r="K159" s="53">
        <f t="shared" si="11"/>
        <v>0</v>
      </c>
      <c r="L159" s="53">
        <f t="shared" si="12"/>
        <v>1</v>
      </c>
      <c r="M159" s="53">
        <f t="shared" si="13"/>
        <v>0</v>
      </c>
      <c r="N159" s="341">
        <v>125</v>
      </c>
      <c r="O159" s="389">
        <f t="shared" si="14"/>
        <v>72614402.522570923</v>
      </c>
      <c r="P159" s="389">
        <f t="shared" si="15"/>
        <v>-500672.10132093728</v>
      </c>
      <c r="Q159" s="389"/>
    </row>
    <row r="160" spans="2:35" ht="14.4" x14ac:dyDescent="0.3">
      <c r="B160" s="353">
        <v>43983</v>
      </c>
      <c r="C160" s="322">
        <f t="shared" si="9"/>
        <v>6</v>
      </c>
      <c r="D160" s="322">
        <v>2020</v>
      </c>
      <c r="E160" s="343">
        <v>86099647.89466998</v>
      </c>
      <c r="F160" s="319">
        <v>23.799999999999997</v>
      </c>
      <c r="G160" s="319">
        <v>97.700000000000017</v>
      </c>
      <c r="H160" s="373">
        <f>'GDP A'!AF209</f>
        <v>156.37815400667708</v>
      </c>
      <c r="I160" s="53">
        <f t="shared" si="16"/>
        <v>30</v>
      </c>
      <c r="J160" s="53">
        <f t="shared" si="10"/>
        <v>0</v>
      </c>
      <c r="K160" s="53">
        <f t="shared" si="11"/>
        <v>0</v>
      </c>
      <c r="L160" s="53">
        <f t="shared" si="12"/>
        <v>0</v>
      </c>
      <c r="M160" s="53">
        <f t="shared" si="13"/>
        <v>0</v>
      </c>
      <c r="N160" s="341">
        <v>126</v>
      </c>
      <c r="O160" s="389">
        <f t="shared" si="14"/>
        <v>79616270.054041252</v>
      </c>
      <c r="P160" s="389">
        <f t="shared" si="15"/>
        <v>6483377.8406287283</v>
      </c>
      <c r="Q160" s="389"/>
    </row>
    <row r="161" spans="2:17" ht="14.4" x14ac:dyDescent="0.3">
      <c r="B161" s="353">
        <v>44013</v>
      </c>
      <c r="C161" s="322">
        <f t="shared" si="9"/>
        <v>7</v>
      </c>
      <c r="D161" s="322">
        <v>2020</v>
      </c>
      <c r="E161" s="343">
        <v>103947133.04603</v>
      </c>
      <c r="F161" s="319">
        <v>0</v>
      </c>
      <c r="G161" s="319">
        <v>215.7</v>
      </c>
      <c r="H161" s="373">
        <f>'GDP A'!AF210</f>
        <v>155.60145631587045</v>
      </c>
      <c r="I161" s="53">
        <f t="shared" si="16"/>
        <v>31</v>
      </c>
      <c r="J161" s="53">
        <f t="shared" si="10"/>
        <v>0</v>
      </c>
      <c r="K161" s="53">
        <f t="shared" si="11"/>
        <v>0</v>
      </c>
      <c r="L161" s="53">
        <f t="shared" si="12"/>
        <v>0</v>
      </c>
      <c r="M161" s="53">
        <f t="shared" si="13"/>
        <v>0</v>
      </c>
      <c r="N161" s="341">
        <v>127</v>
      </c>
      <c r="O161" s="389">
        <f t="shared" si="14"/>
        <v>95479398.690720037</v>
      </c>
      <c r="P161" s="389">
        <f t="shared" si="15"/>
        <v>8467734.3553099632</v>
      </c>
      <c r="Q161" s="389"/>
    </row>
    <row r="162" spans="2:17" ht="14.4" x14ac:dyDescent="0.3">
      <c r="B162" s="353">
        <v>44044</v>
      </c>
      <c r="C162" s="322">
        <f t="shared" si="9"/>
        <v>8</v>
      </c>
      <c r="D162" s="322">
        <v>2020</v>
      </c>
      <c r="E162" s="343">
        <v>92534942.41407001</v>
      </c>
      <c r="F162" s="319">
        <v>0.8</v>
      </c>
      <c r="G162" s="319">
        <v>126.69999999999999</v>
      </c>
      <c r="H162" s="373">
        <f>'GDP A'!AF211</f>
        <v>154.82861632057592</v>
      </c>
      <c r="I162" s="53">
        <f t="shared" si="16"/>
        <v>31</v>
      </c>
      <c r="J162" s="53">
        <f t="shared" si="10"/>
        <v>0</v>
      </c>
      <c r="K162" s="53">
        <f t="shared" si="11"/>
        <v>0</v>
      </c>
      <c r="L162" s="53">
        <f t="shared" si="12"/>
        <v>0</v>
      </c>
      <c r="M162" s="53">
        <f t="shared" si="13"/>
        <v>0</v>
      </c>
      <c r="N162" s="341">
        <v>128</v>
      </c>
      <c r="O162" s="389">
        <f t="shared" si="14"/>
        <v>83907548.213460311</v>
      </c>
      <c r="P162" s="389">
        <f t="shared" si="15"/>
        <v>8627394.2006096989</v>
      </c>
      <c r="Q162" s="389"/>
    </row>
    <row r="163" spans="2:17" ht="14.4" x14ac:dyDescent="0.3">
      <c r="B163" s="353">
        <v>44075</v>
      </c>
      <c r="C163" s="322">
        <f t="shared" si="9"/>
        <v>9</v>
      </c>
      <c r="D163" s="322">
        <v>2020</v>
      </c>
      <c r="E163" s="343">
        <v>76554649.522059992</v>
      </c>
      <c r="F163" s="319">
        <v>69.100000000000009</v>
      </c>
      <c r="G163" s="319">
        <v>33.300000000000004</v>
      </c>
      <c r="H163" s="373">
        <f>'GDP A'!AF212</f>
        <v>154.05961486042412</v>
      </c>
      <c r="I163" s="53">
        <f t="shared" si="16"/>
        <v>30</v>
      </c>
      <c r="J163" s="53">
        <f t="shared" si="10"/>
        <v>0</v>
      </c>
      <c r="K163" s="53">
        <f t="shared" si="11"/>
        <v>0</v>
      </c>
      <c r="L163" s="53">
        <f t="shared" si="12"/>
        <v>0</v>
      </c>
      <c r="M163" s="53">
        <f t="shared" si="13"/>
        <v>0</v>
      </c>
      <c r="N163" s="341">
        <v>129</v>
      </c>
      <c r="O163" s="389">
        <f t="shared" si="14"/>
        <v>70622919.292587698</v>
      </c>
      <c r="P163" s="389">
        <f t="shared" si="15"/>
        <v>5931730.2294722944</v>
      </c>
      <c r="Q163" s="389"/>
    </row>
    <row r="164" spans="2:17" ht="14.4" x14ac:dyDescent="0.3">
      <c r="B164" s="353">
        <v>44105</v>
      </c>
      <c r="C164" s="322">
        <f t="shared" ref="C164:C190" si="17">MONTH(B164)</f>
        <v>10</v>
      </c>
      <c r="D164" s="322">
        <v>2020</v>
      </c>
      <c r="E164" s="343">
        <v>74574750.82904999</v>
      </c>
      <c r="F164" s="319">
        <v>270.3</v>
      </c>
      <c r="G164" s="319">
        <v>0</v>
      </c>
      <c r="H164" s="373">
        <f>'GDP A'!AF213</f>
        <v>153.29443287021121</v>
      </c>
      <c r="I164" s="53">
        <f t="shared" si="16"/>
        <v>31</v>
      </c>
      <c r="J164" s="53">
        <f t="shared" ref="J164:J190" si="18">IF(MONTH($B164)=3,1,0)</f>
        <v>0</v>
      </c>
      <c r="K164" s="53">
        <f t="shared" ref="K164:K190" si="19">IF(MONTH($B164)=4,1,0)</f>
        <v>0</v>
      </c>
      <c r="L164" s="53">
        <f t="shared" ref="L164:L190" si="20">IF(MONTH($B164)=5,1,0)</f>
        <v>0</v>
      </c>
      <c r="M164" s="53">
        <f t="shared" ref="M164:M190" si="21">IF(MONTH($B164)=10,1,0)</f>
        <v>1</v>
      </c>
      <c r="N164" s="341">
        <v>130</v>
      </c>
      <c r="O164" s="389">
        <f t="shared" ref="O164:O190" si="22">$AB$17+MMULT(F164:N164,$AB$18:$AB$26)</f>
        <v>68965537.114997134</v>
      </c>
      <c r="P164" s="389">
        <f t="shared" ref="P164:P190" si="23">E164-O164</f>
        <v>5609213.714052856</v>
      </c>
      <c r="Q164" s="389"/>
    </row>
    <row r="165" spans="2:17" ht="14.4" x14ac:dyDescent="0.3">
      <c r="B165" s="353">
        <v>44136</v>
      </c>
      <c r="C165" s="322">
        <f t="shared" si="17"/>
        <v>11</v>
      </c>
      <c r="D165" s="322">
        <v>2020</v>
      </c>
      <c r="E165" s="343">
        <v>75524140.206439972</v>
      </c>
      <c r="F165" s="319">
        <v>334.79999999999995</v>
      </c>
      <c r="G165" s="319">
        <v>0</v>
      </c>
      <c r="H165" s="373">
        <f>'GDP A'!AF214</f>
        <v>152.53305137942624</v>
      </c>
      <c r="I165" s="53">
        <f t="shared" si="16"/>
        <v>30</v>
      </c>
      <c r="J165" s="53">
        <f t="shared" si="18"/>
        <v>0</v>
      </c>
      <c r="K165" s="53">
        <f t="shared" si="19"/>
        <v>0</v>
      </c>
      <c r="L165" s="53">
        <f t="shared" si="20"/>
        <v>0</v>
      </c>
      <c r="M165" s="53">
        <f t="shared" si="21"/>
        <v>0</v>
      </c>
      <c r="N165" s="341">
        <v>131</v>
      </c>
      <c r="O165" s="389">
        <f t="shared" si="22"/>
        <v>69141971.550623626</v>
      </c>
      <c r="P165" s="389">
        <f t="shared" si="23"/>
        <v>6382168.6558163464</v>
      </c>
      <c r="Q165" s="389"/>
    </row>
    <row r="166" spans="2:17" ht="14.4" x14ac:dyDescent="0.3">
      <c r="B166" s="353">
        <v>44166</v>
      </c>
      <c r="C166" s="322">
        <f t="shared" si="17"/>
        <v>12</v>
      </c>
      <c r="D166" s="322">
        <v>2020</v>
      </c>
      <c r="E166" s="343">
        <v>78942466.150570005</v>
      </c>
      <c r="F166" s="319">
        <v>567.29999999999995</v>
      </c>
      <c r="G166" s="319">
        <v>0</v>
      </c>
      <c r="H166" s="373">
        <f>'GDP A'!AF215</f>
        <v>151.77545151178077</v>
      </c>
      <c r="I166" s="53">
        <f t="shared" si="16"/>
        <v>31</v>
      </c>
      <c r="J166" s="53">
        <f t="shared" si="18"/>
        <v>0</v>
      </c>
      <c r="K166" s="53">
        <f t="shared" si="19"/>
        <v>0</v>
      </c>
      <c r="L166" s="53">
        <f t="shared" si="20"/>
        <v>0</v>
      </c>
      <c r="M166" s="53">
        <f t="shared" si="21"/>
        <v>0</v>
      </c>
      <c r="N166" s="341">
        <v>132</v>
      </c>
      <c r="O166" s="389">
        <f t="shared" si="22"/>
        <v>73987569.663921848</v>
      </c>
      <c r="P166" s="389">
        <f t="shared" si="23"/>
        <v>4954896.4866481572</v>
      </c>
      <c r="Q166" s="389"/>
    </row>
    <row r="167" spans="2:17" ht="14.4" x14ac:dyDescent="0.3">
      <c r="B167" s="353">
        <v>44197</v>
      </c>
      <c r="C167" s="322">
        <f t="shared" si="17"/>
        <v>1</v>
      </c>
      <c r="D167" s="322">
        <v>2021</v>
      </c>
      <c r="E167" s="343"/>
      <c r="F167" s="325">
        <f>'HDD&amp;CDD'!AF8</f>
        <v>700.99</v>
      </c>
      <c r="G167" s="325">
        <f>'HDD&amp;CDD'!AF28</f>
        <v>0</v>
      </c>
      <c r="H167" s="373">
        <f>'GDP A'!AF216</f>
        <v>152.5262111274333</v>
      </c>
      <c r="I167" s="53">
        <f t="shared" si="16"/>
        <v>31</v>
      </c>
      <c r="J167" s="53">
        <f t="shared" si="18"/>
        <v>0</v>
      </c>
      <c r="K167" s="53">
        <f t="shared" si="19"/>
        <v>0</v>
      </c>
      <c r="L167" s="53">
        <f t="shared" si="20"/>
        <v>0</v>
      </c>
      <c r="M167" s="53">
        <f t="shared" si="21"/>
        <v>0</v>
      </c>
      <c r="N167" s="341">
        <v>133</v>
      </c>
      <c r="O167" s="389">
        <f t="shared" si="22"/>
        <v>76109328.698703036</v>
      </c>
      <c r="P167" s="389">
        <f t="shared" si="23"/>
        <v>-76109328.698703036</v>
      </c>
      <c r="Q167" s="389"/>
    </row>
    <row r="168" spans="2:17" ht="14.4" x14ac:dyDescent="0.3">
      <c r="B168" s="353">
        <v>44228</v>
      </c>
      <c r="C168" s="322">
        <f t="shared" si="17"/>
        <v>2</v>
      </c>
      <c r="D168" s="322">
        <v>2021</v>
      </c>
      <c r="E168" s="343"/>
      <c r="F168" s="325">
        <f>'HDD&amp;CDD'!AF9</f>
        <v>629.89</v>
      </c>
      <c r="G168" s="325">
        <f>'HDD&amp;CDD'!AF29</f>
        <v>0</v>
      </c>
      <c r="H168" s="373">
        <f>'GDP A'!AF217</f>
        <v>153.28068438712299</v>
      </c>
      <c r="I168" s="53">
        <f t="shared" si="16"/>
        <v>28</v>
      </c>
      <c r="J168" s="53">
        <f t="shared" si="18"/>
        <v>0</v>
      </c>
      <c r="K168" s="53">
        <f t="shared" si="19"/>
        <v>0</v>
      </c>
      <c r="L168" s="53">
        <f t="shared" si="20"/>
        <v>0</v>
      </c>
      <c r="M168" s="53">
        <f t="shared" si="21"/>
        <v>0</v>
      </c>
      <c r="N168" s="341">
        <v>134</v>
      </c>
      <c r="O168" s="389">
        <f t="shared" si="22"/>
        <v>69000218.250105843</v>
      </c>
      <c r="P168" s="389">
        <f t="shared" si="23"/>
        <v>-69000218.250105843</v>
      </c>
      <c r="Q168" s="389"/>
    </row>
    <row r="169" spans="2:17" ht="14.4" x14ac:dyDescent="0.3">
      <c r="B169" s="353">
        <v>44256</v>
      </c>
      <c r="C169" s="322">
        <f t="shared" si="17"/>
        <v>3</v>
      </c>
      <c r="D169" s="322">
        <v>2021</v>
      </c>
      <c r="E169" s="343"/>
      <c r="F169" s="325">
        <f>'HDD&amp;CDD'!AF10</f>
        <v>543.98</v>
      </c>
      <c r="G169" s="325">
        <f>'HDD&amp;CDD'!AF30</f>
        <v>0.02</v>
      </c>
      <c r="H169" s="373">
        <f>'GDP A'!AF218</f>
        <v>154.03888966044744</v>
      </c>
      <c r="I169" s="53">
        <f t="shared" si="16"/>
        <v>31</v>
      </c>
      <c r="J169" s="53">
        <f t="shared" si="18"/>
        <v>1</v>
      </c>
      <c r="K169" s="53">
        <f t="shared" si="19"/>
        <v>0</v>
      </c>
      <c r="L169" s="53">
        <f t="shared" si="20"/>
        <v>0</v>
      </c>
      <c r="M169" s="53">
        <f t="shared" si="21"/>
        <v>0</v>
      </c>
      <c r="N169" s="341">
        <v>135</v>
      </c>
      <c r="O169" s="389">
        <f t="shared" si="22"/>
        <v>72616728.395299777</v>
      </c>
      <c r="P169" s="389">
        <f t="shared" si="23"/>
        <v>-72616728.395299777</v>
      </c>
      <c r="Q169" s="389"/>
    </row>
    <row r="170" spans="2:17" ht="14.4" x14ac:dyDescent="0.3">
      <c r="B170" s="353">
        <v>44287</v>
      </c>
      <c r="C170" s="322">
        <f t="shared" si="17"/>
        <v>4</v>
      </c>
      <c r="D170" s="322">
        <v>2021</v>
      </c>
      <c r="E170" s="343"/>
      <c r="F170" s="325">
        <f>'HDD&amp;CDD'!AF11</f>
        <v>348.17999999999995</v>
      </c>
      <c r="G170" s="325">
        <f>'HDD&amp;CDD'!AF31</f>
        <v>0</v>
      </c>
      <c r="H170" s="373">
        <f>'GDP A'!AF219</f>
        <v>154.80084540786976</v>
      </c>
      <c r="I170" s="53">
        <f t="shared" ref="I170:I190" si="24">DAY(EOMONTH(B170,0))</f>
        <v>30</v>
      </c>
      <c r="J170" s="53">
        <f t="shared" si="18"/>
        <v>0</v>
      </c>
      <c r="K170" s="53">
        <f t="shared" si="19"/>
        <v>1</v>
      </c>
      <c r="L170" s="53">
        <f t="shared" si="20"/>
        <v>0</v>
      </c>
      <c r="M170" s="53">
        <f t="shared" si="21"/>
        <v>0</v>
      </c>
      <c r="N170" s="341">
        <v>136</v>
      </c>
      <c r="O170" s="389">
        <f t="shared" si="22"/>
        <v>65580960.246020958</v>
      </c>
      <c r="P170" s="389">
        <f t="shared" si="23"/>
        <v>-65580960.246020958</v>
      </c>
      <c r="Q170" s="389"/>
    </row>
    <row r="171" spans="2:17" ht="14.4" x14ac:dyDescent="0.3">
      <c r="B171" s="353">
        <v>44317</v>
      </c>
      <c r="C171" s="322">
        <f t="shared" si="17"/>
        <v>5</v>
      </c>
      <c r="D171" s="322">
        <v>2021</v>
      </c>
      <c r="E171" s="343"/>
      <c r="F171" s="325">
        <f>'HDD&amp;CDD'!AF12</f>
        <v>132.97999999999996</v>
      </c>
      <c r="G171" s="325">
        <f>'HDD&amp;CDD'!AF32</f>
        <v>23.23</v>
      </c>
      <c r="H171" s="373">
        <f>'GDP A'!AF220</f>
        <v>155.566570181168</v>
      </c>
      <c r="I171" s="53">
        <f t="shared" si="24"/>
        <v>31</v>
      </c>
      <c r="J171" s="53">
        <f t="shared" si="18"/>
        <v>0</v>
      </c>
      <c r="K171" s="53">
        <f t="shared" si="19"/>
        <v>0</v>
      </c>
      <c r="L171" s="53">
        <f t="shared" si="20"/>
        <v>1</v>
      </c>
      <c r="M171" s="53">
        <f t="shared" si="21"/>
        <v>0</v>
      </c>
      <c r="N171" s="341">
        <v>137</v>
      </c>
      <c r="O171" s="389">
        <f t="shared" si="22"/>
        <v>68844575.277444825</v>
      </c>
      <c r="P171" s="389">
        <f t="shared" si="23"/>
        <v>-68844575.277444825</v>
      </c>
      <c r="Q171" s="389"/>
    </row>
    <row r="172" spans="2:17" ht="14.4" x14ac:dyDescent="0.3">
      <c r="B172" s="353">
        <v>44348</v>
      </c>
      <c r="C172" s="322">
        <f t="shared" si="17"/>
        <v>6</v>
      </c>
      <c r="D172" s="322">
        <v>2021</v>
      </c>
      <c r="E172" s="343"/>
      <c r="F172" s="325">
        <f>'HDD&amp;CDD'!AF13</f>
        <v>24.6</v>
      </c>
      <c r="G172" s="325">
        <f>'HDD&amp;CDD'!AF33</f>
        <v>66.52000000000001</v>
      </c>
      <c r="H172" s="373">
        <f>'GDP A'!AF221</f>
        <v>156.33608262388691</v>
      </c>
      <c r="I172" s="53">
        <f t="shared" si="24"/>
        <v>30</v>
      </c>
      <c r="J172" s="53">
        <f t="shared" si="18"/>
        <v>0</v>
      </c>
      <c r="K172" s="53">
        <f t="shared" si="19"/>
        <v>0</v>
      </c>
      <c r="L172" s="53">
        <f t="shared" si="20"/>
        <v>0</v>
      </c>
      <c r="M172" s="53">
        <f t="shared" si="21"/>
        <v>0</v>
      </c>
      <c r="N172" s="341">
        <v>138</v>
      </c>
      <c r="O172" s="389">
        <f t="shared" si="22"/>
        <v>73972856.301852375</v>
      </c>
      <c r="P172" s="389">
        <f t="shared" si="23"/>
        <v>-73972856.301852375</v>
      </c>
      <c r="Q172" s="389"/>
    </row>
    <row r="173" spans="2:17" ht="14.4" x14ac:dyDescent="0.3">
      <c r="B173" s="353">
        <v>44378</v>
      </c>
      <c r="C173" s="322">
        <f t="shared" si="17"/>
        <v>7</v>
      </c>
      <c r="D173" s="322">
        <v>2021</v>
      </c>
      <c r="E173" s="343"/>
      <c r="F173" s="325">
        <f>'HDD&amp;CDD'!AF14</f>
        <v>1.1099999999999999</v>
      </c>
      <c r="G173" s="325">
        <f>'HDD&amp;CDD'!AF34</f>
        <v>153.85</v>
      </c>
      <c r="H173" s="373">
        <f>'GDP A'!AF222</f>
        <v>157.10940147179178</v>
      </c>
      <c r="I173" s="53">
        <f t="shared" si="24"/>
        <v>31</v>
      </c>
      <c r="J173" s="53">
        <f t="shared" si="18"/>
        <v>0</v>
      </c>
      <c r="K173" s="53">
        <f t="shared" si="19"/>
        <v>0</v>
      </c>
      <c r="L173" s="53">
        <f t="shared" si="20"/>
        <v>0</v>
      </c>
      <c r="M173" s="53">
        <f t="shared" si="21"/>
        <v>0</v>
      </c>
      <c r="N173" s="341">
        <v>139</v>
      </c>
      <c r="O173" s="389">
        <f t="shared" si="22"/>
        <v>86842516.740138218</v>
      </c>
      <c r="P173" s="389">
        <f t="shared" si="23"/>
        <v>-86842516.740138218</v>
      </c>
      <c r="Q173" s="389"/>
    </row>
    <row r="174" spans="2:17" ht="14.4" x14ac:dyDescent="0.3">
      <c r="B174" s="353">
        <v>44409</v>
      </c>
      <c r="C174" s="322">
        <f t="shared" si="17"/>
        <v>8</v>
      </c>
      <c r="D174" s="322">
        <v>2021</v>
      </c>
      <c r="E174" s="343"/>
      <c r="F174" s="325">
        <f>'HDD&amp;CDD'!AF15</f>
        <v>3.54</v>
      </c>
      <c r="G174" s="325">
        <f>'HDD&amp;CDD'!AF35</f>
        <v>116.15</v>
      </c>
      <c r="H174" s="373">
        <f>'GDP A'!AF223</f>
        <v>157.88654555332465</v>
      </c>
      <c r="I174" s="53">
        <f t="shared" si="24"/>
        <v>31</v>
      </c>
      <c r="J174" s="53">
        <f t="shared" si="18"/>
        <v>0</v>
      </c>
      <c r="K174" s="53">
        <f t="shared" si="19"/>
        <v>0</v>
      </c>
      <c r="L174" s="53">
        <f t="shared" si="20"/>
        <v>0</v>
      </c>
      <c r="M174" s="53">
        <f t="shared" si="21"/>
        <v>0</v>
      </c>
      <c r="N174" s="341">
        <v>140</v>
      </c>
      <c r="O174" s="389">
        <f t="shared" si="22"/>
        <v>82458715.664124861</v>
      </c>
      <c r="P174" s="389">
        <f t="shared" si="23"/>
        <v>-82458715.664124861</v>
      </c>
      <c r="Q174" s="389"/>
    </row>
    <row r="175" spans="2:17" ht="14.4" x14ac:dyDescent="0.3">
      <c r="B175" s="353">
        <v>44440</v>
      </c>
      <c r="C175" s="322">
        <f t="shared" si="17"/>
        <v>9</v>
      </c>
      <c r="D175" s="322">
        <v>2021</v>
      </c>
      <c r="E175" s="343"/>
      <c r="F175" s="325">
        <f>'HDD&amp;CDD'!AF16</f>
        <v>54.989999999999995</v>
      </c>
      <c r="G175" s="325">
        <f>'HDD&amp;CDD'!AF36</f>
        <v>49.14</v>
      </c>
      <c r="H175" s="373">
        <f>'GDP A'!AF224</f>
        <v>158.66753379006278</v>
      </c>
      <c r="I175" s="53">
        <f t="shared" si="24"/>
        <v>30</v>
      </c>
      <c r="J175" s="53">
        <f t="shared" si="18"/>
        <v>0</v>
      </c>
      <c r="K175" s="53">
        <f t="shared" si="19"/>
        <v>0</v>
      </c>
      <c r="L175" s="53">
        <f t="shared" si="20"/>
        <v>0</v>
      </c>
      <c r="M175" s="53">
        <f t="shared" si="21"/>
        <v>0</v>
      </c>
      <c r="N175" s="341">
        <v>141</v>
      </c>
      <c r="O175" s="389">
        <f t="shared" si="22"/>
        <v>73013929.945540473</v>
      </c>
      <c r="P175" s="389">
        <f t="shared" si="23"/>
        <v>-73013929.945540473</v>
      </c>
      <c r="Q175" s="389"/>
    </row>
    <row r="176" spans="2:17" ht="14.4" x14ac:dyDescent="0.3">
      <c r="B176" s="353">
        <v>44470</v>
      </c>
      <c r="C176" s="322">
        <f t="shared" si="17"/>
        <v>10</v>
      </c>
      <c r="D176" s="322">
        <v>2021</v>
      </c>
      <c r="E176" s="343"/>
      <c r="F176" s="325">
        <f>'HDD&amp;CDD'!AF17</f>
        <v>227.63000000000002</v>
      </c>
      <c r="G176" s="325">
        <f>'HDD&amp;CDD'!AF37</f>
        <v>3.0699999999999994</v>
      </c>
      <c r="H176" s="373">
        <f>'GDP A'!AF225</f>
        <v>159.45238519717927</v>
      </c>
      <c r="I176" s="53">
        <f t="shared" si="24"/>
        <v>31</v>
      </c>
      <c r="J176" s="53">
        <f t="shared" si="18"/>
        <v>0</v>
      </c>
      <c r="K176" s="53">
        <f t="shared" si="19"/>
        <v>0</v>
      </c>
      <c r="L176" s="53">
        <f t="shared" si="20"/>
        <v>0</v>
      </c>
      <c r="M176" s="53">
        <f t="shared" si="21"/>
        <v>1</v>
      </c>
      <c r="N176" s="341">
        <v>142</v>
      </c>
      <c r="O176" s="389">
        <f t="shared" si="22"/>
        <v>70176593.103390962</v>
      </c>
      <c r="P176" s="389">
        <f t="shared" si="23"/>
        <v>-70176593.103390962</v>
      </c>
      <c r="Q176" s="389"/>
    </row>
    <row r="177" spans="2:17" ht="14.4" x14ac:dyDescent="0.3">
      <c r="B177" s="353">
        <v>44501</v>
      </c>
      <c r="C177" s="322">
        <f t="shared" si="17"/>
        <v>11</v>
      </c>
      <c r="D177" s="322">
        <v>2021</v>
      </c>
      <c r="E177" s="343"/>
      <c r="F177" s="325">
        <f>'HDD&amp;CDD'!AF18</f>
        <v>424.61</v>
      </c>
      <c r="G177" s="325">
        <f>'HDD&amp;CDD'!AF38</f>
        <v>0</v>
      </c>
      <c r="H177" s="373">
        <f>'GDP A'!AF226</f>
        <v>160.24111888390607</v>
      </c>
      <c r="I177" s="53">
        <f t="shared" si="24"/>
        <v>30</v>
      </c>
      <c r="J177" s="53">
        <f t="shared" si="18"/>
        <v>0</v>
      </c>
      <c r="K177" s="53">
        <f t="shared" si="19"/>
        <v>0</v>
      </c>
      <c r="L177" s="53">
        <f t="shared" si="20"/>
        <v>0</v>
      </c>
      <c r="M177" s="53">
        <f t="shared" si="21"/>
        <v>0</v>
      </c>
      <c r="N177" s="341">
        <v>143</v>
      </c>
      <c r="O177" s="389">
        <f t="shared" si="22"/>
        <v>72639421.083061382</v>
      </c>
      <c r="P177" s="389">
        <f t="shared" si="23"/>
        <v>-72639421.083061382</v>
      </c>
      <c r="Q177" s="389"/>
    </row>
    <row r="178" spans="2:17" ht="14.4" x14ac:dyDescent="0.3">
      <c r="B178" s="353">
        <v>44531</v>
      </c>
      <c r="C178" s="322">
        <f t="shared" si="17"/>
        <v>12</v>
      </c>
      <c r="D178" s="322">
        <v>2021</v>
      </c>
      <c r="E178" s="343"/>
      <c r="F178" s="325">
        <f>'HDD&amp;CDD'!AF19</f>
        <v>589.11</v>
      </c>
      <c r="G178" s="325">
        <f>'HDD&amp;CDD'!AF39</f>
        <v>0</v>
      </c>
      <c r="H178" s="373">
        <f>'GDP A'!AF227</f>
        <v>161.03375405399939</v>
      </c>
      <c r="I178" s="53">
        <f t="shared" si="24"/>
        <v>31</v>
      </c>
      <c r="J178" s="53">
        <f t="shared" si="18"/>
        <v>0</v>
      </c>
      <c r="K178" s="53">
        <f t="shared" si="19"/>
        <v>0</v>
      </c>
      <c r="L178" s="53">
        <f t="shared" si="20"/>
        <v>0</v>
      </c>
      <c r="M178" s="53">
        <f t="shared" si="21"/>
        <v>0</v>
      </c>
      <c r="N178" s="341">
        <v>144</v>
      </c>
      <c r="O178" s="389">
        <f t="shared" si="22"/>
        <v>77334058.111418769</v>
      </c>
      <c r="P178" s="389">
        <f t="shared" si="23"/>
        <v>-77334058.111418769</v>
      </c>
      <c r="Q178" s="389"/>
    </row>
    <row r="179" spans="2:17" ht="14.4" x14ac:dyDescent="0.3">
      <c r="B179" s="353">
        <v>44562</v>
      </c>
      <c r="C179" s="322">
        <f t="shared" si="17"/>
        <v>1</v>
      </c>
      <c r="D179" s="322">
        <v>2022</v>
      </c>
      <c r="E179" s="343"/>
      <c r="F179" s="325">
        <f>'HDD&amp;CDD'!AF8</f>
        <v>700.99</v>
      </c>
      <c r="G179" s="325">
        <f>'HDD&amp;CDD'!AF28</f>
        <v>0</v>
      </c>
      <c r="H179" s="373">
        <f>'GDP A'!AF228</f>
        <v>161.58680504392095</v>
      </c>
      <c r="I179" s="53">
        <f t="shared" si="24"/>
        <v>31</v>
      </c>
      <c r="J179" s="53">
        <f t="shared" si="18"/>
        <v>0</v>
      </c>
      <c r="K179" s="53">
        <f t="shared" si="19"/>
        <v>0</v>
      </c>
      <c r="L179" s="53">
        <f t="shared" si="20"/>
        <v>0</v>
      </c>
      <c r="M179" s="53">
        <f t="shared" si="21"/>
        <v>0</v>
      </c>
      <c r="N179" s="341">
        <v>145</v>
      </c>
      <c r="O179" s="389">
        <f t="shared" si="22"/>
        <v>79046594.545950398</v>
      </c>
      <c r="P179" s="389">
        <f t="shared" si="23"/>
        <v>-79046594.545950398</v>
      </c>
      <c r="Q179" s="389"/>
    </row>
    <row r="180" spans="2:17" ht="14.4" x14ac:dyDescent="0.3">
      <c r="B180" s="353">
        <v>44593</v>
      </c>
      <c r="C180" s="322">
        <f t="shared" si="17"/>
        <v>2</v>
      </c>
      <c r="D180" s="322">
        <v>2022</v>
      </c>
      <c r="E180" s="343"/>
      <c r="F180" s="325">
        <f>'HDD&amp;CDD'!AF9</f>
        <v>629.89</v>
      </c>
      <c r="G180" s="325">
        <f>'HDD&amp;CDD'!AF29</f>
        <v>0</v>
      </c>
      <c r="H180" s="373">
        <f>'GDP A'!AF229</f>
        <v>162.14175542070862</v>
      </c>
      <c r="I180" s="53">
        <f t="shared" si="24"/>
        <v>28</v>
      </c>
      <c r="J180" s="53">
        <f t="shared" si="18"/>
        <v>0</v>
      </c>
      <c r="K180" s="53">
        <f t="shared" si="19"/>
        <v>0</v>
      </c>
      <c r="L180" s="53">
        <f t="shared" si="20"/>
        <v>0</v>
      </c>
      <c r="M180" s="53">
        <f t="shared" si="21"/>
        <v>0</v>
      </c>
      <c r="N180" s="341">
        <v>146</v>
      </c>
      <c r="O180" s="389">
        <f t="shared" si="22"/>
        <v>71833891.914554819</v>
      </c>
      <c r="P180" s="389">
        <f t="shared" si="23"/>
        <v>-71833891.914554819</v>
      </c>
      <c r="Q180" s="389"/>
    </row>
    <row r="181" spans="2:17" ht="14.4" x14ac:dyDescent="0.3">
      <c r="B181" s="353">
        <v>44621</v>
      </c>
      <c r="C181" s="322">
        <f t="shared" si="17"/>
        <v>3</v>
      </c>
      <c r="D181" s="322">
        <v>2022</v>
      </c>
      <c r="E181" s="343"/>
      <c r="F181" s="325">
        <f>'HDD&amp;CDD'!AF10</f>
        <v>543.98</v>
      </c>
      <c r="G181" s="325">
        <f>'HDD&amp;CDD'!AF30</f>
        <v>0.02</v>
      </c>
      <c r="H181" s="373">
        <f>'GDP A'!AF230</f>
        <v>162.69861170757736</v>
      </c>
      <c r="I181" s="53">
        <f t="shared" si="24"/>
        <v>31</v>
      </c>
      <c r="J181" s="53">
        <f t="shared" si="18"/>
        <v>1</v>
      </c>
      <c r="K181" s="53">
        <f t="shared" si="19"/>
        <v>0</v>
      </c>
      <c r="L181" s="53">
        <f t="shared" si="20"/>
        <v>0</v>
      </c>
      <c r="M181" s="53">
        <f t="shared" si="21"/>
        <v>0</v>
      </c>
      <c r="N181" s="341">
        <v>147</v>
      </c>
      <c r="O181" s="389">
        <f t="shared" si="22"/>
        <v>75345861.764882311</v>
      </c>
      <c r="P181" s="389">
        <f t="shared" si="23"/>
        <v>-75345861.764882311</v>
      </c>
      <c r="Q181" s="389"/>
    </row>
    <row r="182" spans="2:17" ht="14.4" x14ac:dyDescent="0.3">
      <c r="B182" s="353">
        <v>44652</v>
      </c>
      <c r="C182" s="322">
        <f t="shared" si="17"/>
        <v>4</v>
      </c>
      <c r="D182" s="322">
        <v>2022</v>
      </c>
      <c r="E182" s="343"/>
      <c r="F182" s="325">
        <f>'HDD&amp;CDD'!AF11</f>
        <v>348.17999999999995</v>
      </c>
      <c r="G182" s="325">
        <f>'HDD&amp;CDD'!AF31</f>
        <v>0</v>
      </c>
      <c r="H182" s="373">
        <f>'GDP A'!AF231</f>
        <v>163.25738045014523</v>
      </c>
      <c r="I182" s="53">
        <f t="shared" si="24"/>
        <v>30</v>
      </c>
      <c r="J182" s="53">
        <f t="shared" si="18"/>
        <v>0</v>
      </c>
      <c r="K182" s="53">
        <f t="shared" si="19"/>
        <v>1</v>
      </c>
      <c r="L182" s="53">
        <f t="shared" si="20"/>
        <v>0</v>
      </c>
      <c r="M182" s="53">
        <f t="shared" si="21"/>
        <v>0</v>
      </c>
      <c r="N182" s="341">
        <v>148</v>
      </c>
      <c r="O182" s="389">
        <f t="shared" si="22"/>
        <v>68204599.022487208</v>
      </c>
      <c r="P182" s="389">
        <f t="shared" si="23"/>
        <v>-68204599.022487208</v>
      </c>
      <c r="Q182" s="389"/>
    </row>
    <row r="183" spans="2:17" ht="14.4" x14ac:dyDescent="0.3">
      <c r="B183" s="353">
        <v>44682</v>
      </c>
      <c r="C183" s="322">
        <f t="shared" si="17"/>
        <v>5</v>
      </c>
      <c r="D183" s="322">
        <v>2022</v>
      </c>
      <c r="E183" s="343"/>
      <c r="F183" s="325">
        <f>'HDD&amp;CDD'!AF12</f>
        <v>132.97999999999996</v>
      </c>
      <c r="G183" s="325">
        <f>'HDD&amp;CDD'!AF32</f>
        <v>23.23</v>
      </c>
      <c r="H183" s="373">
        <f>'GDP A'!AF232</f>
        <v>163.81806821651051</v>
      </c>
      <c r="I183" s="53">
        <f t="shared" si="24"/>
        <v>31</v>
      </c>
      <c r="J183" s="53">
        <f t="shared" si="18"/>
        <v>0</v>
      </c>
      <c r="K183" s="53">
        <f t="shared" si="19"/>
        <v>0</v>
      </c>
      <c r="L183" s="53">
        <f t="shared" si="20"/>
        <v>1</v>
      </c>
      <c r="M183" s="53">
        <f t="shared" si="21"/>
        <v>0</v>
      </c>
      <c r="N183" s="341">
        <v>149</v>
      </c>
      <c r="O183" s="389">
        <f t="shared" si="22"/>
        <v>71361758.940624386</v>
      </c>
      <c r="P183" s="389">
        <f t="shared" si="23"/>
        <v>-71361758.940624386</v>
      </c>
      <c r="Q183" s="389"/>
    </row>
    <row r="184" spans="2:17" ht="14.4" x14ac:dyDescent="0.3">
      <c r="B184" s="353">
        <v>44713</v>
      </c>
      <c r="C184" s="322">
        <f t="shared" si="17"/>
        <v>6</v>
      </c>
      <c r="D184" s="322">
        <v>2022</v>
      </c>
      <c r="E184" s="343"/>
      <c r="F184" s="325">
        <f>'HDD&amp;CDD'!AF13</f>
        <v>24.6</v>
      </c>
      <c r="G184" s="325">
        <f>'HDD&amp;CDD'!AF33</f>
        <v>66.52000000000001</v>
      </c>
      <c r="H184" s="373">
        <f>'GDP A'!AF233</f>
        <v>164.38068159732879</v>
      </c>
      <c r="I184" s="53">
        <f t="shared" si="24"/>
        <v>30</v>
      </c>
      <c r="J184" s="53">
        <f t="shared" si="18"/>
        <v>0</v>
      </c>
      <c r="K184" s="53">
        <f t="shared" si="19"/>
        <v>0</v>
      </c>
      <c r="L184" s="53">
        <f t="shared" si="20"/>
        <v>0</v>
      </c>
      <c r="M184" s="53">
        <f t="shared" si="21"/>
        <v>0</v>
      </c>
      <c r="N184" s="341">
        <v>150</v>
      </c>
      <c r="O184" s="389">
        <f t="shared" si="22"/>
        <v>76382618.073720589</v>
      </c>
      <c r="P184" s="389">
        <f t="shared" si="23"/>
        <v>-76382618.073720589</v>
      </c>
      <c r="Q184" s="389"/>
    </row>
    <row r="185" spans="2:17" ht="14.4" x14ac:dyDescent="0.3">
      <c r="B185" s="353">
        <v>44743</v>
      </c>
      <c r="C185" s="322">
        <f t="shared" si="17"/>
        <v>7</v>
      </c>
      <c r="D185" s="322">
        <v>2022</v>
      </c>
      <c r="E185" s="343"/>
      <c r="F185" s="325">
        <f>'HDD&amp;CDD'!AF14</f>
        <v>1.1099999999999999</v>
      </c>
      <c r="G185" s="325">
        <f>'HDD&amp;CDD'!AF34</f>
        <v>153.85</v>
      </c>
      <c r="H185" s="373">
        <f>'GDP A'!AF234</f>
        <v>164.94522720589043</v>
      </c>
      <c r="I185" s="53">
        <f t="shared" si="24"/>
        <v>31</v>
      </c>
      <c r="J185" s="53">
        <f t="shared" si="18"/>
        <v>0</v>
      </c>
      <c r="K185" s="53">
        <f t="shared" si="19"/>
        <v>0</v>
      </c>
      <c r="L185" s="53">
        <f t="shared" si="20"/>
        <v>0</v>
      </c>
      <c r="M185" s="53">
        <f t="shared" si="21"/>
        <v>0</v>
      </c>
      <c r="N185" s="341">
        <v>151</v>
      </c>
      <c r="O185" s="389">
        <f t="shared" si="22"/>
        <v>89143883.548687503</v>
      </c>
      <c r="P185" s="389">
        <f t="shared" si="23"/>
        <v>-89143883.548687503</v>
      </c>
      <c r="Q185" s="389"/>
    </row>
    <row r="186" spans="2:17" ht="14.4" x14ac:dyDescent="0.3">
      <c r="B186" s="353">
        <v>44774</v>
      </c>
      <c r="C186" s="322">
        <f t="shared" si="17"/>
        <v>8</v>
      </c>
      <c r="D186" s="322">
        <v>2022</v>
      </c>
      <c r="E186" s="343"/>
      <c r="F186" s="325">
        <f>'HDD&amp;CDD'!AF15</f>
        <v>3.54</v>
      </c>
      <c r="G186" s="325">
        <f>'HDD&amp;CDD'!AF35</f>
        <v>116.15</v>
      </c>
      <c r="H186" s="373">
        <f>'GDP A'!AF235</f>
        <v>165.51171167819842</v>
      </c>
      <c r="I186" s="53">
        <f t="shared" si="24"/>
        <v>31</v>
      </c>
      <c r="J186" s="53">
        <f t="shared" si="18"/>
        <v>0</v>
      </c>
      <c r="K186" s="53">
        <f t="shared" si="19"/>
        <v>0</v>
      </c>
      <c r="L186" s="53">
        <f t="shared" si="20"/>
        <v>0</v>
      </c>
      <c r="M186" s="53">
        <f t="shared" si="21"/>
        <v>0</v>
      </c>
      <c r="N186" s="341">
        <v>152</v>
      </c>
      <c r="O186" s="389">
        <f t="shared" si="22"/>
        <v>84650708.107039258</v>
      </c>
      <c r="P186" s="389">
        <f t="shared" si="23"/>
        <v>-84650708.107039258</v>
      </c>
      <c r="Q186" s="389"/>
    </row>
    <row r="187" spans="2:17" ht="14.4" x14ac:dyDescent="0.3">
      <c r="B187" s="353">
        <v>44805</v>
      </c>
      <c r="C187" s="322">
        <f t="shared" si="17"/>
        <v>9</v>
      </c>
      <c r="D187" s="322">
        <v>2022</v>
      </c>
      <c r="E187" s="343"/>
      <c r="F187" s="325">
        <f>'HDD&amp;CDD'!AF16</f>
        <v>54.989999999999995</v>
      </c>
      <c r="G187" s="325">
        <f>'HDD&amp;CDD'!AF36</f>
        <v>49.14</v>
      </c>
      <c r="H187" s="373">
        <f>'GDP A'!AF236</f>
        <v>166.08014167304623</v>
      </c>
      <c r="I187" s="53">
        <f t="shared" si="24"/>
        <v>30</v>
      </c>
      <c r="J187" s="53">
        <f t="shared" si="18"/>
        <v>0</v>
      </c>
      <c r="K187" s="53">
        <f t="shared" si="19"/>
        <v>0</v>
      </c>
      <c r="L187" s="53">
        <f t="shared" si="20"/>
        <v>0</v>
      </c>
      <c r="M187" s="53">
        <f t="shared" si="21"/>
        <v>0</v>
      </c>
      <c r="N187" s="341">
        <v>153</v>
      </c>
      <c r="O187" s="389">
        <f t="shared" si="22"/>
        <v>75095562.253672659</v>
      </c>
      <c r="P187" s="389">
        <f t="shared" si="23"/>
        <v>-75095562.253672659</v>
      </c>
      <c r="Q187" s="389"/>
    </row>
    <row r="188" spans="2:17" ht="14.4" x14ac:dyDescent="0.3">
      <c r="B188" s="353">
        <v>44835</v>
      </c>
      <c r="C188" s="322">
        <f t="shared" si="17"/>
        <v>10</v>
      </c>
      <c r="D188" s="322">
        <v>2022</v>
      </c>
      <c r="E188" s="343"/>
      <c r="F188" s="325">
        <f>'HDD&amp;CDD'!AF17</f>
        <v>227.63000000000002</v>
      </c>
      <c r="G188" s="325">
        <f>'HDD&amp;CDD'!AF37</f>
        <v>3.0699999999999994</v>
      </c>
      <c r="H188" s="373">
        <f>'GDP A'!AF237</f>
        <v>166.65052387209619</v>
      </c>
      <c r="I188" s="53">
        <f t="shared" si="24"/>
        <v>31</v>
      </c>
      <c r="J188" s="53">
        <f t="shared" si="18"/>
        <v>0</v>
      </c>
      <c r="K188" s="53">
        <f t="shared" si="19"/>
        <v>0</v>
      </c>
      <c r="L188" s="53">
        <f t="shared" si="20"/>
        <v>0</v>
      </c>
      <c r="M188" s="53">
        <f t="shared" si="21"/>
        <v>1</v>
      </c>
      <c r="N188" s="341">
        <v>154</v>
      </c>
      <c r="O188" s="389">
        <f t="shared" si="22"/>
        <v>72146873.104040936</v>
      </c>
      <c r="P188" s="389">
        <f t="shared" si="23"/>
        <v>-72146873.104040936</v>
      </c>
      <c r="Q188" s="389"/>
    </row>
    <row r="189" spans="2:17" ht="14.4" x14ac:dyDescent="0.3">
      <c r="B189" s="353">
        <v>44866</v>
      </c>
      <c r="C189" s="322">
        <f t="shared" si="17"/>
        <v>11</v>
      </c>
      <c r="D189" s="322">
        <v>2022</v>
      </c>
      <c r="E189" s="343"/>
      <c r="F189" s="325">
        <f>'HDD&amp;CDD'!AF18</f>
        <v>424.61</v>
      </c>
      <c r="G189" s="325">
        <f>'HDD&amp;CDD'!AF38</f>
        <v>0</v>
      </c>
      <c r="H189" s="373">
        <f>'GDP A'!AF238</f>
        <v>167.22286497995796</v>
      </c>
      <c r="I189" s="53">
        <f t="shared" si="24"/>
        <v>30</v>
      </c>
      <c r="J189" s="53">
        <f t="shared" si="18"/>
        <v>0</v>
      </c>
      <c r="K189" s="53">
        <f t="shared" si="19"/>
        <v>0</v>
      </c>
      <c r="L189" s="53">
        <f t="shared" si="20"/>
        <v>0</v>
      </c>
      <c r="M189" s="53">
        <f t="shared" si="21"/>
        <v>0</v>
      </c>
      <c r="N189" s="341">
        <v>155</v>
      </c>
      <c r="O189" s="389">
        <f t="shared" si="22"/>
        <v>74497350.163055271</v>
      </c>
      <c r="P189" s="389">
        <f t="shared" si="23"/>
        <v>-74497350.163055271</v>
      </c>
      <c r="Q189" s="389"/>
    </row>
    <row r="190" spans="2:17" ht="14.4" x14ac:dyDescent="0.3">
      <c r="B190" s="353">
        <v>44896</v>
      </c>
      <c r="C190" s="322">
        <f t="shared" si="17"/>
        <v>12</v>
      </c>
      <c r="D190" s="322">
        <v>2022</v>
      </c>
      <c r="E190" s="343"/>
      <c r="F190" s="325">
        <f>'HDD&amp;CDD'!AF19</f>
        <v>589.11</v>
      </c>
      <c r="G190" s="325">
        <f>'HDD&amp;CDD'!AF39</f>
        <v>0</v>
      </c>
      <c r="H190" s="373">
        <f>'GDP A'!AF239</f>
        <v>167.79717172426737</v>
      </c>
      <c r="I190" s="53">
        <f t="shared" si="24"/>
        <v>31</v>
      </c>
      <c r="J190" s="53">
        <f t="shared" si="18"/>
        <v>0</v>
      </c>
      <c r="K190" s="53">
        <f t="shared" si="19"/>
        <v>0</v>
      </c>
      <c r="L190" s="53">
        <f t="shared" si="20"/>
        <v>0</v>
      </c>
      <c r="M190" s="53">
        <f t="shared" si="21"/>
        <v>0</v>
      </c>
      <c r="N190" s="341">
        <v>156</v>
      </c>
      <c r="O190" s="389">
        <f t="shared" si="22"/>
        <v>79078631.179987177</v>
      </c>
      <c r="P190" s="389">
        <f t="shared" si="23"/>
        <v>-79078631.179987177</v>
      </c>
      <c r="Q190" s="389"/>
    </row>
    <row r="191" spans="2:17" x14ac:dyDescent="0.25">
      <c r="B191" s="342"/>
      <c r="C191" s="342"/>
      <c r="D191" s="323"/>
      <c r="Q191" s="196"/>
    </row>
    <row r="192" spans="2:17" ht="14.4" x14ac:dyDescent="0.3">
      <c r="B192" s="322">
        <v>2010</v>
      </c>
      <c r="E192" s="343">
        <f>SUMIF($D$35:$D$190,"="&amp;B192,$E$35:$E$190)</f>
        <v>950759112.65007687</v>
      </c>
      <c r="P192" s="343">
        <f>SUMIF($D$35:$D$190,"="&amp;$B192,$O$35:$O$190)</f>
        <v>960319810.41915989</v>
      </c>
      <c r="Q192" s="343">
        <f>B192</f>
        <v>2010</v>
      </c>
    </row>
    <row r="193" spans="2:17" ht="14.4" x14ac:dyDescent="0.3">
      <c r="B193" s="322">
        <v>2011</v>
      </c>
      <c r="E193" s="343">
        <f>SUMIF($D$35:$D$190,"="&amp;B193,$E$35:$E$190)</f>
        <v>944902732.12384617</v>
      </c>
      <c r="P193" s="343">
        <f t="shared" ref="P193:P204" si="25">SUMIF($D$35:$D$190,"="&amp;$B193,$O$35:$O$190)</f>
        <v>958844382.30784512</v>
      </c>
      <c r="Q193" s="343">
        <f t="shared" ref="Q193:Q204" si="26">B193</f>
        <v>2011</v>
      </c>
    </row>
    <row r="194" spans="2:17" ht="14.4" x14ac:dyDescent="0.3">
      <c r="B194" s="322">
        <v>2012</v>
      </c>
      <c r="E194" s="343">
        <f t="shared" ref="E194:E204" si="27">SUMIF($D$35:$D$190,"="&amp;B194,$E$35:$E$190)</f>
        <v>964379230.70517492</v>
      </c>
      <c r="P194" s="343">
        <f t="shared" si="25"/>
        <v>950666119.44824326</v>
      </c>
      <c r="Q194" s="343">
        <f t="shared" si="26"/>
        <v>2012</v>
      </c>
    </row>
    <row r="195" spans="2:17" ht="14.4" x14ac:dyDescent="0.3">
      <c r="B195" s="322">
        <v>2013</v>
      </c>
      <c r="E195" s="343">
        <f t="shared" si="27"/>
        <v>961335479.00000012</v>
      </c>
      <c r="P195" s="343">
        <f t="shared" si="25"/>
        <v>927029805.31403124</v>
      </c>
      <c r="Q195" s="343">
        <f t="shared" si="26"/>
        <v>2013</v>
      </c>
    </row>
    <row r="196" spans="2:17" ht="14.4" x14ac:dyDescent="0.3">
      <c r="B196" s="322">
        <v>2014</v>
      </c>
      <c r="E196" s="343">
        <f t="shared" si="27"/>
        <v>913546785.3566668</v>
      </c>
      <c r="P196" s="343">
        <f t="shared" si="25"/>
        <v>918015075.310835</v>
      </c>
      <c r="Q196" s="343">
        <f t="shared" si="26"/>
        <v>2014</v>
      </c>
    </row>
    <row r="197" spans="2:17" ht="14.4" x14ac:dyDescent="0.3">
      <c r="B197" s="322">
        <v>2015</v>
      </c>
      <c r="E197" s="343">
        <f t="shared" si="27"/>
        <v>920489866.98307681</v>
      </c>
      <c r="P197" s="343">
        <f t="shared" si="25"/>
        <v>924465660.20835423</v>
      </c>
      <c r="Q197" s="343">
        <f t="shared" si="26"/>
        <v>2015</v>
      </c>
    </row>
    <row r="198" spans="2:17" ht="14.4" x14ac:dyDescent="0.3">
      <c r="B198" s="322">
        <v>2016</v>
      </c>
      <c r="E198" s="343">
        <f t="shared" si="27"/>
        <v>928717584.78461564</v>
      </c>
      <c r="P198" s="343">
        <f t="shared" si="25"/>
        <v>950199934.43693376</v>
      </c>
      <c r="Q198" s="343">
        <f t="shared" si="26"/>
        <v>2016</v>
      </c>
    </row>
    <row r="199" spans="2:17" ht="14.4" x14ac:dyDescent="0.3">
      <c r="B199" s="322">
        <v>2017</v>
      </c>
      <c r="E199" s="343">
        <f t="shared" si="27"/>
        <v>914942349.02142859</v>
      </c>
      <c r="F199" s="368"/>
      <c r="P199" s="343">
        <f t="shared" si="25"/>
        <v>927473628.12682843</v>
      </c>
      <c r="Q199" s="343">
        <f t="shared" si="26"/>
        <v>2017</v>
      </c>
    </row>
    <row r="200" spans="2:17" ht="14.4" x14ac:dyDescent="0.3">
      <c r="B200" s="322">
        <v>2018</v>
      </c>
      <c r="E200" s="343">
        <f>SUMIF($D$35:$D$190,"="&amp;B200,$E$35:$E$190)</f>
        <v>965883912.18000007</v>
      </c>
      <c r="F200" s="343"/>
      <c r="P200" s="343">
        <f t="shared" si="25"/>
        <v>962401471.13637781</v>
      </c>
      <c r="Q200" s="343">
        <f t="shared" si="26"/>
        <v>2018</v>
      </c>
    </row>
    <row r="201" spans="2:17" ht="14.4" x14ac:dyDescent="0.3">
      <c r="B201" s="322">
        <v>2019</v>
      </c>
      <c r="E201" s="343">
        <f t="shared" si="27"/>
        <v>959330220.76954007</v>
      </c>
      <c r="F201" s="343"/>
      <c r="P201" s="343">
        <f t="shared" si="25"/>
        <v>944871386.86581624</v>
      </c>
      <c r="Q201" s="343">
        <f t="shared" si="26"/>
        <v>2019</v>
      </c>
    </row>
    <row r="202" spans="2:17" ht="14.4" x14ac:dyDescent="0.3">
      <c r="B202" s="322">
        <v>2020</v>
      </c>
      <c r="E202" s="343">
        <f t="shared" si="27"/>
        <v>961031702.85464001</v>
      </c>
      <c r="F202" s="343"/>
      <c r="P202" s="343">
        <f t="shared" si="25"/>
        <v>915578622.38371658</v>
      </c>
      <c r="Q202" s="343">
        <f t="shared" si="26"/>
        <v>2020</v>
      </c>
    </row>
    <row r="203" spans="2:17" ht="14.4" x14ac:dyDescent="0.3">
      <c r="B203" s="360">
        <v>2021</v>
      </c>
      <c r="C203" s="360"/>
      <c r="D203" s="362"/>
      <c r="E203" s="371">
        <f t="shared" si="27"/>
        <v>0</v>
      </c>
      <c r="F203" s="360"/>
      <c r="G203" s="360"/>
      <c r="H203" s="372"/>
      <c r="I203" s="360"/>
      <c r="J203" s="360"/>
      <c r="K203" s="360"/>
      <c r="L203" s="361"/>
      <c r="M203" s="360"/>
      <c r="N203" s="360"/>
      <c r="O203" s="361"/>
      <c r="P203" s="343">
        <f t="shared" si="25"/>
        <v>888589901.81710136</v>
      </c>
      <c r="Q203" s="343">
        <f t="shared" si="26"/>
        <v>2021</v>
      </c>
    </row>
    <row r="204" spans="2:17" ht="14.4" x14ac:dyDescent="0.3">
      <c r="B204" s="322">
        <v>2022</v>
      </c>
      <c r="E204" s="343">
        <f t="shared" si="27"/>
        <v>0</v>
      </c>
      <c r="P204" s="343">
        <f t="shared" si="25"/>
        <v>916788332.61870265</v>
      </c>
      <c r="Q204" s="343">
        <f t="shared" si="26"/>
        <v>2022</v>
      </c>
    </row>
    <row r="205" spans="2:17" x14ac:dyDescent="0.25">
      <c r="P205" s="336"/>
      <c r="Q205" s="313"/>
    </row>
    <row r="206" spans="2:17" x14ac:dyDescent="0.25">
      <c r="P206" s="336"/>
      <c r="Q206" s="313"/>
    </row>
    <row r="207" spans="2:17" x14ac:dyDescent="0.25">
      <c r="P207" s="336"/>
      <c r="Q207" s="313"/>
    </row>
    <row r="208" spans="2:17" x14ac:dyDescent="0.25">
      <c r="P208" s="336"/>
      <c r="Q208" s="313"/>
    </row>
    <row r="209" spans="2:17" x14ac:dyDescent="0.25">
      <c r="K209" s="342"/>
      <c r="P209" s="336"/>
      <c r="Q209" s="313"/>
    </row>
    <row r="210" spans="2:17" x14ac:dyDescent="0.25">
      <c r="K210" s="366"/>
      <c r="Q210" s="313"/>
    </row>
    <row r="211" spans="2:17" x14ac:dyDescent="0.25">
      <c r="K211" s="338"/>
      <c r="L211" s="339"/>
      <c r="M211" s="338"/>
      <c r="N211" s="338"/>
      <c r="O211" s="339"/>
      <c r="P211" s="340"/>
      <c r="Q211" s="313"/>
    </row>
    <row r="212" spans="2:17" x14ac:dyDescent="0.25">
      <c r="B212" s="336"/>
      <c r="C212" s="336"/>
      <c r="D212" s="336"/>
      <c r="E212" s="336"/>
      <c r="K212" s="338"/>
      <c r="L212" s="339"/>
      <c r="M212" s="338"/>
      <c r="N212" s="338"/>
      <c r="O212" s="339"/>
      <c r="Q212" s="313"/>
    </row>
    <row r="213" spans="2:17" x14ac:dyDescent="0.25">
      <c r="B213" s="336"/>
      <c r="C213" s="336"/>
      <c r="D213" s="336"/>
      <c r="E213" s="336"/>
      <c r="K213" s="338"/>
      <c r="L213" s="339"/>
      <c r="M213" s="338"/>
      <c r="N213" s="338"/>
      <c r="O213" s="339"/>
      <c r="P213" s="336"/>
    </row>
    <row r="214" spans="2:17" x14ac:dyDescent="0.25">
      <c r="K214" s="338"/>
      <c r="L214" s="339"/>
      <c r="M214" s="338"/>
      <c r="N214" s="338"/>
      <c r="O214" s="339"/>
      <c r="P214" s="336"/>
    </row>
    <row r="215" spans="2:17" x14ac:dyDescent="0.25">
      <c r="Q215" s="335"/>
    </row>
    <row r="216" spans="2:17" x14ac:dyDescent="0.25">
      <c r="Q216" s="336"/>
    </row>
    <row r="217" spans="2:17" x14ac:dyDescent="0.25">
      <c r="Q217" s="336"/>
    </row>
    <row r="218" spans="2:17" x14ac:dyDescent="0.25">
      <c r="F218" s="333"/>
      <c r="G218" s="333"/>
      <c r="I218" s="333"/>
      <c r="J218" s="333"/>
      <c r="K218" s="333"/>
      <c r="M218" s="333"/>
      <c r="N218" s="333"/>
      <c r="Q218" s="336"/>
    </row>
  </sheetData>
  <pageMargins left="0.38" right="0.75" top="0.73" bottom="0.74" header="0.5" footer="0.5"/>
  <pageSetup scale="17" orientation="landscape" verticalDpi="300" r:id="rId2"/>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00B050"/>
  </sheetPr>
  <dimension ref="A1:AJ80"/>
  <sheetViews>
    <sheetView zoomScale="55" zoomScaleNormal="55" workbookViewId="0">
      <selection activeCell="AB42" sqref="AB42"/>
    </sheetView>
  </sheetViews>
  <sheetFormatPr defaultRowHeight="13.2" x14ac:dyDescent="0.25"/>
  <cols>
    <col min="2" max="2" width="3.77734375" bestFit="1" customWidth="1"/>
    <col min="3" max="15" width="0" hidden="1" customWidth="1"/>
    <col min="16" max="16" width="9.21875" bestFit="1" customWidth="1"/>
    <col min="27" max="30" width="9.44140625" bestFit="1" customWidth="1"/>
    <col min="31" max="31" width="17.77734375" style="28" bestFit="1" customWidth="1"/>
    <col min="32" max="32" width="12" bestFit="1" customWidth="1"/>
    <col min="33" max="33" width="10.44140625" bestFit="1" customWidth="1"/>
    <col min="34" max="34" width="18.77734375" bestFit="1" customWidth="1"/>
    <col min="35" max="35" width="23.77734375" bestFit="1" customWidth="1"/>
    <col min="36" max="36" width="13" bestFit="1" customWidth="1"/>
  </cols>
  <sheetData>
    <row r="1" spans="1:36" x14ac:dyDescent="0.25">
      <c r="A1" s="86" t="s">
        <v>75</v>
      </c>
      <c r="B1" s="86"/>
      <c r="C1" s="87"/>
      <c r="D1" s="87"/>
      <c r="E1" s="494" t="s">
        <v>76</v>
      </c>
      <c r="F1" s="494"/>
      <c r="G1" s="86" t="s">
        <v>77</v>
      </c>
      <c r="H1" s="86"/>
      <c r="I1" s="86"/>
      <c r="J1" s="86"/>
      <c r="K1" s="181" t="s">
        <v>128</v>
      </c>
      <c r="L1" s="87"/>
      <c r="M1" s="87"/>
      <c r="N1" s="87"/>
      <c r="O1" s="87"/>
      <c r="P1" s="87"/>
      <c r="Q1" s="87"/>
      <c r="R1" s="87"/>
      <c r="S1" s="87"/>
      <c r="T1" s="87"/>
      <c r="U1" s="87"/>
      <c r="V1" s="87"/>
      <c r="W1" s="87"/>
      <c r="X1" s="87"/>
      <c r="Y1" s="87"/>
      <c r="Z1" s="87"/>
      <c r="AA1" s="87"/>
      <c r="AB1" s="87"/>
      <c r="AC1" s="87"/>
      <c r="AD1" s="87"/>
      <c r="AE1" s="88"/>
      <c r="AF1" s="87"/>
      <c r="AG1" s="87"/>
      <c r="AH1" s="87"/>
      <c r="AI1" s="87"/>
    </row>
    <row r="2" spans="1:36" x14ac:dyDescent="0.25">
      <c r="A2" s="89"/>
      <c r="B2" s="89"/>
      <c r="C2" s="87"/>
      <c r="D2" s="87"/>
      <c r="E2" s="494" t="s">
        <v>76</v>
      </c>
      <c r="F2" s="494"/>
      <c r="G2" s="86" t="s">
        <v>129</v>
      </c>
      <c r="H2" s="87"/>
      <c r="I2" s="87"/>
      <c r="J2" s="87"/>
      <c r="K2" s="181" t="s">
        <v>130</v>
      </c>
      <c r="L2" s="87"/>
      <c r="M2" s="87"/>
      <c r="N2" s="87"/>
      <c r="O2" s="87"/>
      <c r="P2" s="87"/>
      <c r="Q2" s="87"/>
      <c r="R2" s="87"/>
      <c r="S2" s="87"/>
      <c r="T2" s="87"/>
      <c r="U2" s="87"/>
      <c r="V2" s="87"/>
      <c r="W2" s="87"/>
      <c r="X2" s="87"/>
      <c r="Y2" s="87"/>
      <c r="Z2" s="87"/>
      <c r="AA2" s="87"/>
      <c r="AB2" s="87"/>
      <c r="AC2" s="87"/>
      <c r="AD2" s="87"/>
      <c r="AE2" s="88"/>
      <c r="AF2" s="87"/>
      <c r="AG2" s="87"/>
      <c r="AH2" s="87"/>
      <c r="AI2" s="87"/>
    </row>
    <row r="3" spans="1:36" x14ac:dyDescent="0.25">
      <c r="A3" s="90" t="s">
        <v>78</v>
      </c>
      <c r="B3" s="90"/>
      <c r="C3" s="90"/>
      <c r="D3" s="90"/>
      <c r="E3" s="90"/>
      <c r="F3" s="65"/>
      <c r="G3" s="65"/>
      <c r="H3" s="87"/>
      <c r="I3" s="87"/>
      <c r="J3" s="87"/>
      <c r="K3" s="87"/>
      <c r="L3" s="87"/>
      <c r="M3" s="87"/>
      <c r="N3" s="87"/>
      <c r="O3" s="87"/>
      <c r="P3" s="87"/>
      <c r="Q3" s="87"/>
      <c r="R3" s="87"/>
      <c r="S3" s="87"/>
      <c r="T3" s="87"/>
      <c r="U3" s="87"/>
      <c r="V3" s="87"/>
      <c r="W3" s="87"/>
      <c r="X3" s="87"/>
      <c r="Y3" s="87"/>
      <c r="Z3" s="87"/>
      <c r="AA3" s="87"/>
      <c r="AB3" s="87"/>
      <c r="AC3" s="87"/>
      <c r="AD3" s="87"/>
      <c r="AE3" s="88"/>
      <c r="AF3" s="87"/>
      <c r="AG3" s="87"/>
      <c r="AH3" s="87"/>
      <c r="AI3" s="87"/>
    </row>
    <row r="4" spans="1:36" x14ac:dyDescent="0.25">
      <c r="A4" s="91"/>
      <c r="B4" s="91"/>
      <c r="C4" s="91"/>
      <c r="D4" s="91"/>
      <c r="E4" s="91"/>
      <c r="F4" s="66"/>
      <c r="G4" s="66"/>
      <c r="H4" s="87"/>
      <c r="I4" s="87"/>
      <c r="J4" s="87"/>
      <c r="K4" s="87"/>
      <c r="L4" s="87"/>
      <c r="M4" s="87"/>
      <c r="N4" s="87"/>
      <c r="O4" s="87"/>
      <c r="P4" s="87"/>
      <c r="Q4" s="87"/>
      <c r="R4" s="87"/>
      <c r="S4" s="87"/>
      <c r="T4" s="87"/>
      <c r="U4" s="87"/>
      <c r="V4" s="87"/>
      <c r="W4" s="87"/>
      <c r="X4" s="87"/>
      <c r="Y4" s="87"/>
      <c r="Z4" s="87"/>
      <c r="AA4" s="87"/>
      <c r="AB4" s="87"/>
      <c r="AC4" s="87"/>
      <c r="AD4" s="87"/>
      <c r="AE4" s="88"/>
      <c r="AF4" s="87"/>
      <c r="AG4" s="87"/>
      <c r="AH4" s="87"/>
      <c r="AI4" s="87" t="s">
        <v>328</v>
      </c>
    </row>
    <row r="5" spans="1:36" x14ac:dyDescent="0.25">
      <c r="A5" s="92" t="s">
        <v>79</v>
      </c>
      <c r="B5" s="92" t="s">
        <v>131</v>
      </c>
      <c r="C5" s="92">
        <v>1993</v>
      </c>
      <c r="D5" s="92">
        <v>1994</v>
      </c>
      <c r="E5" s="92">
        <v>1995</v>
      </c>
      <c r="F5" s="92">
        <v>1996</v>
      </c>
      <c r="G5" s="92">
        <v>1997</v>
      </c>
      <c r="H5" s="92">
        <v>1998</v>
      </c>
      <c r="I5" s="92">
        <v>1999</v>
      </c>
      <c r="J5" s="92">
        <v>2000</v>
      </c>
      <c r="K5" s="92">
        <v>2001</v>
      </c>
      <c r="L5" s="92">
        <v>2002</v>
      </c>
      <c r="M5" s="93">
        <v>2003</v>
      </c>
      <c r="N5" s="93">
        <v>2004</v>
      </c>
      <c r="O5" s="93">
        <v>2005</v>
      </c>
      <c r="P5" s="94">
        <v>2006</v>
      </c>
      <c r="Q5" s="94">
        <v>2007</v>
      </c>
      <c r="R5" s="94">
        <v>2008</v>
      </c>
      <c r="S5" s="94">
        <v>2009</v>
      </c>
      <c r="T5" s="94">
        <v>2010</v>
      </c>
      <c r="U5" s="94">
        <v>2011</v>
      </c>
      <c r="V5" s="95">
        <v>2012</v>
      </c>
      <c r="W5" s="95">
        <v>2013</v>
      </c>
      <c r="X5" s="95">
        <v>2014</v>
      </c>
      <c r="Y5" s="95">
        <v>2015</v>
      </c>
      <c r="Z5" s="95">
        <v>2016</v>
      </c>
      <c r="AA5" s="95">
        <v>2017</v>
      </c>
      <c r="AB5" s="95">
        <v>2018</v>
      </c>
      <c r="AC5" s="95">
        <v>2019</v>
      </c>
      <c r="AD5" s="95">
        <v>2020</v>
      </c>
      <c r="AE5" s="96"/>
      <c r="AF5" s="97" t="s">
        <v>177</v>
      </c>
      <c r="AG5" s="97" t="s">
        <v>80</v>
      </c>
      <c r="AH5" s="345"/>
      <c r="AI5" s="490" t="s">
        <v>329</v>
      </c>
      <c r="AJ5" s="490" t="s">
        <v>80</v>
      </c>
    </row>
    <row r="6" spans="1:36" x14ac:dyDescent="0.25">
      <c r="A6" s="91"/>
      <c r="B6" s="91"/>
      <c r="C6" s="91"/>
      <c r="D6" s="91"/>
      <c r="E6" s="91"/>
      <c r="F6" s="65"/>
      <c r="G6" s="65"/>
      <c r="H6" s="87"/>
      <c r="I6" s="87"/>
      <c r="J6" s="87"/>
      <c r="K6" s="87"/>
      <c r="L6" s="87"/>
      <c r="M6" s="88"/>
      <c r="N6" s="88"/>
      <c r="O6" s="88"/>
      <c r="P6" s="98"/>
      <c r="Q6" s="98"/>
      <c r="R6" s="98"/>
      <c r="S6" s="98"/>
      <c r="T6" s="98"/>
      <c r="U6" s="98"/>
      <c r="V6" s="98"/>
      <c r="W6" s="98"/>
      <c r="X6" s="98"/>
      <c r="Y6" s="98"/>
      <c r="Z6" s="98"/>
      <c r="AA6" s="98"/>
      <c r="AB6" s="98"/>
      <c r="AC6" s="98"/>
      <c r="AD6" s="98"/>
      <c r="AE6" s="88"/>
      <c r="AF6" s="87"/>
      <c r="AG6" s="87"/>
      <c r="AH6" s="346"/>
      <c r="AI6" s="489"/>
      <c r="AJ6" s="489"/>
    </row>
    <row r="7" spans="1:36" x14ac:dyDescent="0.25">
      <c r="A7" s="99"/>
      <c r="B7" s="99"/>
      <c r="C7" s="99"/>
      <c r="D7" s="99"/>
      <c r="E7" s="99"/>
      <c r="F7" s="65"/>
      <c r="G7" s="65"/>
      <c r="H7" s="65"/>
      <c r="I7" s="65"/>
      <c r="J7" s="87"/>
      <c r="K7" s="87"/>
      <c r="L7" s="87"/>
      <c r="M7" s="88"/>
      <c r="N7" s="88"/>
      <c r="O7" s="88"/>
      <c r="P7" s="98"/>
      <c r="Q7" s="98"/>
      <c r="R7" s="98"/>
      <c r="S7" s="98"/>
      <c r="T7" s="98"/>
      <c r="U7" s="98"/>
      <c r="V7" s="98"/>
      <c r="W7" s="98"/>
      <c r="X7" s="98"/>
      <c r="Y7" s="98"/>
      <c r="Z7" s="98"/>
      <c r="AA7" s="98"/>
      <c r="AB7" s="98"/>
      <c r="AC7" s="98"/>
      <c r="AD7" s="98"/>
      <c r="AE7" s="88"/>
      <c r="AF7" s="87"/>
      <c r="AG7" s="87"/>
      <c r="AH7" s="346"/>
      <c r="AI7" s="489"/>
      <c r="AJ7" s="489"/>
    </row>
    <row r="8" spans="1:36" x14ac:dyDescent="0.25">
      <c r="A8" s="99" t="s">
        <v>81</v>
      </c>
      <c r="B8" s="99">
        <v>1</v>
      </c>
      <c r="C8" s="100">
        <v>635.1</v>
      </c>
      <c r="D8" s="100">
        <v>941.4</v>
      </c>
      <c r="E8" s="100">
        <v>653.20000000000005</v>
      </c>
      <c r="F8" s="100">
        <v>765.2</v>
      </c>
      <c r="G8" s="100">
        <v>756.6</v>
      </c>
      <c r="H8" s="100">
        <v>624.79999999999995</v>
      </c>
      <c r="I8" s="100">
        <v>749.8</v>
      </c>
      <c r="J8" s="100">
        <v>738.9</v>
      </c>
      <c r="K8" s="100">
        <v>684.9</v>
      </c>
      <c r="L8" s="100">
        <v>572.20000000000005</v>
      </c>
      <c r="M8" s="101">
        <v>814.5</v>
      </c>
      <c r="N8" s="101">
        <v>849.1</v>
      </c>
      <c r="O8" s="101">
        <v>770</v>
      </c>
      <c r="P8" s="102">
        <v>551.79999999999995</v>
      </c>
      <c r="Q8" s="102">
        <v>647.1</v>
      </c>
      <c r="R8" s="102">
        <v>623.5</v>
      </c>
      <c r="S8" s="102">
        <v>830.2</v>
      </c>
      <c r="T8" s="102">
        <v>720</v>
      </c>
      <c r="U8" s="102">
        <v>775.3</v>
      </c>
      <c r="V8" s="102">
        <v>610.80000000000007</v>
      </c>
      <c r="W8" s="102">
        <v>624.40000000000009</v>
      </c>
      <c r="X8" s="102">
        <v>825.90000000000009</v>
      </c>
      <c r="Y8" s="102">
        <v>792.39999999999975</v>
      </c>
      <c r="Z8" s="102">
        <v>670.4</v>
      </c>
      <c r="AA8" s="102">
        <v>608.9</v>
      </c>
      <c r="AB8" s="102">
        <v>732.29999999999984</v>
      </c>
      <c r="AC8" s="102">
        <v>764.5</v>
      </c>
      <c r="AD8" s="102">
        <v>605</v>
      </c>
      <c r="AE8" s="101"/>
      <c r="AF8" s="263">
        <f>AVERAGE(U8:AD8)</f>
        <v>700.99</v>
      </c>
      <c r="AG8" s="264">
        <f>TREND(K8:AD8)</f>
        <v>709.9571428571428</v>
      </c>
      <c r="AH8" s="347"/>
      <c r="AI8" s="488">
        <v>700.14</v>
      </c>
      <c r="AJ8" s="487">
        <v>716.37</v>
      </c>
    </row>
    <row r="9" spans="1:36" x14ac:dyDescent="0.25">
      <c r="A9" s="99" t="s">
        <v>82</v>
      </c>
      <c r="B9" s="99">
        <v>2</v>
      </c>
      <c r="C9" s="100">
        <v>686.8</v>
      </c>
      <c r="D9" s="100">
        <v>737.5</v>
      </c>
      <c r="E9" s="100">
        <v>707</v>
      </c>
      <c r="F9" s="100">
        <v>689.8</v>
      </c>
      <c r="G9" s="100">
        <v>593</v>
      </c>
      <c r="H9" s="100">
        <v>512.20000000000005</v>
      </c>
      <c r="I9" s="100">
        <v>548.1</v>
      </c>
      <c r="J9" s="100">
        <v>612.70000000000005</v>
      </c>
      <c r="K9" s="100">
        <v>587.6</v>
      </c>
      <c r="L9" s="100">
        <v>540.20000000000005</v>
      </c>
      <c r="M9" s="101">
        <v>699</v>
      </c>
      <c r="N9" s="101">
        <v>631.70000000000005</v>
      </c>
      <c r="O9" s="101">
        <v>616.4</v>
      </c>
      <c r="P9" s="102">
        <v>604.29999999999995</v>
      </c>
      <c r="Q9" s="102">
        <v>740.1</v>
      </c>
      <c r="R9" s="102">
        <v>674.7</v>
      </c>
      <c r="S9" s="102">
        <v>606.4</v>
      </c>
      <c r="T9" s="102">
        <v>598.29999999999995</v>
      </c>
      <c r="U9" s="102">
        <v>654.20000000000005</v>
      </c>
      <c r="V9" s="102">
        <v>532</v>
      </c>
      <c r="W9" s="102">
        <v>631.49999999999989</v>
      </c>
      <c r="X9" s="102">
        <v>737.09999999999991</v>
      </c>
      <c r="Y9" s="102">
        <v>856.8</v>
      </c>
      <c r="Z9" s="102">
        <v>588.4</v>
      </c>
      <c r="AA9" s="102">
        <v>510.4</v>
      </c>
      <c r="AB9" s="102">
        <v>555.00000000000023</v>
      </c>
      <c r="AC9" s="102">
        <v>621.70000000000016</v>
      </c>
      <c r="AD9" s="102">
        <v>611.79999999999995</v>
      </c>
      <c r="AE9" s="101"/>
      <c r="AF9" s="263">
        <f>AVERAGE(U9:AD9)</f>
        <v>629.89</v>
      </c>
      <c r="AG9" s="264">
        <f>TREND(K9:AD9)</f>
        <v>632.24714285714276</v>
      </c>
      <c r="AH9" s="347"/>
      <c r="AI9" s="488">
        <v>663.54000000000008</v>
      </c>
      <c r="AJ9" s="487">
        <v>633.30500000000006</v>
      </c>
    </row>
    <row r="10" spans="1:36" x14ac:dyDescent="0.25">
      <c r="A10" s="99" t="s">
        <v>83</v>
      </c>
      <c r="B10" s="99">
        <v>3</v>
      </c>
      <c r="C10" s="100">
        <v>530.1</v>
      </c>
      <c r="D10" s="100">
        <v>581.5</v>
      </c>
      <c r="E10" s="100">
        <v>498.1</v>
      </c>
      <c r="F10" s="100">
        <v>645.6</v>
      </c>
      <c r="G10" s="100">
        <v>600</v>
      </c>
      <c r="H10" s="100">
        <v>492.3</v>
      </c>
      <c r="I10" s="100">
        <v>550.6</v>
      </c>
      <c r="J10" s="100">
        <v>418.6</v>
      </c>
      <c r="K10" s="100">
        <v>566.6</v>
      </c>
      <c r="L10" s="100">
        <v>545.6</v>
      </c>
      <c r="M10" s="101">
        <v>581.1</v>
      </c>
      <c r="N10" s="101">
        <v>487.3</v>
      </c>
      <c r="O10" s="101">
        <v>608.6</v>
      </c>
      <c r="P10" s="102">
        <v>516.6</v>
      </c>
      <c r="Q10" s="102">
        <v>546.70000000000005</v>
      </c>
      <c r="R10" s="102">
        <v>610.20000000000005</v>
      </c>
      <c r="S10" s="102">
        <v>533.79999999999995</v>
      </c>
      <c r="T10" s="102">
        <v>422.8</v>
      </c>
      <c r="U10" s="102">
        <v>572.79999999999995</v>
      </c>
      <c r="V10" s="102">
        <v>349.40000000000009</v>
      </c>
      <c r="W10" s="102">
        <v>554.79999999999995</v>
      </c>
      <c r="X10" s="102">
        <v>690.6</v>
      </c>
      <c r="Y10" s="102">
        <v>615.49999999999989</v>
      </c>
      <c r="Z10" s="102">
        <v>476.0999999999998</v>
      </c>
      <c r="AA10" s="102">
        <v>574</v>
      </c>
      <c r="AB10" s="102">
        <v>553.99999999999989</v>
      </c>
      <c r="AC10" s="102">
        <v>593.90000000000009</v>
      </c>
      <c r="AD10" s="102">
        <v>458.69999999999993</v>
      </c>
      <c r="AE10" s="101"/>
      <c r="AF10" s="263">
        <f>AVERAGE(U10:AD10)</f>
        <v>543.98</v>
      </c>
      <c r="AG10" s="264">
        <f>TREND(K10:AD10)</f>
        <v>548.30285714285731</v>
      </c>
      <c r="AH10" s="347"/>
      <c r="AI10" s="488">
        <v>541.32000000000005</v>
      </c>
      <c r="AJ10" s="487">
        <v>545.47500000000002</v>
      </c>
    </row>
    <row r="11" spans="1:36" x14ac:dyDescent="0.25">
      <c r="A11" s="99" t="s">
        <v>84</v>
      </c>
      <c r="B11" s="99">
        <v>4</v>
      </c>
      <c r="C11" s="100">
        <v>280.3</v>
      </c>
      <c r="D11" s="100">
        <v>320.2</v>
      </c>
      <c r="E11" s="100">
        <v>417.6</v>
      </c>
      <c r="F11" s="100">
        <v>408.2</v>
      </c>
      <c r="G11" s="100">
        <v>366.8</v>
      </c>
      <c r="H11" s="100">
        <v>282</v>
      </c>
      <c r="I11" s="100">
        <v>296.7</v>
      </c>
      <c r="J11" s="100">
        <v>339.2</v>
      </c>
      <c r="K11" s="100">
        <v>293.8</v>
      </c>
      <c r="L11" s="100">
        <v>329.5</v>
      </c>
      <c r="M11" s="101">
        <v>372.5</v>
      </c>
      <c r="N11" s="101">
        <v>331.5</v>
      </c>
      <c r="O11" s="101">
        <v>306.8</v>
      </c>
      <c r="P11" s="102">
        <v>293.3</v>
      </c>
      <c r="Q11" s="102">
        <v>356.4</v>
      </c>
      <c r="R11" s="102">
        <v>253.9</v>
      </c>
      <c r="S11" s="102">
        <v>305.8</v>
      </c>
      <c r="T11" s="102">
        <v>225.1</v>
      </c>
      <c r="U11" s="102">
        <v>332.3</v>
      </c>
      <c r="V11" s="102">
        <v>321.70000000000005</v>
      </c>
      <c r="W11" s="102">
        <v>358.6</v>
      </c>
      <c r="X11" s="102">
        <v>356.90000000000003</v>
      </c>
      <c r="Y11" s="102">
        <v>313.7</v>
      </c>
      <c r="Z11" s="102">
        <v>394.8</v>
      </c>
      <c r="AA11" s="102">
        <v>257.49999999999994</v>
      </c>
      <c r="AB11" s="102">
        <v>437.20000000000005</v>
      </c>
      <c r="AC11" s="102">
        <v>346.8</v>
      </c>
      <c r="AD11" s="102">
        <v>362.2999999999999</v>
      </c>
      <c r="AE11" s="101"/>
      <c r="AF11" s="263">
        <f>AVERAGE(U11:AD11)</f>
        <v>348.17999999999995</v>
      </c>
      <c r="AG11" s="264">
        <f>TREND(K11:AD11)</f>
        <v>302.96571428571434</v>
      </c>
      <c r="AH11" s="347"/>
      <c r="AI11" s="488">
        <v>311.77</v>
      </c>
      <c r="AJ11" s="487">
        <v>322.23500000000001</v>
      </c>
    </row>
    <row r="12" spans="1:36" x14ac:dyDescent="0.25">
      <c r="A12" s="99" t="s">
        <v>85</v>
      </c>
      <c r="B12" s="99">
        <v>5</v>
      </c>
      <c r="C12" s="100">
        <v>182</v>
      </c>
      <c r="D12" s="100">
        <v>199.7</v>
      </c>
      <c r="E12" s="100">
        <v>149.19999999999999</v>
      </c>
      <c r="F12" s="100">
        <v>205.9</v>
      </c>
      <c r="G12" s="100">
        <v>260.8</v>
      </c>
      <c r="H12" s="100">
        <v>59.1</v>
      </c>
      <c r="I12" s="100">
        <v>97.1</v>
      </c>
      <c r="J12" s="100">
        <v>139.6</v>
      </c>
      <c r="K12" s="100">
        <v>111.5</v>
      </c>
      <c r="L12" s="100">
        <v>227.5</v>
      </c>
      <c r="M12" s="101">
        <v>177.9</v>
      </c>
      <c r="N12" s="101">
        <v>158.9</v>
      </c>
      <c r="O12" s="101">
        <v>189.4</v>
      </c>
      <c r="P12" s="102">
        <v>136.9</v>
      </c>
      <c r="Q12" s="102">
        <v>136.4</v>
      </c>
      <c r="R12" s="102">
        <v>193.5</v>
      </c>
      <c r="S12" s="102">
        <v>158.80000000000001</v>
      </c>
      <c r="T12" s="102">
        <v>107.9</v>
      </c>
      <c r="U12" s="102">
        <v>134.1</v>
      </c>
      <c r="V12" s="102">
        <v>81.300000000000011</v>
      </c>
      <c r="W12" s="102">
        <v>109.10000000000001</v>
      </c>
      <c r="X12" s="102">
        <v>132.10000000000005</v>
      </c>
      <c r="Y12" s="102">
        <v>89.3</v>
      </c>
      <c r="Z12" s="102">
        <v>142.50000000000003</v>
      </c>
      <c r="AA12" s="102">
        <v>177</v>
      </c>
      <c r="AB12" s="102">
        <v>75.3</v>
      </c>
      <c r="AC12" s="102">
        <v>180.99999999999997</v>
      </c>
      <c r="AD12" s="102">
        <v>208.09999999999997</v>
      </c>
      <c r="AE12" s="101"/>
      <c r="AF12" s="263">
        <f>AVERAGE(U12:AD12)</f>
        <v>132.97999999999996</v>
      </c>
      <c r="AG12" s="264">
        <f>TREND(K12:AD12)</f>
        <v>159.72142857142859</v>
      </c>
      <c r="AH12" s="347"/>
      <c r="AI12" s="488">
        <v>127.94000000000001</v>
      </c>
      <c r="AJ12" s="487">
        <v>145.35500000000005</v>
      </c>
    </row>
    <row r="13" spans="1:36" x14ac:dyDescent="0.25">
      <c r="A13" s="99" t="s">
        <v>86</v>
      </c>
      <c r="B13" s="99">
        <v>6</v>
      </c>
      <c r="C13" s="100">
        <v>46.5</v>
      </c>
      <c r="D13" s="100">
        <v>35.6</v>
      </c>
      <c r="E13" s="100">
        <v>20</v>
      </c>
      <c r="F13" s="100">
        <v>20.9</v>
      </c>
      <c r="G13" s="100">
        <v>20.6</v>
      </c>
      <c r="H13" s="100">
        <v>54.7</v>
      </c>
      <c r="I13" s="100">
        <v>25</v>
      </c>
      <c r="J13" s="100">
        <v>34.5</v>
      </c>
      <c r="K13" s="100">
        <v>29.8</v>
      </c>
      <c r="L13" s="100">
        <v>36.200000000000003</v>
      </c>
      <c r="M13" s="101">
        <v>43.4</v>
      </c>
      <c r="N13" s="101">
        <v>44.2</v>
      </c>
      <c r="O13" s="101">
        <v>8.9</v>
      </c>
      <c r="P13" s="102">
        <v>19.5</v>
      </c>
      <c r="Q13" s="102">
        <v>16.5</v>
      </c>
      <c r="R13" s="102">
        <v>22.7</v>
      </c>
      <c r="S13" s="102">
        <v>49.3</v>
      </c>
      <c r="T13" s="102">
        <v>21.7</v>
      </c>
      <c r="U13" s="102">
        <v>19</v>
      </c>
      <c r="V13" s="102">
        <v>23.2</v>
      </c>
      <c r="W13" s="104">
        <v>33</v>
      </c>
      <c r="X13" s="102">
        <v>14.1</v>
      </c>
      <c r="Y13" s="102">
        <v>33.800000000000004</v>
      </c>
      <c r="Z13" s="102">
        <v>24.200000000000003</v>
      </c>
      <c r="AA13" s="102">
        <v>26.699999999999996</v>
      </c>
      <c r="AB13" s="102">
        <v>14.799999999999999</v>
      </c>
      <c r="AC13" s="102">
        <v>35.5</v>
      </c>
      <c r="AD13" s="102">
        <v>23.799999999999997</v>
      </c>
      <c r="AE13" s="101"/>
      <c r="AF13" s="103">
        <f t="shared" ref="AF13:AF19" si="0">AVERAGE(T13:AC13)</f>
        <v>24.6</v>
      </c>
      <c r="AG13" s="67">
        <f t="shared" ref="AG13:AG19" si="1">TREND(J13:AC13)</f>
        <v>31.881428571428572</v>
      </c>
      <c r="AH13" s="347"/>
      <c r="AI13" s="488">
        <v>25.279999999999998</v>
      </c>
      <c r="AJ13" s="488">
        <v>28.549999999999994</v>
      </c>
    </row>
    <row r="14" spans="1:36" x14ac:dyDescent="0.25">
      <c r="A14" s="99" t="s">
        <v>87</v>
      </c>
      <c r="B14" s="99">
        <v>7</v>
      </c>
      <c r="C14" s="100">
        <v>0.6</v>
      </c>
      <c r="D14" s="100">
        <v>2.4</v>
      </c>
      <c r="E14" s="100">
        <v>10.3</v>
      </c>
      <c r="F14" s="100">
        <v>10.3</v>
      </c>
      <c r="G14" s="100">
        <v>12.4</v>
      </c>
      <c r="H14" s="100">
        <v>1</v>
      </c>
      <c r="I14" s="100">
        <v>0</v>
      </c>
      <c r="J14" s="100">
        <v>6.6</v>
      </c>
      <c r="K14" s="100">
        <v>9.3000000000000007</v>
      </c>
      <c r="L14" s="100">
        <v>0</v>
      </c>
      <c r="M14" s="101">
        <v>0.2</v>
      </c>
      <c r="N14" s="101">
        <v>3.6</v>
      </c>
      <c r="O14" s="101">
        <v>0</v>
      </c>
      <c r="P14" s="102">
        <v>0</v>
      </c>
      <c r="Q14" s="102">
        <v>3.2</v>
      </c>
      <c r="R14" s="102">
        <v>1</v>
      </c>
      <c r="S14" s="102">
        <v>6.2</v>
      </c>
      <c r="T14" s="102">
        <v>1.8</v>
      </c>
      <c r="U14" s="102">
        <v>0</v>
      </c>
      <c r="V14" s="102">
        <v>0</v>
      </c>
      <c r="W14" s="102">
        <v>1.2999999999999998</v>
      </c>
      <c r="X14" s="102">
        <v>4</v>
      </c>
      <c r="Y14" s="102">
        <v>4</v>
      </c>
      <c r="Z14" s="102">
        <v>0</v>
      </c>
      <c r="AA14" s="102">
        <v>0</v>
      </c>
      <c r="AB14" s="102">
        <v>0</v>
      </c>
      <c r="AC14" s="102">
        <v>0</v>
      </c>
      <c r="AD14" s="102">
        <v>0</v>
      </c>
      <c r="AE14" s="101"/>
      <c r="AF14" s="103">
        <f t="shared" si="0"/>
        <v>1.1099999999999999</v>
      </c>
      <c r="AG14" s="67">
        <f t="shared" si="1"/>
        <v>3.9171428571428573</v>
      </c>
      <c r="AH14" s="348"/>
      <c r="AI14" s="488">
        <v>2.15</v>
      </c>
      <c r="AJ14" s="488">
        <v>3.2450000000000001</v>
      </c>
    </row>
    <row r="15" spans="1:36" x14ac:dyDescent="0.25">
      <c r="A15" s="99" t="s">
        <v>88</v>
      </c>
      <c r="B15" s="99">
        <v>8</v>
      </c>
      <c r="C15" s="100">
        <v>9.6999999999999993</v>
      </c>
      <c r="D15" s="100">
        <v>24.5</v>
      </c>
      <c r="E15" s="100">
        <v>4.5999999999999996</v>
      </c>
      <c r="F15" s="100">
        <v>2.5</v>
      </c>
      <c r="G15" s="100">
        <v>17</v>
      </c>
      <c r="H15" s="100">
        <v>3.4</v>
      </c>
      <c r="I15" s="100">
        <v>8.4</v>
      </c>
      <c r="J15" s="100">
        <v>11.5</v>
      </c>
      <c r="K15" s="100">
        <v>0</v>
      </c>
      <c r="L15" s="100">
        <v>0.2</v>
      </c>
      <c r="M15" s="101">
        <v>2</v>
      </c>
      <c r="N15" s="101">
        <v>12.8</v>
      </c>
      <c r="O15" s="101">
        <v>0.2</v>
      </c>
      <c r="P15" s="102">
        <v>4.2</v>
      </c>
      <c r="Q15" s="102">
        <v>5.2</v>
      </c>
      <c r="R15" s="102">
        <v>12.7</v>
      </c>
      <c r="S15" s="102">
        <v>9.8000000000000007</v>
      </c>
      <c r="T15" s="102">
        <v>2.1</v>
      </c>
      <c r="U15" s="102">
        <v>0</v>
      </c>
      <c r="V15" s="102">
        <v>2</v>
      </c>
      <c r="W15" s="102">
        <v>4.4000000000000004</v>
      </c>
      <c r="X15" s="102">
        <v>8.7999999999999989</v>
      </c>
      <c r="Y15" s="102">
        <v>4.4000000000000004</v>
      </c>
      <c r="Z15" s="102">
        <v>0</v>
      </c>
      <c r="AA15" s="102">
        <v>11.6</v>
      </c>
      <c r="AB15" s="102">
        <v>1.2</v>
      </c>
      <c r="AC15" s="102">
        <v>0.89999999999999991</v>
      </c>
      <c r="AD15" s="102">
        <v>0.8</v>
      </c>
      <c r="AE15" s="101"/>
      <c r="AF15" s="103">
        <f t="shared" si="0"/>
        <v>3.54</v>
      </c>
      <c r="AG15" s="67">
        <f t="shared" si="1"/>
        <v>5.4957142857142856</v>
      </c>
      <c r="AH15" s="348"/>
      <c r="AI15" s="488">
        <v>5.3599999999999994</v>
      </c>
      <c r="AJ15" s="488">
        <v>5.58</v>
      </c>
    </row>
    <row r="16" spans="1:36" x14ac:dyDescent="0.25">
      <c r="A16" s="99" t="s">
        <v>89</v>
      </c>
      <c r="B16" s="99">
        <v>9</v>
      </c>
      <c r="C16" s="100">
        <v>77.2</v>
      </c>
      <c r="D16" s="100">
        <v>76.2</v>
      </c>
      <c r="E16" s="100">
        <v>133.69999999999999</v>
      </c>
      <c r="F16" s="100">
        <v>71.599999999999994</v>
      </c>
      <c r="G16" s="100">
        <v>87.1</v>
      </c>
      <c r="H16" s="100">
        <v>39.700000000000003</v>
      </c>
      <c r="I16" s="100">
        <v>49.3</v>
      </c>
      <c r="J16" s="100">
        <v>99.5</v>
      </c>
      <c r="K16" s="100">
        <v>73.599999999999994</v>
      </c>
      <c r="L16" s="100">
        <v>21.8</v>
      </c>
      <c r="M16" s="101">
        <v>54.9</v>
      </c>
      <c r="N16" s="101">
        <v>30</v>
      </c>
      <c r="O16" s="101">
        <v>22.6</v>
      </c>
      <c r="P16" s="102">
        <v>80.900000000000006</v>
      </c>
      <c r="Q16" s="102">
        <v>36.9</v>
      </c>
      <c r="R16" s="102">
        <v>59</v>
      </c>
      <c r="S16" s="102">
        <v>55.2</v>
      </c>
      <c r="T16" s="102">
        <v>78.099999999999994</v>
      </c>
      <c r="U16" s="102">
        <v>48.2</v>
      </c>
      <c r="V16" s="102">
        <v>85</v>
      </c>
      <c r="W16" s="102">
        <v>82.999999999999986</v>
      </c>
      <c r="X16" s="102">
        <v>69.700000000000017</v>
      </c>
      <c r="Y16" s="102">
        <v>31.099999999999994</v>
      </c>
      <c r="Z16" s="102">
        <v>25.900000000000006</v>
      </c>
      <c r="AA16" s="102">
        <v>49.1</v>
      </c>
      <c r="AB16" s="102">
        <v>41.399999999999991</v>
      </c>
      <c r="AC16" s="102">
        <v>38.400000000000006</v>
      </c>
      <c r="AD16" s="102">
        <v>69.100000000000009</v>
      </c>
      <c r="AE16" s="101"/>
      <c r="AF16" s="103">
        <f t="shared" si="0"/>
        <v>54.989999999999995</v>
      </c>
      <c r="AG16" s="67">
        <f t="shared" si="1"/>
        <v>61.315714285714307</v>
      </c>
      <c r="AH16" s="348"/>
      <c r="AI16" s="488">
        <v>62.71</v>
      </c>
      <c r="AJ16" s="488">
        <v>58.86</v>
      </c>
    </row>
    <row r="17" spans="1:36" x14ac:dyDescent="0.25">
      <c r="A17" s="99" t="s">
        <v>90</v>
      </c>
      <c r="B17" s="99">
        <v>10</v>
      </c>
      <c r="C17" s="100">
        <v>200.8</v>
      </c>
      <c r="D17" s="100">
        <v>249.3</v>
      </c>
      <c r="E17" s="100">
        <v>219.4</v>
      </c>
      <c r="F17" s="100">
        <v>273.10000000000002</v>
      </c>
      <c r="G17" s="100">
        <v>266.89999999999998</v>
      </c>
      <c r="H17" s="100">
        <v>223.4</v>
      </c>
      <c r="I17" s="100">
        <v>267.60000000000002</v>
      </c>
      <c r="J17" s="100">
        <v>212.7</v>
      </c>
      <c r="K17" s="100">
        <v>232.5</v>
      </c>
      <c r="L17" s="100">
        <v>292.2</v>
      </c>
      <c r="M17" s="101">
        <v>276</v>
      </c>
      <c r="N17" s="101">
        <v>226.3</v>
      </c>
      <c r="O17" s="101">
        <v>220.2</v>
      </c>
      <c r="P17" s="102">
        <v>288.3</v>
      </c>
      <c r="Q17" s="102">
        <v>137.69999999999999</v>
      </c>
      <c r="R17" s="102">
        <v>278.60000000000002</v>
      </c>
      <c r="S17" s="102">
        <v>287.8</v>
      </c>
      <c r="T17" s="102">
        <v>241.6</v>
      </c>
      <c r="U17" s="102">
        <v>235.5</v>
      </c>
      <c r="V17" s="102">
        <v>242.50000000000003</v>
      </c>
      <c r="W17" s="102">
        <v>208.5</v>
      </c>
      <c r="X17" s="102">
        <v>224.30000000000004</v>
      </c>
      <c r="Y17" s="102">
        <v>249.8</v>
      </c>
      <c r="Z17" s="102">
        <v>194.20000000000002</v>
      </c>
      <c r="AA17" s="102">
        <v>153.99999999999997</v>
      </c>
      <c r="AB17" s="102">
        <v>289.40000000000003</v>
      </c>
      <c r="AC17" s="102">
        <v>236.5</v>
      </c>
      <c r="AD17" s="102">
        <v>270.3</v>
      </c>
      <c r="AE17" s="101"/>
      <c r="AF17" s="103">
        <f t="shared" si="0"/>
        <v>227.63000000000002</v>
      </c>
      <c r="AG17" s="67">
        <f t="shared" si="1"/>
        <v>248.0842857142857</v>
      </c>
      <c r="AH17" s="348"/>
      <c r="AI17" s="488">
        <v>239.46000000000004</v>
      </c>
      <c r="AJ17" s="488">
        <v>244.27500000000003</v>
      </c>
    </row>
    <row r="18" spans="1:36" x14ac:dyDescent="0.25">
      <c r="A18" s="99" t="s">
        <v>91</v>
      </c>
      <c r="B18" s="99">
        <v>11</v>
      </c>
      <c r="C18" s="100">
        <v>312.5</v>
      </c>
      <c r="D18" s="100">
        <v>379</v>
      </c>
      <c r="E18" s="100">
        <v>511.4</v>
      </c>
      <c r="F18" s="100">
        <v>512.1</v>
      </c>
      <c r="G18" s="100">
        <v>466.5</v>
      </c>
      <c r="H18" s="100">
        <v>392.6</v>
      </c>
      <c r="I18" s="100">
        <v>367.5</v>
      </c>
      <c r="J18" s="100">
        <v>432</v>
      </c>
      <c r="K18" s="100">
        <v>325.8</v>
      </c>
      <c r="L18" s="100">
        <v>445</v>
      </c>
      <c r="M18" s="101">
        <v>398.5</v>
      </c>
      <c r="N18" s="101">
        <v>379.1</v>
      </c>
      <c r="O18" s="101">
        <v>388.4</v>
      </c>
      <c r="P18" s="102">
        <v>382.2</v>
      </c>
      <c r="Q18" s="102">
        <v>462.5</v>
      </c>
      <c r="R18" s="102">
        <v>451.6</v>
      </c>
      <c r="S18" s="102">
        <v>361.2</v>
      </c>
      <c r="T18" s="102">
        <v>405.3</v>
      </c>
      <c r="U18" s="102">
        <v>342.1</v>
      </c>
      <c r="V18" s="102">
        <v>433.99999999999994</v>
      </c>
      <c r="W18" s="102">
        <v>478.20000000000005</v>
      </c>
      <c r="X18" s="102">
        <v>482.1</v>
      </c>
      <c r="Y18" s="102">
        <v>345</v>
      </c>
      <c r="Z18" s="102">
        <v>337.80000000000007</v>
      </c>
      <c r="AA18" s="102">
        <v>414.2</v>
      </c>
      <c r="AB18" s="102">
        <v>494.1</v>
      </c>
      <c r="AC18" s="102">
        <v>513.30000000000007</v>
      </c>
      <c r="AD18" s="102">
        <v>334.79999999999995</v>
      </c>
      <c r="AE18" s="101"/>
      <c r="AF18" s="103">
        <f t="shared" si="0"/>
        <v>424.61</v>
      </c>
      <c r="AG18" s="67">
        <f t="shared" si="1"/>
        <v>385.99142857142857</v>
      </c>
      <c r="AH18" s="348"/>
      <c r="AI18" s="488">
        <v>414.42000000000007</v>
      </c>
      <c r="AJ18" s="488">
        <v>412.58500000000004</v>
      </c>
    </row>
    <row r="19" spans="1:36" x14ac:dyDescent="0.25">
      <c r="A19" s="99" t="s">
        <v>92</v>
      </c>
      <c r="B19" s="99">
        <v>12</v>
      </c>
      <c r="C19" s="100">
        <v>503.5</v>
      </c>
      <c r="D19" s="100">
        <v>562.5</v>
      </c>
      <c r="E19" s="100">
        <v>717.5</v>
      </c>
      <c r="F19" s="100">
        <v>571.6</v>
      </c>
      <c r="G19" s="100">
        <v>586.20000000000005</v>
      </c>
      <c r="H19" s="100">
        <v>535.1</v>
      </c>
      <c r="I19" s="100">
        <v>579.29999999999995</v>
      </c>
      <c r="J19" s="100">
        <v>780.3</v>
      </c>
      <c r="K19" s="100">
        <v>505</v>
      </c>
      <c r="L19" s="100">
        <v>619.4</v>
      </c>
      <c r="M19" s="101">
        <v>561.5</v>
      </c>
      <c r="N19" s="101">
        <v>643.4</v>
      </c>
      <c r="O19" s="101">
        <v>665.3</v>
      </c>
      <c r="P19" s="102">
        <v>500.5</v>
      </c>
      <c r="Q19" s="102">
        <v>630.70000000000005</v>
      </c>
      <c r="R19" s="102">
        <v>654.6</v>
      </c>
      <c r="S19" s="102">
        <v>631.29999999999995</v>
      </c>
      <c r="T19" s="102">
        <v>676.2</v>
      </c>
      <c r="U19" s="102">
        <v>534</v>
      </c>
      <c r="V19" s="102">
        <v>533.50000000000011</v>
      </c>
      <c r="W19" s="102">
        <v>687.9</v>
      </c>
      <c r="X19" s="102">
        <v>557.29999999999995</v>
      </c>
      <c r="Y19" s="102">
        <v>429.70000000000005</v>
      </c>
      <c r="Z19" s="102">
        <v>607.99999999999989</v>
      </c>
      <c r="AA19" s="102">
        <v>718.49999999999989</v>
      </c>
      <c r="AB19" s="102">
        <v>563.60000000000014</v>
      </c>
      <c r="AC19" s="102">
        <v>582.4</v>
      </c>
      <c r="AD19" s="102">
        <v>567.29999999999995</v>
      </c>
      <c r="AE19" s="101"/>
      <c r="AF19" s="103">
        <f t="shared" si="0"/>
        <v>589.11</v>
      </c>
      <c r="AG19" s="67">
        <f t="shared" si="1"/>
        <v>629.05999999999995</v>
      </c>
      <c r="AH19" s="348"/>
      <c r="AI19" s="488">
        <v>583.56999999999994</v>
      </c>
      <c r="AJ19" s="488">
        <v>594.14</v>
      </c>
    </row>
    <row r="20" spans="1:36" x14ac:dyDescent="0.25">
      <c r="A20" s="99"/>
      <c r="B20" s="99"/>
      <c r="C20" s="99"/>
      <c r="D20" s="99"/>
      <c r="E20" s="99"/>
      <c r="F20" s="99"/>
      <c r="G20" s="99"/>
      <c r="H20" s="87"/>
      <c r="I20" s="87"/>
      <c r="J20" s="87"/>
      <c r="K20" s="87"/>
      <c r="L20" s="87"/>
      <c r="M20" s="88"/>
      <c r="N20" s="88"/>
      <c r="O20" s="88"/>
      <c r="P20" s="98"/>
      <c r="Q20" s="98"/>
      <c r="R20" s="105"/>
      <c r="S20" s="105"/>
      <c r="T20" s="105"/>
      <c r="U20" s="105"/>
      <c r="V20" s="105"/>
      <c r="W20" s="105"/>
      <c r="X20" s="105"/>
      <c r="Y20" s="105"/>
      <c r="Z20" s="105"/>
      <c r="AA20" s="105"/>
      <c r="AB20" s="105"/>
      <c r="AC20" s="105"/>
      <c r="AD20" s="105"/>
      <c r="AE20" s="106"/>
      <c r="AF20" s="87"/>
      <c r="AG20" s="87"/>
      <c r="AH20" s="346"/>
      <c r="AI20" s="489"/>
      <c r="AJ20" s="489"/>
    </row>
    <row r="21" spans="1:36" x14ac:dyDescent="0.25">
      <c r="A21" s="99" t="s">
        <v>10</v>
      </c>
      <c r="B21" s="99"/>
      <c r="C21" s="100">
        <v>3465.1</v>
      </c>
      <c r="D21" s="100">
        <v>4109.7999999999993</v>
      </c>
      <c r="E21" s="100">
        <v>4042</v>
      </c>
      <c r="F21" s="100">
        <v>4176.8</v>
      </c>
      <c r="G21" s="100">
        <v>4033.9000000000005</v>
      </c>
      <c r="H21" s="100">
        <v>3220.2999999999997</v>
      </c>
      <c r="I21" s="100">
        <v>3539.3999999999996</v>
      </c>
      <c r="J21" s="100">
        <v>3826.0999999999995</v>
      </c>
      <c r="K21" s="100">
        <v>3420.4000000000005</v>
      </c>
      <c r="L21" s="100">
        <v>3629.7999999999997</v>
      </c>
      <c r="M21" s="101">
        <v>3981.5</v>
      </c>
      <c r="N21" s="101">
        <v>3797.9000000000005</v>
      </c>
      <c r="O21" s="101">
        <v>3796.8</v>
      </c>
      <c r="P21" s="102">
        <v>3378.4999999999995</v>
      </c>
      <c r="Q21" s="102">
        <v>3719.3999999999996</v>
      </c>
      <c r="R21" s="102">
        <v>3835.9999999999995</v>
      </c>
      <c r="S21" s="102">
        <v>3835.8</v>
      </c>
      <c r="T21" s="102">
        <v>3500.8999999999996</v>
      </c>
      <c r="U21" s="102">
        <v>3647.4999999999995</v>
      </c>
      <c r="V21" s="102">
        <f t="shared" ref="V21:AJ21" si="2">SUM(V8:V19)</f>
        <v>3215.4000000000005</v>
      </c>
      <c r="W21" s="102">
        <f t="shared" si="2"/>
        <v>3774.7000000000003</v>
      </c>
      <c r="X21" s="102">
        <f t="shared" si="2"/>
        <v>4102.8999999999996</v>
      </c>
      <c r="Y21" s="102">
        <f t="shared" si="2"/>
        <v>3765.5</v>
      </c>
      <c r="Z21" s="102">
        <f t="shared" si="2"/>
        <v>3462.2999999999997</v>
      </c>
      <c r="AA21" s="102">
        <f t="shared" si="2"/>
        <v>3501.8999999999996</v>
      </c>
      <c r="AB21" s="102">
        <f t="shared" si="2"/>
        <v>3758.3</v>
      </c>
      <c r="AC21" s="102">
        <f t="shared" si="2"/>
        <v>3914.900000000001</v>
      </c>
      <c r="AD21" s="102">
        <f t="shared" si="2"/>
        <v>3512.0000000000009</v>
      </c>
      <c r="AE21" s="101"/>
      <c r="AF21" s="102">
        <f t="shared" si="2"/>
        <v>3681.61</v>
      </c>
      <c r="AG21" s="102">
        <f t="shared" si="2"/>
        <v>3718.94</v>
      </c>
      <c r="AH21" s="348"/>
      <c r="AI21" s="492">
        <f t="shared" si="2"/>
        <v>3677.6600000000008</v>
      </c>
      <c r="AJ21" s="492">
        <f t="shared" si="2"/>
        <v>3709.9750000000004</v>
      </c>
    </row>
    <row r="22" spans="1:36" ht="14.55" customHeight="1" x14ac:dyDescent="0.25">
      <c r="A22" s="99" t="s">
        <v>327</v>
      </c>
      <c r="B22" s="90"/>
      <c r="C22" s="90"/>
      <c r="D22" s="90"/>
      <c r="E22" s="90"/>
      <c r="F22" s="65"/>
      <c r="G22" s="65"/>
      <c r="H22" s="87"/>
      <c r="I22" s="87"/>
      <c r="J22" s="87"/>
      <c r="K22" s="87"/>
      <c r="L22" s="87"/>
      <c r="M22" s="87"/>
      <c r="N22" s="87"/>
      <c r="O22" s="87"/>
      <c r="P22" s="87"/>
      <c r="Q22" s="484">
        <f>(Q21-P21)/P21</f>
        <v>0.10090276750037003</v>
      </c>
      <c r="R22" s="484">
        <f t="shared" ref="R22:AD22" si="3">(R21-Q21)/Q21</f>
        <v>3.1349142334785161E-2</v>
      </c>
      <c r="S22" s="484">
        <f t="shared" si="3"/>
        <v>-5.2137643378353332E-5</v>
      </c>
      <c r="T22" s="484">
        <f t="shared" si="3"/>
        <v>-8.7309035924709455E-2</v>
      </c>
      <c r="U22" s="484">
        <f t="shared" si="3"/>
        <v>4.1874946442343373E-2</v>
      </c>
      <c r="V22" s="484">
        <f t="shared" si="3"/>
        <v>-0.11846470185058233</v>
      </c>
      <c r="W22" s="484">
        <f t="shared" si="3"/>
        <v>0.17394414380792425</v>
      </c>
      <c r="X22" s="484">
        <f t="shared" si="3"/>
        <v>8.6947307070760413E-2</v>
      </c>
      <c r="Y22" s="484">
        <f t="shared" si="3"/>
        <v>-8.2234517048916544E-2</v>
      </c>
      <c r="Z22" s="484">
        <f t="shared" si="3"/>
        <v>-8.0520515203824264E-2</v>
      </c>
      <c r="AA22" s="484">
        <f t="shared" si="3"/>
        <v>1.1437483753574187E-2</v>
      </c>
      <c r="AB22" s="484">
        <f>(AB21-AA21)/AA21</f>
        <v>7.3217396270596119E-2</v>
      </c>
      <c r="AC22" s="484">
        <f t="shared" si="3"/>
        <v>4.1667775323949871E-2</v>
      </c>
      <c r="AD22" s="484">
        <f t="shared" si="3"/>
        <v>-0.10291450611765307</v>
      </c>
      <c r="AE22" s="88" t="s">
        <v>331</v>
      </c>
      <c r="AF22" s="484">
        <f>(AF21-AD21)/AD21</f>
        <v>4.8294419134396117E-2</v>
      </c>
      <c r="AG22" s="87"/>
      <c r="AH22" s="346" t="s">
        <v>330</v>
      </c>
      <c r="AI22" s="485">
        <f>(AA21-AI21)/AI21</f>
        <v>-4.7791258572027075E-2</v>
      </c>
      <c r="AJ22" s="485">
        <f>(AB21-AJ21)/AJ21</f>
        <v>1.3025694243222613E-2</v>
      </c>
    </row>
    <row r="23" spans="1:36" x14ac:dyDescent="0.25">
      <c r="A23" s="90" t="s">
        <v>93</v>
      </c>
      <c r="B23" s="90"/>
      <c r="C23" s="90"/>
      <c r="D23" s="90"/>
      <c r="E23" s="90"/>
      <c r="F23" s="65"/>
      <c r="G23" s="65"/>
      <c r="H23" s="87"/>
      <c r="I23" s="87"/>
      <c r="J23" s="87"/>
      <c r="K23" s="87"/>
      <c r="L23" s="87"/>
      <c r="M23" s="87"/>
      <c r="N23" s="87"/>
      <c r="O23" s="87"/>
      <c r="P23" s="87"/>
      <c r="Q23" s="87"/>
      <c r="R23" s="87"/>
      <c r="S23" s="87"/>
      <c r="T23" s="87"/>
      <c r="U23" s="87"/>
      <c r="V23" s="87"/>
      <c r="W23" s="87"/>
      <c r="X23" s="87"/>
      <c r="Y23" s="87"/>
      <c r="Z23" s="87"/>
      <c r="AA23" s="87"/>
      <c r="AB23" s="87"/>
      <c r="AC23" s="87"/>
      <c r="AD23" s="87"/>
      <c r="AE23" s="88"/>
      <c r="AF23" s="87"/>
      <c r="AG23" s="87"/>
      <c r="AH23" s="346"/>
      <c r="AI23" s="489"/>
      <c r="AJ23" s="489"/>
    </row>
    <row r="24" spans="1:36" x14ac:dyDescent="0.25">
      <c r="A24" s="91"/>
      <c r="B24" s="91"/>
      <c r="C24" s="91"/>
      <c r="D24" s="91"/>
      <c r="E24" s="91"/>
      <c r="F24" s="66"/>
      <c r="G24" s="66"/>
      <c r="H24" s="87"/>
      <c r="I24" s="87"/>
      <c r="J24" s="87"/>
      <c r="K24" s="87"/>
      <c r="L24" s="87"/>
      <c r="M24" s="87"/>
      <c r="N24" s="87"/>
      <c r="O24" s="87"/>
      <c r="P24" s="87"/>
      <c r="Q24" s="87"/>
      <c r="R24" s="87"/>
      <c r="S24" s="87"/>
      <c r="T24" s="87"/>
      <c r="U24" s="87"/>
      <c r="V24" s="87"/>
      <c r="W24" s="87"/>
      <c r="X24" s="87"/>
      <c r="Y24" s="87"/>
      <c r="Z24" s="87"/>
      <c r="AA24" s="87"/>
      <c r="AB24" s="87"/>
      <c r="AC24" s="87"/>
      <c r="AD24" s="87"/>
      <c r="AE24" s="88"/>
      <c r="AF24" s="87"/>
      <c r="AG24" s="87"/>
      <c r="AH24" s="346"/>
      <c r="AI24" s="489"/>
      <c r="AJ24" s="489"/>
    </row>
    <row r="25" spans="1:36" x14ac:dyDescent="0.25">
      <c r="A25" s="92" t="s">
        <v>79</v>
      </c>
      <c r="B25" s="92"/>
      <c r="C25" s="92">
        <v>1993</v>
      </c>
      <c r="D25" s="92">
        <v>1994</v>
      </c>
      <c r="E25" s="92">
        <v>1995</v>
      </c>
      <c r="F25" s="92">
        <v>1996</v>
      </c>
      <c r="G25" s="92">
        <v>1997</v>
      </c>
      <c r="H25" s="92">
        <v>1998</v>
      </c>
      <c r="I25" s="92">
        <v>1999</v>
      </c>
      <c r="J25" s="92">
        <v>2000</v>
      </c>
      <c r="K25" s="92">
        <v>2001</v>
      </c>
      <c r="L25" s="92">
        <v>2002</v>
      </c>
      <c r="M25" s="93">
        <v>2003</v>
      </c>
      <c r="N25" s="93">
        <v>2004</v>
      </c>
      <c r="O25" s="93">
        <v>2005</v>
      </c>
      <c r="P25" s="94">
        <v>2006</v>
      </c>
      <c r="Q25" s="94">
        <v>2007</v>
      </c>
      <c r="R25" s="94">
        <v>2008</v>
      </c>
      <c r="S25" s="94">
        <v>2009</v>
      </c>
      <c r="T25" s="94">
        <v>2010</v>
      </c>
      <c r="U25" s="94">
        <v>2011</v>
      </c>
      <c r="V25" s="95">
        <v>2012</v>
      </c>
      <c r="W25" s="95">
        <v>2013</v>
      </c>
      <c r="X25" s="95">
        <v>2014</v>
      </c>
      <c r="Y25" s="95">
        <v>2015</v>
      </c>
      <c r="Z25" s="95">
        <v>2016</v>
      </c>
      <c r="AA25" s="95">
        <v>2017</v>
      </c>
      <c r="AB25" s="95">
        <v>2018</v>
      </c>
      <c r="AC25" s="95">
        <v>2019</v>
      </c>
      <c r="AD25" s="95">
        <v>2020</v>
      </c>
      <c r="AE25" s="96"/>
      <c r="AF25" s="97" t="s">
        <v>177</v>
      </c>
      <c r="AG25" s="97" t="s">
        <v>80</v>
      </c>
      <c r="AH25" s="345"/>
      <c r="AI25" s="490" t="s">
        <v>329</v>
      </c>
      <c r="AJ25" s="490" t="s">
        <v>80</v>
      </c>
    </row>
    <row r="26" spans="1:36" x14ac:dyDescent="0.25">
      <c r="A26" s="91"/>
      <c r="B26" s="91"/>
      <c r="C26" s="91"/>
      <c r="D26" s="91"/>
      <c r="E26" s="91"/>
      <c r="F26" s="65"/>
      <c r="G26" s="65"/>
      <c r="H26" s="87"/>
      <c r="I26" s="87"/>
      <c r="J26" s="87"/>
      <c r="K26" s="87"/>
      <c r="L26" s="87"/>
      <c r="M26" s="88"/>
      <c r="N26" s="88"/>
      <c r="O26" s="88"/>
      <c r="P26" s="98"/>
      <c r="Q26" s="98"/>
      <c r="R26" s="98"/>
      <c r="S26" s="98"/>
      <c r="T26" s="98"/>
      <c r="U26" s="98"/>
      <c r="V26" s="98"/>
      <c r="W26" s="98"/>
      <c r="X26" s="98"/>
      <c r="Y26" s="98"/>
      <c r="Z26" s="98"/>
      <c r="AA26" s="98"/>
      <c r="AB26" s="98"/>
      <c r="AC26" s="98"/>
      <c r="AD26" s="98"/>
      <c r="AE26" s="88"/>
      <c r="AF26" s="107"/>
      <c r="AG26" s="107"/>
      <c r="AH26" s="346"/>
      <c r="AI26" s="486"/>
      <c r="AJ26" s="486"/>
    </row>
    <row r="27" spans="1:36" x14ac:dyDescent="0.25">
      <c r="A27" s="87"/>
      <c r="B27" s="87"/>
      <c r="C27" s="87"/>
      <c r="D27" s="87"/>
      <c r="E27" s="87"/>
      <c r="F27" s="65"/>
      <c r="G27" s="65"/>
      <c r="H27" s="87"/>
      <c r="I27" s="87"/>
      <c r="J27" s="87"/>
      <c r="K27" s="87"/>
      <c r="L27" s="87"/>
      <c r="M27" s="88"/>
      <c r="N27" s="88"/>
      <c r="O27" s="88"/>
      <c r="P27" s="98"/>
      <c r="Q27" s="98"/>
      <c r="R27" s="98"/>
      <c r="S27" s="98"/>
      <c r="T27" s="98"/>
      <c r="U27" s="98"/>
      <c r="V27" s="98"/>
      <c r="W27" s="98"/>
      <c r="X27" s="98"/>
      <c r="Y27" s="98"/>
      <c r="Z27" s="98"/>
      <c r="AA27" s="98"/>
      <c r="AB27" s="98"/>
      <c r="AC27" s="98"/>
      <c r="AD27" s="98"/>
      <c r="AE27" s="88"/>
      <c r="AF27" s="107"/>
      <c r="AG27" s="107"/>
      <c r="AH27" s="346"/>
      <c r="AI27" s="486"/>
      <c r="AJ27" s="486"/>
    </row>
    <row r="28" spans="1:36" x14ac:dyDescent="0.25">
      <c r="A28" s="99" t="s">
        <v>81</v>
      </c>
      <c r="B28" s="99">
        <v>1</v>
      </c>
      <c r="C28" s="100">
        <v>0</v>
      </c>
      <c r="D28" s="100">
        <v>0</v>
      </c>
      <c r="E28" s="100">
        <v>0</v>
      </c>
      <c r="F28" s="100">
        <v>0</v>
      </c>
      <c r="G28" s="100">
        <v>0</v>
      </c>
      <c r="H28" s="100">
        <v>0</v>
      </c>
      <c r="I28" s="100">
        <v>0</v>
      </c>
      <c r="J28" s="100">
        <v>0</v>
      </c>
      <c r="K28" s="100">
        <v>0</v>
      </c>
      <c r="L28" s="100">
        <v>0</v>
      </c>
      <c r="M28" s="101">
        <v>0</v>
      </c>
      <c r="N28" s="101">
        <v>0</v>
      </c>
      <c r="O28" s="101">
        <v>0</v>
      </c>
      <c r="P28" s="102">
        <v>0</v>
      </c>
      <c r="Q28" s="102">
        <v>0</v>
      </c>
      <c r="R28" s="102">
        <v>0</v>
      </c>
      <c r="S28" s="102">
        <v>0</v>
      </c>
      <c r="T28" s="102">
        <v>0</v>
      </c>
      <c r="U28" s="102">
        <v>0</v>
      </c>
      <c r="V28" s="102">
        <v>0</v>
      </c>
      <c r="W28" s="102">
        <v>0</v>
      </c>
      <c r="X28" s="102">
        <v>0</v>
      </c>
      <c r="Y28" s="102">
        <v>0</v>
      </c>
      <c r="Z28" s="102">
        <v>0</v>
      </c>
      <c r="AA28" s="102">
        <v>0</v>
      </c>
      <c r="AB28" s="102">
        <v>0</v>
      </c>
      <c r="AC28" s="102">
        <v>0</v>
      </c>
      <c r="AD28" s="102">
        <v>0</v>
      </c>
      <c r="AE28" s="101"/>
      <c r="AF28" s="103">
        <f t="shared" ref="AF28:AF32" si="4">AVERAGE(U28:AD28)</f>
        <v>0</v>
      </c>
      <c r="AG28" s="264">
        <f>TREND(K28:AD28)</f>
        <v>0</v>
      </c>
      <c r="AH28" s="347"/>
      <c r="AI28" s="488">
        <v>0</v>
      </c>
      <c r="AJ28" s="487">
        <v>0</v>
      </c>
    </row>
    <row r="29" spans="1:36" x14ac:dyDescent="0.25">
      <c r="A29" s="99" t="s">
        <v>82</v>
      </c>
      <c r="B29" s="99">
        <v>2</v>
      </c>
      <c r="C29" s="100">
        <v>0</v>
      </c>
      <c r="D29" s="100">
        <v>0</v>
      </c>
      <c r="E29" s="100">
        <v>0</v>
      </c>
      <c r="F29" s="100">
        <v>0</v>
      </c>
      <c r="G29" s="100">
        <v>0</v>
      </c>
      <c r="H29" s="100">
        <v>0</v>
      </c>
      <c r="I29" s="100">
        <v>0</v>
      </c>
      <c r="J29" s="100">
        <v>0</v>
      </c>
      <c r="K29" s="100">
        <v>0</v>
      </c>
      <c r="L29" s="100">
        <v>0</v>
      </c>
      <c r="M29" s="101">
        <v>0</v>
      </c>
      <c r="N29" s="101">
        <v>0</v>
      </c>
      <c r="O29" s="101">
        <v>0</v>
      </c>
      <c r="P29" s="102">
        <v>0</v>
      </c>
      <c r="Q29" s="102">
        <v>0</v>
      </c>
      <c r="R29" s="102">
        <v>0</v>
      </c>
      <c r="S29" s="102">
        <v>0</v>
      </c>
      <c r="T29" s="102">
        <v>0</v>
      </c>
      <c r="U29" s="102">
        <v>0</v>
      </c>
      <c r="V29" s="102">
        <v>0</v>
      </c>
      <c r="W29" s="102">
        <v>0</v>
      </c>
      <c r="X29" s="102">
        <v>0</v>
      </c>
      <c r="Y29" s="102">
        <v>0</v>
      </c>
      <c r="Z29" s="102">
        <v>0</v>
      </c>
      <c r="AA29" s="102">
        <v>0</v>
      </c>
      <c r="AB29" s="102">
        <v>0</v>
      </c>
      <c r="AC29" s="102">
        <v>0</v>
      </c>
      <c r="AD29" s="102">
        <v>0</v>
      </c>
      <c r="AE29" s="101"/>
      <c r="AF29" s="103">
        <f t="shared" si="4"/>
        <v>0</v>
      </c>
      <c r="AG29" s="264">
        <f t="shared" ref="AG29:AG39" si="5">TREND(K29:AD29)</f>
        <v>0</v>
      </c>
      <c r="AH29" s="347"/>
      <c r="AI29" s="488">
        <v>0</v>
      </c>
      <c r="AJ29" s="487">
        <v>0</v>
      </c>
    </row>
    <row r="30" spans="1:36" x14ac:dyDescent="0.25">
      <c r="A30" s="99" t="s">
        <v>83</v>
      </c>
      <c r="B30" s="99">
        <v>3</v>
      </c>
      <c r="C30" s="100">
        <v>0</v>
      </c>
      <c r="D30" s="100">
        <v>0</v>
      </c>
      <c r="E30" s="100">
        <v>0</v>
      </c>
      <c r="F30" s="100">
        <v>0</v>
      </c>
      <c r="G30" s="100">
        <v>0</v>
      </c>
      <c r="H30" s="100">
        <v>0</v>
      </c>
      <c r="I30" s="100">
        <v>0</v>
      </c>
      <c r="J30" s="100">
        <v>0</v>
      </c>
      <c r="K30" s="100">
        <v>0</v>
      </c>
      <c r="L30" s="100">
        <v>0</v>
      </c>
      <c r="M30" s="101">
        <v>0</v>
      </c>
      <c r="N30" s="101">
        <v>0</v>
      </c>
      <c r="O30" s="101">
        <v>0</v>
      </c>
      <c r="P30" s="102">
        <v>0</v>
      </c>
      <c r="Q30" s="102">
        <v>0</v>
      </c>
      <c r="R30" s="102">
        <v>0</v>
      </c>
      <c r="S30" s="102">
        <v>0</v>
      </c>
      <c r="T30" s="102">
        <v>0</v>
      </c>
      <c r="U30" s="102">
        <v>0</v>
      </c>
      <c r="V30" s="102">
        <v>0.2</v>
      </c>
      <c r="W30" s="102">
        <v>0</v>
      </c>
      <c r="X30" s="102">
        <v>0</v>
      </c>
      <c r="Y30" s="102">
        <v>0</v>
      </c>
      <c r="Z30" s="102">
        <v>0</v>
      </c>
      <c r="AA30" s="102">
        <v>0</v>
      </c>
      <c r="AB30" s="102">
        <v>0</v>
      </c>
      <c r="AC30" s="102">
        <v>0</v>
      </c>
      <c r="AD30" s="102">
        <v>0</v>
      </c>
      <c r="AE30" s="101"/>
      <c r="AF30" s="103">
        <f t="shared" si="4"/>
        <v>0.02</v>
      </c>
      <c r="AG30" s="264">
        <f t="shared" si="5"/>
        <v>5.7142857142857169E-3</v>
      </c>
      <c r="AH30" s="347"/>
      <c r="AI30" s="488">
        <v>0.02</v>
      </c>
      <c r="AJ30" s="487">
        <v>0.01</v>
      </c>
    </row>
    <row r="31" spans="1:36" x14ac:dyDescent="0.25">
      <c r="A31" s="99" t="s">
        <v>84</v>
      </c>
      <c r="B31" s="99">
        <v>4</v>
      </c>
      <c r="C31" s="100">
        <v>0</v>
      </c>
      <c r="D31" s="100">
        <v>0.5</v>
      </c>
      <c r="E31" s="100">
        <v>0</v>
      </c>
      <c r="F31" s="100">
        <v>0</v>
      </c>
      <c r="G31" s="100">
        <v>0</v>
      </c>
      <c r="H31" s="100">
        <v>0</v>
      </c>
      <c r="I31" s="100">
        <v>0</v>
      </c>
      <c r="J31" s="100">
        <v>0</v>
      </c>
      <c r="K31" s="100">
        <v>1.4</v>
      </c>
      <c r="L31" s="100">
        <v>8.3000000000000007</v>
      </c>
      <c r="M31" s="101">
        <v>2.4</v>
      </c>
      <c r="N31" s="101">
        <v>0</v>
      </c>
      <c r="O31" s="101">
        <v>0</v>
      </c>
      <c r="P31" s="102">
        <v>0</v>
      </c>
      <c r="Q31" s="102">
        <v>0</v>
      </c>
      <c r="R31" s="102">
        <v>0</v>
      </c>
      <c r="S31" s="102">
        <v>1.2</v>
      </c>
      <c r="T31" s="102">
        <v>0</v>
      </c>
      <c r="U31" s="102">
        <v>0</v>
      </c>
      <c r="V31" s="102">
        <v>0</v>
      </c>
      <c r="W31" s="102">
        <v>0</v>
      </c>
      <c r="X31" s="102">
        <v>0</v>
      </c>
      <c r="Y31" s="102">
        <v>0</v>
      </c>
      <c r="Z31" s="102">
        <v>0</v>
      </c>
      <c r="AA31" s="102">
        <v>0</v>
      </c>
      <c r="AB31" s="102">
        <v>0</v>
      </c>
      <c r="AC31" s="102">
        <v>0</v>
      </c>
      <c r="AD31" s="102">
        <v>0</v>
      </c>
      <c r="AE31" s="101"/>
      <c r="AF31" s="103">
        <f t="shared" si="4"/>
        <v>0</v>
      </c>
      <c r="AG31" s="264">
        <f t="shared" si="5"/>
        <v>2.145714285714285</v>
      </c>
      <c r="AH31" s="347"/>
      <c r="AI31" s="488">
        <v>0.12</v>
      </c>
      <c r="AJ31" s="487">
        <v>0.66500000000000004</v>
      </c>
    </row>
    <row r="32" spans="1:36" x14ac:dyDescent="0.25">
      <c r="A32" s="99" t="s">
        <v>85</v>
      </c>
      <c r="B32" s="99">
        <v>5</v>
      </c>
      <c r="C32" s="100">
        <v>4.3</v>
      </c>
      <c r="D32" s="100">
        <v>8.1999999999999993</v>
      </c>
      <c r="E32" s="100">
        <v>3.5</v>
      </c>
      <c r="F32" s="100">
        <v>8.6</v>
      </c>
      <c r="G32" s="100">
        <v>0</v>
      </c>
      <c r="H32" s="100">
        <v>28.6</v>
      </c>
      <c r="I32" s="100">
        <v>19.399999999999999</v>
      </c>
      <c r="J32" s="100">
        <v>23.7</v>
      </c>
      <c r="K32" s="100">
        <v>12.2</v>
      </c>
      <c r="L32" s="100">
        <v>7.8</v>
      </c>
      <c r="M32" s="101">
        <v>0</v>
      </c>
      <c r="N32" s="101">
        <v>8.6</v>
      </c>
      <c r="O32" s="101">
        <v>0.8</v>
      </c>
      <c r="P32" s="102">
        <v>26</v>
      </c>
      <c r="Q32" s="102">
        <v>22.4</v>
      </c>
      <c r="R32" s="102">
        <v>2.5</v>
      </c>
      <c r="S32" s="102">
        <v>6.9</v>
      </c>
      <c r="T32" s="102">
        <v>45.7</v>
      </c>
      <c r="U32" s="102">
        <v>13</v>
      </c>
      <c r="V32" s="102">
        <v>36.700000000000003</v>
      </c>
      <c r="W32" s="102">
        <v>23.1</v>
      </c>
      <c r="X32" s="102">
        <v>11.9</v>
      </c>
      <c r="Y32" s="102">
        <v>34.1</v>
      </c>
      <c r="Z32" s="102">
        <v>36.9</v>
      </c>
      <c r="AA32" s="102">
        <v>9</v>
      </c>
      <c r="AB32" s="102">
        <v>43.4</v>
      </c>
      <c r="AC32" s="102">
        <v>0</v>
      </c>
      <c r="AD32" s="102">
        <v>24.2</v>
      </c>
      <c r="AE32" s="101"/>
      <c r="AF32" s="103">
        <f t="shared" si="4"/>
        <v>23.23</v>
      </c>
      <c r="AG32" s="264">
        <f t="shared" si="5"/>
        <v>8.9185714285714237</v>
      </c>
      <c r="AH32" s="347"/>
      <c r="AI32" s="488">
        <v>22.229999999999997</v>
      </c>
      <c r="AJ32" s="487">
        <v>16.600000000000001</v>
      </c>
    </row>
    <row r="33" spans="1:36" x14ac:dyDescent="0.25">
      <c r="A33" s="99" t="s">
        <v>86</v>
      </c>
      <c r="B33" s="99">
        <v>6</v>
      </c>
      <c r="C33" s="100">
        <v>17.899999999999999</v>
      </c>
      <c r="D33" s="100">
        <v>67.7</v>
      </c>
      <c r="E33" s="100">
        <v>77.900000000000006</v>
      </c>
      <c r="F33" s="100">
        <v>38.299999999999997</v>
      </c>
      <c r="G33" s="100">
        <v>73.2</v>
      </c>
      <c r="H33" s="100">
        <v>82.4</v>
      </c>
      <c r="I33" s="100">
        <v>96</v>
      </c>
      <c r="J33" s="100">
        <v>41.1</v>
      </c>
      <c r="K33" s="100">
        <v>79.7</v>
      </c>
      <c r="L33" s="100">
        <v>70</v>
      </c>
      <c r="M33" s="101">
        <v>52.9</v>
      </c>
      <c r="N33" s="101">
        <v>31.6</v>
      </c>
      <c r="O33" s="101">
        <v>146.30000000000001</v>
      </c>
      <c r="P33" s="102">
        <v>73.599999999999994</v>
      </c>
      <c r="Q33" s="102">
        <v>99.2</v>
      </c>
      <c r="R33" s="102">
        <v>71.5</v>
      </c>
      <c r="S33" s="102">
        <v>34.200000000000003</v>
      </c>
      <c r="T33" s="102">
        <v>58.7</v>
      </c>
      <c r="U33" s="102">
        <v>52.2</v>
      </c>
      <c r="V33" s="102">
        <v>101.60000000000001</v>
      </c>
      <c r="W33" s="104">
        <v>59.599999999999994</v>
      </c>
      <c r="X33" s="102">
        <v>68.099999999999994</v>
      </c>
      <c r="Y33" s="102">
        <v>32.299999999999997</v>
      </c>
      <c r="Z33" s="102">
        <v>83.7</v>
      </c>
      <c r="AA33" s="102">
        <v>68.2</v>
      </c>
      <c r="AB33" s="102">
        <v>60.5</v>
      </c>
      <c r="AC33" s="102">
        <v>41.300000000000004</v>
      </c>
      <c r="AD33" s="102">
        <v>97.700000000000017</v>
      </c>
      <c r="AE33" s="101"/>
      <c r="AF33" s="103">
        <f>AVERAGE(U33:AD33)</f>
        <v>66.52000000000001</v>
      </c>
      <c r="AG33" s="264">
        <f t="shared" si="5"/>
        <v>74.13000000000001</v>
      </c>
      <c r="AH33" s="347"/>
      <c r="AI33" s="488">
        <v>65.099999999999994</v>
      </c>
      <c r="AJ33" s="488">
        <v>68.124999999999986</v>
      </c>
    </row>
    <row r="34" spans="1:36" x14ac:dyDescent="0.25">
      <c r="A34" s="99" t="s">
        <v>87</v>
      </c>
      <c r="B34" s="99">
        <v>7</v>
      </c>
      <c r="C34" s="100">
        <v>107.8</v>
      </c>
      <c r="D34" s="100">
        <v>111.2</v>
      </c>
      <c r="E34" s="100">
        <v>130.9</v>
      </c>
      <c r="F34" s="100">
        <v>59.6</v>
      </c>
      <c r="G34" s="100">
        <v>103</v>
      </c>
      <c r="H34" s="100">
        <v>101.3</v>
      </c>
      <c r="I34" s="100">
        <v>196.5</v>
      </c>
      <c r="J34" s="100">
        <v>71.8</v>
      </c>
      <c r="K34" s="100">
        <v>100.9</v>
      </c>
      <c r="L34" s="100">
        <v>192.4</v>
      </c>
      <c r="M34" s="101">
        <v>118.3</v>
      </c>
      <c r="N34" s="101">
        <v>86.4</v>
      </c>
      <c r="O34" s="101">
        <v>188.7</v>
      </c>
      <c r="P34" s="102">
        <v>167.3</v>
      </c>
      <c r="Q34" s="102">
        <v>106.1</v>
      </c>
      <c r="R34" s="102">
        <v>111</v>
      </c>
      <c r="S34" s="102">
        <v>43.7</v>
      </c>
      <c r="T34" s="102">
        <v>164.9</v>
      </c>
      <c r="U34" s="102">
        <v>198.5</v>
      </c>
      <c r="V34" s="102">
        <v>190.09999999999997</v>
      </c>
      <c r="W34" s="102">
        <v>120.80000000000003</v>
      </c>
      <c r="X34" s="102">
        <v>71</v>
      </c>
      <c r="Y34" s="102">
        <v>114.29999999999998</v>
      </c>
      <c r="Z34" s="102">
        <v>176.89999999999998</v>
      </c>
      <c r="AA34" s="102">
        <v>116.49999999999999</v>
      </c>
      <c r="AB34" s="102">
        <v>167.8</v>
      </c>
      <c r="AC34" s="102">
        <v>166.90000000000003</v>
      </c>
      <c r="AD34" s="102">
        <v>215.7</v>
      </c>
      <c r="AE34" s="101"/>
      <c r="AF34" s="103">
        <f t="shared" ref="AF34:AF39" si="6">AVERAGE(U34:AD34)</f>
        <v>153.85</v>
      </c>
      <c r="AG34" s="264">
        <f t="shared" si="5"/>
        <v>122.69</v>
      </c>
      <c r="AH34" s="348"/>
      <c r="AI34" s="488">
        <v>128.76999999999998</v>
      </c>
      <c r="AJ34" s="488">
        <v>125.33000000000001</v>
      </c>
    </row>
    <row r="35" spans="1:36" x14ac:dyDescent="0.25">
      <c r="A35" s="99" t="s">
        <v>88</v>
      </c>
      <c r="B35" s="99">
        <v>8</v>
      </c>
      <c r="C35" s="100">
        <v>103.5</v>
      </c>
      <c r="D35" s="100">
        <v>46.4</v>
      </c>
      <c r="E35" s="100">
        <v>122.9</v>
      </c>
      <c r="F35" s="100">
        <v>87.1</v>
      </c>
      <c r="G35" s="100">
        <v>46.8</v>
      </c>
      <c r="H35" s="100">
        <v>117.7</v>
      </c>
      <c r="I35" s="100">
        <v>79.099999999999994</v>
      </c>
      <c r="J35" s="100">
        <v>92.5</v>
      </c>
      <c r="K35" s="100">
        <v>160</v>
      </c>
      <c r="L35" s="100">
        <v>142.69999999999999</v>
      </c>
      <c r="M35" s="101">
        <v>128</v>
      </c>
      <c r="N35" s="101">
        <v>59.6</v>
      </c>
      <c r="O35" s="101">
        <v>140.69999999999999</v>
      </c>
      <c r="P35" s="102">
        <v>101.6</v>
      </c>
      <c r="Q35" s="102">
        <v>141</v>
      </c>
      <c r="R35" s="102">
        <v>64</v>
      </c>
      <c r="S35" s="102">
        <v>91</v>
      </c>
      <c r="T35" s="102">
        <v>138.80000000000001</v>
      </c>
      <c r="U35" s="102">
        <v>122.2</v>
      </c>
      <c r="V35" s="102">
        <v>112.10000000000001</v>
      </c>
      <c r="W35" s="102">
        <v>93.799999999999983</v>
      </c>
      <c r="X35" s="102">
        <v>81.799999999999983</v>
      </c>
      <c r="Y35" s="102">
        <v>88.6</v>
      </c>
      <c r="Z35" s="102">
        <v>195.4</v>
      </c>
      <c r="AA35" s="102">
        <v>75.2</v>
      </c>
      <c r="AB35" s="102">
        <v>162.4</v>
      </c>
      <c r="AC35" s="102">
        <v>103.30000000000003</v>
      </c>
      <c r="AD35" s="102">
        <v>126.69999999999999</v>
      </c>
      <c r="AE35" s="101"/>
      <c r="AF35" s="103">
        <f>AVERAGE(U35:AD35)</f>
        <v>116.15</v>
      </c>
      <c r="AG35" s="264">
        <f t="shared" si="5"/>
        <v>118.71428571428569</v>
      </c>
      <c r="AH35" s="348"/>
      <c r="AI35" s="488">
        <v>103.49000000000001</v>
      </c>
      <c r="AJ35" s="488">
        <v>104.45499999999997</v>
      </c>
    </row>
    <row r="36" spans="1:36" x14ac:dyDescent="0.25">
      <c r="A36" s="99" t="s">
        <v>89</v>
      </c>
      <c r="B36" s="99">
        <v>9</v>
      </c>
      <c r="C36" s="100">
        <v>15.7</v>
      </c>
      <c r="D36" s="100">
        <v>13.7</v>
      </c>
      <c r="E36" s="100">
        <v>12.7</v>
      </c>
      <c r="F36" s="100">
        <v>27.1</v>
      </c>
      <c r="G36" s="100">
        <v>11.7</v>
      </c>
      <c r="H36" s="100">
        <v>45</v>
      </c>
      <c r="I36" s="100">
        <v>48.9</v>
      </c>
      <c r="J36" s="100">
        <v>35.200000000000003</v>
      </c>
      <c r="K36" s="100">
        <v>35.700000000000003</v>
      </c>
      <c r="L36" s="100">
        <v>87.6</v>
      </c>
      <c r="M36" s="101">
        <v>24</v>
      </c>
      <c r="N36" s="101">
        <v>41.2</v>
      </c>
      <c r="O36" s="101">
        <v>52.1</v>
      </c>
      <c r="P36" s="102">
        <v>12.9</v>
      </c>
      <c r="Q36" s="102">
        <v>47.5</v>
      </c>
      <c r="R36" s="102">
        <v>26.7</v>
      </c>
      <c r="S36" s="102">
        <v>20.9</v>
      </c>
      <c r="T36" s="102">
        <v>31.5</v>
      </c>
      <c r="U36" s="102">
        <v>39.700000000000003</v>
      </c>
      <c r="V36" s="102">
        <v>35.6</v>
      </c>
      <c r="W36" s="102">
        <v>28.099999999999998</v>
      </c>
      <c r="X36" s="102">
        <v>30.099999999999998</v>
      </c>
      <c r="Y36" s="102">
        <v>81.900000000000006</v>
      </c>
      <c r="Z36" s="102">
        <v>69.400000000000006</v>
      </c>
      <c r="AA36" s="102">
        <v>71.499999999999986</v>
      </c>
      <c r="AB36" s="102">
        <v>76.399999999999977</v>
      </c>
      <c r="AC36" s="102">
        <v>25.400000000000002</v>
      </c>
      <c r="AD36" s="102">
        <v>33.300000000000004</v>
      </c>
      <c r="AE36" s="101"/>
      <c r="AF36" s="103">
        <f t="shared" si="6"/>
        <v>49.14</v>
      </c>
      <c r="AG36" s="264">
        <f t="shared" si="5"/>
        <v>37.677142857142854</v>
      </c>
      <c r="AH36" s="348"/>
      <c r="AI36" s="488">
        <v>35.489999999999995</v>
      </c>
      <c r="AJ36" s="488">
        <v>38.17</v>
      </c>
    </row>
    <row r="37" spans="1:36" x14ac:dyDescent="0.25">
      <c r="A37" s="99" t="s">
        <v>90</v>
      </c>
      <c r="B37" s="99">
        <v>10</v>
      </c>
      <c r="C37" s="100">
        <v>2.5</v>
      </c>
      <c r="D37" s="100">
        <v>0</v>
      </c>
      <c r="E37" s="100">
        <v>3.2</v>
      </c>
      <c r="F37" s="100">
        <v>0</v>
      </c>
      <c r="G37" s="100">
        <v>2.8</v>
      </c>
      <c r="H37" s="100">
        <v>0</v>
      </c>
      <c r="I37" s="100">
        <v>0</v>
      </c>
      <c r="J37" s="100">
        <v>1.2</v>
      </c>
      <c r="K37" s="100">
        <v>2</v>
      </c>
      <c r="L37" s="100">
        <v>10</v>
      </c>
      <c r="M37" s="101">
        <v>0</v>
      </c>
      <c r="N37" s="101">
        <v>1.5</v>
      </c>
      <c r="O37" s="101">
        <v>7.6</v>
      </c>
      <c r="P37" s="102">
        <v>1.1000000000000001</v>
      </c>
      <c r="Q37" s="102">
        <v>19.8</v>
      </c>
      <c r="R37" s="102">
        <v>0</v>
      </c>
      <c r="S37" s="102">
        <v>0</v>
      </c>
      <c r="T37" s="102">
        <v>0</v>
      </c>
      <c r="U37" s="102">
        <v>2.4</v>
      </c>
      <c r="V37" s="102">
        <v>1.1000000000000001</v>
      </c>
      <c r="W37" s="102">
        <v>0.4</v>
      </c>
      <c r="X37" s="102">
        <v>1.3</v>
      </c>
      <c r="Y37" s="102">
        <v>0</v>
      </c>
      <c r="Z37" s="102">
        <v>4.0999999999999996</v>
      </c>
      <c r="AA37" s="102">
        <v>8.1</v>
      </c>
      <c r="AB37" s="102">
        <v>8.1999999999999993</v>
      </c>
      <c r="AC37" s="102">
        <v>5.0999999999999996</v>
      </c>
      <c r="AD37" s="102">
        <v>0</v>
      </c>
      <c r="AE37" s="101"/>
      <c r="AF37" s="103">
        <f t="shared" si="6"/>
        <v>3.0699999999999994</v>
      </c>
      <c r="AG37" s="264">
        <f t="shared" si="5"/>
        <v>4.225714285714286</v>
      </c>
      <c r="AH37" s="348"/>
      <c r="AI37" s="488">
        <v>2.6100000000000003</v>
      </c>
      <c r="AJ37" s="488">
        <v>2.5599999999999996</v>
      </c>
    </row>
    <row r="38" spans="1:36" x14ac:dyDescent="0.25">
      <c r="A38" s="99" t="s">
        <v>91</v>
      </c>
      <c r="B38" s="99">
        <v>11</v>
      </c>
      <c r="C38" s="100">
        <v>0</v>
      </c>
      <c r="D38" s="100">
        <v>0</v>
      </c>
      <c r="E38" s="100">
        <v>0</v>
      </c>
      <c r="F38" s="100">
        <v>0</v>
      </c>
      <c r="G38" s="100">
        <v>0</v>
      </c>
      <c r="H38" s="100">
        <v>0</v>
      </c>
      <c r="I38" s="100">
        <v>0</v>
      </c>
      <c r="J38" s="100">
        <v>0</v>
      </c>
      <c r="K38" s="100">
        <v>0</v>
      </c>
      <c r="L38" s="100">
        <v>0</v>
      </c>
      <c r="M38" s="101">
        <v>0</v>
      </c>
      <c r="N38" s="101">
        <v>0</v>
      </c>
      <c r="O38" s="101">
        <v>0</v>
      </c>
      <c r="P38" s="102">
        <v>0</v>
      </c>
      <c r="Q38" s="102">
        <v>0</v>
      </c>
      <c r="R38" s="102">
        <v>0</v>
      </c>
      <c r="S38" s="102">
        <v>0</v>
      </c>
      <c r="T38" s="102">
        <v>0</v>
      </c>
      <c r="U38" s="102">
        <v>0</v>
      </c>
      <c r="V38" s="102">
        <v>0</v>
      </c>
      <c r="W38" s="102">
        <v>0</v>
      </c>
      <c r="X38" s="102">
        <v>0</v>
      </c>
      <c r="Y38" s="102">
        <v>0</v>
      </c>
      <c r="Z38" s="102">
        <v>0</v>
      </c>
      <c r="AA38" s="102">
        <v>0</v>
      </c>
      <c r="AB38" s="102">
        <v>0</v>
      </c>
      <c r="AC38" s="102">
        <v>0</v>
      </c>
      <c r="AD38" s="102">
        <v>0</v>
      </c>
      <c r="AE38" s="101"/>
      <c r="AF38" s="103">
        <f t="shared" si="6"/>
        <v>0</v>
      </c>
      <c r="AG38" s="264">
        <f t="shared" si="5"/>
        <v>0</v>
      </c>
      <c r="AH38" s="348"/>
      <c r="AI38" s="488">
        <v>0</v>
      </c>
      <c r="AJ38" s="488">
        <v>0</v>
      </c>
    </row>
    <row r="39" spans="1:36" x14ac:dyDescent="0.25">
      <c r="A39" s="99" t="s">
        <v>92</v>
      </c>
      <c r="B39" s="99">
        <v>12</v>
      </c>
      <c r="C39" s="100">
        <v>0</v>
      </c>
      <c r="D39" s="100">
        <v>0</v>
      </c>
      <c r="E39" s="100">
        <v>0</v>
      </c>
      <c r="F39" s="100">
        <v>0</v>
      </c>
      <c r="G39" s="100">
        <v>0</v>
      </c>
      <c r="H39" s="100">
        <v>0</v>
      </c>
      <c r="I39" s="100">
        <v>0</v>
      </c>
      <c r="J39" s="100">
        <v>0</v>
      </c>
      <c r="K39" s="100">
        <v>0</v>
      </c>
      <c r="L39" s="100">
        <v>0</v>
      </c>
      <c r="M39" s="101">
        <v>0</v>
      </c>
      <c r="N39" s="101">
        <v>0</v>
      </c>
      <c r="O39" s="101">
        <v>0</v>
      </c>
      <c r="P39" s="102">
        <v>0</v>
      </c>
      <c r="Q39" s="102">
        <v>0</v>
      </c>
      <c r="R39" s="102">
        <v>0</v>
      </c>
      <c r="S39" s="102">
        <v>0</v>
      </c>
      <c r="T39" s="102">
        <v>0</v>
      </c>
      <c r="U39" s="102">
        <v>0</v>
      </c>
      <c r="V39" s="102">
        <v>0</v>
      </c>
      <c r="W39" s="102">
        <v>0</v>
      </c>
      <c r="X39" s="102">
        <v>0</v>
      </c>
      <c r="Y39" s="102">
        <v>0</v>
      </c>
      <c r="Z39" s="102">
        <v>0</v>
      </c>
      <c r="AA39" s="102">
        <v>0</v>
      </c>
      <c r="AB39" s="102">
        <v>0</v>
      </c>
      <c r="AC39" s="102">
        <v>0</v>
      </c>
      <c r="AD39" s="102">
        <v>0</v>
      </c>
      <c r="AE39" s="101"/>
      <c r="AF39" s="103">
        <f t="shared" si="6"/>
        <v>0</v>
      </c>
      <c r="AG39" s="264">
        <f t="shared" si="5"/>
        <v>0</v>
      </c>
      <c r="AH39" s="348"/>
      <c r="AI39" s="488">
        <v>0</v>
      </c>
      <c r="AJ39" s="488">
        <v>0</v>
      </c>
    </row>
    <row r="40" spans="1:36" x14ac:dyDescent="0.25">
      <c r="A40" s="99"/>
      <c r="B40" s="99"/>
      <c r="C40" s="99"/>
      <c r="D40" s="99"/>
      <c r="E40" s="99"/>
      <c r="F40" s="99"/>
      <c r="G40" s="99"/>
      <c r="H40" s="65"/>
      <c r="I40" s="65"/>
      <c r="J40" s="87"/>
      <c r="K40" s="87"/>
      <c r="L40" s="87"/>
      <c r="M40" s="88"/>
      <c r="N40" s="88"/>
      <c r="O40" s="88"/>
      <c r="P40" s="98"/>
      <c r="Q40" s="98"/>
      <c r="R40" s="105"/>
      <c r="S40" s="105"/>
      <c r="T40" s="105"/>
      <c r="U40" s="105"/>
      <c r="V40" s="105"/>
      <c r="W40" s="105"/>
      <c r="X40" s="105"/>
      <c r="Y40" s="105"/>
      <c r="Z40" s="105"/>
      <c r="AA40" s="105"/>
      <c r="AB40" s="105"/>
      <c r="AC40" s="105"/>
      <c r="AD40" s="105"/>
      <c r="AE40" s="106"/>
      <c r="AF40" s="87"/>
      <c r="AG40" s="87"/>
      <c r="AH40" s="87"/>
      <c r="AI40" s="87"/>
    </row>
    <row r="41" spans="1:36" x14ac:dyDescent="0.25">
      <c r="A41" s="99" t="s">
        <v>10</v>
      </c>
      <c r="B41" s="99"/>
      <c r="C41" s="100">
        <v>251.7</v>
      </c>
      <c r="D41" s="100">
        <v>247.70000000000002</v>
      </c>
      <c r="E41" s="100">
        <v>351.1</v>
      </c>
      <c r="F41" s="100">
        <v>220.7</v>
      </c>
      <c r="G41" s="100">
        <v>237.5</v>
      </c>
      <c r="H41" s="100">
        <v>375</v>
      </c>
      <c r="I41" s="100">
        <v>439.9</v>
      </c>
      <c r="J41" s="100">
        <v>265.5</v>
      </c>
      <c r="K41" s="100">
        <v>391.9</v>
      </c>
      <c r="L41" s="100">
        <v>518.79999999999995</v>
      </c>
      <c r="M41" s="101">
        <v>325.60000000000002</v>
      </c>
      <c r="N41" s="101">
        <v>228.90000000000003</v>
      </c>
      <c r="O41" s="101">
        <v>536.20000000000005</v>
      </c>
      <c r="P41" s="102">
        <v>382.5</v>
      </c>
      <c r="Q41" s="102">
        <v>436</v>
      </c>
      <c r="R41" s="102">
        <v>275.7</v>
      </c>
      <c r="S41" s="102">
        <v>197.9</v>
      </c>
      <c r="T41" s="102">
        <v>439.6</v>
      </c>
      <c r="U41" s="102">
        <v>427.99999999999994</v>
      </c>
      <c r="V41" s="102">
        <f t="shared" ref="V41:AG41" si="7">SUM(V28:V39)</f>
        <v>477.40000000000003</v>
      </c>
      <c r="W41" s="102">
        <f t="shared" si="7"/>
        <v>325.79999999999995</v>
      </c>
      <c r="X41" s="102">
        <f t="shared" si="7"/>
        <v>264.2</v>
      </c>
      <c r="Y41" s="102">
        <f t="shared" si="7"/>
        <v>351.19999999999993</v>
      </c>
      <c r="Z41" s="102">
        <f t="shared" si="7"/>
        <v>566.4</v>
      </c>
      <c r="AA41" s="102">
        <f t="shared" si="7"/>
        <v>348.5</v>
      </c>
      <c r="AB41" s="102">
        <f t="shared" si="7"/>
        <v>518.70000000000005</v>
      </c>
      <c r="AC41" s="102">
        <f>SUM(AC28:AC39)</f>
        <v>342.00000000000006</v>
      </c>
      <c r="AD41" s="102">
        <f t="shared" si="7"/>
        <v>497.6</v>
      </c>
      <c r="AE41" s="101"/>
      <c r="AF41" s="102">
        <f t="shared" si="7"/>
        <v>411.97999999999996</v>
      </c>
      <c r="AG41" s="102">
        <f t="shared" si="7"/>
        <v>368.50714285714275</v>
      </c>
      <c r="AH41" s="87"/>
      <c r="AI41" s="492">
        <f t="shared" ref="AI41:AJ41" si="8">SUM(AI28:AI39)</f>
        <v>357.83000000000004</v>
      </c>
      <c r="AJ41" s="492">
        <f t="shared" si="8"/>
        <v>355.91500000000002</v>
      </c>
    </row>
    <row r="42" spans="1:36" x14ac:dyDescent="0.25">
      <c r="A42" s="99" t="s">
        <v>327</v>
      </c>
      <c r="B42" s="99"/>
      <c r="C42" s="99"/>
      <c r="D42" s="99"/>
      <c r="E42" s="99"/>
      <c r="F42" s="65"/>
      <c r="G42" s="65"/>
      <c r="H42" s="65"/>
      <c r="I42" s="65"/>
      <c r="J42" s="65"/>
      <c r="K42" s="65"/>
      <c r="L42" s="65"/>
      <c r="M42" s="65"/>
      <c r="N42" s="65"/>
      <c r="O42" s="65"/>
      <c r="P42" s="65"/>
      <c r="Q42" s="484">
        <f>(Q41-P41)/P41</f>
        <v>0.13986928104575164</v>
      </c>
      <c r="R42" s="484">
        <f t="shared" ref="R42" si="9">(R41-Q41)/Q41</f>
        <v>-0.3676605504587156</v>
      </c>
      <c r="S42" s="484">
        <f t="shared" ref="S42" si="10">(S41-R41)/R41</f>
        <v>-0.2821907870874138</v>
      </c>
      <c r="T42" s="484">
        <f t="shared" ref="T42" si="11">(T41-S41)/S41</f>
        <v>1.2213239009600809</v>
      </c>
      <c r="U42" s="484">
        <f t="shared" ref="U42" si="12">(U41-T41)/T41</f>
        <v>-2.6387625113739942E-2</v>
      </c>
      <c r="V42" s="484">
        <f t="shared" ref="V42" si="13">(V41-U41)/U41</f>
        <v>0.11542056074766378</v>
      </c>
      <c r="W42" s="484">
        <f t="shared" ref="W42" si="14">(W41-V41)/V41</f>
        <v>-0.31755341432760803</v>
      </c>
      <c r="X42" s="484">
        <f t="shared" ref="X42" si="15">(X41-W41)/W41</f>
        <v>-0.18907305095150392</v>
      </c>
      <c r="Y42" s="484">
        <f t="shared" ref="Y42" si="16">(Y41-X41)/X41</f>
        <v>0.32929598788796344</v>
      </c>
      <c r="Z42" s="484">
        <f t="shared" ref="Z42" si="17">(Z41-Y41)/Y41</f>
        <v>0.61275626423690233</v>
      </c>
      <c r="AA42" s="484">
        <f t="shared" ref="AA42" si="18">(AA41-Z41)/Z41</f>
        <v>-0.38471045197740111</v>
      </c>
      <c r="AB42" s="484">
        <f>(AB41-AA41)/AA41</f>
        <v>0.48837876614060272</v>
      </c>
      <c r="AC42" s="484">
        <f t="shared" ref="AC42" si="19">(AC41-AB41)/AB41</f>
        <v>-0.34065934065934061</v>
      </c>
      <c r="AD42" s="484">
        <f t="shared" ref="AD42" si="20">(AD41-AC41)/AC41</f>
        <v>0.45497076023391797</v>
      </c>
      <c r="AE42" s="491" t="s">
        <v>331</v>
      </c>
      <c r="AF42" s="484">
        <f>(AF41-AD41)/AD41</f>
        <v>-0.17206591639871394</v>
      </c>
      <c r="AG42" s="87"/>
      <c r="AH42" s="87"/>
      <c r="AI42" s="485">
        <f>(AA41-AI41)/AI41</f>
        <v>-2.607383394349283E-2</v>
      </c>
      <c r="AJ42" s="485">
        <f>(AB41-AJ41)/AJ41</f>
        <v>0.45737043957124601</v>
      </c>
    </row>
    <row r="43" spans="1:36" x14ac:dyDescent="0.25">
      <c r="A43" s="99" t="s">
        <v>326</v>
      </c>
      <c r="B43" s="99"/>
      <c r="C43" s="99"/>
      <c r="D43" s="99"/>
      <c r="E43" s="99"/>
      <c r="F43" s="65"/>
      <c r="G43" s="65"/>
      <c r="H43" s="65"/>
      <c r="I43" s="65"/>
      <c r="J43" s="87"/>
      <c r="K43" s="87"/>
      <c r="L43" s="87"/>
      <c r="M43" s="87"/>
      <c r="N43" s="87"/>
      <c r="O43" s="87"/>
      <c r="P43" s="483">
        <f>SUM(P21,P41)</f>
        <v>3760.9999999999995</v>
      </c>
      <c r="Q43" s="483">
        <f t="shared" ref="Q43:AJ43" si="21">SUM(Q21,Q41)</f>
        <v>4155.3999999999996</v>
      </c>
      <c r="R43" s="483">
        <f t="shared" si="21"/>
        <v>4111.7</v>
      </c>
      <c r="S43" s="483">
        <f t="shared" si="21"/>
        <v>4033.7000000000003</v>
      </c>
      <c r="T43" s="483">
        <f t="shared" si="21"/>
        <v>3940.4999999999995</v>
      </c>
      <c r="U43" s="483">
        <f t="shared" si="21"/>
        <v>4075.4999999999995</v>
      </c>
      <c r="V43" s="483">
        <f t="shared" si="21"/>
        <v>3692.8000000000006</v>
      </c>
      <c r="W43" s="483">
        <f t="shared" si="21"/>
        <v>4100.5</v>
      </c>
      <c r="X43" s="483">
        <f t="shared" si="21"/>
        <v>4367.0999999999995</v>
      </c>
      <c r="Y43" s="483">
        <f t="shared" si="21"/>
        <v>4116.7</v>
      </c>
      <c r="Z43" s="483">
        <f t="shared" si="21"/>
        <v>4028.7</v>
      </c>
      <c r="AA43" s="483">
        <f t="shared" si="21"/>
        <v>3850.3999999999996</v>
      </c>
      <c r="AB43" s="483">
        <f t="shared" si="21"/>
        <v>4277</v>
      </c>
      <c r="AC43" s="483">
        <f t="shared" si="21"/>
        <v>4256.9000000000015</v>
      </c>
      <c r="AD43" s="483">
        <f t="shared" si="21"/>
        <v>4009.6000000000008</v>
      </c>
      <c r="AE43" s="483"/>
      <c r="AF43" s="483">
        <f t="shared" si="21"/>
        <v>4093.59</v>
      </c>
      <c r="AG43" s="483">
        <f t="shared" si="21"/>
        <v>4087.4471428571428</v>
      </c>
      <c r="AH43" s="87"/>
      <c r="AI43" s="483">
        <f t="shared" si="21"/>
        <v>4035.4900000000007</v>
      </c>
      <c r="AJ43" s="483">
        <f t="shared" si="21"/>
        <v>4065.8900000000003</v>
      </c>
    </row>
    <row r="44" spans="1:36" x14ac:dyDescent="0.25">
      <c r="A44" s="99" t="s">
        <v>327</v>
      </c>
      <c r="B44" s="90"/>
      <c r="C44" s="90"/>
      <c r="D44" s="90"/>
      <c r="E44" s="90"/>
      <c r="F44" s="65"/>
      <c r="G44" s="65"/>
      <c r="H44" s="87"/>
      <c r="I44" s="87"/>
      <c r="J44" s="87"/>
      <c r="K44" s="87"/>
      <c r="L44" s="87"/>
      <c r="M44" s="87"/>
      <c r="N44" s="87"/>
      <c r="O44" s="87"/>
      <c r="P44" s="87"/>
      <c r="Q44" s="484">
        <f>(Q43-P43)/P43</f>
        <v>0.10486572720021274</v>
      </c>
      <c r="R44" s="484">
        <f t="shared" ref="R44" si="22">(R43-Q43)/Q43</f>
        <v>-1.0516436444144924E-2</v>
      </c>
      <c r="S44" s="484">
        <f t="shared" ref="S44" si="23">(S43-R43)/R43</f>
        <v>-1.8970255612033842E-2</v>
      </c>
      <c r="T44" s="484">
        <f t="shared" ref="T44" si="24">(T43-S43)/S43</f>
        <v>-2.3105337531298988E-2</v>
      </c>
      <c r="U44" s="484">
        <f t="shared" ref="U44" si="25">(U43-T43)/T43</f>
        <v>3.4259611724400459E-2</v>
      </c>
      <c r="V44" s="484">
        <f t="shared" ref="V44" si="26">(V43-U43)/U43</f>
        <v>-9.390258863943049E-2</v>
      </c>
      <c r="W44" s="484">
        <f t="shared" ref="W44" si="27">(W43-V43)/V43</f>
        <v>0.11040402946273811</v>
      </c>
      <c r="X44" s="484">
        <f t="shared" ref="X44" si="28">(X43-W43)/W43</f>
        <v>6.5016461407145343E-2</v>
      </c>
      <c r="Y44" s="484">
        <f t="shared" ref="Y44" si="29">(Y43-X43)/X43</f>
        <v>-5.7337821437567188E-2</v>
      </c>
      <c r="Z44" s="484">
        <f t="shared" ref="Z44" si="30">(Z43-Y43)/Y43</f>
        <v>-2.1376345130808657E-2</v>
      </c>
      <c r="AA44" s="484">
        <f t="shared" ref="AA44" si="31">(AA43-Z43)/Z43</f>
        <v>-4.4257452776329878E-2</v>
      </c>
      <c r="AB44" s="484">
        <f>(AB43-AA43)/AA43</f>
        <v>0.11079368377311459</v>
      </c>
      <c r="AC44" s="484">
        <f t="shared" ref="AC44" si="32">(AC43-AB43)/AB43</f>
        <v>-4.6995557633852103E-3</v>
      </c>
      <c r="AD44" s="484">
        <f t="shared" ref="AD44" si="33">(AD43-AC43)/AC43</f>
        <v>-5.8093918109422479E-2</v>
      </c>
      <c r="AE44" s="491" t="s">
        <v>331</v>
      </c>
      <c r="AF44" s="484">
        <f>(AF43-AD43)/AD43</f>
        <v>2.0947226656025365E-2</v>
      </c>
      <c r="AG44" s="87"/>
      <c r="AH44" s="87"/>
      <c r="AI44" s="87"/>
    </row>
    <row r="45" spans="1:36" x14ac:dyDescent="0.2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8"/>
      <c r="AF45" s="87"/>
      <c r="AG45" s="87"/>
      <c r="AH45" s="87"/>
      <c r="AI45" s="87"/>
    </row>
    <row r="46" spans="1:36" x14ac:dyDescent="0.2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8"/>
      <c r="AF46" s="87"/>
      <c r="AG46" s="87"/>
      <c r="AH46" s="87"/>
      <c r="AI46" s="87"/>
    </row>
    <row r="47" spans="1:36" x14ac:dyDescent="0.2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8"/>
      <c r="AF47" s="87"/>
      <c r="AG47" s="87"/>
      <c r="AH47" s="87"/>
      <c r="AI47" s="87"/>
    </row>
    <row r="48" spans="1:36" x14ac:dyDescent="0.2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8"/>
      <c r="AF48" s="87"/>
      <c r="AG48" s="87"/>
      <c r="AH48" s="87"/>
      <c r="AI48" s="87"/>
    </row>
    <row r="49" spans="11:35" x14ac:dyDescent="0.25">
      <c r="K49" s="87"/>
      <c r="L49" s="87"/>
      <c r="M49" s="87"/>
      <c r="N49" s="87"/>
      <c r="O49" s="87"/>
      <c r="P49" s="87"/>
      <c r="Q49" s="87"/>
      <c r="R49" s="87"/>
      <c r="S49" s="87"/>
      <c r="T49" s="87"/>
      <c r="U49" s="87"/>
      <c r="V49" s="87"/>
      <c r="W49" s="87"/>
      <c r="X49" s="87"/>
      <c r="Y49" s="87"/>
      <c r="Z49" s="87"/>
      <c r="AA49" s="87"/>
      <c r="AB49" s="87"/>
      <c r="AC49" s="87"/>
      <c r="AD49" s="87"/>
      <c r="AE49" s="88"/>
      <c r="AF49" s="87"/>
      <c r="AG49" s="87"/>
      <c r="AH49" s="87"/>
      <c r="AI49" s="87"/>
    </row>
    <row r="50" spans="11:35" x14ac:dyDescent="0.25">
      <c r="W50" s="87"/>
      <c r="X50" s="87"/>
      <c r="Y50" s="87"/>
      <c r="Z50" s="87"/>
      <c r="AA50" s="87"/>
      <c r="AB50" s="87"/>
      <c r="AC50" s="87"/>
      <c r="AD50" s="87"/>
      <c r="AE50" s="88"/>
      <c r="AF50" s="87"/>
      <c r="AG50" s="87"/>
      <c r="AH50" s="87"/>
      <c r="AI50" s="87"/>
    </row>
    <row r="51" spans="11:35" x14ac:dyDescent="0.25">
      <c r="W51" s="87"/>
      <c r="X51" s="87"/>
      <c r="Y51" s="87"/>
      <c r="Z51" s="87"/>
      <c r="AA51" s="87"/>
      <c r="AB51" s="87"/>
      <c r="AC51" s="87"/>
      <c r="AD51" s="87"/>
      <c r="AE51" s="88"/>
      <c r="AF51" s="87"/>
      <c r="AG51" s="87"/>
      <c r="AH51" s="87"/>
      <c r="AI51" s="87"/>
    </row>
    <row r="52" spans="11:35" x14ac:dyDescent="0.25">
      <c r="W52" s="87"/>
      <c r="X52" s="87"/>
      <c r="Y52" s="87"/>
      <c r="Z52" s="87"/>
      <c r="AA52" s="87"/>
      <c r="AB52" s="87"/>
      <c r="AC52" s="87"/>
      <c r="AD52" s="87"/>
      <c r="AE52" s="88"/>
      <c r="AF52" s="87"/>
      <c r="AG52" s="87"/>
      <c r="AH52" s="87"/>
      <c r="AI52" s="87"/>
    </row>
    <row r="53" spans="11:35" x14ac:dyDescent="0.25">
      <c r="W53" s="87"/>
      <c r="X53" s="87"/>
      <c r="Y53" s="87"/>
      <c r="Z53" s="87"/>
      <c r="AA53" s="87"/>
      <c r="AB53" s="87"/>
      <c r="AC53" s="87"/>
      <c r="AD53" s="87"/>
      <c r="AE53" s="88"/>
      <c r="AF53" s="87"/>
      <c r="AG53" s="87"/>
      <c r="AH53" s="87"/>
      <c r="AI53" s="87"/>
    </row>
    <row r="54" spans="11:35" x14ac:dyDescent="0.25">
      <c r="W54" s="87"/>
      <c r="X54" s="87"/>
      <c r="Y54" s="87"/>
      <c r="Z54" s="87"/>
      <c r="AA54" s="87"/>
      <c r="AB54" s="87"/>
      <c r="AC54" s="87"/>
      <c r="AD54" s="87"/>
      <c r="AE54" s="88"/>
      <c r="AF54" s="87"/>
      <c r="AG54" s="87"/>
      <c r="AH54" s="87"/>
      <c r="AI54" s="87"/>
    </row>
    <row r="55" spans="11:35" x14ac:dyDescent="0.25">
      <c r="W55" s="87"/>
      <c r="X55" s="87"/>
      <c r="Y55" s="87"/>
      <c r="Z55" s="87"/>
      <c r="AA55" s="87"/>
      <c r="AB55" s="87"/>
      <c r="AC55" s="87"/>
      <c r="AD55" s="87"/>
      <c r="AE55" s="88"/>
      <c r="AF55" s="87"/>
      <c r="AG55" s="87"/>
      <c r="AH55" s="87"/>
      <c r="AI55" s="87"/>
    </row>
    <row r="56" spans="11:35" x14ac:dyDescent="0.25">
      <c r="W56" s="87"/>
      <c r="X56" s="87"/>
      <c r="Y56" s="87"/>
      <c r="Z56" s="87"/>
      <c r="AA56" s="87"/>
      <c r="AB56" s="87"/>
      <c r="AC56" s="87"/>
      <c r="AD56" s="87"/>
      <c r="AE56" s="88"/>
      <c r="AF56" s="87"/>
      <c r="AG56" s="87"/>
      <c r="AH56" s="87"/>
      <c r="AI56" s="87"/>
    </row>
    <row r="57" spans="11:35" x14ac:dyDescent="0.25">
      <c r="W57" s="87"/>
      <c r="X57" s="87"/>
      <c r="Y57" s="87"/>
      <c r="Z57" s="87"/>
      <c r="AA57" s="87"/>
      <c r="AB57" s="87"/>
      <c r="AC57" s="87"/>
      <c r="AD57" s="87"/>
      <c r="AE57" s="88"/>
      <c r="AF57" s="87"/>
      <c r="AG57" s="87"/>
      <c r="AH57" s="87"/>
      <c r="AI57" s="87"/>
    </row>
    <row r="58" spans="11:35" x14ac:dyDescent="0.25">
      <c r="W58" s="87"/>
      <c r="X58" s="87"/>
      <c r="Y58" s="87"/>
      <c r="Z58" s="87"/>
      <c r="AA58" s="87"/>
      <c r="AB58" s="87"/>
      <c r="AC58" s="87"/>
      <c r="AD58" s="87"/>
      <c r="AE58" s="88"/>
      <c r="AF58" s="87"/>
      <c r="AG58" s="87"/>
      <c r="AH58" s="87"/>
      <c r="AI58" s="87"/>
    </row>
    <row r="59" spans="11:35" x14ac:dyDescent="0.25">
      <c r="W59" s="87"/>
      <c r="X59" s="87"/>
      <c r="Y59" s="87"/>
      <c r="Z59" s="87"/>
      <c r="AA59" s="87"/>
      <c r="AB59" s="87"/>
      <c r="AC59" s="87"/>
      <c r="AD59" s="87"/>
      <c r="AE59" s="88"/>
      <c r="AF59" s="87"/>
      <c r="AG59" s="87"/>
      <c r="AH59" s="87"/>
      <c r="AI59" s="87"/>
    </row>
    <row r="60" spans="11:35" x14ac:dyDescent="0.25">
      <c r="W60" s="87"/>
      <c r="X60" s="87"/>
      <c r="Y60" s="87"/>
      <c r="Z60" s="87"/>
      <c r="AA60" s="87"/>
      <c r="AB60" s="87"/>
      <c r="AC60" s="87"/>
      <c r="AD60" s="87"/>
      <c r="AE60" s="88"/>
      <c r="AF60" s="87"/>
      <c r="AG60" s="87"/>
      <c r="AH60" s="87"/>
      <c r="AI60" s="87"/>
    </row>
    <row r="61" spans="11:35" x14ac:dyDescent="0.25">
      <c r="W61" s="87"/>
      <c r="X61" s="87"/>
      <c r="Y61" s="87"/>
      <c r="Z61" s="87"/>
      <c r="AA61" s="87"/>
      <c r="AB61" s="87"/>
      <c r="AC61" s="87"/>
      <c r="AD61" s="87"/>
      <c r="AE61" s="88"/>
      <c r="AF61" s="87"/>
      <c r="AG61" s="87"/>
      <c r="AH61" s="87"/>
      <c r="AI61" s="87"/>
    </row>
    <row r="62" spans="11:35" x14ac:dyDescent="0.25">
      <c r="W62" s="87"/>
      <c r="X62" s="87"/>
      <c r="Y62" s="87"/>
      <c r="Z62" s="87"/>
      <c r="AA62" s="87"/>
      <c r="AB62" s="87"/>
      <c r="AC62" s="87"/>
      <c r="AD62" s="87"/>
      <c r="AE62" s="88"/>
      <c r="AF62" s="87"/>
      <c r="AG62" s="87"/>
      <c r="AH62" s="87"/>
      <c r="AI62" s="87"/>
    </row>
    <row r="63" spans="11:35" x14ac:dyDescent="0.25">
      <c r="W63" s="87"/>
      <c r="X63" s="87"/>
      <c r="Y63" s="87"/>
      <c r="Z63" s="87"/>
      <c r="AA63" s="87"/>
      <c r="AB63" s="87"/>
      <c r="AC63" s="87"/>
      <c r="AD63" s="87"/>
      <c r="AE63" s="88"/>
      <c r="AF63" s="87"/>
      <c r="AG63" s="87"/>
      <c r="AH63" s="87"/>
      <c r="AI63" s="87"/>
    </row>
    <row r="64" spans="11:35" x14ac:dyDescent="0.25">
      <c r="W64" s="87"/>
      <c r="X64" s="87"/>
      <c r="Y64" s="87"/>
      <c r="Z64" s="87"/>
      <c r="AA64" s="87"/>
      <c r="AB64" s="87"/>
      <c r="AC64" s="87"/>
      <c r="AD64" s="87"/>
      <c r="AE64" s="88"/>
      <c r="AF64" s="87"/>
      <c r="AG64" s="87"/>
      <c r="AH64" s="87"/>
      <c r="AI64" s="87"/>
    </row>
    <row r="65" spans="23:35" x14ac:dyDescent="0.25">
      <c r="W65" s="87"/>
      <c r="X65" s="87"/>
      <c r="Y65" s="87"/>
      <c r="Z65" s="87"/>
      <c r="AA65" s="87"/>
      <c r="AB65" s="87"/>
      <c r="AC65" s="87"/>
      <c r="AD65" s="87"/>
      <c r="AE65" s="88"/>
      <c r="AF65" s="87"/>
      <c r="AG65" s="87"/>
      <c r="AH65" s="87"/>
      <c r="AI65" s="87"/>
    </row>
    <row r="66" spans="23:35" x14ac:dyDescent="0.25">
      <c r="W66" s="87"/>
      <c r="X66" s="87"/>
      <c r="Y66" s="87"/>
      <c r="Z66" s="87"/>
      <c r="AA66" s="87"/>
      <c r="AB66" s="87"/>
      <c r="AC66" s="87"/>
      <c r="AD66" s="87"/>
      <c r="AE66" s="88"/>
      <c r="AF66" s="87"/>
      <c r="AG66" s="87"/>
      <c r="AH66" s="87"/>
      <c r="AI66" s="87"/>
    </row>
    <row r="67" spans="23:35" x14ac:dyDescent="0.25">
      <c r="W67" s="87"/>
      <c r="X67" s="87"/>
      <c r="Y67" s="87"/>
      <c r="Z67" s="87"/>
      <c r="AA67" s="87"/>
      <c r="AB67" s="87"/>
      <c r="AC67" s="87"/>
      <c r="AD67" s="87"/>
      <c r="AE67" s="88"/>
      <c r="AF67" s="87"/>
      <c r="AG67" s="87"/>
      <c r="AH67" s="87"/>
      <c r="AI67" s="87"/>
    </row>
    <row r="68" spans="23:35" x14ac:dyDescent="0.25">
      <c r="W68" s="87"/>
      <c r="X68" s="87"/>
      <c r="Y68" s="87"/>
      <c r="Z68" s="87"/>
      <c r="AA68" s="87"/>
      <c r="AB68" s="87"/>
      <c r="AC68" s="87"/>
      <c r="AD68" s="87"/>
      <c r="AE68" s="88"/>
      <c r="AF68" s="87"/>
      <c r="AG68" s="87"/>
      <c r="AH68" s="87"/>
      <c r="AI68" s="87"/>
    </row>
    <row r="69" spans="23:35" x14ac:dyDescent="0.25">
      <c r="W69" s="87"/>
      <c r="X69" s="87"/>
      <c r="Y69" s="87"/>
      <c r="Z69" s="87"/>
      <c r="AA69" s="87"/>
      <c r="AB69" s="87"/>
      <c r="AC69" s="87"/>
      <c r="AD69" s="87"/>
      <c r="AE69" s="88"/>
      <c r="AF69" s="87"/>
      <c r="AG69" s="87"/>
      <c r="AH69" s="87"/>
      <c r="AI69" s="87"/>
    </row>
    <row r="70" spans="23:35" x14ac:dyDescent="0.25">
      <c r="W70" s="87"/>
      <c r="X70" s="87"/>
      <c r="Y70" s="87"/>
      <c r="Z70" s="87"/>
      <c r="AA70" s="87"/>
      <c r="AB70" s="87"/>
      <c r="AC70" s="87"/>
      <c r="AD70" s="87"/>
      <c r="AE70" s="88"/>
      <c r="AF70" s="87"/>
      <c r="AG70" s="87"/>
      <c r="AH70" s="87"/>
      <c r="AI70" s="87"/>
    </row>
    <row r="71" spans="23:35" x14ac:dyDescent="0.25">
      <c r="W71" s="87"/>
      <c r="X71" s="87"/>
      <c r="Y71" s="87"/>
      <c r="Z71" s="87"/>
      <c r="AA71" s="87"/>
      <c r="AB71" s="87"/>
      <c r="AC71" s="87"/>
      <c r="AD71" s="87"/>
      <c r="AE71" s="88"/>
      <c r="AF71" s="87"/>
      <c r="AG71" s="87"/>
      <c r="AH71" s="87"/>
      <c r="AI71" s="87"/>
    </row>
    <row r="72" spans="23:35" x14ac:dyDescent="0.25">
      <c r="W72" s="87"/>
      <c r="X72" s="87"/>
      <c r="Y72" s="87"/>
      <c r="Z72" s="87"/>
      <c r="AA72" s="87"/>
      <c r="AB72" s="87"/>
      <c r="AC72" s="87"/>
      <c r="AD72" s="87"/>
      <c r="AE72" s="88"/>
      <c r="AF72" s="87"/>
      <c r="AG72" s="87"/>
      <c r="AH72" s="87"/>
      <c r="AI72" s="87"/>
    </row>
    <row r="73" spans="23:35" x14ac:dyDescent="0.25">
      <c r="W73" s="87"/>
      <c r="X73" s="87"/>
      <c r="Y73" s="87"/>
      <c r="Z73" s="87"/>
      <c r="AA73" s="87"/>
      <c r="AB73" s="87"/>
      <c r="AC73" s="87"/>
      <c r="AD73" s="87"/>
      <c r="AE73" s="88"/>
      <c r="AF73" s="87"/>
      <c r="AG73" s="87"/>
      <c r="AH73" s="87"/>
      <c r="AI73" s="87"/>
    </row>
    <row r="74" spans="23:35" x14ac:dyDescent="0.25">
      <c r="W74" s="87"/>
      <c r="X74" s="87"/>
      <c r="Y74" s="87"/>
      <c r="Z74" s="87"/>
      <c r="AA74" s="87"/>
      <c r="AB74" s="87"/>
      <c r="AC74" s="87"/>
      <c r="AD74" s="87"/>
      <c r="AE74" s="88"/>
      <c r="AF74" s="87"/>
      <c r="AG74" s="87"/>
      <c r="AH74" s="87"/>
      <c r="AI74" s="87"/>
    </row>
    <row r="75" spans="23:35" x14ac:dyDescent="0.25">
      <c r="W75" s="87"/>
      <c r="X75" s="87"/>
      <c r="Y75" s="87"/>
      <c r="Z75" s="87"/>
      <c r="AA75" s="87"/>
      <c r="AB75" s="87"/>
      <c r="AC75" s="87"/>
      <c r="AD75" s="87"/>
      <c r="AE75" s="88"/>
      <c r="AF75" s="87"/>
      <c r="AG75" s="87"/>
      <c r="AH75" s="87"/>
      <c r="AI75" s="87"/>
    </row>
    <row r="76" spans="23:35" x14ac:dyDescent="0.25">
      <c r="W76" s="87"/>
      <c r="X76" s="87"/>
      <c r="Y76" s="87"/>
      <c r="Z76" s="87"/>
      <c r="AA76" s="87"/>
      <c r="AB76" s="87"/>
      <c r="AC76" s="87"/>
      <c r="AD76" s="87"/>
      <c r="AE76" s="88"/>
      <c r="AF76" s="87"/>
      <c r="AG76" s="87"/>
      <c r="AH76" s="87"/>
      <c r="AI76" s="87"/>
    </row>
    <row r="77" spans="23:35" x14ac:dyDescent="0.25">
      <c r="W77" s="87"/>
      <c r="X77" s="87"/>
      <c r="Y77" s="87"/>
      <c r="Z77" s="87"/>
      <c r="AA77" s="87"/>
      <c r="AB77" s="87"/>
      <c r="AC77" s="87"/>
      <c r="AD77" s="87"/>
      <c r="AE77" s="88"/>
      <c r="AF77" s="87"/>
      <c r="AG77" s="87"/>
      <c r="AH77" s="87"/>
      <c r="AI77" s="87"/>
    </row>
    <row r="78" spans="23:35" x14ac:dyDescent="0.25">
      <c r="W78" s="87"/>
      <c r="X78" s="87"/>
      <c r="Y78" s="87"/>
      <c r="Z78" s="87"/>
      <c r="AA78" s="87"/>
      <c r="AB78" s="87"/>
      <c r="AC78" s="87"/>
      <c r="AD78" s="87"/>
      <c r="AE78" s="88"/>
      <c r="AF78" s="87"/>
      <c r="AG78" s="87"/>
      <c r="AH78" s="87"/>
      <c r="AI78" s="87"/>
    </row>
    <row r="79" spans="23:35" x14ac:dyDescent="0.25">
      <c r="W79" s="87"/>
      <c r="X79" s="87"/>
      <c r="Y79" s="87"/>
      <c r="Z79" s="87"/>
      <c r="AA79" s="87"/>
      <c r="AB79" s="87"/>
      <c r="AC79" s="87"/>
      <c r="AD79" s="87"/>
      <c r="AE79" s="88"/>
      <c r="AF79" s="87"/>
      <c r="AG79" s="87"/>
      <c r="AH79" s="87"/>
      <c r="AI79" s="87"/>
    </row>
    <row r="80" spans="23:35" x14ac:dyDescent="0.25">
      <c r="W80" s="87"/>
      <c r="X80" s="87"/>
      <c r="Y80" s="87"/>
      <c r="Z80" s="87"/>
      <c r="AA80" s="87"/>
      <c r="AB80" s="87"/>
      <c r="AC80" s="87"/>
      <c r="AD80" s="87"/>
      <c r="AE80" s="88"/>
      <c r="AF80" s="87"/>
      <c r="AG80" s="87"/>
      <c r="AH80" s="87"/>
      <c r="AI80" s="87"/>
    </row>
  </sheetData>
  <mergeCells count="2">
    <mergeCell ref="E1:F1"/>
    <mergeCell ref="E2:F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218"/>
  <sheetViews>
    <sheetView topLeftCell="A4" zoomScaleNormal="100" workbookViewId="0">
      <selection activeCell="G16" sqref="G16"/>
    </sheetView>
  </sheetViews>
  <sheetFormatPr defaultColWidth="8.77734375" defaultRowHeight="13.2" x14ac:dyDescent="0.25"/>
  <cols>
    <col min="1" max="1" width="8.77734375" style="54"/>
    <col min="2" max="3" width="16.44140625" style="322" customWidth="1"/>
    <col min="4" max="4" width="7.77734375" style="54" customWidth="1"/>
    <col min="5" max="5" width="20.77734375" style="85" customWidth="1"/>
    <col min="6" max="6" width="20.5546875" style="322" customWidth="1"/>
    <col min="7" max="7" width="29.77734375" style="322" customWidth="1"/>
    <col min="8" max="8" width="29.77734375" style="332" customWidth="1"/>
    <col min="9" max="9" width="30" style="322" customWidth="1"/>
    <col min="10" max="10" width="32.21875" style="322" customWidth="1"/>
    <col min="11" max="11" width="8.77734375" style="322" customWidth="1"/>
    <col min="12" max="12" width="16.21875" style="333" bestFit="1" customWidth="1"/>
    <col min="13" max="13" width="14.77734375" style="322" customWidth="1"/>
    <col min="14" max="14" width="20" style="322" customWidth="1"/>
    <col min="15" max="15" width="15.44140625" style="333" customWidth="1"/>
    <col min="16" max="16" width="17" style="54" customWidth="1"/>
    <col min="17" max="17" width="17.77734375" style="54" customWidth="1"/>
    <col min="18" max="18" width="12.77734375" style="54" bestFit="1" customWidth="1"/>
    <col min="19" max="19" width="13.77734375" style="54" bestFit="1" customWidth="1"/>
    <col min="20" max="26" width="8.77734375" style="54"/>
    <col min="27" max="27" width="30.5546875" style="54" bestFit="1" customWidth="1"/>
    <col min="28" max="28" width="18.44140625" style="54" bestFit="1" customWidth="1"/>
    <col min="29" max="29" width="13.44140625" style="54" bestFit="1" customWidth="1"/>
    <col min="30" max="16384" width="8.77734375" style="54"/>
  </cols>
  <sheetData>
    <row r="1" spans="4:35" x14ac:dyDescent="0.25">
      <c r="AA1" t="s">
        <v>16</v>
      </c>
      <c r="AB1"/>
      <c r="AC1"/>
      <c r="AD1"/>
      <c r="AE1"/>
      <c r="AF1"/>
      <c r="AG1"/>
      <c r="AH1"/>
      <c r="AI1"/>
    </row>
    <row r="2" spans="4:35" ht="42" customHeight="1" thickBot="1" x14ac:dyDescent="0.3">
      <c r="AA2"/>
      <c r="AB2"/>
      <c r="AC2"/>
      <c r="AD2"/>
      <c r="AE2"/>
      <c r="AF2"/>
      <c r="AG2"/>
      <c r="AH2"/>
      <c r="AI2"/>
    </row>
    <row r="3" spans="4:35" x14ac:dyDescent="0.25">
      <c r="AA3" s="214" t="s">
        <v>17</v>
      </c>
      <c r="AB3" s="214"/>
      <c r="AC3"/>
      <c r="AD3"/>
      <c r="AE3"/>
      <c r="AF3"/>
      <c r="AG3"/>
      <c r="AH3"/>
      <c r="AI3"/>
    </row>
    <row r="4" spans="4:35" x14ac:dyDescent="0.25">
      <c r="AA4" s="211" t="s">
        <v>18</v>
      </c>
      <c r="AB4" s="211">
        <v>0.95023337091850368</v>
      </c>
      <c r="AC4"/>
      <c r="AD4"/>
      <c r="AE4"/>
      <c r="AF4"/>
      <c r="AG4"/>
      <c r="AH4"/>
      <c r="AI4"/>
    </row>
    <row r="5" spans="4:35" ht="15" x14ac:dyDescent="0.25">
      <c r="D5" s="390"/>
      <c r="E5" s="391" t="s">
        <v>226</v>
      </c>
      <c r="F5" s="392"/>
      <c r="G5" s="392"/>
      <c r="H5" s="392"/>
      <c r="I5" s="392"/>
      <c r="J5" s="393"/>
      <c r="AA5" s="211" t="s">
        <v>19</v>
      </c>
      <c r="AB5" s="211">
        <v>0.90294345920714258</v>
      </c>
      <c r="AC5"/>
      <c r="AD5"/>
      <c r="AE5"/>
      <c r="AF5"/>
      <c r="AG5"/>
      <c r="AH5"/>
      <c r="AI5"/>
    </row>
    <row r="6" spans="4:35" ht="15" x14ac:dyDescent="0.25">
      <c r="D6" s="391" t="s">
        <v>217</v>
      </c>
      <c r="E6" s="390" t="s">
        <v>251</v>
      </c>
      <c r="F6" s="394" t="s">
        <v>253</v>
      </c>
      <c r="G6" s="394" t="s">
        <v>258</v>
      </c>
      <c r="H6" s="394" t="s">
        <v>259</v>
      </c>
      <c r="I6" s="394" t="s">
        <v>252</v>
      </c>
      <c r="J6" s="395" t="s">
        <v>257</v>
      </c>
      <c r="AA6" s="211" t="s">
        <v>20</v>
      </c>
      <c r="AB6" s="211">
        <v>0.89500246950590878</v>
      </c>
      <c r="AC6"/>
      <c r="AD6"/>
      <c r="AE6"/>
      <c r="AF6"/>
      <c r="AG6"/>
      <c r="AH6"/>
      <c r="AI6"/>
    </row>
    <row r="7" spans="4:35" ht="15" x14ac:dyDescent="0.25">
      <c r="D7" s="390">
        <v>2010</v>
      </c>
      <c r="E7" s="396">
        <v>12</v>
      </c>
      <c r="F7" s="397">
        <v>950759112.65007687</v>
      </c>
      <c r="G7" s="397">
        <v>3500.8999999999996</v>
      </c>
      <c r="H7" s="407">
        <v>439.6</v>
      </c>
      <c r="I7" s="407">
        <v>960319810.41915989</v>
      </c>
      <c r="J7" s="398">
        <v>-9560697.7690829039</v>
      </c>
      <c r="K7" s="411">
        <f>J7/F7</f>
        <v>-1.0055857095530864E-2</v>
      </c>
      <c r="N7" s="333"/>
      <c r="AA7" s="211" t="s">
        <v>21</v>
      </c>
      <c r="AB7" s="211">
        <v>2068852.5407114995</v>
      </c>
      <c r="AC7"/>
      <c r="AD7"/>
      <c r="AE7"/>
      <c r="AF7"/>
      <c r="AG7"/>
      <c r="AH7"/>
      <c r="AI7"/>
    </row>
    <row r="8" spans="4:35" ht="15.6" thickBot="1" x14ac:dyDescent="0.3">
      <c r="D8" s="399">
        <v>2011</v>
      </c>
      <c r="E8" s="400">
        <v>12</v>
      </c>
      <c r="F8" s="401">
        <v>944902732.12384617</v>
      </c>
      <c r="G8" s="401">
        <v>3647.4999999999995</v>
      </c>
      <c r="H8" s="408">
        <v>427.99999999999994</v>
      </c>
      <c r="I8" s="408">
        <v>958844382.30784512</v>
      </c>
      <c r="J8" s="402">
        <v>-13941650.183998927</v>
      </c>
      <c r="K8" s="411">
        <f t="shared" ref="K8:K17" si="0">J8/F8</f>
        <v>-1.475458765227872E-2</v>
      </c>
      <c r="AA8" s="212" t="s">
        <v>22</v>
      </c>
      <c r="AB8" s="212">
        <v>120</v>
      </c>
      <c r="AC8"/>
      <c r="AD8"/>
      <c r="AE8"/>
      <c r="AF8"/>
      <c r="AG8"/>
      <c r="AH8"/>
      <c r="AI8"/>
    </row>
    <row r="9" spans="4:35" ht="15" x14ac:dyDescent="0.25">
      <c r="D9" s="399">
        <v>2012</v>
      </c>
      <c r="E9" s="400">
        <v>12</v>
      </c>
      <c r="F9" s="401">
        <v>964379230.70517492</v>
      </c>
      <c r="G9" s="401">
        <v>3215.4000000000005</v>
      </c>
      <c r="H9" s="408">
        <v>477.40000000000003</v>
      </c>
      <c r="I9" s="408">
        <v>950666119.44824326</v>
      </c>
      <c r="J9" s="402">
        <v>13713111.256931573</v>
      </c>
      <c r="K9" s="411">
        <f t="shared" si="0"/>
        <v>1.4219625247325422E-2</v>
      </c>
      <c r="AA9"/>
      <c r="AB9"/>
      <c r="AC9"/>
      <c r="AD9"/>
      <c r="AE9"/>
      <c r="AF9"/>
      <c r="AG9"/>
      <c r="AH9"/>
      <c r="AI9"/>
    </row>
    <row r="10" spans="4:35" ht="15.6" thickBot="1" x14ac:dyDescent="0.3">
      <c r="D10" s="399">
        <v>2013</v>
      </c>
      <c r="E10" s="400">
        <v>12</v>
      </c>
      <c r="F10" s="401">
        <v>961335479.00000012</v>
      </c>
      <c r="G10" s="401">
        <v>3774.7000000000003</v>
      </c>
      <c r="H10" s="408">
        <v>325.79999999999995</v>
      </c>
      <c r="I10" s="408">
        <v>927029805.31403124</v>
      </c>
      <c r="J10" s="402">
        <v>34305673.685968891</v>
      </c>
      <c r="K10" s="411">
        <f t="shared" si="0"/>
        <v>3.5685433894163898E-2</v>
      </c>
      <c r="AA10" t="s">
        <v>23</v>
      </c>
      <c r="AB10"/>
      <c r="AC10"/>
      <c r="AD10"/>
      <c r="AE10"/>
      <c r="AF10"/>
      <c r="AG10"/>
      <c r="AH10"/>
      <c r="AI10"/>
    </row>
    <row r="11" spans="4:35" ht="15" x14ac:dyDescent="0.25">
      <c r="D11" s="399">
        <v>2014</v>
      </c>
      <c r="E11" s="400">
        <v>12</v>
      </c>
      <c r="F11" s="401">
        <v>913546785.3566668</v>
      </c>
      <c r="G11" s="401">
        <v>4102.8999999999996</v>
      </c>
      <c r="H11" s="408">
        <v>264.2</v>
      </c>
      <c r="I11" s="408">
        <v>918015075.310835</v>
      </c>
      <c r="J11" s="402">
        <v>-4468289.9541683197</v>
      </c>
      <c r="K11" s="411">
        <f t="shared" si="0"/>
        <v>-4.891145178102521E-3</v>
      </c>
      <c r="AA11" s="213"/>
      <c r="AB11" s="213" t="s">
        <v>27</v>
      </c>
      <c r="AC11" s="213" t="s">
        <v>28</v>
      </c>
      <c r="AD11" s="213" t="s">
        <v>29</v>
      </c>
      <c r="AE11" s="213" t="s">
        <v>30</v>
      </c>
      <c r="AF11" s="213" t="s">
        <v>31</v>
      </c>
      <c r="AG11"/>
      <c r="AH11"/>
      <c r="AI11"/>
    </row>
    <row r="12" spans="4:35" ht="15" x14ac:dyDescent="0.25">
      <c r="D12" s="399">
        <v>2015</v>
      </c>
      <c r="E12" s="400">
        <v>12</v>
      </c>
      <c r="F12" s="401">
        <v>920489866.98307681</v>
      </c>
      <c r="G12" s="401">
        <v>3765.5</v>
      </c>
      <c r="H12" s="408">
        <v>351.19999999999993</v>
      </c>
      <c r="I12" s="408">
        <v>924465660.20835423</v>
      </c>
      <c r="J12" s="402">
        <v>-3975793.2252772748</v>
      </c>
      <c r="K12" s="411">
        <f t="shared" si="0"/>
        <v>-4.3192145485620751E-3</v>
      </c>
      <c r="AA12" s="211" t="s">
        <v>24</v>
      </c>
      <c r="AB12" s="211">
        <v>9</v>
      </c>
      <c r="AC12" s="211">
        <v>4380135111400384</v>
      </c>
      <c r="AD12" s="211">
        <v>486681679044487.12</v>
      </c>
      <c r="AE12" s="211">
        <v>113.70666543829584</v>
      </c>
      <c r="AF12" s="211">
        <v>1.6613093252871921E-51</v>
      </c>
      <c r="AG12"/>
      <c r="AH12"/>
      <c r="AI12"/>
    </row>
    <row r="13" spans="4:35" ht="15" x14ac:dyDescent="0.25">
      <c r="D13" s="399">
        <v>2016</v>
      </c>
      <c r="E13" s="400">
        <v>12</v>
      </c>
      <c r="F13" s="401">
        <v>928717584.78461564</v>
      </c>
      <c r="G13" s="401">
        <v>3462.2999999999997</v>
      </c>
      <c r="H13" s="408">
        <v>566.4</v>
      </c>
      <c r="I13" s="408">
        <v>950199934.43693376</v>
      </c>
      <c r="J13" s="402">
        <v>-21482349.652318329</v>
      </c>
      <c r="K13" s="411">
        <f t="shared" si="0"/>
        <v>-2.3131197259821917E-2</v>
      </c>
      <c r="AA13" s="211" t="s">
        <v>25</v>
      </c>
      <c r="AB13" s="211">
        <v>110</v>
      </c>
      <c r="AC13" s="211">
        <v>470816591872926.94</v>
      </c>
      <c r="AD13" s="211">
        <v>4280150835208.4268</v>
      </c>
      <c r="AE13" s="211"/>
      <c r="AF13" s="211"/>
      <c r="AG13"/>
      <c r="AH13"/>
      <c r="AI13"/>
    </row>
    <row r="14" spans="4:35" ht="15.6" thickBot="1" x14ac:dyDescent="0.3">
      <c r="D14" s="399">
        <v>2017</v>
      </c>
      <c r="E14" s="400">
        <v>12</v>
      </c>
      <c r="F14" s="401">
        <v>914942349.02142859</v>
      </c>
      <c r="G14" s="401">
        <v>3501.8999999999996</v>
      </c>
      <c r="H14" s="408">
        <v>348.5</v>
      </c>
      <c r="I14" s="408">
        <v>927473628.12682843</v>
      </c>
      <c r="J14" s="402">
        <v>-12531279.105399661</v>
      </c>
      <c r="K14" s="411">
        <f t="shared" si="0"/>
        <v>-1.369624995367459E-2</v>
      </c>
      <c r="AA14" s="212" t="s">
        <v>10</v>
      </c>
      <c r="AB14" s="212">
        <v>119</v>
      </c>
      <c r="AC14" s="212">
        <v>4850951703273311</v>
      </c>
      <c r="AD14" s="212"/>
      <c r="AE14" s="212"/>
      <c r="AF14" s="212"/>
      <c r="AG14"/>
      <c r="AH14"/>
      <c r="AI14"/>
    </row>
    <row r="15" spans="4:35" ht="15.6" thickBot="1" x14ac:dyDescent="0.3">
      <c r="D15" s="399">
        <v>2018</v>
      </c>
      <c r="E15" s="400">
        <v>12</v>
      </c>
      <c r="F15" s="401">
        <v>965883912.18000007</v>
      </c>
      <c r="G15" s="401">
        <v>3758.3</v>
      </c>
      <c r="H15" s="408">
        <v>518.70000000000005</v>
      </c>
      <c r="I15" s="408">
        <v>962401471.13637781</v>
      </c>
      <c r="J15" s="402">
        <v>3482441.0436221659</v>
      </c>
      <c r="K15" s="411">
        <f t="shared" si="0"/>
        <v>3.6054447120485692E-3</v>
      </c>
      <c r="AA15"/>
      <c r="AB15"/>
      <c r="AC15"/>
      <c r="AD15"/>
      <c r="AE15"/>
      <c r="AF15"/>
      <c r="AG15"/>
      <c r="AH15"/>
      <c r="AI15"/>
    </row>
    <row r="16" spans="4:35" ht="15" x14ac:dyDescent="0.25">
      <c r="D16" s="399">
        <v>2019</v>
      </c>
      <c r="E16" s="400">
        <v>12</v>
      </c>
      <c r="F16" s="401">
        <v>959330220.76954007</v>
      </c>
      <c r="G16" s="401">
        <v>3914.900000000001</v>
      </c>
      <c r="H16" s="408">
        <v>342.00000000000006</v>
      </c>
      <c r="I16" s="408">
        <v>944871386.86581624</v>
      </c>
      <c r="J16" s="402">
        <v>14458833.903723866</v>
      </c>
      <c r="K16" s="411">
        <f t="shared" si="0"/>
        <v>1.5071800711256142E-2</v>
      </c>
      <c r="AA16" s="213"/>
      <c r="AB16" s="213" t="s">
        <v>32</v>
      </c>
      <c r="AC16" s="213" t="s">
        <v>21</v>
      </c>
      <c r="AD16" s="213" t="s">
        <v>33</v>
      </c>
      <c r="AE16" s="213" t="s">
        <v>34</v>
      </c>
      <c r="AF16" s="213" t="s">
        <v>35</v>
      </c>
      <c r="AG16" s="213" t="s">
        <v>36</v>
      </c>
      <c r="AH16" s="213" t="s">
        <v>37</v>
      </c>
      <c r="AI16" s="213" t="s">
        <v>38</v>
      </c>
    </row>
    <row r="17" spans="4:35" ht="15" x14ac:dyDescent="0.25">
      <c r="D17" s="399">
        <v>2020</v>
      </c>
      <c r="E17" s="400">
        <v>12</v>
      </c>
      <c r="F17" s="401">
        <v>961031702.85464001</v>
      </c>
      <c r="G17" s="401">
        <v>3512.0000000000009</v>
      </c>
      <c r="H17" s="408">
        <v>497.6</v>
      </c>
      <c r="I17" s="408">
        <v>917239283.8450731</v>
      </c>
      <c r="J17" s="402">
        <v>43792419.009566665</v>
      </c>
      <c r="K17" s="411">
        <f t="shared" si="0"/>
        <v>4.5568131498145224E-2</v>
      </c>
      <c r="M17" s="333"/>
      <c r="N17" s="333"/>
      <c r="P17" s="333"/>
      <c r="Q17" s="333"/>
      <c r="R17" s="333"/>
      <c r="S17" s="333"/>
      <c r="T17" s="333"/>
      <c r="AA17" s="211" t="s">
        <v>26</v>
      </c>
      <c r="AB17" s="211">
        <v>-59011249.233977541</v>
      </c>
      <c r="AC17" s="211">
        <v>17293553.957177151</v>
      </c>
      <c r="AD17" s="211">
        <v>-3.4123263141921596</v>
      </c>
      <c r="AE17" s="211">
        <v>9.0220516417604103E-4</v>
      </c>
      <c r="AF17" s="211">
        <v>-93283014.070994139</v>
      </c>
      <c r="AG17" s="211">
        <v>-24739484.396960944</v>
      </c>
      <c r="AH17" s="211">
        <v>-93283014.070994139</v>
      </c>
      <c r="AI17" s="211">
        <v>-24739484.396960944</v>
      </c>
    </row>
    <row r="18" spans="4:35" ht="17.399999999999999" x14ac:dyDescent="0.3">
      <c r="D18" s="399">
        <v>2021</v>
      </c>
      <c r="E18" s="400"/>
      <c r="F18" s="401"/>
      <c r="G18" s="401">
        <v>3718.94</v>
      </c>
      <c r="H18" s="408">
        <v>368.50714285714275</v>
      </c>
      <c r="I18" s="408">
        <v>876712177.70178068</v>
      </c>
      <c r="J18" s="402">
        <v>-876712177.70178068</v>
      </c>
      <c r="K18" s="411"/>
      <c r="L18" s="344" t="s">
        <v>255</v>
      </c>
      <c r="M18" s="360"/>
      <c r="N18" s="360"/>
      <c r="O18" s="361"/>
      <c r="P18" s="362"/>
      <c r="Q18" s="362"/>
      <c r="AA18" s="211" t="s">
        <v>3</v>
      </c>
      <c r="AB18" s="211">
        <v>14056.505221607167</v>
      </c>
      <c r="AC18" s="211">
        <v>1215.1342337079734</v>
      </c>
      <c r="AD18" s="211">
        <v>11.567862077849492</v>
      </c>
      <c r="AE18" s="211">
        <v>9.8999760590353287E-21</v>
      </c>
      <c r="AF18" s="211">
        <v>11648.394384114181</v>
      </c>
      <c r="AG18" s="211">
        <v>16464.616059100154</v>
      </c>
      <c r="AH18" s="211">
        <v>11648.394384114181</v>
      </c>
      <c r="AI18" s="211">
        <v>16464.616059100154</v>
      </c>
    </row>
    <row r="19" spans="4:35" ht="17.399999999999999" x14ac:dyDescent="0.3">
      <c r="D19" s="403">
        <v>2022</v>
      </c>
      <c r="E19" s="404"/>
      <c r="F19" s="405"/>
      <c r="G19" s="405">
        <v>3718.94</v>
      </c>
      <c r="H19" s="409">
        <v>368.50714285714275</v>
      </c>
      <c r="I19" s="409">
        <v>897900813.84601378</v>
      </c>
      <c r="J19" s="406">
        <v>-897900813.84601378</v>
      </c>
      <c r="L19" s="344" t="s">
        <v>255</v>
      </c>
      <c r="M19" s="360"/>
      <c r="N19" s="360"/>
      <c r="O19" s="361"/>
      <c r="P19" s="362"/>
      <c r="Q19" s="362"/>
      <c r="AA19" s="211" t="s">
        <v>4</v>
      </c>
      <c r="AB19" s="211">
        <v>123984.13891595755</v>
      </c>
      <c r="AC19" s="211">
        <v>6484.986386437371</v>
      </c>
      <c r="AD19" s="211">
        <v>19.118642897270625</v>
      </c>
      <c r="AE19" s="211">
        <v>9.2985298507326671E-37</v>
      </c>
      <c r="AF19" s="211">
        <v>111132.41804021489</v>
      </c>
      <c r="AG19" s="211">
        <v>136835.8597917002</v>
      </c>
      <c r="AH19" s="211">
        <v>111132.41804021489</v>
      </c>
      <c r="AI19" s="211">
        <v>136835.8597917002</v>
      </c>
    </row>
    <row r="20" spans="4:35" x14ac:dyDescent="0.25">
      <c r="D20"/>
      <c r="E20"/>
      <c r="F20"/>
      <c r="G20"/>
      <c r="H20" s="54"/>
      <c r="I20" s="54"/>
      <c r="J20" s="54"/>
      <c r="AA20" s="211" t="s">
        <v>254</v>
      </c>
      <c r="AB20" s="211">
        <v>519199.50880638621</v>
      </c>
      <c r="AC20" s="211">
        <v>118704.44979260441</v>
      </c>
      <c r="AD20" s="211">
        <v>4.3738841274569777</v>
      </c>
      <c r="AE20" s="211">
        <v>2.7850931766056404E-5</v>
      </c>
      <c r="AF20" s="211">
        <v>283955.15137277736</v>
      </c>
      <c r="AG20" s="211">
        <v>754443.866239995</v>
      </c>
      <c r="AH20" s="211">
        <v>283955.15137277736</v>
      </c>
      <c r="AI20" s="211">
        <v>754443.866239995</v>
      </c>
    </row>
    <row r="21" spans="4:35" x14ac:dyDescent="0.25">
      <c r="D21"/>
      <c r="E21"/>
      <c r="F21"/>
      <c r="G21" s="54"/>
      <c r="H21" s="54"/>
      <c r="I21" s="54"/>
      <c r="J21" s="54"/>
      <c r="K21" s="54"/>
      <c r="AA21" s="211" t="s">
        <v>5</v>
      </c>
      <c r="AB21" s="211">
        <v>2118055.3004018185</v>
      </c>
      <c r="AC21" s="211">
        <v>271653.75158599485</v>
      </c>
      <c r="AD21" s="211">
        <v>7.7968932438296399</v>
      </c>
      <c r="AE21" s="211">
        <v>3.8793383960566149E-12</v>
      </c>
      <c r="AF21" s="211">
        <v>1579701.3267476817</v>
      </c>
      <c r="AG21" s="211">
        <v>2656409.274055955</v>
      </c>
      <c r="AH21" s="211">
        <v>1579701.3267476817</v>
      </c>
      <c r="AI21" s="211">
        <v>2656409.274055955</v>
      </c>
    </row>
    <row r="22" spans="4:35" x14ac:dyDescent="0.25">
      <c r="D22"/>
      <c r="E22"/>
      <c r="F22"/>
      <c r="G22" s="54"/>
      <c r="H22" s="54"/>
      <c r="I22" s="54"/>
      <c r="J22" s="54"/>
      <c r="K22" s="54"/>
      <c r="AA22" s="211" t="s">
        <v>97</v>
      </c>
      <c r="AB22" s="211">
        <v>-1778951.7087120952</v>
      </c>
      <c r="AC22" s="211">
        <v>767877.26318570809</v>
      </c>
      <c r="AD22" s="211">
        <v>-2.3167136129695023</v>
      </c>
      <c r="AE22" s="211">
        <v>2.2371452757410756E-2</v>
      </c>
      <c r="AF22" s="211">
        <v>-3300704.2098323544</v>
      </c>
      <c r="AG22" s="211">
        <v>-257199.20759183564</v>
      </c>
      <c r="AH22" s="211">
        <v>-3300704.2098323544</v>
      </c>
      <c r="AI22" s="211">
        <v>-257199.20759183564</v>
      </c>
    </row>
    <row r="23" spans="4:35" x14ac:dyDescent="0.25">
      <c r="D23"/>
      <c r="E23"/>
      <c r="F23"/>
      <c r="G23" s="54"/>
      <c r="H23" s="54"/>
      <c r="I23" s="54"/>
      <c r="J23" s="54"/>
      <c r="K23" s="54"/>
      <c r="AA23" s="211" t="s">
        <v>98</v>
      </c>
      <c r="AB23" s="211">
        <v>-4190279.030240031</v>
      </c>
      <c r="AC23" s="211">
        <v>742714.21789638337</v>
      </c>
      <c r="AD23" s="211">
        <v>-5.6418457184087734</v>
      </c>
      <c r="AE23" s="211">
        <v>1.3227842352173607E-7</v>
      </c>
      <c r="AF23" s="211">
        <v>-5662164.2818131819</v>
      </c>
      <c r="AG23" s="211">
        <v>-2718393.77866688</v>
      </c>
      <c r="AH23" s="211">
        <v>-5662164.2818131819</v>
      </c>
      <c r="AI23" s="211">
        <v>-2718393.77866688</v>
      </c>
    </row>
    <row r="24" spans="4:35" x14ac:dyDescent="0.25">
      <c r="E24" s="54"/>
      <c r="F24" s="54"/>
      <c r="G24" s="54"/>
      <c r="H24" s="54"/>
      <c r="I24" s="54"/>
      <c r="J24" s="54"/>
      <c r="AA24" s="211" t="s">
        <v>85</v>
      </c>
      <c r="AB24" s="211">
        <v>-3150225.6767492034</v>
      </c>
      <c r="AC24" s="211">
        <v>814390.23501078214</v>
      </c>
      <c r="AD24" s="211">
        <v>-3.868201681847887</v>
      </c>
      <c r="AE24" s="211">
        <v>1.8613209593574254E-4</v>
      </c>
      <c r="AF24" s="211">
        <v>-4764155.9706011955</v>
      </c>
      <c r="AG24" s="211">
        <v>-1536295.3828972108</v>
      </c>
      <c r="AH24" s="211">
        <v>-4764155.9706011955</v>
      </c>
      <c r="AI24" s="211">
        <v>-1536295.3828972108</v>
      </c>
    </row>
    <row r="25" spans="4:35" x14ac:dyDescent="0.25">
      <c r="E25" s="54"/>
      <c r="F25" s="54"/>
      <c r="AA25" s="211" t="s">
        <v>103</v>
      </c>
      <c r="AB25" s="211">
        <v>-1930403.2172383599</v>
      </c>
      <c r="AC25" s="211">
        <v>831522.83198348235</v>
      </c>
      <c r="AD25" s="211">
        <v>-2.3215276153435869</v>
      </c>
      <c r="AE25" s="211">
        <v>2.2100520140623355E-2</v>
      </c>
      <c r="AF25" s="211">
        <v>-3578286.2969636158</v>
      </c>
      <c r="AG25" s="211">
        <v>-282520.13751310389</v>
      </c>
      <c r="AH25" s="211">
        <v>-3578286.2969636158</v>
      </c>
      <c r="AI25" s="211">
        <v>-282520.13751310389</v>
      </c>
    </row>
    <row r="26" spans="4:35" ht="13.8" thickBot="1" x14ac:dyDescent="0.3">
      <c r="E26" s="54"/>
      <c r="F26" s="54"/>
      <c r="AA26" s="212" t="s">
        <v>323</v>
      </c>
      <c r="AB26" s="212">
        <v>-147249.17197393018</v>
      </c>
      <c r="AC26" s="212">
        <v>32159.902718337878</v>
      </c>
      <c r="AD26" s="212">
        <v>-4.5786572572549264</v>
      </c>
      <c r="AE26" s="212">
        <v>1.2385244441754316E-5</v>
      </c>
      <c r="AF26" s="212">
        <v>-210982.55065788672</v>
      </c>
      <c r="AG26" s="212">
        <v>-83515.793289973633</v>
      </c>
      <c r="AH26" s="212">
        <v>-210982.55065788672</v>
      </c>
      <c r="AI26" s="212">
        <v>-83515.793289973633</v>
      </c>
    </row>
    <row r="27" spans="4:35" x14ac:dyDescent="0.25">
      <c r="E27" s="54"/>
      <c r="F27" s="54"/>
      <c r="AA27"/>
      <c r="AB27"/>
      <c r="AC27"/>
      <c r="AD27"/>
      <c r="AE27"/>
      <c r="AF27"/>
      <c r="AG27"/>
      <c r="AH27"/>
      <c r="AI27"/>
    </row>
    <row r="28" spans="4:35" x14ac:dyDescent="0.25">
      <c r="E28" s="54"/>
      <c r="F28" s="54"/>
      <c r="AA28"/>
      <c r="AB28"/>
      <c r="AC28"/>
      <c r="AD28"/>
      <c r="AE28"/>
      <c r="AF28"/>
      <c r="AG28"/>
      <c r="AH28"/>
      <c r="AI28"/>
    </row>
    <row r="29" spans="4:35" x14ac:dyDescent="0.25">
      <c r="E29" s="54"/>
      <c r="F29" s="54"/>
      <c r="AA29"/>
      <c r="AB29"/>
      <c r="AC29"/>
      <c r="AD29"/>
      <c r="AE29"/>
      <c r="AF29"/>
      <c r="AG29"/>
      <c r="AH29"/>
      <c r="AI29"/>
    </row>
    <row r="30" spans="4:35" x14ac:dyDescent="0.25">
      <c r="E30" s="54"/>
      <c r="F30" s="54"/>
      <c r="AA30"/>
      <c r="AB30"/>
      <c r="AC30"/>
      <c r="AD30"/>
      <c r="AE30"/>
      <c r="AF30"/>
      <c r="AG30"/>
      <c r="AH30"/>
      <c r="AI30"/>
    </row>
    <row r="31" spans="4:35" x14ac:dyDescent="0.25">
      <c r="E31" s="54"/>
      <c r="F31" s="54"/>
      <c r="AA31" s="211"/>
      <c r="AB31" s="211"/>
      <c r="AC31" s="211"/>
      <c r="AD31" s="211"/>
      <c r="AE31"/>
      <c r="AF31"/>
      <c r="AG31"/>
      <c r="AH31"/>
      <c r="AI31"/>
    </row>
    <row r="32" spans="4:35" x14ac:dyDescent="0.25">
      <c r="E32" s="54"/>
      <c r="F32" s="54"/>
      <c r="AA32" s="211"/>
      <c r="AB32" s="211"/>
      <c r="AC32" s="211"/>
      <c r="AD32" s="211"/>
      <c r="AE32"/>
      <c r="AF32"/>
      <c r="AG32"/>
      <c r="AH32"/>
      <c r="AI32"/>
    </row>
    <row r="33" spans="2:35" x14ac:dyDescent="0.25">
      <c r="E33" s="54"/>
      <c r="F33" s="54"/>
      <c r="O33" s="54"/>
      <c r="AA33" s="211"/>
      <c r="AB33" s="211"/>
      <c r="AC33" s="211"/>
      <c r="AD33" s="211"/>
      <c r="AE33"/>
      <c r="AF33"/>
      <c r="AG33"/>
      <c r="AH33"/>
      <c r="AI33"/>
    </row>
    <row r="34" spans="2:35" ht="37.5" customHeight="1" x14ac:dyDescent="0.3">
      <c r="B34" s="349" t="s">
        <v>250</v>
      </c>
      <c r="C34" s="349" t="s">
        <v>79</v>
      </c>
      <c r="D34" s="349" t="s">
        <v>217</v>
      </c>
      <c r="E34" s="349" t="s">
        <v>0</v>
      </c>
      <c r="F34" s="349" t="s">
        <v>3</v>
      </c>
      <c r="G34" s="349" t="s">
        <v>4</v>
      </c>
      <c r="H34" s="350" t="s">
        <v>254</v>
      </c>
      <c r="I34" s="349" t="s">
        <v>5</v>
      </c>
      <c r="J34" s="349" t="s">
        <v>97</v>
      </c>
      <c r="K34" s="349" t="s">
        <v>98</v>
      </c>
      <c r="L34" s="349" t="s">
        <v>85</v>
      </c>
      <c r="M34" s="349" t="s">
        <v>103</v>
      </c>
      <c r="N34" s="351" t="s">
        <v>323</v>
      </c>
      <c r="O34" s="351" t="s">
        <v>157</v>
      </c>
      <c r="P34" s="351" t="s">
        <v>256</v>
      </c>
      <c r="AA34" s="211"/>
      <c r="AB34" s="211"/>
      <c r="AC34" s="211"/>
      <c r="AD34" s="211"/>
      <c r="AE34"/>
      <c r="AF34"/>
      <c r="AG34"/>
      <c r="AH34"/>
      <c r="AI34"/>
    </row>
    <row r="35" spans="2:35" ht="14.4" x14ac:dyDescent="0.3">
      <c r="B35" s="353">
        <v>40179</v>
      </c>
      <c r="C35" s="322">
        <f>MONTH(B35)</f>
        <v>1</v>
      </c>
      <c r="D35" s="322">
        <v>2010</v>
      </c>
      <c r="E35" s="343">
        <v>85740317.673846155</v>
      </c>
      <c r="F35" s="319">
        <v>720</v>
      </c>
      <c r="G35" s="319">
        <v>0</v>
      </c>
      <c r="H35" s="373">
        <f>'GDP A'!AF84</f>
        <v>128.72733605771626</v>
      </c>
      <c r="I35" s="53">
        <v>31</v>
      </c>
      <c r="J35" s="53">
        <f>IF(MONTH($B35)=3,1,0)</f>
        <v>0</v>
      </c>
      <c r="K35" s="53">
        <f>IF(MONTH($B35)=4,1,0)</f>
        <v>0</v>
      </c>
      <c r="L35" s="53">
        <f>IF(MONTH($B35)=5,1,0)</f>
        <v>0</v>
      </c>
      <c r="M35" s="53">
        <f>IF(MONTH($B35)=10,1,0)</f>
        <v>0</v>
      </c>
      <c r="N35" s="341">
        <v>1</v>
      </c>
      <c r="O35" s="389">
        <f>$AB$17+MMULT(F35:N35,$AB$18:$AB$26)</f>
        <v>83457069.317182913</v>
      </c>
      <c r="P35" s="389">
        <f>E35-O35</f>
        <v>2283248.356663242</v>
      </c>
      <c r="Q35" s="389"/>
      <c r="R35" s="389"/>
      <c r="S35" s="196"/>
      <c r="AA35" s="211"/>
      <c r="AB35" s="211"/>
      <c r="AC35" s="211"/>
      <c r="AD35" s="211"/>
      <c r="AE35"/>
      <c r="AF35"/>
      <c r="AG35"/>
      <c r="AH35"/>
      <c r="AI35"/>
    </row>
    <row r="36" spans="2:35" ht="14.4" x14ac:dyDescent="0.3">
      <c r="B36" s="353">
        <v>40210</v>
      </c>
      <c r="C36" s="322">
        <f t="shared" ref="C36:C99" si="1">MONTH(B36)</f>
        <v>2</v>
      </c>
      <c r="D36" s="322">
        <v>2010</v>
      </c>
      <c r="E36" s="343">
        <v>76200452.517692298</v>
      </c>
      <c r="F36" s="319">
        <v>598.29999999999995</v>
      </c>
      <c r="G36" s="319">
        <v>0</v>
      </c>
      <c r="H36" s="373">
        <f>'GDP A'!AF85</f>
        <v>129.07908855613877</v>
      </c>
      <c r="I36" s="53">
        <v>28</v>
      </c>
      <c r="J36" s="53">
        <f t="shared" ref="J36:J99" si="2">IF(MONTH($B36)=3,1,0)</f>
        <v>0</v>
      </c>
      <c r="K36" s="53">
        <f t="shared" ref="K36:K99" si="3">IF(MONTH($B36)=4,1,0)</f>
        <v>0</v>
      </c>
      <c r="L36" s="53">
        <f t="shared" ref="L36:L99" si="4">IF(MONTH($B36)=5,1,0)</f>
        <v>0</v>
      </c>
      <c r="M36" s="53">
        <f t="shared" ref="M36:M99" si="5">IF(MONTH($B36)=10,1,0)</f>
        <v>0</v>
      </c>
      <c r="N36" s="341">
        <v>2</v>
      </c>
      <c r="O36" s="389">
        <f t="shared" ref="O36:O99" si="6">$AB$17+MMULT(F36:N36,$AB$18:$AB$26)</f>
        <v>75427607.282936379</v>
      </c>
      <c r="P36" s="389">
        <f t="shared" ref="P36:P99" si="7">E36-O36</f>
        <v>772845.23475591838</v>
      </c>
      <c r="Q36" s="389"/>
      <c r="AA36" s="211"/>
      <c r="AB36" s="211"/>
      <c r="AC36" s="211"/>
      <c r="AD36" s="211"/>
      <c r="AE36"/>
      <c r="AF36"/>
      <c r="AG36"/>
      <c r="AH36"/>
      <c r="AI36"/>
    </row>
    <row r="37" spans="2:35" ht="14.4" x14ac:dyDescent="0.3">
      <c r="B37" s="353">
        <v>40238</v>
      </c>
      <c r="C37" s="322">
        <f t="shared" si="1"/>
        <v>3</v>
      </c>
      <c r="D37" s="322">
        <v>2010</v>
      </c>
      <c r="E37" s="343">
        <v>78025070.524615392</v>
      </c>
      <c r="F37" s="319">
        <v>422.8</v>
      </c>
      <c r="G37" s="319">
        <v>0</v>
      </c>
      <c r="H37" s="373">
        <f>'GDP A'!AF86</f>
        <v>129.43180223206977</v>
      </c>
      <c r="I37" s="53">
        <v>31</v>
      </c>
      <c r="J37" s="53">
        <f t="shared" si="2"/>
        <v>1</v>
      </c>
      <c r="K37" s="53">
        <f t="shared" si="3"/>
        <v>0</v>
      </c>
      <c r="L37" s="53">
        <f t="shared" si="4"/>
        <v>0</v>
      </c>
      <c r="M37" s="53">
        <f t="shared" si="5"/>
        <v>0</v>
      </c>
      <c r="N37" s="341">
        <v>3</v>
      </c>
      <c r="O37" s="389">
        <f t="shared" si="6"/>
        <v>77571784.404356405</v>
      </c>
      <c r="P37" s="389">
        <f t="shared" si="7"/>
        <v>453286.12025898695</v>
      </c>
      <c r="Q37" s="389"/>
      <c r="AA37" s="211"/>
      <c r="AB37" s="211"/>
      <c r="AC37" s="211"/>
      <c r="AD37" s="211"/>
      <c r="AE37"/>
      <c r="AF37"/>
      <c r="AG37"/>
      <c r="AH37"/>
      <c r="AI37"/>
    </row>
    <row r="38" spans="2:35" ht="14.4" x14ac:dyDescent="0.3">
      <c r="B38" s="353">
        <v>40269</v>
      </c>
      <c r="C38" s="322">
        <f t="shared" si="1"/>
        <v>4</v>
      </c>
      <c r="D38" s="322">
        <v>2010</v>
      </c>
      <c r="E38" s="343">
        <v>69790833.687692314</v>
      </c>
      <c r="F38" s="319">
        <v>225.1</v>
      </c>
      <c r="G38" s="319">
        <v>0</v>
      </c>
      <c r="H38" s="373">
        <f>'GDP A'!AF87</f>
        <v>129.78547971196454</v>
      </c>
      <c r="I38" s="53">
        <v>30</v>
      </c>
      <c r="J38" s="53">
        <f t="shared" si="2"/>
        <v>0</v>
      </c>
      <c r="K38" s="53">
        <f t="shared" si="3"/>
        <v>1</v>
      </c>
      <c r="L38" s="53">
        <f t="shared" si="4"/>
        <v>0</v>
      </c>
      <c r="M38" s="53">
        <f t="shared" si="5"/>
        <v>0</v>
      </c>
      <c r="N38" s="341">
        <v>4</v>
      </c>
      <c r="O38" s="389">
        <f t="shared" si="6"/>
        <v>70299810.701978222</v>
      </c>
      <c r="P38" s="389">
        <f t="shared" si="7"/>
        <v>-508977.01428590715</v>
      </c>
      <c r="Q38" s="389"/>
      <c r="AA38" s="211"/>
      <c r="AB38" s="211"/>
      <c r="AC38" s="211"/>
      <c r="AD38" s="211"/>
      <c r="AE38"/>
      <c r="AF38"/>
      <c r="AG38"/>
      <c r="AH38"/>
      <c r="AI38"/>
    </row>
    <row r="39" spans="2:35" ht="14.4" x14ac:dyDescent="0.3">
      <c r="B39" s="353">
        <v>40299</v>
      </c>
      <c r="C39" s="322">
        <f t="shared" si="1"/>
        <v>5</v>
      </c>
      <c r="D39" s="322">
        <v>2010</v>
      </c>
      <c r="E39" s="343">
        <v>76066069.509230763</v>
      </c>
      <c r="F39" s="319">
        <v>107.9</v>
      </c>
      <c r="G39" s="319">
        <v>45.7</v>
      </c>
      <c r="H39" s="373">
        <f>'GDP A'!AF88</f>
        <v>130.14012362945522</v>
      </c>
      <c r="I39" s="53">
        <v>31</v>
      </c>
      <c r="J39" s="53">
        <f t="shared" si="2"/>
        <v>0</v>
      </c>
      <c r="K39" s="53">
        <f t="shared" si="3"/>
        <v>0</v>
      </c>
      <c r="L39" s="53">
        <f t="shared" si="4"/>
        <v>1</v>
      </c>
      <c r="M39" s="53">
        <f t="shared" si="5"/>
        <v>0</v>
      </c>
      <c r="N39" s="341">
        <v>5</v>
      </c>
      <c r="O39" s="389">
        <f t="shared" si="6"/>
        <v>77513453.868146166</v>
      </c>
      <c r="P39" s="389">
        <f t="shared" si="7"/>
        <v>-1447384.3589154035</v>
      </c>
      <c r="Q39" s="389"/>
      <c r="AA39" s="211"/>
      <c r="AB39" s="211"/>
      <c r="AC39" s="211"/>
      <c r="AD39" s="211"/>
      <c r="AE39"/>
      <c r="AF39"/>
      <c r="AG39"/>
      <c r="AH39"/>
      <c r="AI39"/>
    </row>
    <row r="40" spans="2:35" ht="14.4" x14ac:dyDescent="0.3">
      <c r="B40" s="353">
        <v>40330</v>
      </c>
      <c r="C40" s="322">
        <f t="shared" si="1"/>
        <v>6</v>
      </c>
      <c r="D40" s="322">
        <v>2010</v>
      </c>
      <c r="E40" s="343">
        <v>79225717.646153852</v>
      </c>
      <c r="F40" s="319">
        <v>21.7</v>
      </c>
      <c r="G40" s="319">
        <v>58.7</v>
      </c>
      <c r="H40" s="373">
        <f>'GDP A'!AF89</f>
        <v>130.49573662537048</v>
      </c>
      <c r="I40" s="53">
        <v>30</v>
      </c>
      <c r="J40" s="53">
        <f t="shared" si="2"/>
        <v>0</v>
      </c>
      <c r="K40" s="53">
        <f t="shared" si="3"/>
        <v>0</v>
      </c>
      <c r="L40" s="53">
        <f t="shared" si="4"/>
        <v>0</v>
      </c>
      <c r="M40" s="53">
        <f t="shared" si="5"/>
        <v>0</v>
      </c>
      <c r="N40" s="341">
        <v>6</v>
      </c>
      <c r="O40" s="389">
        <f t="shared" si="6"/>
        <v>78983132.221128926</v>
      </c>
      <c r="P40" s="389">
        <f t="shared" si="7"/>
        <v>242585.42502492666</v>
      </c>
      <c r="Q40" s="389"/>
      <c r="AA40" s="211"/>
      <c r="AB40" s="211"/>
      <c r="AC40" s="211"/>
      <c r="AD40" s="211"/>
      <c r="AE40"/>
      <c r="AF40"/>
      <c r="AG40"/>
      <c r="AH40"/>
      <c r="AI40"/>
    </row>
    <row r="41" spans="2:35" ht="14.4" x14ac:dyDescent="0.3">
      <c r="B41" s="353">
        <v>40360</v>
      </c>
      <c r="C41" s="322">
        <f t="shared" si="1"/>
        <v>7</v>
      </c>
      <c r="D41" s="322">
        <v>2010</v>
      </c>
      <c r="E41" s="343">
        <v>89977040.172307685</v>
      </c>
      <c r="F41" s="319">
        <v>1.8</v>
      </c>
      <c r="G41" s="319">
        <v>164.9</v>
      </c>
      <c r="H41" s="373">
        <f>'GDP A'!AF90</f>
        <v>130.85232134775515</v>
      </c>
      <c r="I41" s="53">
        <f>DAY(EOMONTH(B41,0))</f>
        <v>31</v>
      </c>
      <c r="J41" s="53">
        <f t="shared" si="2"/>
        <v>0</v>
      </c>
      <c r="K41" s="53">
        <f t="shared" si="3"/>
        <v>0</v>
      </c>
      <c r="L41" s="53">
        <f t="shared" si="4"/>
        <v>0</v>
      </c>
      <c r="M41" s="53">
        <f t="shared" si="5"/>
        <v>0</v>
      </c>
      <c r="N41" s="341">
        <v>7</v>
      </c>
      <c r="O41" s="389">
        <f t="shared" si="6"/>
        <v>94026468.061231479</v>
      </c>
      <c r="P41" s="389">
        <f t="shared" si="7"/>
        <v>-4049427.888923794</v>
      </c>
      <c r="Q41" s="389"/>
      <c r="AA41" s="211"/>
      <c r="AB41" s="211"/>
      <c r="AC41" s="211"/>
      <c r="AD41" s="211"/>
      <c r="AE41"/>
      <c r="AF41"/>
      <c r="AG41"/>
      <c r="AH41"/>
      <c r="AI41"/>
    </row>
    <row r="42" spans="2:35" ht="14.4" x14ac:dyDescent="0.3">
      <c r="B42" s="353">
        <v>40391</v>
      </c>
      <c r="C42" s="322">
        <f t="shared" si="1"/>
        <v>8</v>
      </c>
      <c r="D42" s="322">
        <v>2010</v>
      </c>
      <c r="E42" s="343">
        <v>88856918.292384624</v>
      </c>
      <c r="F42" s="319">
        <v>2.1</v>
      </c>
      <c r="G42" s="319">
        <v>138.80000000000001</v>
      </c>
      <c r="H42" s="373">
        <f>'GDP A'!AF91</f>
        <v>131.20988045188997</v>
      </c>
      <c r="I42" s="53">
        <f t="shared" ref="I42:I105" si="8">DAY(EOMONTH(B42,0))</f>
        <v>31</v>
      </c>
      <c r="J42" s="53">
        <f t="shared" si="2"/>
        <v>0</v>
      </c>
      <c r="K42" s="53">
        <f t="shared" si="3"/>
        <v>0</v>
      </c>
      <c r="L42" s="53">
        <f t="shared" si="4"/>
        <v>0</v>
      </c>
      <c r="M42" s="53">
        <f t="shared" si="5"/>
        <v>0</v>
      </c>
      <c r="N42" s="341">
        <v>8</v>
      </c>
      <c r="O42" s="389">
        <f t="shared" si="6"/>
        <v>90833094.326353624</v>
      </c>
      <c r="P42" s="389">
        <f t="shared" si="7"/>
        <v>-1976176.033969</v>
      </c>
      <c r="Q42" s="389"/>
      <c r="AA42" s="211"/>
      <c r="AB42" s="211"/>
      <c r="AC42" s="211"/>
      <c r="AD42" s="211"/>
      <c r="AE42"/>
      <c r="AF42"/>
      <c r="AG42"/>
      <c r="AH42"/>
      <c r="AI42"/>
    </row>
    <row r="43" spans="2:35" ht="14.4" x14ac:dyDescent="0.3">
      <c r="B43" s="353">
        <v>40422</v>
      </c>
      <c r="C43" s="322">
        <f t="shared" si="1"/>
        <v>9</v>
      </c>
      <c r="D43" s="322">
        <v>2010</v>
      </c>
      <c r="E43" s="343">
        <v>74349622.304615363</v>
      </c>
      <c r="F43" s="319">
        <v>78.099999999999994</v>
      </c>
      <c r="G43" s="319">
        <v>31.5</v>
      </c>
      <c r="H43" s="373">
        <f>'GDP A'!AF92</f>
        <v>131.56841660031131</v>
      </c>
      <c r="I43" s="53">
        <f t="shared" si="8"/>
        <v>30</v>
      </c>
      <c r="J43" s="53">
        <f t="shared" si="2"/>
        <v>0</v>
      </c>
      <c r="K43" s="53">
        <f t="shared" si="3"/>
        <v>0</v>
      </c>
      <c r="L43" s="53">
        <f t="shared" si="4"/>
        <v>0</v>
      </c>
      <c r="M43" s="53">
        <f t="shared" si="5"/>
        <v>0</v>
      </c>
      <c r="N43" s="341">
        <v>9</v>
      </c>
      <c r="O43" s="389">
        <f t="shared" si="6"/>
        <v>76518737.937287435</v>
      </c>
      <c r="P43" s="389">
        <f t="shared" si="7"/>
        <v>-2169115.6326720715</v>
      </c>
      <c r="Q43" s="389"/>
      <c r="AA43" s="211"/>
      <c r="AB43" s="211"/>
      <c r="AC43" s="211"/>
      <c r="AD43" s="211"/>
      <c r="AE43"/>
      <c r="AF43"/>
      <c r="AG43"/>
      <c r="AH43"/>
      <c r="AI43"/>
    </row>
    <row r="44" spans="2:35" ht="14.4" x14ac:dyDescent="0.3">
      <c r="B44" s="353">
        <v>40452</v>
      </c>
      <c r="C44" s="322">
        <f t="shared" si="1"/>
        <v>10</v>
      </c>
      <c r="D44" s="322">
        <v>2010</v>
      </c>
      <c r="E44" s="343">
        <v>73264038.258461535</v>
      </c>
      <c r="F44" s="319">
        <v>241.6</v>
      </c>
      <c r="G44" s="319">
        <v>0</v>
      </c>
      <c r="H44" s="373">
        <f>'GDP A'!AF93</f>
        <v>131.92793246283102</v>
      </c>
      <c r="I44" s="53">
        <f t="shared" si="8"/>
        <v>31</v>
      </c>
      <c r="J44" s="53">
        <f t="shared" si="2"/>
        <v>0</v>
      </c>
      <c r="K44" s="53">
        <f t="shared" si="3"/>
        <v>0</v>
      </c>
      <c r="L44" s="53">
        <f t="shared" si="4"/>
        <v>0</v>
      </c>
      <c r="M44" s="53">
        <f t="shared" si="5"/>
        <v>1</v>
      </c>
      <c r="N44" s="341">
        <v>10</v>
      </c>
      <c r="O44" s="389">
        <f t="shared" si="6"/>
        <v>75138539.535585403</v>
      </c>
      <c r="P44" s="389">
        <f t="shared" si="7"/>
        <v>-1874501.2771238685</v>
      </c>
      <c r="Q44" s="389"/>
      <c r="AA44" s="211"/>
      <c r="AB44" s="211"/>
      <c r="AC44" s="211"/>
      <c r="AD44" s="211"/>
      <c r="AE44"/>
      <c r="AF44"/>
      <c r="AG44"/>
      <c r="AH44"/>
      <c r="AI44"/>
    </row>
    <row r="45" spans="2:35" ht="14.4" x14ac:dyDescent="0.3">
      <c r="B45" s="353">
        <v>40483</v>
      </c>
      <c r="C45" s="322">
        <f t="shared" si="1"/>
        <v>11</v>
      </c>
      <c r="D45" s="322">
        <v>2010</v>
      </c>
      <c r="E45" s="343">
        <v>76397905.17076923</v>
      </c>
      <c r="F45" s="319">
        <v>405.3</v>
      </c>
      <c r="G45" s="319">
        <v>0</v>
      </c>
      <c r="H45" s="373">
        <f>'GDP A'!AF94</f>
        <v>132.28843071655632</v>
      </c>
      <c r="I45" s="53">
        <f t="shared" si="8"/>
        <v>30</v>
      </c>
      <c r="J45" s="53">
        <f t="shared" si="2"/>
        <v>0</v>
      </c>
      <c r="K45" s="53">
        <f t="shared" si="3"/>
        <v>0</v>
      </c>
      <c r="L45" s="53">
        <f t="shared" si="4"/>
        <v>0</v>
      </c>
      <c r="M45" s="53">
        <f t="shared" si="5"/>
        <v>0</v>
      </c>
      <c r="N45" s="341">
        <v>11</v>
      </c>
      <c r="O45" s="389">
        <f t="shared" si="6"/>
        <v>77291858.701484844</v>
      </c>
      <c r="P45" s="389">
        <f t="shared" si="7"/>
        <v>-893953.53071561456</v>
      </c>
      <c r="Q45" s="389"/>
      <c r="AA45" s="211"/>
      <c r="AB45" s="211"/>
      <c r="AC45" s="211"/>
      <c r="AD45" s="211"/>
      <c r="AE45"/>
      <c r="AF45"/>
      <c r="AG45"/>
      <c r="AH45"/>
      <c r="AI45"/>
    </row>
    <row r="46" spans="2:35" ht="14.4" x14ac:dyDescent="0.3">
      <c r="B46" s="353">
        <v>40513</v>
      </c>
      <c r="C46" s="322">
        <f t="shared" si="1"/>
        <v>12</v>
      </c>
      <c r="D46" s="322">
        <v>2010</v>
      </c>
      <c r="E46" s="343">
        <v>82865126.892307699</v>
      </c>
      <c r="F46" s="319">
        <v>676.2</v>
      </c>
      <c r="G46" s="319">
        <v>0</v>
      </c>
      <c r="H46" s="373">
        <f>'GDP A'!AF95</f>
        <v>132.64991404590961</v>
      </c>
      <c r="I46" s="53">
        <f t="shared" si="8"/>
        <v>31</v>
      </c>
      <c r="J46" s="53">
        <f t="shared" si="2"/>
        <v>0</v>
      </c>
      <c r="K46" s="53">
        <f t="shared" si="3"/>
        <v>0</v>
      </c>
      <c r="L46" s="53">
        <f t="shared" si="4"/>
        <v>0</v>
      </c>
      <c r="M46" s="53">
        <f t="shared" si="5"/>
        <v>0</v>
      </c>
      <c r="N46" s="341">
        <v>12</v>
      </c>
      <c r="O46" s="389">
        <f t="shared" si="6"/>
        <v>83258254.061488017</v>
      </c>
      <c r="P46" s="389">
        <f t="shared" si="7"/>
        <v>-393127.16918031871</v>
      </c>
      <c r="Q46" s="389"/>
      <c r="AA46" s="211"/>
      <c r="AB46" s="211"/>
      <c r="AC46" s="211"/>
      <c r="AD46" s="211"/>
      <c r="AE46"/>
      <c r="AF46"/>
      <c r="AG46"/>
      <c r="AH46"/>
      <c r="AI46"/>
    </row>
    <row r="47" spans="2:35" ht="14.4" x14ac:dyDescent="0.3">
      <c r="B47" s="353">
        <v>40544</v>
      </c>
      <c r="C47" s="322">
        <f t="shared" si="1"/>
        <v>1</v>
      </c>
      <c r="D47" s="322">
        <v>2011</v>
      </c>
      <c r="E47" s="343">
        <v>86054286.131538451</v>
      </c>
      <c r="F47" s="319">
        <v>775.3</v>
      </c>
      <c r="G47" s="319">
        <v>0</v>
      </c>
      <c r="H47" s="373">
        <f>'GDP A'!AF96</f>
        <v>132.81780450021679</v>
      </c>
      <c r="I47" s="53">
        <f t="shared" si="8"/>
        <v>31</v>
      </c>
      <c r="J47" s="53">
        <f t="shared" si="2"/>
        <v>0</v>
      </c>
      <c r="K47" s="53">
        <f t="shared" si="3"/>
        <v>0</v>
      </c>
      <c r="L47" s="53">
        <f t="shared" si="4"/>
        <v>0</v>
      </c>
      <c r="M47" s="53">
        <f t="shared" si="5"/>
        <v>0</v>
      </c>
      <c r="N47" s="341">
        <v>13</v>
      </c>
      <c r="O47" s="389">
        <f t="shared" si="6"/>
        <v>84591173.198384956</v>
      </c>
      <c r="P47" s="389">
        <f t="shared" si="7"/>
        <v>1463112.9331534952</v>
      </c>
      <c r="Q47" s="389"/>
      <c r="AA47" s="211"/>
      <c r="AB47" s="211"/>
      <c r="AC47" s="211"/>
      <c r="AD47" s="211"/>
      <c r="AE47"/>
      <c r="AF47"/>
      <c r="AG47"/>
      <c r="AH47"/>
      <c r="AI47"/>
    </row>
    <row r="48" spans="2:35" ht="14.4" x14ac:dyDescent="0.3">
      <c r="B48" s="353">
        <v>40575</v>
      </c>
      <c r="C48" s="322">
        <f t="shared" si="1"/>
        <v>2</v>
      </c>
      <c r="D48" s="322">
        <v>2011</v>
      </c>
      <c r="E48" s="343">
        <v>76331649.843846157</v>
      </c>
      <c r="F48" s="319">
        <v>654.20000000000005</v>
      </c>
      <c r="G48" s="319">
        <v>0</v>
      </c>
      <c r="H48" s="373">
        <f>'GDP A'!AF97</f>
        <v>132.98590744772346</v>
      </c>
      <c r="I48" s="53">
        <f t="shared" si="8"/>
        <v>28</v>
      </c>
      <c r="J48" s="53">
        <f t="shared" si="2"/>
        <v>0</v>
      </c>
      <c r="K48" s="53">
        <f t="shared" si="3"/>
        <v>0</v>
      </c>
      <c r="L48" s="53">
        <f t="shared" si="4"/>
        <v>0</v>
      </c>
      <c r="M48" s="53">
        <f t="shared" si="5"/>
        <v>0</v>
      </c>
      <c r="N48" s="341">
        <v>14</v>
      </c>
      <c r="O48" s="389">
        <f t="shared" si="6"/>
        <v>76474794.3106433</v>
      </c>
      <c r="P48" s="389">
        <f t="shared" si="7"/>
        <v>-143144.46679714322</v>
      </c>
      <c r="Q48" s="389"/>
      <c r="AA48" s="211"/>
      <c r="AB48" s="211"/>
      <c r="AC48" s="211"/>
      <c r="AD48" s="211"/>
      <c r="AE48"/>
      <c r="AF48"/>
      <c r="AG48"/>
      <c r="AH48"/>
      <c r="AI48"/>
    </row>
    <row r="49" spans="2:35" ht="14.4" x14ac:dyDescent="0.3">
      <c r="B49" s="353">
        <v>40603</v>
      </c>
      <c r="C49" s="322">
        <f t="shared" si="1"/>
        <v>3</v>
      </c>
      <c r="D49" s="322">
        <v>2011</v>
      </c>
      <c r="E49" s="343">
        <v>80293454.303076923</v>
      </c>
      <c r="F49" s="319">
        <v>572.79999999999995</v>
      </c>
      <c r="G49" s="319">
        <v>0</v>
      </c>
      <c r="H49" s="373">
        <f>'GDP A'!AF98</f>
        <v>133.15422315737499</v>
      </c>
      <c r="I49" s="53">
        <f t="shared" si="8"/>
        <v>31</v>
      </c>
      <c r="J49" s="53">
        <f t="shared" si="2"/>
        <v>1</v>
      </c>
      <c r="K49" s="53">
        <f t="shared" si="3"/>
        <v>0</v>
      </c>
      <c r="L49" s="53">
        <f t="shared" si="4"/>
        <v>0</v>
      </c>
      <c r="M49" s="53">
        <f t="shared" si="5"/>
        <v>0</v>
      </c>
      <c r="N49" s="341">
        <v>15</v>
      </c>
      <c r="O49" s="389">
        <f t="shared" si="6"/>
        <v>79845949.239899382</v>
      </c>
      <c r="P49" s="389">
        <f t="shared" si="7"/>
        <v>447505.0631775409</v>
      </c>
      <c r="Q49" s="389"/>
      <c r="AA49" s="211"/>
      <c r="AB49" s="211"/>
      <c r="AC49" s="211"/>
      <c r="AD49" s="211"/>
      <c r="AE49"/>
      <c r="AF49"/>
      <c r="AG49"/>
      <c r="AH49"/>
      <c r="AI49"/>
    </row>
    <row r="50" spans="2:35" ht="14.4" x14ac:dyDescent="0.3">
      <c r="B50" s="353">
        <v>40634</v>
      </c>
      <c r="C50" s="322">
        <f t="shared" si="1"/>
        <v>4</v>
      </c>
      <c r="D50" s="322">
        <v>2011</v>
      </c>
      <c r="E50" s="343">
        <v>71266777.976153851</v>
      </c>
      <c r="F50" s="319">
        <v>332.3</v>
      </c>
      <c r="G50" s="319">
        <v>0</v>
      </c>
      <c r="H50" s="373">
        <f>'GDP A'!AF99</f>
        <v>133.32275189845711</v>
      </c>
      <c r="I50" s="53">
        <f t="shared" si="8"/>
        <v>30</v>
      </c>
      <c r="J50" s="53">
        <f t="shared" si="2"/>
        <v>0</v>
      </c>
      <c r="K50" s="53">
        <f t="shared" si="3"/>
        <v>1</v>
      </c>
      <c r="L50" s="53">
        <f t="shared" si="4"/>
        <v>0</v>
      </c>
      <c r="M50" s="53">
        <f t="shared" si="5"/>
        <v>0</v>
      </c>
      <c r="N50" s="341">
        <v>16</v>
      </c>
      <c r="O50" s="389">
        <f t="shared" si="6"/>
        <v>71876227.97978878</v>
      </c>
      <c r="P50" s="389">
        <f t="shared" si="7"/>
        <v>-609450.00363492966</v>
      </c>
      <c r="Q50" s="389"/>
      <c r="AA50" s="211"/>
      <c r="AB50" s="211"/>
      <c r="AC50" s="211"/>
      <c r="AD50" s="211"/>
      <c r="AE50"/>
      <c r="AF50"/>
      <c r="AG50"/>
      <c r="AH50"/>
      <c r="AI50"/>
    </row>
    <row r="51" spans="2:35" ht="14.4" x14ac:dyDescent="0.3">
      <c r="B51" s="353">
        <v>40664</v>
      </c>
      <c r="C51" s="322">
        <f t="shared" si="1"/>
        <v>5</v>
      </c>
      <c r="D51" s="322">
        <v>2011</v>
      </c>
      <c r="E51" s="343">
        <v>72652305.789999992</v>
      </c>
      <c r="F51" s="319">
        <v>134.1</v>
      </c>
      <c r="G51" s="319">
        <v>13</v>
      </c>
      <c r="H51" s="373">
        <f>'GDP A'!AF100</f>
        <v>133.49149394059646</v>
      </c>
      <c r="I51" s="53">
        <f t="shared" si="8"/>
        <v>31</v>
      </c>
      <c r="J51" s="53">
        <f t="shared" si="2"/>
        <v>0</v>
      </c>
      <c r="K51" s="53">
        <f t="shared" si="3"/>
        <v>0</v>
      </c>
      <c r="L51" s="53">
        <f t="shared" si="4"/>
        <v>1</v>
      </c>
      <c r="M51" s="53">
        <f t="shared" si="5"/>
        <v>0</v>
      </c>
      <c r="N51" s="341">
        <v>17</v>
      </c>
      <c r="O51" s="389">
        <f t="shared" si="6"/>
        <v>73800492.718086153</v>
      </c>
      <c r="P51" s="389">
        <f t="shared" si="7"/>
        <v>-1148186.9280861616</v>
      </c>
      <c r="Q51" s="389"/>
      <c r="AA51" s="211"/>
      <c r="AB51" s="211"/>
      <c r="AC51" s="211"/>
      <c r="AD51" s="211"/>
      <c r="AE51"/>
      <c r="AF51"/>
      <c r="AG51"/>
      <c r="AH51"/>
      <c r="AI51"/>
    </row>
    <row r="52" spans="2:35" ht="14.4" x14ac:dyDescent="0.3">
      <c r="B52" s="353">
        <v>40695</v>
      </c>
      <c r="C52" s="322">
        <f t="shared" si="1"/>
        <v>6</v>
      </c>
      <c r="D52" s="322">
        <v>2011</v>
      </c>
      <c r="E52" s="343">
        <v>76886231.902307689</v>
      </c>
      <c r="F52" s="319">
        <v>19</v>
      </c>
      <c r="G52" s="319">
        <v>52.2</v>
      </c>
      <c r="H52" s="373">
        <f>'GDP A'!AF101</f>
        <v>133.66044955376086</v>
      </c>
      <c r="I52" s="53">
        <f t="shared" si="8"/>
        <v>30</v>
      </c>
      <c r="J52" s="53">
        <f t="shared" si="2"/>
        <v>0</v>
      </c>
      <c r="K52" s="53">
        <f t="shared" si="3"/>
        <v>0</v>
      </c>
      <c r="L52" s="53">
        <f t="shared" si="4"/>
        <v>0</v>
      </c>
      <c r="M52" s="53">
        <f t="shared" si="5"/>
        <v>0</v>
      </c>
      <c r="N52" s="341">
        <v>18</v>
      </c>
      <c r="O52" s="389">
        <f t="shared" si="6"/>
        <v>78015410.088323191</v>
      </c>
      <c r="P52" s="389">
        <f t="shared" si="7"/>
        <v>-1129178.1860155016</v>
      </c>
      <c r="Q52" s="389"/>
      <c r="AA52" s="211"/>
      <c r="AB52" s="211"/>
      <c r="AC52" s="211"/>
      <c r="AD52" s="211"/>
      <c r="AE52"/>
      <c r="AF52"/>
      <c r="AG52"/>
      <c r="AH52"/>
      <c r="AI52"/>
    </row>
    <row r="53" spans="2:35" ht="14.4" x14ac:dyDescent="0.3">
      <c r="B53" s="353">
        <v>40725</v>
      </c>
      <c r="C53" s="322">
        <f t="shared" si="1"/>
        <v>7</v>
      </c>
      <c r="D53" s="322">
        <v>2011</v>
      </c>
      <c r="E53" s="343">
        <v>93432707.71615386</v>
      </c>
      <c r="F53" s="319">
        <v>0</v>
      </c>
      <c r="G53" s="319">
        <v>198.5</v>
      </c>
      <c r="H53" s="373">
        <f>'GDP A'!AF102</f>
        <v>133.82961900825984</v>
      </c>
      <c r="I53" s="53">
        <f t="shared" si="8"/>
        <v>31</v>
      </c>
      <c r="J53" s="53">
        <f t="shared" si="2"/>
        <v>0</v>
      </c>
      <c r="K53" s="53">
        <f t="shared" si="3"/>
        <v>0</v>
      </c>
      <c r="L53" s="53">
        <f t="shared" si="4"/>
        <v>0</v>
      </c>
      <c r="M53" s="53">
        <f t="shared" si="5"/>
        <v>0</v>
      </c>
      <c r="N53" s="341">
        <v>19</v>
      </c>
      <c r="O53" s="389">
        <f t="shared" si="6"/>
        <v>97945854.838626042</v>
      </c>
      <c r="P53" s="389">
        <f t="shared" si="7"/>
        <v>-4513147.1224721819</v>
      </c>
      <c r="Q53" s="389"/>
      <c r="AA53" s="211"/>
      <c r="AB53" s="211"/>
      <c r="AC53" s="211"/>
      <c r="AD53" s="211"/>
      <c r="AE53"/>
      <c r="AF53"/>
      <c r="AG53"/>
      <c r="AH53"/>
      <c r="AI53"/>
    </row>
    <row r="54" spans="2:35" ht="14.4" x14ac:dyDescent="0.3">
      <c r="B54" s="353">
        <v>40756</v>
      </c>
      <c r="C54" s="322">
        <f t="shared" si="1"/>
        <v>8</v>
      </c>
      <c r="D54" s="322">
        <v>2011</v>
      </c>
      <c r="E54" s="343">
        <v>86792642.630769238</v>
      </c>
      <c r="F54" s="319">
        <v>0</v>
      </c>
      <c r="G54" s="319">
        <v>122.2</v>
      </c>
      <c r="H54" s="373">
        <f>'GDP A'!AF103</f>
        <v>133.99900257474505</v>
      </c>
      <c r="I54" s="53">
        <f t="shared" si="8"/>
        <v>31</v>
      </c>
      <c r="J54" s="53">
        <f t="shared" si="2"/>
        <v>0</v>
      </c>
      <c r="K54" s="53">
        <f t="shared" si="3"/>
        <v>0</v>
      </c>
      <c r="L54" s="53">
        <f t="shared" si="4"/>
        <v>0</v>
      </c>
      <c r="M54" s="53">
        <f t="shared" si="5"/>
        <v>0</v>
      </c>
      <c r="N54" s="341">
        <v>20</v>
      </c>
      <c r="O54" s="389">
        <f t="shared" si="6"/>
        <v>88426559.731883541</v>
      </c>
      <c r="P54" s="389">
        <f t="shared" si="7"/>
        <v>-1633917.1011143029</v>
      </c>
      <c r="Q54" s="389"/>
      <c r="AA54" s="211"/>
      <c r="AB54" s="211"/>
      <c r="AC54" s="211"/>
      <c r="AD54" s="211"/>
      <c r="AE54"/>
      <c r="AF54"/>
      <c r="AG54"/>
      <c r="AH54"/>
      <c r="AI54"/>
    </row>
    <row r="55" spans="2:35" ht="14.4" x14ac:dyDescent="0.3">
      <c r="B55" s="353">
        <v>40787</v>
      </c>
      <c r="C55" s="322">
        <f t="shared" si="1"/>
        <v>9</v>
      </c>
      <c r="D55" s="322">
        <v>2011</v>
      </c>
      <c r="E55" s="343">
        <v>75561450.664615378</v>
      </c>
      <c r="F55" s="319">
        <v>48.2</v>
      </c>
      <c r="G55" s="319">
        <v>39.700000000000003</v>
      </c>
      <c r="H55" s="373">
        <f>'GDP A'!AF104</f>
        <v>134.16860052421072</v>
      </c>
      <c r="I55" s="53">
        <f t="shared" si="8"/>
        <v>30</v>
      </c>
      <c r="J55" s="53">
        <f t="shared" si="2"/>
        <v>0</v>
      </c>
      <c r="K55" s="53">
        <f t="shared" si="3"/>
        <v>0</v>
      </c>
      <c r="L55" s="53">
        <f t="shared" si="4"/>
        <v>0</v>
      </c>
      <c r="M55" s="53">
        <f t="shared" si="5"/>
        <v>0</v>
      </c>
      <c r="N55" s="341">
        <v>21</v>
      </c>
      <c r="O55" s="389">
        <f t="shared" si="6"/>
        <v>76698142.52267994</v>
      </c>
      <c r="P55" s="389">
        <f t="shared" si="7"/>
        <v>-1136691.8580645621</v>
      </c>
      <c r="Q55" s="389"/>
      <c r="AA55" s="211"/>
      <c r="AB55" s="211"/>
      <c r="AC55" s="211"/>
      <c r="AD55" s="211"/>
      <c r="AE55"/>
      <c r="AF55"/>
      <c r="AG55"/>
      <c r="AH55"/>
      <c r="AI55"/>
    </row>
    <row r="56" spans="2:35" ht="14.4" x14ac:dyDescent="0.3">
      <c r="B56" s="353">
        <v>40817</v>
      </c>
      <c r="C56" s="322">
        <f t="shared" si="1"/>
        <v>10</v>
      </c>
      <c r="D56" s="322">
        <v>2011</v>
      </c>
      <c r="E56" s="343">
        <v>73210551.581538469</v>
      </c>
      <c r="F56" s="319">
        <v>235.5</v>
      </c>
      <c r="G56" s="319">
        <v>2.4</v>
      </c>
      <c r="H56" s="373">
        <f>'GDP A'!AF105</f>
        <v>134.33841312799402</v>
      </c>
      <c r="I56" s="53">
        <f t="shared" si="8"/>
        <v>31</v>
      </c>
      <c r="J56" s="53">
        <f t="shared" si="2"/>
        <v>0</v>
      </c>
      <c r="K56" s="53">
        <f t="shared" si="3"/>
        <v>0</v>
      </c>
      <c r="L56" s="53">
        <f t="shared" si="4"/>
        <v>0</v>
      </c>
      <c r="M56" s="53">
        <f t="shared" si="5"/>
        <v>1</v>
      </c>
      <c r="N56" s="341">
        <v>22</v>
      </c>
      <c r="O56" s="389">
        <f t="shared" si="6"/>
        <v>74834887.100784674</v>
      </c>
      <c r="P56" s="389">
        <f t="shared" si="7"/>
        <v>-1624335.5192462057</v>
      </c>
      <c r="Q56" s="389"/>
      <c r="AA56" s="211"/>
      <c r="AB56" s="211"/>
      <c r="AC56" s="211"/>
      <c r="AD56" s="211"/>
      <c r="AE56"/>
      <c r="AF56"/>
      <c r="AG56"/>
      <c r="AH56"/>
      <c r="AI56"/>
    </row>
    <row r="57" spans="2:35" ht="14.4" x14ac:dyDescent="0.3">
      <c r="B57" s="353">
        <v>40848</v>
      </c>
      <c r="C57" s="322">
        <f t="shared" si="1"/>
        <v>11</v>
      </c>
      <c r="D57" s="322">
        <v>2011</v>
      </c>
      <c r="E57" s="343">
        <v>74362594.600769222</v>
      </c>
      <c r="F57" s="319">
        <v>342.1</v>
      </c>
      <c r="G57" s="319">
        <v>0</v>
      </c>
      <c r="H57" s="373">
        <f>'GDP A'!AF106</f>
        <v>134.50844065777559</v>
      </c>
      <c r="I57" s="53">
        <f t="shared" si="8"/>
        <v>30</v>
      </c>
      <c r="J57" s="53">
        <f t="shared" si="2"/>
        <v>0</v>
      </c>
      <c r="K57" s="53">
        <f t="shared" si="3"/>
        <v>0</v>
      </c>
      <c r="L57" s="53">
        <f t="shared" si="4"/>
        <v>0</v>
      </c>
      <c r="M57" s="53">
        <f t="shared" si="5"/>
        <v>0</v>
      </c>
      <c r="N57" s="341">
        <v>23</v>
      </c>
      <c r="O57" s="389">
        <f t="shared" si="6"/>
        <v>75789125.578818455</v>
      </c>
      <c r="P57" s="389">
        <f t="shared" si="7"/>
        <v>-1426530.9780492336</v>
      </c>
      <c r="Q57" s="389"/>
      <c r="AA57" s="211"/>
      <c r="AB57" s="211"/>
      <c r="AC57" s="211"/>
      <c r="AD57" s="211"/>
      <c r="AE57"/>
      <c r="AF57"/>
      <c r="AG57"/>
      <c r="AH57"/>
      <c r="AI57"/>
    </row>
    <row r="58" spans="2:35" ht="14.4" x14ac:dyDescent="0.3">
      <c r="B58" s="353">
        <v>40878</v>
      </c>
      <c r="C58" s="322">
        <f t="shared" si="1"/>
        <v>12</v>
      </c>
      <c r="D58" s="322">
        <v>2011</v>
      </c>
      <c r="E58" s="343">
        <v>78058078.98307693</v>
      </c>
      <c r="F58" s="319">
        <v>534</v>
      </c>
      <c r="G58" s="319">
        <v>0</v>
      </c>
      <c r="H58" s="373">
        <f>'GDP A'!AF107</f>
        <v>134.67868338557994</v>
      </c>
      <c r="I58" s="53">
        <f t="shared" si="8"/>
        <v>31</v>
      </c>
      <c r="J58" s="53">
        <f t="shared" si="2"/>
        <v>0</v>
      </c>
      <c r="K58" s="53">
        <f t="shared" si="3"/>
        <v>0</v>
      </c>
      <c r="L58" s="53">
        <f t="shared" si="4"/>
        <v>0</v>
      </c>
      <c r="M58" s="53">
        <f t="shared" si="5"/>
        <v>0</v>
      </c>
      <c r="N58" s="341">
        <v>24</v>
      </c>
      <c r="O58" s="389">
        <f t="shared" si="6"/>
        <v>80545764.999926671</v>
      </c>
      <c r="P58" s="389">
        <f t="shared" si="7"/>
        <v>-2487686.0168497413</v>
      </c>
      <c r="Q58" s="389"/>
      <c r="AA58" s="211"/>
      <c r="AB58" s="211"/>
      <c r="AC58" s="211"/>
      <c r="AD58" s="211"/>
      <c r="AE58"/>
      <c r="AF58"/>
      <c r="AG58"/>
      <c r="AH58"/>
      <c r="AI58"/>
    </row>
    <row r="59" spans="2:35" ht="14.4" x14ac:dyDescent="0.3">
      <c r="B59" s="353">
        <v>40909</v>
      </c>
      <c r="C59" s="322">
        <f t="shared" si="1"/>
        <v>1</v>
      </c>
      <c r="D59" s="322">
        <v>2012</v>
      </c>
      <c r="E59" s="343">
        <v>83475292.246923089</v>
      </c>
      <c r="F59" s="319">
        <v>610.80000000000007</v>
      </c>
      <c r="G59" s="319">
        <v>0</v>
      </c>
      <c r="H59" s="373">
        <f>'GDP A'!AF108</f>
        <v>134.80289547341587</v>
      </c>
      <c r="I59" s="53">
        <f t="shared" si="8"/>
        <v>31</v>
      </c>
      <c r="J59" s="53">
        <f t="shared" si="2"/>
        <v>0</v>
      </c>
      <c r="K59" s="53">
        <f t="shared" si="3"/>
        <v>0</v>
      </c>
      <c r="L59" s="53">
        <f t="shared" si="4"/>
        <v>0</v>
      </c>
      <c r="M59" s="53">
        <f t="shared" si="5"/>
        <v>0</v>
      </c>
      <c r="N59" s="341">
        <v>25</v>
      </c>
      <c r="O59" s="389">
        <f t="shared" si="6"/>
        <v>81542546.283964381</v>
      </c>
      <c r="P59" s="389">
        <f t="shared" si="7"/>
        <v>1932745.9629587084</v>
      </c>
      <c r="Q59" s="389"/>
      <c r="AA59" s="211"/>
      <c r="AB59" s="211"/>
      <c r="AC59" s="211"/>
      <c r="AD59" s="211"/>
      <c r="AE59"/>
      <c r="AF59"/>
      <c r="AG59"/>
      <c r="AH59"/>
      <c r="AI59"/>
    </row>
    <row r="60" spans="2:35" ht="14.4" x14ac:dyDescent="0.3">
      <c r="B60" s="353">
        <v>40940</v>
      </c>
      <c r="C60" s="322">
        <f t="shared" si="1"/>
        <v>2</v>
      </c>
      <c r="D60" s="322">
        <v>2012</v>
      </c>
      <c r="E60" s="343">
        <v>76561559.599230751</v>
      </c>
      <c r="F60" s="319">
        <v>532</v>
      </c>
      <c r="G60" s="319">
        <v>0</v>
      </c>
      <c r="H60" s="373">
        <f>'GDP A'!AF109</f>
        <v>134.92722212015877</v>
      </c>
      <c r="I60" s="53">
        <f t="shared" si="8"/>
        <v>29</v>
      </c>
      <c r="J60" s="53">
        <f t="shared" si="2"/>
        <v>0</v>
      </c>
      <c r="K60" s="53">
        <f t="shared" si="3"/>
        <v>0</v>
      </c>
      <c r="L60" s="53">
        <f t="shared" si="4"/>
        <v>0</v>
      </c>
      <c r="M60" s="53">
        <f t="shared" si="5"/>
        <v>0</v>
      </c>
      <c r="N60" s="341">
        <v>26</v>
      </c>
      <c r="O60" s="389">
        <f t="shared" si="6"/>
        <v>76116084.233644649</v>
      </c>
      <c r="P60" s="389">
        <f t="shared" si="7"/>
        <v>445475.36558610201</v>
      </c>
      <c r="Q60" s="389"/>
      <c r="AA60" s="211"/>
      <c r="AB60" s="211"/>
      <c r="AC60" s="211"/>
      <c r="AD60" s="211"/>
      <c r="AE60"/>
      <c r="AF60"/>
      <c r="AG60"/>
      <c r="AH60"/>
      <c r="AI60"/>
    </row>
    <row r="61" spans="2:35" ht="14.4" x14ac:dyDescent="0.3">
      <c r="B61" s="353">
        <v>40969</v>
      </c>
      <c r="C61" s="322">
        <f t="shared" si="1"/>
        <v>3</v>
      </c>
      <c r="D61" s="322">
        <v>2012</v>
      </c>
      <c r="E61" s="343">
        <v>76020277.875384629</v>
      </c>
      <c r="F61" s="319">
        <v>349.40000000000009</v>
      </c>
      <c r="G61" s="319">
        <v>0.2</v>
      </c>
      <c r="H61" s="373">
        <f>'GDP A'!AF110</f>
        <v>135.05166343146462</v>
      </c>
      <c r="I61" s="53">
        <f t="shared" si="8"/>
        <v>31</v>
      </c>
      <c r="J61" s="53">
        <f t="shared" si="2"/>
        <v>1</v>
      </c>
      <c r="K61" s="53">
        <f t="shared" si="3"/>
        <v>0</v>
      </c>
      <c r="L61" s="53">
        <f t="shared" si="4"/>
        <v>0</v>
      </c>
      <c r="M61" s="53">
        <f t="shared" si="5"/>
        <v>0</v>
      </c>
      <c r="N61" s="341">
        <v>27</v>
      </c>
      <c r="O61" s="389">
        <f t="shared" si="6"/>
        <v>75948682.795785144</v>
      </c>
      <c r="P61" s="389">
        <f t="shared" si="7"/>
        <v>71595.079599484801</v>
      </c>
      <c r="Q61" s="389"/>
      <c r="AA61" s="211"/>
      <c r="AB61" s="211"/>
      <c r="AC61" s="211"/>
      <c r="AD61" s="211"/>
      <c r="AE61"/>
      <c r="AF61"/>
      <c r="AG61"/>
      <c r="AH61"/>
      <c r="AI61"/>
    </row>
    <row r="62" spans="2:35" ht="14.4" x14ac:dyDescent="0.3">
      <c r="B62" s="353">
        <v>41000</v>
      </c>
      <c r="C62" s="322">
        <f t="shared" si="1"/>
        <v>4</v>
      </c>
      <c r="D62" s="322">
        <v>2012</v>
      </c>
      <c r="E62" s="343">
        <v>69885111.659999996</v>
      </c>
      <c r="F62" s="319">
        <v>321.70000000000005</v>
      </c>
      <c r="G62" s="319">
        <v>0</v>
      </c>
      <c r="H62" s="373">
        <f>'GDP A'!AF111</f>
        <v>135.17621951308675</v>
      </c>
      <c r="I62" s="53">
        <f t="shared" si="8"/>
        <v>30</v>
      </c>
      <c r="J62" s="53">
        <f t="shared" si="2"/>
        <v>0</v>
      </c>
      <c r="K62" s="53">
        <f t="shared" si="3"/>
        <v>1</v>
      </c>
      <c r="L62" s="53">
        <f t="shared" si="4"/>
        <v>0</v>
      </c>
      <c r="M62" s="53">
        <f t="shared" si="5"/>
        <v>0</v>
      </c>
      <c r="N62" s="341">
        <v>28</v>
      </c>
      <c r="O62" s="389">
        <f t="shared" si="6"/>
        <v>70922558.435856849</v>
      </c>
      <c r="P62" s="389">
        <f t="shared" si="7"/>
        <v>-1037446.7758568525</v>
      </c>
      <c r="Q62" s="389"/>
      <c r="AA62" s="211"/>
      <c r="AB62" s="211"/>
      <c r="AC62" s="211"/>
      <c r="AD62" s="211"/>
      <c r="AE62"/>
      <c r="AF62"/>
      <c r="AG62"/>
      <c r="AH62"/>
      <c r="AI62"/>
    </row>
    <row r="63" spans="2:35" ht="14.4" x14ac:dyDescent="0.3">
      <c r="B63" s="353">
        <v>41030</v>
      </c>
      <c r="C63" s="322">
        <f t="shared" si="1"/>
        <v>5</v>
      </c>
      <c r="D63" s="322">
        <v>2012</v>
      </c>
      <c r="E63" s="343">
        <v>77152267.277272731</v>
      </c>
      <c r="F63" s="319">
        <v>81.300000000000011</v>
      </c>
      <c r="G63" s="319">
        <v>36.700000000000003</v>
      </c>
      <c r="H63" s="373">
        <f>'GDP A'!AF112</f>
        <v>135.30089047087608</v>
      </c>
      <c r="I63" s="53">
        <f t="shared" si="8"/>
        <v>31</v>
      </c>
      <c r="J63" s="53">
        <f t="shared" si="2"/>
        <v>0</v>
      </c>
      <c r="K63" s="53">
        <f t="shared" si="3"/>
        <v>0</v>
      </c>
      <c r="L63" s="53">
        <f t="shared" si="4"/>
        <v>1</v>
      </c>
      <c r="M63" s="53">
        <f t="shared" si="5"/>
        <v>0</v>
      </c>
      <c r="N63" s="341">
        <v>29</v>
      </c>
      <c r="O63" s="389">
        <f t="shared" si="6"/>
        <v>75169181.060763493</v>
      </c>
      <c r="P63" s="389">
        <f t="shared" si="7"/>
        <v>1983086.2165092379</v>
      </c>
      <c r="Q63" s="389"/>
      <c r="AA63" s="211"/>
      <c r="AB63" s="211"/>
      <c r="AC63" s="211"/>
      <c r="AD63" s="211"/>
      <c r="AE63"/>
      <c r="AF63"/>
      <c r="AG63"/>
      <c r="AH63"/>
      <c r="AI63"/>
    </row>
    <row r="64" spans="2:35" ht="14.4" x14ac:dyDescent="0.3">
      <c r="B64" s="353">
        <v>41061</v>
      </c>
      <c r="C64" s="322">
        <f t="shared" si="1"/>
        <v>6</v>
      </c>
      <c r="D64" s="322">
        <v>2012</v>
      </c>
      <c r="E64" s="343">
        <v>83683996.899090916</v>
      </c>
      <c r="F64" s="319">
        <v>23.2</v>
      </c>
      <c r="G64" s="319">
        <v>101.60000000000001</v>
      </c>
      <c r="H64" s="373">
        <f>'GDP A'!AF113</f>
        <v>135.42567641078114</v>
      </c>
      <c r="I64" s="53">
        <f t="shared" si="8"/>
        <v>30</v>
      </c>
      <c r="J64" s="53">
        <f t="shared" si="2"/>
        <v>0</v>
      </c>
      <c r="K64" s="53">
        <f t="shared" si="3"/>
        <v>0</v>
      </c>
      <c r="L64" s="53">
        <f t="shared" si="4"/>
        <v>0</v>
      </c>
      <c r="M64" s="53">
        <f t="shared" si="5"/>
        <v>0</v>
      </c>
      <c r="N64" s="341">
        <v>30</v>
      </c>
      <c r="O64" s="389">
        <f t="shared" si="6"/>
        <v>83348778.726111874</v>
      </c>
      <c r="P64" s="389">
        <f t="shared" si="7"/>
        <v>335218.17297904193</v>
      </c>
      <c r="Q64" s="389"/>
      <c r="AA64" s="211"/>
      <c r="AB64" s="211"/>
      <c r="AC64" s="211"/>
      <c r="AD64" s="211"/>
      <c r="AE64"/>
      <c r="AF64"/>
      <c r="AG64"/>
      <c r="AH64"/>
      <c r="AI64"/>
    </row>
    <row r="65" spans="2:35" ht="14.4" x14ac:dyDescent="0.3">
      <c r="B65" s="353">
        <v>41091</v>
      </c>
      <c r="C65" s="322">
        <f t="shared" si="1"/>
        <v>7</v>
      </c>
      <c r="D65" s="322">
        <v>2012</v>
      </c>
      <c r="E65" s="343">
        <v>97430291.178181812</v>
      </c>
      <c r="F65" s="319">
        <v>0</v>
      </c>
      <c r="G65" s="319">
        <v>190.09999999999997</v>
      </c>
      <c r="H65" s="373">
        <f>'GDP A'!AF114</f>
        <v>135.55057743884817</v>
      </c>
      <c r="I65" s="53">
        <f t="shared" si="8"/>
        <v>31</v>
      </c>
      <c r="J65" s="53">
        <f t="shared" si="2"/>
        <v>0</v>
      </c>
      <c r="K65" s="53">
        <f t="shared" si="3"/>
        <v>0</v>
      </c>
      <c r="L65" s="53">
        <f t="shared" si="4"/>
        <v>0</v>
      </c>
      <c r="M65" s="53">
        <f t="shared" si="5"/>
        <v>0</v>
      </c>
      <c r="N65" s="341">
        <v>31</v>
      </c>
      <c r="O65" s="389">
        <f t="shared" si="6"/>
        <v>96030918.779882506</v>
      </c>
      <c r="P65" s="389">
        <f t="shared" si="7"/>
        <v>1399372.3982993066</v>
      </c>
      <c r="Q65" s="389"/>
      <c r="AA65" s="211"/>
      <c r="AB65" s="211"/>
      <c r="AC65" s="211"/>
      <c r="AD65" s="211"/>
      <c r="AE65"/>
      <c r="AF65"/>
      <c r="AG65"/>
      <c r="AH65"/>
      <c r="AI65"/>
    </row>
    <row r="66" spans="2:35" ht="14.4" x14ac:dyDescent="0.3">
      <c r="B66" s="353">
        <v>41122</v>
      </c>
      <c r="C66" s="322">
        <f t="shared" si="1"/>
        <v>8</v>
      </c>
      <c r="D66" s="322">
        <v>2012</v>
      </c>
      <c r="E66" s="343">
        <v>90717698.745454535</v>
      </c>
      <c r="F66" s="319">
        <v>2</v>
      </c>
      <c r="G66" s="319">
        <v>112.10000000000001</v>
      </c>
      <c r="H66" s="373">
        <f>'GDP A'!AF115</f>
        <v>135.67559366122123</v>
      </c>
      <c r="I66" s="53">
        <f t="shared" si="8"/>
        <v>31</v>
      </c>
      <c r="J66" s="53">
        <f t="shared" si="2"/>
        <v>0</v>
      </c>
      <c r="K66" s="53">
        <f t="shared" si="3"/>
        <v>0</v>
      </c>
      <c r="L66" s="53">
        <f t="shared" si="4"/>
        <v>0</v>
      </c>
      <c r="M66" s="53">
        <f t="shared" si="5"/>
        <v>0</v>
      </c>
      <c r="N66" s="341">
        <v>32</v>
      </c>
      <c r="O66" s="389">
        <f t="shared" si="6"/>
        <v>86305928.144156024</v>
      </c>
      <c r="P66" s="389">
        <f t="shared" si="7"/>
        <v>4411770.601298511</v>
      </c>
      <c r="Q66" s="389"/>
      <c r="AA66" s="211"/>
      <c r="AB66" s="211"/>
      <c r="AC66" s="211"/>
      <c r="AD66" s="211"/>
      <c r="AE66"/>
      <c r="AF66"/>
      <c r="AG66"/>
      <c r="AH66"/>
      <c r="AI66"/>
    </row>
    <row r="67" spans="2:35" ht="14.4" x14ac:dyDescent="0.3">
      <c r="B67" s="353">
        <v>41153</v>
      </c>
      <c r="C67" s="322">
        <f t="shared" si="1"/>
        <v>9</v>
      </c>
      <c r="D67" s="322">
        <v>2012</v>
      </c>
      <c r="E67" s="343">
        <v>77862574.99090907</v>
      </c>
      <c r="F67" s="319">
        <v>85</v>
      </c>
      <c r="G67" s="319">
        <v>35.6</v>
      </c>
      <c r="H67" s="373">
        <f>'GDP A'!AF116</f>
        <v>135.80072518414227</v>
      </c>
      <c r="I67" s="53">
        <f t="shared" si="8"/>
        <v>30</v>
      </c>
      <c r="J67" s="53">
        <f t="shared" si="2"/>
        <v>0</v>
      </c>
      <c r="K67" s="53">
        <f t="shared" si="3"/>
        <v>0</v>
      </c>
      <c r="L67" s="53">
        <f t="shared" si="4"/>
        <v>0</v>
      </c>
      <c r="M67" s="53">
        <f t="shared" si="5"/>
        <v>0</v>
      </c>
      <c r="N67" s="341">
        <v>33</v>
      </c>
      <c r="O67" s="389">
        <f t="shared" si="6"/>
        <v>75787495.203339711</v>
      </c>
      <c r="P67" s="389">
        <f t="shared" si="7"/>
        <v>2075079.7875693589</v>
      </c>
      <c r="Q67" s="389"/>
      <c r="AA67" s="211"/>
      <c r="AB67" s="211"/>
      <c r="AC67" s="211"/>
      <c r="AD67" s="211"/>
      <c r="AE67"/>
      <c r="AF67"/>
      <c r="AG67"/>
      <c r="AH67"/>
      <c r="AI67"/>
    </row>
    <row r="68" spans="2:35" ht="14.4" x14ac:dyDescent="0.3">
      <c r="B68" s="353">
        <v>41183</v>
      </c>
      <c r="C68" s="322">
        <f t="shared" si="1"/>
        <v>10</v>
      </c>
      <c r="D68" s="322">
        <v>2012</v>
      </c>
      <c r="E68" s="343">
        <v>75966062.297272757</v>
      </c>
      <c r="F68" s="319">
        <v>242.50000000000003</v>
      </c>
      <c r="G68" s="319">
        <v>1.1000000000000001</v>
      </c>
      <c r="H68" s="373">
        <f>'GDP A'!AF117</f>
        <v>135.92597211395122</v>
      </c>
      <c r="I68" s="53">
        <f t="shared" si="8"/>
        <v>31</v>
      </c>
      <c r="J68" s="53">
        <f t="shared" si="2"/>
        <v>0</v>
      </c>
      <c r="K68" s="53">
        <f t="shared" si="3"/>
        <v>0</v>
      </c>
      <c r="L68" s="53">
        <f t="shared" si="4"/>
        <v>0</v>
      </c>
      <c r="M68" s="53">
        <f t="shared" si="5"/>
        <v>1</v>
      </c>
      <c r="N68" s="341">
        <v>34</v>
      </c>
      <c r="O68" s="389">
        <f t="shared" si="6"/>
        <v>73829373.038768142</v>
      </c>
      <c r="P68" s="389">
        <f t="shared" si="7"/>
        <v>2136689.2585046142</v>
      </c>
      <c r="Q68" s="389"/>
      <c r="AA68" s="211"/>
      <c r="AB68" s="211"/>
      <c r="AC68" s="211"/>
      <c r="AD68" s="211"/>
      <c r="AE68"/>
      <c r="AF68"/>
      <c r="AG68"/>
      <c r="AH68"/>
      <c r="AI68"/>
    </row>
    <row r="69" spans="2:35" ht="14.4" x14ac:dyDescent="0.3">
      <c r="B69" s="353">
        <v>41214</v>
      </c>
      <c r="C69" s="322">
        <f t="shared" si="1"/>
        <v>11</v>
      </c>
      <c r="D69" s="322">
        <v>2012</v>
      </c>
      <c r="E69" s="343">
        <v>77579680.941818193</v>
      </c>
      <c r="F69" s="319">
        <v>433.99999999999994</v>
      </c>
      <c r="G69" s="319">
        <v>0</v>
      </c>
      <c r="H69" s="373">
        <f>'GDP A'!AF118</f>
        <v>136.05133455708605</v>
      </c>
      <c r="I69" s="53">
        <f t="shared" si="8"/>
        <v>30</v>
      </c>
      <c r="J69" s="53">
        <f t="shared" si="2"/>
        <v>0</v>
      </c>
      <c r="K69" s="53">
        <f t="shared" si="3"/>
        <v>0</v>
      </c>
      <c r="L69" s="53">
        <f t="shared" si="4"/>
        <v>0</v>
      </c>
      <c r="M69" s="53">
        <f t="shared" si="5"/>
        <v>0</v>
      </c>
      <c r="N69" s="341">
        <v>35</v>
      </c>
      <c r="O69" s="389">
        <f t="shared" si="6"/>
        <v>76114998.099659368</v>
      </c>
      <c r="P69" s="389">
        <f t="shared" si="7"/>
        <v>1464682.8421588242</v>
      </c>
      <c r="Q69" s="389"/>
      <c r="AA69" s="211"/>
      <c r="AB69" s="211"/>
      <c r="AC69" s="211"/>
      <c r="AD69" s="211"/>
      <c r="AE69"/>
      <c r="AF69"/>
      <c r="AG69"/>
      <c r="AH69"/>
      <c r="AI69"/>
    </row>
    <row r="70" spans="2:35" ht="14.4" x14ac:dyDescent="0.3">
      <c r="B70" s="353">
        <v>41244</v>
      </c>
      <c r="C70" s="322">
        <f t="shared" si="1"/>
        <v>12</v>
      </c>
      <c r="D70" s="322">
        <v>2012</v>
      </c>
      <c r="E70" s="343">
        <v>78044416.993636355</v>
      </c>
      <c r="F70" s="319">
        <v>533.50000000000011</v>
      </c>
      <c r="G70" s="319">
        <v>0</v>
      </c>
      <c r="H70" s="373">
        <f>'GDP A'!AF119</f>
        <v>136.17681262008293</v>
      </c>
      <c r="I70" s="53">
        <f t="shared" si="8"/>
        <v>31</v>
      </c>
      <c r="J70" s="53">
        <f t="shared" si="2"/>
        <v>0</v>
      </c>
      <c r="K70" s="53">
        <f t="shared" si="3"/>
        <v>0</v>
      </c>
      <c r="L70" s="53">
        <f t="shared" si="4"/>
        <v>0</v>
      </c>
      <c r="M70" s="53">
        <f t="shared" si="5"/>
        <v>0</v>
      </c>
      <c r="N70" s="341">
        <v>36</v>
      </c>
      <c r="O70" s="389">
        <f t="shared" si="6"/>
        <v>79549574.646311119</v>
      </c>
      <c r="P70" s="389">
        <f t="shared" si="7"/>
        <v>-1505157.6526747644</v>
      </c>
      <c r="Q70" s="389"/>
      <c r="AA70" s="211"/>
      <c r="AB70" s="211"/>
      <c r="AC70" s="211"/>
      <c r="AD70" s="211"/>
      <c r="AE70"/>
      <c r="AF70"/>
      <c r="AG70"/>
      <c r="AH70"/>
      <c r="AI70"/>
    </row>
    <row r="71" spans="2:35" ht="14.4" x14ac:dyDescent="0.3">
      <c r="B71" s="353">
        <v>41275</v>
      </c>
      <c r="C71" s="322">
        <f t="shared" si="1"/>
        <v>1</v>
      </c>
      <c r="D71" s="322">
        <v>2013</v>
      </c>
      <c r="E71" s="343">
        <v>84721792.143333375</v>
      </c>
      <c r="F71" s="319">
        <v>624.40000000000009</v>
      </c>
      <c r="G71" s="319">
        <v>0</v>
      </c>
      <c r="H71" s="373">
        <f>'GDP A'!AF120</f>
        <v>136.33254285243484</v>
      </c>
      <c r="I71" s="53">
        <f t="shared" si="8"/>
        <v>31</v>
      </c>
      <c r="J71" s="53">
        <f t="shared" si="2"/>
        <v>0</v>
      </c>
      <c r="K71" s="53">
        <f t="shared" si="3"/>
        <v>0</v>
      </c>
      <c r="L71" s="53">
        <f t="shared" si="4"/>
        <v>0</v>
      </c>
      <c r="M71" s="53">
        <f t="shared" si="5"/>
        <v>0</v>
      </c>
      <c r="N71" s="341">
        <v>37</v>
      </c>
      <c r="O71" s="389">
        <f t="shared" si="6"/>
        <v>80760916.859124705</v>
      </c>
      <c r="P71" s="389">
        <f t="shared" si="7"/>
        <v>3960875.2842086703</v>
      </c>
      <c r="Q71" s="389"/>
      <c r="AA71" s="211"/>
      <c r="AB71" s="211"/>
      <c r="AC71" s="211"/>
      <c r="AD71" s="211"/>
      <c r="AE71"/>
      <c r="AF71"/>
      <c r="AG71"/>
      <c r="AH71"/>
      <c r="AI71"/>
    </row>
    <row r="72" spans="2:35" ht="14.4" x14ac:dyDescent="0.3">
      <c r="B72" s="353">
        <v>41306</v>
      </c>
      <c r="C72" s="322">
        <f t="shared" si="1"/>
        <v>2</v>
      </c>
      <c r="D72" s="322">
        <v>2013</v>
      </c>
      <c r="E72" s="343">
        <v>76515852.360000014</v>
      </c>
      <c r="F72" s="319">
        <v>631.49999999999989</v>
      </c>
      <c r="G72" s="319">
        <v>0</v>
      </c>
      <c r="H72" s="373">
        <f>'GDP A'!AF121</f>
        <v>136.4884511760844</v>
      </c>
      <c r="I72" s="53">
        <f t="shared" si="8"/>
        <v>28</v>
      </c>
      <c r="J72" s="53">
        <f t="shared" si="2"/>
        <v>0</v>
      </c>
      <c r="K72" s="53">
        <f t="shared" si="3"/>
        <v>0</v>
      </c>
      <c r="L72" s="53">
        <f t="shared" si="4"/>
        <v>0</v>
      </c>
      <c r="M72" s="53">
        <f t="shared" si="5"/>
        <v>0</v>
      </c>
      <c r="N72" s="341">
        <v>38</v>
      </c>
      <c r="O72" s="389">
        <f t="shared" si="6"/>
        <v>74440250.498076394</v>
      </c>
      <c r="P72" s="389">
        <f t="shared" si="7"/>
        <v>2075601.8619236201</v>
      </c>
      <c r="Q72" s="389"/>
      <c r="AA72" s="211"/>
      <c r="AB72" s="211"/>
      <c r="AC72" s="211"/>
      <c r="AD72" s="211"/>
      <c r="AE72"/>
      <c r="AF72"/>
      <c r="AG72"/>
      <c r="AH72"/>
      <c r="AI72"/>
    </row>
    <row r="73" spans="2:35" ht="14.4" x14ac:dyDescent="0.3">
      <c r="B73" s="353">
        <v>41334</v>
      </c>
      <c r="C73" s="322">
        <f t="shared" si="1"/>
        <v>3</v>
      </c>
      <c r="D73" s="322">
        <v>2013</v>
      </c>
      <c r="E73" s="343">
        <v>80320040.103333354</v>
      </c>
      <c r="F73" s="319">
        <v>554.79999999999995</v>
      </c>
      <c r="G73" s="319">
        <v>0</v>
      </c>
      <c r="H73" s="373">
        <f>'GDP A'!AF122</f>
        <v>136.64453779469474</v>
      </c>
      <c r="I73" s="53">
        <f t="shared" si="8"/>
        <v>31</v>
      </c>
      <c r="J73" s="53">
        <f t="shared" si="2"/>
        <v>1</v>
      </c>
      <c r="K73" s="53">
        <f t="shared" si="3"/>
        <v>0</v>
      </c>
      <c r="L73" s="53">
        <f t="shared" si="4"/>
        <v>0</v>
      </c>
      <c r="M73" s="53">
        <f t="shared" si="5"/>
        <v>0</v>
      </c>
      <c r="N73" s="341">
        <v>39</v>
      </c>
      <c r="O73" s="389">
        <f t="shared" si="6"/>
        <v>77871121.663812295</v>
      </c>
      <c r="P73" s="389">
        <f t="shared" si="7"/>
        <v>2448918.4395210594</v>
      </c>
      <c r="Q73" s="389"/>
      <c r="AA73" s="211"/>
      <c r="AB73" s="211"/>
      <c r="AC73" s="211"/>
      <c r="AD73" s="211"/>
      <c r="AE73"/>
      <c r="AF73"/>
      <c r="AG73"/>
      <c r="AH73"/>
      <c r="AI73"/>
    </row>
    <row r="74" spans="2:35" ht="14.4" x14ac:dyDescent="0.3">
      <c r="B74" s="353">
        <v>41365</v>
      </c>
      <c r="C74" s="322">
        <f t="shared" si="1"/>
        <v>4</v>
      </c>
      <c r="D74" s="322">
        <v>2013</v>
      </c>
      <c r="E74" s="343">
        <v>73854214.826666668</v>
      </c>
      <c r="F74" s="319">
        <v>358.6</v>
      </c>
      <c r="G74" s="319">
        <v>0</v>
      </c>
      <c r="H74" s="373">
        <f>'GDP A'!AF123</f>
        <v>136.80080291216194</v>
      </c>
      <c r="I74" s="53">
        <f t="shared" si="8"/>
        <v>30</v>
      </c>
      <c r="J74" s="53">
        <f t="shared" si="2"/>
        <v>0</v>
      </c>
      <c r="K74" s="53">
        <f t="shared" si="3"/>
        <v>1</v>
      </c>
      <c r="L74" s="53">
        <f t="shared" si="4"/>
        <v>0</v>
      </c>
      <c r="M74" s="53">
        <f t="shared" si="5"/>
        <v>0</v>
      </c>
      <c r="N74" s="341">
        <v>40</v>
      </c>
      <c r="O74" s="389">
        <f t="shared" si="6"/>
        <v>70517736.317661837</v>
      </c>
      <c r="P74" s="389">
        <f t="shared" si="7"/>
        <v>3336478.5090048313</v>
      </c>
      <c r="Q74" s="389"/>
      <c r="AA74" s="211"/>
      <c r="AB74" s="211"/>
      <c r="AC74" s="211"/>
      <c r="AD74" s="211"/>
      <c r="AE74"/>
      <c r="AF74"/>
      <c r="AG74"/>
      <c r="AH74"/>
      <c r="AI74"/>
    </row>
    <row r="75" spans="2:35" ht="14.4" x14ac:dyDescent="0.3">
      <c r="B75" s="353">
        <v>41395</v>
      </c>
      <c r="C75" s="322">
        <f t="shared" si="1"/>
        <v>5</v>
      </c>
      <c r="D75" s="322">
        <v>2013</v>
      </c>
      <c r="E75" s="343">
        <v>75766818.393333361</v>
      </c>
      <c r="F75" s="319">
        <v>109.10000000000001</v>
      </c>
      <c r="G75" s="319">
        <v>23.1</v>
      </c>
      <c r="H75" s="373">
        <f>'GDP A'!AF124</f>
        <v>136.95724673261523</v>
      </c>
      <c r="I75" s="53">
        <f t="shared" si="8"/>
        <v>31</v>
      </c>
      <c r="J75" s="53">
        <f t="shared" si="2"/>
        <v>0</v>
      </c>
      <c r="K75" s="53">
        <f t="shared" si="3"/>
        <v>0</v>
      </c>
      <c r="L75" s="53">
        <f t="shared" si="4"/>
        <v>1</v>
      </c>
      <c r="M75" s="53">
        <f t="shared" si="5"/>
        <v>0</v>
      </c>
      <c r="N75" s="341">
        <v>41</v>
      </c>
      <c r="O75" s="389">
        <f t="shared" si="6"/>
        <v>72966756.910483301</v>
      </c>
      <c r="P75" s="389">
        <f t="shared" si="7"/>
        <v>2800061.4828500599</v>
      </c>
      <c r="Q75" s="389"/>
      <c r="AA75" s="211"/>
      <c r="AB75" s="211"/>
      <c r="AC75" s="211"/>
      <c r="AD75" s="211"/>
      <c r="AE75"/>
      <c r="AF75"/>
      <c r="AG75"/>
      <c r="AH75"/>
      <c r="AI75"/>
    </row>
    <row r="76" spans="2:35" ht="14.4" x14ac:dyDescent="0.3">
      <c r="B76" s="353">
        <v>41426</v>
      </c>
      <c r="C76" s="322">
        <f t="shared" si="1"/>
        <v>6</v>
      </c>
      <c r="D76" s="322">
        <v>2013</v>
      </c>
      <c r="E76" s="343">
        <v>79605453.473333344</v>
      </c>
      <c r="F76" s="334">
        <v>33</v>
      </c>
      <c r="G76" s="334">
        <v>59.599999999999994</v>
      </c>
      <c r="H76" s="373">
        <f>'GDP A'!AF125</f>
        <v>137.11386946041728</v>
      </c>
      <c r="I76" s="53">
        <f t="shared" si="8"/>
        <v>30</v>
      </c>
      <c r="J76" s="53">
        <f t="shared" si="2"/>
        <v>0</v>
      </c>
      <c r="K76" s="53">
        <f t="shared" si="3"/>
        <v>0</v>
      </c>
      <c r="L76" s="53">
        <f t="shared" si="4"/>
        <v>0</v>
      </c>
      <c r="M76" s="53">
        <f t="shared" si="5"/>
        <v>0</v>
      </c>
      <c r="N76" s="341">
        <v>42</v>
      </c>
      <c r="O76" s="389">
        <f t="shared" si="6"/>
        <v>77388717.58126767</v>
      </c>
      <c r="P76" s="389">
        <f t="shared" si="7"/>
        <v>2216735.8920656741</v>
      </c>
      <c r="Q76" s="389"/>
      <c r="AA76" s="211"/>
      <c r="AB76" s="211"/>
      <c r="AC76" s="211"/>
      <c r="AD76" s="211"/>
      <c r="AE76"/>
      <c r="AF76"/>
      <c r="AG76"/>
      <c r="AH76"/>
      <c r="AI76"/>
    </row>
    <row r="77" spans="2:35" ht="14.4" x14ac:dyDescent="0.3">
      <c r="B77" s="353">
        <v>41456</v>
      </c>
      <c r="C77" s="322">
        <f t="shared" si="1"/>
        <v>7</v>
      </c>
      <c r="D77" s="322">
        <v>2013</v>
      </c>
      <c r="E77" s="343">
        <v>91347063.430000022</v>
      </c>
      <c r="F77" s="319">
        <v>1.2999999999999998</v>
      </c>
      <c r="G77" s="319">
        <v>120.80000000000003</v>
      </c>
      <c r="H77" s="373">
        <f>'GDP A'!AF126</f>
        <v>137.27067130016448</v>
      </c>
      <c r="I77" s="53">
        <f t="shared" si="8"/>
        <v>31</v>
      </c>
      <c r="J77" s="53">
        <f t="shared" si="2"/>
        <v>0</v>
      </c>
      <c r="K77" s="53">
        <f t="shared" si="3"/>
        <v>0</v>
      </c>
      <c r="L77" s="53">
        <f t="shared" si="4"/>
        <v>0</v>
      </c>
      <c r="M77" s="53">
        <f t="shared" si="5"/>
        <v>0</v>
      </c>
      <c r="N77" s="341">
        <v>43</v>
      </c>
      <c r="O77" s="389">
        <f t="shared" si="6"/>
        <v>86583173.234003916</v>
      </c>
      <c r="P77" s="389">
        <f t="shared" si="7"/>
        <v>4763890.1959961057</v>
      </c>
      <c r="Q77" s="389"/>
      <c r="AA77" s="211"/>
      <c r="AB77" s="211"/>
      <c r="AC77" s="211"/>
      <c r="AD77" s="211"/>
      <c r="AE77"/>
      <c r="AF77"/>
      <c r="AG77"/>
      <c r="AH77"/>
      <c r="AI77"/>
    </row>
    <row r="78" spans="2:35" ht="14.4" x14ac:dyDescent="0.3">
      <c r="B78" s="353">
        <v>41487</v>
      </c>
      <c r="C78" s="322">
        <f t="shared" si="1"/>
        <v>8</v>
      </c>
      <c r="D78" s="322">
        <v>2013</v>
      </c>
      <c r="E78" s="343">
        <v>86194913.580000013</v>
      </c>
      <c r="F78" s="319">
        <v>4.4000000000000004</v>
      </c>
      <c r="G78" s="319">
        <v>93.799999999999983</v>
      </c>
      <c r="H78" s="373">
        <f>'GDP A'!AF127</f>
        <v>137.42765245668718</v>
      </c>
      <c r="I78" s="53">
        <f t="shared" si="8"/>
        <v>31</v>
      </c>
      <c r="J78" s="53">
        <f t="shared" si="2"/>
        <v>0</v>
      </c>
      <c r="K78" s="53">
        <f t="shared" si="3"/>
        <v>0</v>
      </c>
      <c r="L78" s="53">
        <f t="shared" si="4"/>
        <v>0</v>
      </c>
      <c r="M78" s="53">
        <f t="shared" si="5"/>
        <v>0</v>
      </c>
      <c r="N78" s="341">
        <v>44</v>
      </c>
      <c r="O78" s="389">
        <f t="shared" si="6"/>
        <v>83213432.016844526</v>
      </c>
      <c r="P78" s="389">
        <f t="shared" si="7"/>
        <v>2981481.5631554872</v>
      </c>
      <c r="Q78" s="389"/>
      <c r="AA78" s="211"/>
      <c r="AB78" s="211"/>
      <c r="AC78" s="211"/>
      <c r="AD78" s="211"/>
      <c r="AE78"/>
      <c r="AF78"/>
      <c r="AG78"/>
      <c r="AH78"/>
      <c r="AI78"/>
    </row>
    <row r="79" spans="2:35" ht="14.4" x14ac:dyDescent="0.3">
      <c r="B79" s="353">
        <v>41518</v>
      </c>
      <c r="C79" s="322">
        <f t="shared" si="1"/>
        <v>9</v>
      </c>
      <c r="D79" s="322">
        <v>2013</v>
      </c>
      <c r="E79" s="343">
        <v>77473370.183333322</v>
      </c>
      <c r="F79" s="319">
        <v>82.999999999999986</v>
      </c>
      <c r="G79" s="319">
        <v>28.099999999999998</v>
      </c>
      <c r="H79" s="373">
        <f>'GDP A'!AF128</f>
        <v>137.58481313504998</v>
      </c>
      <c r="I79" s="53">
        <f t="shared" si="8"/>
        <v>30</v>
      </c>
      <c r="J79" s="53">
        <f t="shared" si="2"/>
        <v>0</v>
      </c>
      <c r="K79" s="53">
        <f t="shared" si="3"/>
        <v>0</v>
      </c>
      <c r="L79" s="53">
        <f t="shared" si="4"/>
        <v>0</v>
      </c>
      <c r="M79" s="53">
        <f t="shared" si="5"/>
        <v>0</v>
      </c>
      <c r="N79" s="341">
        <v>45</v>
      </c>
      <c r="O79" s="389">
        <f t="shared" si="6"/>
        <v>73988808.675118357</v>
      </c>
      <c r="P79" s="389">
        <f t="shared" si="7"/>
        <v>3484561.5082149655</v>
      </c>
      <c r="Q79" s="389"/>
      <c r="AA79" s="211"/>
      <c r="AB79" s="211"/>
      <c r="AC79" s="211"/>
      <c r="AD79" s="211"/>
      <c r="AE79"/>
      <c r="AF79"/>
      <c r="AG79"/>
      <c r="AH79"/>
      <c r="AI79"/>
    </row>
    <row r="80" spans="2:35" ht="14.4" x14ac:dyDescent="0.3">
      <c r="B80" s="353">
        <v>41548</v>
      </c>
      <c r="C80" s="322">
        <f t="shared" si="1"/>
        <v>10</v>
      </c>
      <c r="D80" s="322">
        <v>2013</v>
      </c>
      <c r="E80" s="343">
        <v>76800878.560000002</v>
      </c>
      <c r="F80" s="319">
        <v>208.5</v>
      </c>
      <c r="G80" s="319">
        <v>0.4</v>
      </c>
      <c r="H80" s="373">
        <f>'GDP A'!AF129</f>
        <v>137.74215354055198</v>
      </c>
      <c r="I80" s="53">
        <f t="shared" si="8"/>
        <v>31</v>
      </c>
      <c r="J80" s="53">
        <f t="shared" si="2"/>
        <v>0</v>
      </c>
      <c r="K80" s="53">
        <f t="shared" si="3"/>
        <v>0</v>
      </c>
      <c r="L80" s="53">
        <f t="shared" si="4"/>
        <v>0</v>
      </c>
      <c r="M80" s="53">
        <f t="shared" si="5"/>
        <v>1</v>
      </c>
      <c r="N80" s="341">
        <v>46</v>
      </c>
      <c r="O80" s="389">
        <f t="shared" si="6"/>
        <v>72440633.404899582</v>
      </c>
      <c r="P80" s="389">
        <f t="shared" si="7"/>
        <v>4360245.1551004201</v>
      </c>
      <c r="Q80" s="389"/>
      <c r="AA80" s="211"/>
      <c r="AB80" s="211"/>
      <c r="AC80" s="211"/>
      <c r="AD80" s="211"/>
      <c r="AE80"/>
      <c r="AF80"/>
      <c r="AG80"/>
      <c r="AH80"/>
      <c r="AI80"/>
    </row>
    <row r="81" spans="2:35" ht="14.4" x14ac:dyDescent="0.3">
      <c r="B81" s="353">
        <v>41579</v>
      </c>
      <c r="C81" s="322">
        <f t="shared" si="1"/>
        <v>11</v>
      </c>
      <c r="D81" s="322">
        <v>2013</v>
      </c>
      <c r="E81" s="343">
        <v>77253769.396666661</v>
      </c>
      <c r="F81" s="319">
        <v>478.20000000000005</v>
      </c>
      <c r="G81" s="319">
        <v>0</v>
      </c>
      <c r="H81" s="373">
        <f>'GDP A'!AF130</f>
        <v>137.89967387872707</v>
      </c>
      <c r="I81" s="53">
        <f t="shared" si="8"/>
        <v>30</v>
      </c>
      <c r="J81" s="53">
        <f t="shared" si="2"/>
        <v>0</v>
      </c>
      <c r="K81" s="53">
        <f t="shared" si="3"/>
        <v>0</v>
      </c>
      <c r="L81" s="53">
        <f t="shared" si="4"/>
        <v>0</v>
      </c>
      <c r="M81" s="53">
        <f t="shared" si="5"/>
        <v>0</v>
      </c>
      <c r="N81" s="341">
        <v>47</v>
      </c>
      <c r="O81" s="389">
        <f t="shared" si="6"/>
        <v>75928962.434670761</v>
      </c>
      <c r="P81" s="389">
        <f t="shared" si="7"/>
        <v>1324806.9619958997</v>
      </c>
      <c r="Q81" s="389"/>
      <c r="AA81" s="211"/>
      <c r="AB81" s="211"/>
      <c r="AC81" s="211"/>
      <c r="AD81" s="211"/>
      <c r="AE81"/>
      <c r="AF81"/>
      <c r="AG81"/>
      <c r="AH81"/>
      <c r="AI81"/>
    </row>
    <row r="82" spans="2:35" ht="14.4" x14ac:dyDescent="0.3">
      <c r="B82" s="353">
        <v>41609</v>
      </c>
      <c r="C82" s="322">
        <f t="shared" si="1"/>
        <v>12</v>
      </c>
      <c r="D82" s="322">
        <v>2013</v>
      </c>
      <c r="E82" s="343">
        <v>81481312.549999997</v>
      </c>
      <c r="F82" s="319">
        <v>687.9</v>
      </c>
      <c r="G82" s="319">
        <v>0</v>
      </c>
      <c r="H82" s="373">
        <f>'GDP A'!AF131</f>
        <v>138.05737435534434</v>
      </c>
      <c r="I82" s="53">
        <f t="shared" si="8"/>
        <v>31</v>
      </c>
      <c r="J82" s="53">
        <f t="shared" si="2"/>
        <v>0</v>
      </c>
      <c r="K82" s="53">
        <f t="shared" si="3"/>
        <v>0</v>
      </c>
      <c r="L82" s="53">
        <f t="shared" si="4"/>
        <v>0</v>
      </c>
      <c r="M82" s="53">
        <f t="shared" si="5"/>
        <v>0</v>
      </c>
      <c r="N82" s="341">
        <v>48</v>
      </c>
      <c r="O82" s="389">
        <f t="shared" si="6"/>
        <v>80929295.718067899</v>
      </c>
      <c r="P82" s="389">
        <f t="shared" si="7"/>
        <v>552016.83193209767</v>
      </c>
      <c r="Q82" s="389"/>
      <c r="AA82" s="211"/>
      <c r="AB82" s="211"/>
      <c r="AC82" s="211"/>
      <c r="AD82" s="211"/>
      <c r="AE82"/>
      <c r="AF82"/>
      <c r="AG82"/>
      <c r="AH82"/>
      <c r="AI82"/>
    </row>
    <row r="83" spans="2:35" ht="14.4" x14ac:dyDescent="0.3">
      <c r="B83" s="353">
        <v>41640</v>
      </c>
      <c r="C83" s="322">
        <f t="shared" si="1"/>
        <v>1</v>
      </c>
      <c r="D83" s="322">
        <v>2014</v>
      </c>
      <c r="E83" s="343">
        <v>87110628.419999987</v>
      </c>
      <c r="F83" s="319">
        <v>825.90000000000009</v>
      </c>
      <c r="G83" s="319">
        <v>0</v>
      </c>
      <c r="H83" s="373">
        <f>'GDP A'!AF132</f>
        <v>138.29854859030914</v>
      </c>
      <c r="I83" s="53">
        <f t="shared" si="8"/>
        <v>31</v>
      </c>
      <c r="J83" s="53">
        <f t="shared" si="2"/>
        <v>0</v>
      </c>
      <c r="K83" s="53">
        <f t="shared" si="3"/>
        <v>0</v>
      </c>
      <c r="L83" s="53">
        <f t="shared" si="4"/>
        <v>0</v>
      </c>
      <c r="M83" s="53">
        <f t="shared" si="5"/>
        <v>0</v>
      </c>
      <c r="N83" s="341">
        <v>49</v>
      </c>
      <c r="O83" s="389">
        <f t="shared" si="6"/>
        <v>82847061.811006233</v>
      </c>
      <c r="P83" s="389">
        <f t="shared" si="7"/>
        <v>4263566.6089937538</v>
      </c>
      <c r="Q83" s="389"/>
      <c r="AA83" s="211"/>
      <c r="AB83" s="211"/>
      <c r="AC83" s="211"/>
      <c r="AD83" s="211"/>
      <c r="AE83"/>
      <c r="AF83"/>
      <c r="AG83"/>
      <c r="AH83"/>
      <c r="AI83"/>
    </row>
    <row r="84" spans="2:35" ht="14.4" x14ac:dyDescent="0.3">
      <c r="B84" s="353">
        <v>41671</v>
      </c>
      <c r="C84" s="322">
        <f t="shared" si="1"/>
        <v>2</v>
      </c>
      <c r="D84" s="322">
        <v>2014</v>
      </c>
      <c r="E84" s="343">
        <v>75310896.296666682</v>
      </c>
      <c r="F84" s="319">
        <v>737.09999999999991</v>
      </c>
      <c r="G84" s="319">
        <v>0</v>
      </c>
      <c r="H84" s="373">
        <f>'GDP A'!AF133</f>
        <v>138.54014413570292</v>
      </c>
      <c r="I84" s="53">
        <f t="shared" si="8"/>
        <v>28</v>
      </c>
      <c r="J84" s="53">
        <f t="shared" si="2"/>
        <v>0</v>
      </c>
      <c r="K84" s="53">
        <f t="shared" si="3"/>
        <v>0</v>
      </c>
      <c r="L84" s="53">
        <f t="shared" si="4"/>
        <v>0</v>
      </c>
      <c r="M84" s="53">
        <f t="shared" si="5"/>
        <v>0</v>
      </c>
      <c r="N84" s="341">
        <v>50</v>
      </c>
      <c r="O84" s="389">
        <f t="shared" si="6"/>
        <v>75222865.362646416</v>
      </c>
      <c r="P84" s="389">
        <f t="shared" si="7"/>
        <v>88030.934020265937</v>
      </c>
      <c r="Q84" s="389"/>
      <c r="AA84" s="211"/>
      <c r="AB84" s="211"/>
      <c r="AC84" s="211"/>
      <c r="AD84" s="211"/>
      <c r="AE84"/>
      <c r="AF84"/>
      <c r="AG84"/>
      <c r="AH84"/>
      <c r="AI84"/>
    </row>
    <row r="85" spans="2:35" ht="14.4" x14ac:dyDescent="0.3">
      <c r="B85" s="353">
        <v>41699</v>
      </c>
      <c r="C85" s="322">
        <f t="shared" si="1"/>
        <v>3</v>
      </c>
      <c r="D85" s="322">
        <v>2014</v>
      </c>
      <c r="E85" s="343">
        <v>79598361.859999985</v>
      </c>
      <c r="F85" s="319">
        <v>690.6</v>
      </c>
      <c r="G85" s="319">
        <v>0</v>
      </c>
      <c r="H85" s="373">
        <f>'GDP A'!AF134</f>
        <v>138.78216172751834</v>
      </c>
      <c r="I85" s="53">
        <f t="shared" si="8"/>
        <v>31</v>
      </c>
      <c r="J85" s="53">
        <f t="shared" si="2"/>
        <v>1</v>
      </c>
      <c r="K85" s="53">
        <f t="shared" si="3"/>
        <v>0</v>
      </c>
      <c r="L85" s="53">
        <f t="shared" si="4"/>
        <v>0</v>
      </c>
      <c r="M85" s="53">
        <f t="shared" si="5"/>
        <v>0</v>
      </c>
      <c r="N85" s="341">
        <v>51</v>
      </c>
      <c r="O85" s="389">
        <f t="shared" si="6"/>
        <v>79122858.305154189</v>
      </c>
      <c r="P85" s="389">
        <f t="shared" si="7"/>
        <v>475503.55484579504</v>
      </c>
      <c r="Q85" s="389"/>
      <c r="AA85" s="211"/>
      <c r="AB85" s="211"/>
      <c r="AC85" s="211"/>
      <c r="AD85" s="211"/>
      <c r="AE85"/>
      <c r="AF85"/>
      <c r="AG85"/>
      <c r="AH85"/>
      <c r="AI85"/>
    </row>
    <row r="86" spans="2:35" ht="14.4" x14ac:dyDescent="0.3">
      <c r="B86" s="353">
        <v>41730</v>
      </c>
      <c r="C86" s="322">
        <f t="shared" si="1"/>
        <v>4</v>
      </c>
      <c r="D86" s="322">
        <v>2014</v>
      </c>
      <c r="E86" s="343">
        <v>69107663.240000024</v>
      </c>
      <c r="F86" s="319">
        <v>356.90000000000003</v>
      </c>
      <c r="G86" s="319">
        <v>0</v>
      </c>
      <c r="H86" s="373">
        <f>'GDP A'!AF135</f>
        <v>139.02460210303386</v>
      </c>
      <c r="I86" s="53">
        <f t="shared" si="8"/>
        <v>30</v>
      </c>
      <c r="J86" s="53">
        <f t="shared" si="2"/>
        <v>0</v>
      </c>
      <c r="K86" s="53">
        <f t="shared" si="3"/>
        <v>1</v>
      </c>
      <c r="L86" s="53">
        <f t="shared" si="4"/>
        <v>0</v>
      </c>
      <c r="M86" s="53">
        <f t="shared" si="5"/>
        <v>0</v>
      </c>
      <c r="N86" s="341">
        <v>52</v>
      </c>
      <c r="O86" s="389">
        <f t="shared" si="6"/>
        <v>69881445.642682672</v>
      </c>
      <c r="P86" s="389">
        <f t="shared" si="7"/>
        <v>-773782.40268264711</v>
      </c>
      <c r="Q86" s="389"/>
      <c r="AA86" s="211"/>
      <c r="AB86" s="211"/>
      <c r="AC86" s="211"/>
      <c r="AD86" s="211"/>
      <c r="AE86"/>
      <c r="AF86"/>
      <c r="AG86"/>
      <c r="AH86"/>
      <c r="AI86"/>
    </row>
    <row r="87" spans="2:35" ht="14.4" x14ac:dyDescent="0.3">
      <c r="B87" s="353">
        <v>41760</v>
      </c>
      <c r="C87" s="322">
        <f t="shared" si="1"/>
        <v>5</v>
      </c>
      <c r="D87" s="322">
        <v>2014</v>
      </c>
      <c r="E87" s="343">
        <v>69871028.140769228</v>
      </c>
      <c r="F87" s="319">
        <v>132.10000000000005</v>
      </c>
      <c r="G87" s="319">
        <v>11.9</v>
      </c>
      <c r="H87" s="373">
        <f>'GDP A'!AF136</f>
        <v>139.26746600081583</v>
      </c>
      <c r="I87" s="53">
        <f t="shared" si="8"/>
        <v>31</v>
      </c>
      <c r="J87" s="53">
        <f t="shared" si="2"/>
        <v>0</v>
      </c>
      <c r="K87" s="53">
        <f t="shared" si="3"/>
        <v>0</v>
      </c>
      <c r="L87" s="53">
        <f t="shared" si="4"/>
        <v>1</v>
      </c>
      <c r="M87" s="53">
        <f t="shared" si="5"/>
        <v>0</v>
      </c>
      <c r="N87" s="341">
        <v>53</v>
      </c>
      <c r="O87" s="389">
        <f t="shared" si="6"/>
        <v>71333908.820319191</v>
      </c>
      <c r="P87" s="389">
        <f t="shared" si="7"/>
        <v>-1462880.6795499623</v>
      </c>
      <c r="Q87" s="389"/>
      <c r="AA87" s="211"/>
      <c r="AB87" s="211"/>
      <c r="AC87" s="211"/>
      <c r="AD87" s="211"/>
      <c r="AE87"/>
      <c r="AF87"/>
      <c r="AG87"/>
      <c r="AH87"/>
      <c r="AI87"/>
    </row>
    <row r="88" spans="2:35" ht="14.4" x14ac:dyDescent="0.3">
      <c r="B88" s="353">
        <v>41791</v>
      </c>
      <c r="C88" s="322">
        <f t="shared" si="1"/>
        <v>6</v>
      </c>
      <c r="D88" s="322">
        <v>2014</v>
      </c>
      <c r="E88" s="343">
        <v>77517701.584615394</v>
      </c>
      <c r="F88" s="319">
        <v>14.1</v>
      </c>
      <c r="G88" s="319">
        <v>68.099999999999994</v>
      </c>
      <c r="H88" s="373">
        <f>'GDP A'!AF137</f>
        <v>139.51075416072086</v>
      </c>
      <c r="I88" s="53">
        <f t="shared" si="8"/>
        <v>30</v>
      </c>
      <c r="J88" s="53">
        <f t="shared" si="2"/>
        <v>0</v>
      </c>
      <c r="K88" s="53">
        <f t="shared" si="3"/>
        <v>0</v>
      </c>
      <c r="L88" s="53">
        <f t="shared" si="4"/>
        <v>0</v>
      </c>
      <c r="M88" s="53">
        <f t="shared" si="5"/>
        <v>0</v>
      </c>
      <c r="N88" s="341">
        <v>54</v>
      </c>
      <c r="O88" s="389">
        <f t="shared" si="6"/>
        <v>77654386.108740941</v>
      </c>
      <c r="P88" s="389">
        <f t="shared" si="7"/>
        <v>-136684.52412554622</v>
      </c>
      <c r="Q88" s="389"/>
      <c r="AA88" s="211"/>
      <c r="AB88" s="211"/>
      <c r="AC88" s="211"/>
      <c r="AD88" s="211"/>
      <c r="AE88"/>
      <c r="AF88"/>
      <c r="AG88"/>
      <c r="AH88"/>
      <c r="AI88"/>
    </row>
    <row r="89" spans="2:35" ht="14.4" x14ac:dyDescent="0.3">
      <c r="B89" s="353">
        <v>41821</v>
      </c>
      <c r="C89" s="322">
        <f t="shared" si="1"/>
        <v>7</v>
      </c>
      <c r="D89" s="322">
        <v>2014</v>
      </c>
      <c r="E89" s="343">
        <v>79980081.605384618</v>
      </c>
      <c r="F89" s="319">
        <v>4</v>
      </c>
      <c r="G89" s="319">
        <v>71</v>
      </c>
      <c r="H89" s="373">
        <f>'GDP A'!AF138</f>
        <v>139.75446732389804</v>
      </c>
      <c r="I89" s="53">
        <f t="shared" si="8"/>
        <v>31</v>
      </c>
      <c r="J89" s="53">
        <f t="shared" si="2"/>
        <v>0</v>
      </c>
      <c r="K89" s="53">
        <f t="shared" si="3"/>
        <v>0</v>
      </c>
      <c r="L89" s="53">
        <f t="shared" si="4"/>
        <v>0</v>
      </c>
      <c r="M89" s="53">
        <f t="shared" si="5"/>
        <v>0</v>
      </c>
      <c r="N89" s="341">
        <v>55</v>
      </c>
      <c r="O89" s="389">
        <f t="shared" si="6"/>
        <v>79969311.291898116</v>
      </c>
      <c r="P89" s="389">
        <f t="shared" si="7"/>
        <v>10770.313486501575</v>
      </c>
      <c r="Q89" s="389"/>
      <c r="AA89" s="211"/>
      <c r="AB89" s="211"/>
      <c r="AC89" s="211"/>
      <c r="AD89" s="211"/>
      <c r="AE89"/>
      <c r="AF89"/>
      <c r="AG89"/>
      <c r="AH89"/>
      <c r="AI89"/>
    </row>
    <row r="90" spans="2:35" ht="14.4" x14ac:dyDescent="0.3">
      <c r="B90" s="353">
        <v>41852</v>
      </c>
      <c r="C90" s="322">
        <f t="shared" si="1"/>
        <v>8</v>
      </c>
      <c r="D90" s="322">
        <v>2014</v>
      </c>
      <c r="E90" s="343">
        <v>78148911.668461546</v>
      </c>
      <c r="F90" s="319">
        <v>8.7999999999999989</v>
      </c>
      <c r="G90" s="319">
        <v>81.799999999999983</v>
      </c>
      <c r="H90" s="373">
        <f>'GDP A'!AF139</f>
        <v>139.9986062327911</v>
      </c>
      <c r="I90" s="53">
        <f t="shared" si="8"/>
        <v>31</v>
      </c>
      <c r="J90" s="53">
        <f t="shared" si="2"/>
        <v>0</v>
      </c>
      <c r="K90" s="53">
        <f t="shared" si="3"/>
        <v>0</v>
      </c>
      <c r="L90" s="53">
        <f t="shared" si="4"/>
        <v>0</v>
      </c>
      <c r="M90" s="53">
        <f t="shared" si="5"/>
        <v>0</v>
      </c>
      <c r="N90" s="341">
        <v>56</v>
      </c>
      <c r="O90" s="389">
        <f t="shared" si="6"/>
        <v>81355318.84685801</v>
      </c>
      <c r="P90" s="389">
        <f t="shared" si="7"/>
        <v>-3206407.1783964634</v>
      </c>
      <c r="Q90" s="389"/>
      <c r="AA90" s="211"/>
      <c r="AB90" s="211"/>
      <c r="AC90" s="211"/>
      <c r="AD90" s="211"/>
      <c r="AE90"/>
      <c r="AF90"/>
      <c r="AG90"/>
      <c r="AH90"/>
      <c r="AI90"/>
    </row>
    <row r="91" spans="2:35" ht="14.4" x14ac:dyDescent="0.3">
      <c r="B91" s="353">
        <v>41883</v>
      </c>
      <c r="C91" s="322">
        <f t="shared" si="1"/>
        <v>9</v>
      </c>
      <c r="D91" s="322">
        <v>2014</v>
      </c>
      <c r="E91" s="343">
        <v>73189575.230769232</v>
      </c>
      <c r="F91" s="319">
        <v>69.700000000000017</v>
      </c>
      <c r="G91" s="319">
        <v>30.099999999999998</v>
      </c>
      <c r="H91" s="373">
        <f>'GDP A'!AF140</f>
        <v>140.24317163114083</v>
      </c>
      <c r="I91" s="53">
        <f t="shared" si="8"/>
        <v>30</v>
      </c>
      <c r="J91" s="53">
        <f t="shared" si="2"/>
        <v>0</v>
      </c>
      <c r="K91" s="53">
        <f t="shared" si="3"/>
        <v>0</v>
      </c>
      <c r="L91" s="53">
        <f t="shared" si="4"/>
        <v>0</v>
      </c>
      <c r="M91" s="53">
        <f t="shared" si="5"/>
        <v>0</v>
      </c>
      <c r="N91" s="341">
        <v>57</v>
      </c>
      <c r="O91" s="389">
        <f t="shared" si="6"/>
        <v>73663053.79521738</v>
      </c>
      <c r="P91" s="389">
        <f t="shared" si="7"/>
        <v>-473478.56444814801</v>
      </c>
      <c r="Q91" s="389"/>
      <c r="AA91" s="211"/>
      <c r="AB91" s="211"/>
      <c r="AC91" s="211"/>
      <c r="AD91" s="211"/>
      <c r="AE91"/>
      <c r="AF91"/>
      <c r="AG91"/>
      <c r="AH91"/>
      <c r="AI91"/>
    </row>
    <row r="92" spans="2:35" ht="14.4" x14ac:dyDescent="0.3">
      <c r="B92" s="353">
        <v>41913</v>
      </c>
      <c r="C92" s="322">
        <f t="shared" si="1"/>
        <v>10</v>
      </c>
      <c r="D92" s="322">
        <v>2014</v>
      </c>
      <c r="E92" s="343">
        <v>72005492.011538461</v>
      </c>
      <c r="F92" s="319">
        <v>224.30000000000004</v>
      </c>
      <c r="G92" s="319">
        <v>1.3</v>
      </c>
      <c r="H92" s="373">
        <f>'GDP A'!AF141</f>
        <v>140.48816426398724</v>
      </c>
      <c r="I92" s="53">
        <f t="shared" si="8"/>
        <v>31</v>
      </c>
      <c r="J92" s="53">
        <f t="shared" si="2"/>
        <v>0</v>
      </c>
      <c r="K92" s="53">
        <f t="shared" si="3"/>
        <v>0</v>
      </c>
      <c r="L92" s="53">
        <f t="shared" si="4"/>
        <v>0</v>
      </c>
      <c r="M92" s="53">
        <f t="shared" si="5"/>
        <v>1</v>
      </c>
      <c r="N92" s="341">
        <v>58</v>
      </c>
      <c r="O92" s="389">
        <f t="shared" si="6"/>
        <v>72433049.267522842</v>
      </c>
      <c r="P92" s="389">
        <f t="shared" si="7"/>
        <v>-427557.25598438084</v>
      </c>
      <c r="Q92" s="389"/>
      <c r="AA92" s="211"/>
      <c r="AB92" s="211"/>
      <c r="AC92" s="211"/>
      <c r="AD92" s="211"/>
      <c r="AE92"/>
      <c r="AF92"/>
      <c r="AG92"/>
      <c r="AH92"/>
      <c r="AI92"/>
    </row>
    <row r="93" spans="2:35" ht="14.4" x14ac:dyDescent="0.3">
      <c r="B93" s="353">
        <v>41944</v>
      </c>
      <c r="C93" s="322">
        <f t="shared" si="1"/>
        <v>11</v>
      </c>
      <c r="D93" s="322">
        <v>2014</v>
      </c>
      <c r="E93" s="343">
        <v>74401960.572307676</v>
      </c>
      <c r="F93" s="319">
        <v>482.1</v>
      </c>
      <c r="G93" s="319">
        <v>0</v>
      </c>
      <c r="H93" s="373">
        <f>'GDP A'!AF142</f>
        <v>140.73358487767186</v>
      </c>
      <c r="I93" s="53">
        <f t="shared" si="8"/>
        <v>30</v>
      </c>
      <c r="J93" s="53">
        <f t="shared" si="2"/>
        <v>0</v>
      </c>
      <c r="K93" s="53">
        <f t="shared" si="3"/>
        <v>0</v>
      </c>
      <c r="L93" s="53">
        <f t="shared" si="4"/>
        <v>0</v>
      </c>
      <c r="M93" s="53">
        <f t="shared" si="5"/>
        <v>0</v>
      </c>
      <c r="N93" s="341">
        <v>59</v>
      </c>
      <c r="O93" s="389">
        <f t="shared" si="6"/>
        <v>75688157.940001056</v>
      </c>
      <c r="P93" s="389">
        <f t="shared" si="7"/>
        <v>-1286197.3676933795</v>
      </c>
      <c r="Q93" s="389"/>
      <c r="AA93" s="211"/>
      <c r="AB93" s="211"/>
      <c r="AC93" s="211"/>
      <c r="AD93" s="211"/>
      <c r="AE93"/>
      <c r="AF93"/>
      <c r="AG93"/>
      <c r="AH93"/>
      <c r="AI93"/>
    </row>
    <row r="94" spans="2:35" ht="14.4" x14ac:dyDescent="0.3">
      <c r="B94" s="353">
        <v>41974</v>
      </c>
      <c r="C94" s="322">
        <f t="shared" si="1"/>
        <v>12</v>
      </c>
      <c r="D94" s="322">
        <v>2014</v>
      </c>
      <c r="E94" s="343">
        <v>77304484.726153851</v>
      </c>
      <c r="F94" s="319">
        <v>557.29999999999995</v>
      </c>
      <c r="G94" s="319">
        <v>0</v>
      </c>
      <c r="H94" s="373">
        <f>'GDP A'!AF143</f>
        <v>140.97943421984021</v>
      </c>
      <c r="I94" s="53">
        <f t="shared" si="8"/>
        <v>31</v>
      </c>
      <c r="J94" s="53">
        <f t="shared" si="2"/>
        <v>0</v>
      </c>
      <c r="K94" s="53">
        <f t="shared" si="3"/>
        <v>0</v>
      </c>
      <c r="L94" s="53">
        <f t="shared" si="4"/>
        <v>0</v>
      </c>
      <c r="M94" s="53">
        <f t="shared" si="5"/>
        <v>0</v>
      </c>
      <c r="N94" s="341">
        <v>60</v>
      </c>
      <c r="O94" s="389">
        <f t="shared" si="6"/>
        <v>78843658.118787959</v>
      </c>
      <c r="P94" s="389">
        <f t="shared" si="7"/>
        <v>-1539173.3926341087</v>
      </c>
      <c r="Q94" s="389"/>
      <c r="AA94" s="211"/>
      <c r="AB94" s="211"/>
      <c r="AC94" s="211"/>
      <c r="AD94" s="211"/>
      <c r="AE94"/>
      <c r="AF94"/>
      <c r="AG94"/>
      <c r="AH94"/>
      <c r="AI94"/>
    </row>
    <row r="95" spans="2:35" ht="14.4" x14ac:dyDescent="0.3">
      <c r="B95" s="353">
        <v>42005</v>
      </c>
      <c r="C95" s="322">
        <f t="shared" si="1"/>
        <v>1</v>
      </c>
      <c r="D95" s="322">
        <v>2015</v>
      </c>
      <c r="E95" s="343">
        <v>84626740.919999987</v>
      </c>
      <c r="F95" s="319">
        <v>792.39999999999975</v>
      </c>
      <c r="G95" s="319">
        <v>0</v>
      </c>
      <c r="H95" s="373">
        <f>'GDP A'!AF144</f>
        <v>141.3034903565966</v>
      </c>
      <c r="I95" s="53">
        <f t="shared" si="8"/>
        <v>31</v>
      </c>
      <c r="J95" s="53">
        <f t="shared" si="2"/>
        <v>0</v>
      </c>
      <c r="K95" s="53">
        <f t="shared" si="3"/>
        <v>0</v>
      </c>
      <c r="L95" s="53">
        <f t="shared" si="4"/>
        <v>0</v>
      </c>
      <c r="M95" s="53">
        <f t="shared" si="5"/>
        <v>0</v>
      </c>
      <c r="N95" s="341">
        <v>61</v>
      </c>
      <c r="O95" s="389">
        <f t="shared" si="6"/>
        <v>82169343.111443505</v>
      </c>
      <c r="P95" s="389">
        <f t="shared" si="7"/>
        <v>2457397.8085564822</v>
      </c>
      <c r="Q95" s="389"/>
      <c r="AA95" s="211"/>
      <c r="AB95" s="211"/>
      <c r="AC95" s="211"/>
      <c r="AD95" s="211"/>
      <c r="AE95"/>
      <c r="AF95"/>
      <c r="AG95"/>
      <c r="AH95"/>
      <c r="AI95"/>
    </row>
    <row r="96" spans="2:35" ht="14.4" x14ac:dyDescent="0.3">
      <c r="B96" s="353">
        <v>42036</v>
      </c>
      <c r="C96" s="322">
        <f t="shared" si="1"/>
        <v>2</v>
      </c>
      <c r="D96" s="322">
        <v>2015</v>
      </c>
      <c r="E96" s="343">
        <v>77436620.475384608</v>
      </c>
      <c r="F96" s="319">
        <v>856.8</v>
      </c>
      <c r="G96" s="319">
        <v>0</v>
      </c>
      <c r="H96" s="373">
        <f>'GDP A'!AF145</f>
        <v>141.62829137064909</v>
      </c>
      <c r="I96" s="53">
        <f t="shared" si="8"/>
        <v>28</v>
      </c>
      <c r="J96" s="53">
        <f t="shared" si="2"/>
        <v>0</v>
      </c>
      <c r="K96" s="53">
        <f t="shared" si="3"/>
        <v>0</v>
      </c>
      <c r="L96" s="53">
        <f t="shared" si="4"/>
        <v>0</v>
      </c>
      <c r="M96" s="53">
        <f t="shared" si="5"/>
        <v>0</v>
      </c>
      <c r="N96" s="341">
        <v>62</v>
      </c>
      <c r="O96" s="389">
        <f t="shared" si="6"/>
        <v>76741803.501491502</v>
      </c>
      <c r="P96" s="389">
        <f t="shared" si="7"/>
        <v>694816.97389310598</v>
      </c>
      <c r="Q96" s="389"/>
      <c r="AA96" s="211"/>
      <c r="AB96" s="211"/>
      <c r="AC96" s="211"/>
      <c r="AD96" s="211"/>
      <c r="AE96"/>
      <c r="AF96"/>
      <c r="AG96"/>
      <c r="AH96"/>
      <c r="AI96"/>
    </row>
    <row r="97" spans="2:35" ht="14.4" x14ac:dyDescent="0.3">
      <c r="B97" s="353">
        <v>42064</v>
      </c>
      <c r="C97" s="322">
        <f t="shared" si="1"/>
        <v>3</v>
      </c>
      <c r="D97" s="322">
        <v>2015</v>
      </c>
      <c r="E97" s="343">
        <v>78097659.106923103</v>
      </c>
      <c r="F97" s="319">
        <v>615.49999999999989</v>
      </c>
      <c r="G97" s="319">
        <v>0</v>
      </c>
      <c r="H97" s="373">
        <f>'GDP A'!AF146</f>
        <v>141.95383897417693</v>
      </c>
      <c r="I97" s="53">
        <f t="shared" si="8"/>
        <v>31</v>
      </c>
      <c r="J97" s="53">
        <f t="shared" si="2"/>
        <v>1</v>
      </c>
      <c r="K97" s="53">
        <f t="shared" si="3"/>
        <v>0</v>
      </c>
      <c r="L97" s="53">
        <f t="shared" si="4"/>
        <v>0</v>
      </c>
      <c r="M97" s="53">
        <f t="shared" si="5"/>
        <v>0</v>
      </c>
      <c r="N97" s="341">
        <v>63</v>
      </c>
      <c r="O97" s="389">
        <f t="shared" si="6"/>
        <v>77946957.967881843</v>
      </c>
      <c r="P97" s="389">
        <f t="shared" si="7"/>
        <v>150701.13904125988</v>
      </c>
      <c r="Q97" s="389"/>
      <c r="AA97" s="211"/>
      <c r="AB97" s="211"/>
      <c r="AC97" s="211"/>
      <c r="AD97" s="211"/>
      <c r="AE97"/>
      <c r="AF97"/>
      <c r="AG97"/>
      <c r="AH97"/>
      <c r="AI97"/>
    </row>
    <row r="98" spans="2:35" ht="14.4" x14ac:dyDescent="0.3">
      <c r="B98" s="353">
        <v>42095</v>
      </c>
      <c r="C98" s="322">
        <f t="shared" si="1"/>
        <v>4</v>
      </c>
      <c r="D98" s="322">
        <v>2015</v>
      </c>
      <c r="E98" s="343">
        <v>68989289.843076915</v>
      </c>
      <c r="F98" s="319">
        <v>313.7</v>
      </c>
      <c r="G98" s="319">
        <v>0</v>
      </c>
      <c r="H98" s="373">
        <f>'GDP A'!AF147</f>
        <v>142.28013488329495</v>
      </c>
      <c r="I98" s="53">
        <f t="shared" si="8"/>
        <v>30</v>
      </c>
      <c r="J98" s="53">
        <f t="shared" si="2"/>
        <v>0</v>
      </c>
      <c r="K98" s="53">
        <f t="shared" si="3"/>
        <v>1</v>
      </c>
      <c r="L98" s="53">
        <f t="shared" si="4"/>
        <v>0</v>
      </c>
      <c r="M98" s="53">
        <f t="shared" si="5"/>
        <v>0</v>
      </c>
      <c r="N98" s="341">
        <v>64</v>
      </c>
      <c r="O98" s="389">
        <f t="shared" si="6"/>
        <v>69197485.573836729</v>
      </c>
      <c r="P98" s="389">
        <f t="shared" si="7"/>
        <v>-208195.73075981438</v>
      </c>
      <c r="Q98" s="389"/>
      <c r="AA98" s="211"/>
      <c r="AB98" s="211"/>
      <c r="AC98" s="211"/>
      <c r="AD98" s="211"/>
      <c r="AE98"/>
      <c r="AF98"/>
      <c r="AG98"/>
      <c r="AH98"/>
      <c r="AI98"/>
    </row>
    <row r="99" spans="2:35" ht="14.4" x14ac:dyDescent="0.3">
      <c r="B99" s="353">
        <v>42125</v>
      </c>
      <c r="C99" s="322">
        <f t="shared" si="1"/>
        <v>5</v>
      </c>
      <c r="D99" s="322">
        <v>2015</v>
      </c>
      <c r="E99" s="343">
        <v>73375077.214615405</v>
      </c>
      <c r="F99" s="319">
        <v>89.3</v>
      </c>
      <c r="G99" s="319">
        <v>34.1</v>
      </c>
      <c r="H99" s="373">
        <f>'GDP A'!AF148</f>
        <v>142.60718081806269</v>
      </c>
      <c r="I99" s="53">
        <f t="shared" si="8"/>
        <v>31</v>
      </c>
      <c r="J99" s="53">
        <f t="shared" si="2"/>
        <v>0</v>
      </c>
      <c r="K99" s="53">
        <f t="shared" si="3"/>
        <v>0</v>
      </c>
      <c r="L99" s="53">
        <f t="shared" si="4"/>
        <v>1</v>
      </c>
      <c r="M99" s="53">
        <f t="shared" si="5"/>
        <v>0</v>
      </c>
      <c r="N99" s="341">
        <v>65</v>
      </c>
      <c r="O99" s="389">
        <f t="shared" si="6"/>
        <v>73451726.509749502</v>
      </c>
      <c r="P99" s="389">
        <f t="shared" si="7"/>
        <v>-76649.295134097338</v>
      </c>
      <c r="Q99" s="389"/>
      <c r="AA99" s="211"/>
      <c r="AB99" s="211"/>
      <c r="AC99" s="211"/>
      <c r="AD99" s="211"/>
      <c r="AE99"/>
      <c r="AF99"/>
      <c r="AG99"/>
      <c r="AH99"/>
      <c r="AI99"/>
    </row>
    <row r="100" spans="2:35" ht="14.4" x14ac:dyDescent="0.3">
      <c r="B100" s="353">
        <v>42156</v>
      </c>
      <c r="C100" s="322">
        <f t="shared" ref="C100:C163" si="9">MONTH(B100)</f>
        <v>6</v>
      </c>
      <c r="D100" s="322">
        <v>2015</v>
      </c>
      <c r="E100" s="343">
        <v>75340519.323076934</v>
      </c>
      <c r="F100" s="319">
        <v>33.800000000000004</v>
      </c>
      <c r="G100" s="319">
        <v>32.299999999999997</v>
      </c>
      <c r="H100" s="373">
        <f>'GDP A'!AF149</f>
        <v>142.93497850249344</v>
      </c>
      <c r="I100" s="53">
        <f t="shared" si="8"/>
        <v>30</v>
      </c>
      <c r="J100" s="53">
        <f t="shared" ref="J100:J163" si="10">IF(MONTH($B100)=3,1,0)</f>
        <v>0</v>
      </c>
      <c r="K100" s="53">
        <f t="shared" ref="K100:K163" si="11">IF(MONTH($B100)=4,1,0)</f>
        <v>0</v>
      </c>
      <c r="L100" s="53">
        <f t="shared" ref="L100:L163" si="12">IF(MONTH($B100)=5,1,0)</f>
        <v>0</v>
      </c>
      <c r="M100" s="53">
        <f t="shared" ref="M100:M163" si="13">IF(MONTH($B100)=10,1,0)</f>
        <v>0</v>
      </c>
      <c r="N100" s="341">
        <v>66</v>
      </c>
      <c r="O100" s="389">
        <f t="shared" ref="O100:O163" si="14">$AB$17+MMULT(F100:N100,$AB$18:$AB$26)</f>
        <v>73503532.621019349</v>
      </c>
      <c r="P100" s="389">
        <f t="shared" ref="P100:P163" si="15">E100-O100</f>
        <v>1836986.7020575851</v>
      </c>
      <c r="Q100" s="389"/>
      <c r="AA100" s="211"/>
      <c r="AB100" s="211"/>
      <c r="AC100" s="211"/>
      <c r="AD100" s="211"/>
      <c r="AE100"/>
      <c r="AF100"/>
      <c r="AG100"/>
      <c r="AH100"/>
      <c r="AI100"/>
    </row>
    <row r="101" spans="2:35" ht="14.4" x14ac:dyDescent="0.3">
      <c r="B101" s="353">
        <v>42186</v>
      </c>
      <c r="C101" s="322">
        <f t="shared" si="9"/>
        <v>7</v>
      </c>
      <c r="D101" s="322">
        <v>2015</v>
      </c>
      <c r="E101" s="343">
        <v>85365000.161538452</v>
      </c>
      <c r="F101" s="319">
        <v>4</v>
      </c>
      <c r="G101" s="319">
        <v>114.29999999999998</v>
      </c>
      <c r="H101" s="373">
        <f>'GDP A'!AF150</f>
        <v>143.26352966456326</v>
      </c>
      <c r="I101" s="53">
        <f t="shared" si="8"/>
        <v>31</v>
      </c>
      <c r="J101" s="53">
        <f t="shared" si="10"/>
        <v>0</v>
      </c>
      <c r="K101" s="53">
        <f t="shared" si="11"/>
        <v>0</v>
      </c>
      <c r="L101" s="53">
        <f t="shared" si="12"/>
        <v>0</v>
      </c>
      <c r="M101" s="53">
        <f t="shared" si="13"/>
        <v>0</v>
      </c>
      <c r="N101" s="341">
        <v>67</v>
      </c>
      <c r="O101" s="389">
        <f t="shared" si="14"/>
        <v>85392737.886916265</v>
      </c>
      <c r="P101" s="389">
        <f t="shared" si="15"/>
        <v>-27737.725377812982</v>
      </c>
      <c r="Q101" s="389"/>
      <c r="AA101" s="211"/>
      <c r="AB101" s="211"/>
      <c r="AC101" s="211"/>
      <c r="AD101" s="211"/>
      <c r="AE101"/>
      <c r="AF101"/>
      <c r="AG101"/>
      <c r="AH101"/>
      <c r="AI101"/>
    </row>
    <row r="102" spans="2:35" ht="14.4" x14ac:dyDescent="0.3">
      <c r="B102" s="353">
        <v>42217</v>
      </c>
      <c r="C102" s="322">
        <f t="shared" si="9"/>
        <v>8</v>
      </c>
      <c r="D102" s="322">
        <v>2015</v>
      </c>
      <c r="E102" s="343">
        <v>81751305.839230776</v>
      </c>
      <c r="F102" s="319">
        <v>4.4000000000000004</v>
      </c>
      <c r="G102" s="319">
        <v>88.6</v>
      </c>
      <c r="H102" s="373">
        <f>'GDP A'!AF151</f>
        <v>143.59283603622018</v>
      </c>
      <c r="I102" s="53">
        <f t="shared" si="8"/>
        <v>31</v>
      </c>
      <c r="J102" s="53">
        <f t="shared" si="10"/>
        <v>0</v>
      </c>
      <c r="K102" s="53">
        <f t="shared" si="11"/>
        <v>0</v>
      </c>
      <c r="L102" s="53">
        <f t="shared" si="12"/>
        <v>0</v>
      </c>
      <c r="M102" s="53">
        <f t="shared" si="13"/>
        <v>0</v>
      </c>
      <c r="N102" s="341">
        <v>68</v>
      </c>
      <c r="O102" s="389">
        <f t="shared" si="14"/>
        <v>82235694.653301939</v>
      </c>
      <c r="P102" s="389">
        <f t="shared" si="15"/>
        <v>-484388.81407116354</v>
      </c>
      <c r="Q102" s="389"/>
      <c r="AA102" s="211"/>
      <c r="AB102" s="211"/>
      <c r="AC102" s="211"/>
      <c r="AD102" s="211"/>
      <c r="AE102"/>
      <c r="AF102"/>
      <c r="AG102"/>
      <c r="AH102"/>
      <c r="AI102"/>
    </row>
    <row r="103" spans="2:35" ht="14.4" x14ac:dyDescent="0.3">
      <c r="B103" s="353">
        <v>42248</v>
      </c>
      <c r="C103" s="322">
        <f t="shared" si="9"/>
        <v>9</v>
      </c>
      <c r="D103" s="322">
        <v>2015</v>
      </c>
      <c r="E103" s="343">
        <v>79343691.187692299</v>
      </c>
      <c r="F103" s="319">
        <v>31.099999999999994</v>
      </c>
      <c r="G103" s="319">
        <v>81.900000000000006</v>
      </c>
      <c r="H103" s="373">
        <f>'GDP A'!AF152</f>
        <v>143.92289935339329</v>
      </c>
      <c r="I103" s="53">
        <f t="shared" si="8"/>
        <v>30</v>
      </c>
      <c r="J103" s="53">
        <f t="shared" si="10"/>
        <v>0</v>
      </c>
      <c r="K103" s="53">
        <f t="shared" si="11"/>
        <v>0</v>
      </c>
      <c r="L103" s="53">
        <f t="shared" si="12"/>
        <v>0</v>
      </c>
      <c r="M103" s="53">
        <f t="shared" si="13"/>
        <v>0</v>
      </c>
      <c r="N103" s="341">
        <v>69</v>
      </c>
      <c r="O103" s="389">
        <f t="shared" si="14"/>
        <v>79686373.851757482</v>
      </c>
      <c r="P103" s="389">
        <f t="shared" si="15"/>
        <v>-342682.66406518221</v>
      </c>
      <c r="Q103" s="389"/>
      <c r="AA103" s="211"/>
      <c r="AB103" s="211"/>
      <c r="AC103" s="211"/>
      <c r="AD103" s="211"/>
      <c r="AE103"/>
      <c r="AF103"/>
      <c r="AG103"/>
      <c r="AH103"/>
      <c r="AI103"/>
    </row>
    <row r="104" spans="2:35" ht="14.4" x14ac:dyDescent="0.3">
      <c r="B104" s="353">
        <v>42278</v>
      </c>
      <c r="C104" s="322">
        <f t="shared" si="9"/>
        <v>10</v>
      </c>
      <c r="D104" s="322">
        <v>2015</v>
      </c>
      <c r="E104" s="343">
        <v>71236445.923076928</v>
      </c>
      <c r="F104" s="319">
        <v>249.8</v>
      </c>
      <c r="G104" s="319">
        <v>0</v>
      </c>
      <c r="H104" s="373">
        <f>'GDP A'!AF153</f>
        <v>144.2537213560019</v>
      </c>
      <c r="I104" s="53">
        <f t="shared" si="8"/>
        <v>31</v>
      </c>
      <c r="J104" s="53">
        <f t="shared" si="10"/>
        <v>0</v>
      </c>
      <c r="K104" s="53">
        <f t="shared" si="11"/>
        <v>0</v>
      </c>
      <c r="L104" s="53">
        <f t="shared" si="12"/>
        <v>0</v>
      </c>
      <c r="M104" s="53">
        <f t="shared" si="13"/>
        <v>1</v>
      </c>
      <c r="N104" s="341">
        <v>70</v>
      </c>
      <c r="O104" s="389">
        <f t="shared" si="14"/>
        <v>72818396.098952308</v>
      </c>
      <c r="P104" s="389">
        <f t="shared" si="15"/>
        <v>-1581950.1758753806</v>
      </c>
      <c r="Q104" s="389"/>
      <c r="AA104" s="211"/>
      <c r="AB104" s="211"/>
      <c r="AC104" s="211"/>
      <c r="AD104" s="211"/>
      <c r="AE104"/>
      <c r="AF104"/>
      <c r="AG104"/>
      <c r="AH104"/>
      <c r="AI104"/>
    </row>
    <row r="105" spans="2:35" ht="14.4" x14ac:dyDescent="0.3">
      <c r="B105" s="353">
        <v>42309</v>
      </c>
      <c r="C105" s="322">
        <f t="shared" si="9"/>
        <v>11</v>
      </c>
      <c r="D105" s="322">
        <v>2015</v>
      </c>
      <c r="E105" s="343">
        <v>71636023.820769221</v>
      </c>
      <c r="F105" s="319">
        <v>345</v>
      </c>
      <c r="G105" s="319">
        <v>0</v>
      </c>
      <c r="H105" s="373">
        <f>'GDP A'!AF154</f>
        <v>144.58530378796473</v>
      </c>
      <c r="I105" s="53">
        <f t="shared" si="8"/>
        <v>30</v>
      </c>
      <c r="J105" s="53">
        <f t="shared" si="10"/>
        <v>0</v>
      </c>
      <c r="K105" s="53">
        <f t="shared" si="11"/>
        <v>0</v>
      </c>
      <c r="L105" s="53">
        <f t="shared" si="12"/>
        <v>0</v>
      </c>
      <c r="M105" s="53">
        <f t="shared" si="13"/>
        <v>0</v>
      </c>
      <c r="N105" s="341">
        <v>71</v>
      </c>
      <c r="O105" s="389">
        <f t="shared" si="14"/>
        <v>73993831.576715842</v>
      </c>
      <c r="P105" s="389">
        <f t="shared" si="15"/>
        <v>-2357807.7559466213</v>
      </c>
      <c r="Q105" s="389"/>
      <c r="AA105" s="211"/>
      <c r="AB105" s="211"/>
      <c r="AC105" s="211"/>
      <c r="AD105" s="211"/>
      <c r="AE105"/>
      <c r="AF105"/>
      <c r="AG105"/>
      <c r="AH105"/>
      <c r="AI105"/>
    </row>
    <row r="106" spans="2:35" ht="14.4" x14ac:dyDescent="0.3">
      <c r="B106" s="353">
        <v>42339</v>
      </c>
      <c r="C106" s="322">
        <f t="shared" si="9"/>
        <v>12</v>
      </c>
      <c r="D106" s="322">
        <v>2015</v>
      </c>
      <c r="E106" s="343">
        <v>73291493.167692319</v>
      </c>
      <c r="F106" s="319">
        <v>429.70000000000005</v>
      </c>
      <c r="G106" s="319">
        <v>0</v>
      </c>
      <c r="H106" s="373">
        <f>'GDP A'!AF155</f>
        <v>144.91764839720901</v>
      </c>
      <c r="I106" s="53">
        <f t="shared" ref="I106:I169" si="16">DAY(EOMONTH(B106,0))</f>
        <v>31</v>
      </c>
      <c r="J106" s="53">
        <f t="shared" si="10"/>
        <v>0</v>
      </c>
      <c r="K106" s="53">
        <f t="shared" si="11"/>
        <v>0</v>
      </c>
      <c r="L106" s="53">
        <f t="shared" si="12"/>
        <v>0</v>
      </c>
      <c r="M106" s="53">
        <f t="shared" si="13"/>
        <v>0</v>
      </c>
      <c r="N106" s="341">
        <v>72</v>
      </c>
      <c r="O106" s="389">
        <f t="shared" si="14"/>
        <v>77327776.855287954</v>
      </c>
      <c r="P106" s="389">
        <f t="shared" si="15"/>
        <v>-4036283.6875956357</v>
      </c>
      <c r="Q106" s="389"/>
      <c r="AA106" s="211"/>
      <c r="AB106" s="211"/>
      <c r="AC106" s="211"/>
      <c r="AD106" s="211"/>
      <c r="AE106"/>
      <c r="AF106"/>
      <c r="AG106"/>
      <c r="AH106"/>
      <c r="AI106"/>
    </row>
    <row r="107" spans="2:35" ht="14.4" x14ac:dyDescent="0.3">
      <c r="B107" s="353">
        <v>42370</v>
      </c>
      <c r="C107" s="322">
        <f t="shared" si="9"/>
        <v>1</v>
      </c>
      <c r="D107" s="322">
        <v>2016</v>
      </c>
      <c r="E107" s="343">
        <v>79986061.065384641</v>
      </c>
      <c r="F107" s="319">
        <v>670.4</v>
      </c>
      <c r="G107" s="319">
        <v>0</v>
      </c>
      <c r="H107" s="373">
        <f>'GDP A'!AF156</f>
        <v>145.18982487994964</v>
      </c>
      <c r="I107" s="53">
        <f t="shared" si="16"/>
        <v>31</v>
      </c>
      <c r="J107" s="53">
        <f t="shared" si="10"/>
        <v>0</v>
      </c>
      <c r="K107" s="53">
        <f t="shared" si="11"/>
        <v>0</v>
      </c>
      <c r="L107" s="53">
        <f t="shared" si="12"/>
        <v>0</v>
      </c>
      <c r="M107" s="53">
        <f t="shared" si="13"/>
        <v>0</v>
      </c>
      <c r="N107" s="341">
        <v>73</v>
      </c>
      <c r="O107" s="389">
        <f t="shared" si="14"/>
        <v>80705242.386302456</v>
      </c>
      <c r="P107" s="389">
        <f t="shared" si="15"/>
        <v>-719181.32091781497</v>
      </c>
      <c r="Q107" s="389"/>
      <c r="AA107" s="211"/>
      <c r="AB107" s="211"/>
      <c r="AC107" s="211"/>
      <c r="AD107" s="211"/>
      <c r="AE107"/>
      <c r="AF107"/>
      <c r="AG107"/>
      <c r="AH107"/>
      <c r="AI107"/>
    </row>
    <row r="108" spans="2:35" ht="14.4" x14ac:dyDescent="0.3">
      <c r="B108" s="353">
        <v>42401</v>
      </c>
      <c r="C108" s="322">
        <f t="shared" si="9"/>
        <v>2</v>
      </c>
      <c r="D108" s="322">
        <v>2016</v>
      </c>
      <c r="E108" s="343">
        <v>73679442.001538455</v>
      </c>
      <c r="F108" s="319">
        <v>588.4</v>
      </c>
      <c r="G108" s="319">
        <v>0</v>
      </c>
      <c r="H108" s="373">
        <f>'GDP A'!AF157</f>
        <v>145.46251254982707</v>
      </c>
      <c r="I108" s="53">
        <f t="shared" si="16"/>
        <v>29</v>
      </c>
      <c r="J108" s="53">
        <f t="shared" si="10"/>
        <v>0</v>
      </c>
      <c r="K108" s="53">
        <f t="shared" si="11"/>
        <v>0</v>
      </c>
      <c r="L108" s="53">
        <f t="shared" si="12"/>
        <v>0</v>
      </c>
      <c r="M108" s="53">
        <f t="shared" si="13"/>
        <v>0</v>
      </c>
      <c r="N108" s="341">
        <v>74</v>
      </c>
      <c r="O108" s="389">
        <f t="shared" si="14"/>
        <v>75310828.489611015</v>
      </c>
      <c r="P108" s="389">
        <f t="shared" si="15"/>
        <v>-1631386.4880725592</v>
      </c>
      <c r="Q108" s="389"/>
      <c r="AA108" s="211"/>
      <c r="AB108" s="211"/>
      <c r="AC108" s="211"/>
      <c r="AD108" s="211"/>
      <c r="AE108"/>
      <c r="AF108"/>
      <c r="AG108"/>
      <c r="AH108"/>
      <c r="AI108"/>
    </row>
    <row r="109" spans="2:35" ht="14.4" x14ac:dyDescent="0.3">
      <c r="B109" s="353">
        <v>42430</v>
      </c>
      <c r="C109" s="322">
        <f t="shared" si="9"/>
        <v>3</v>
      </c>
      <c r="D109" s="322">
        <v>2016</v>
      </c>
      <c r="E109" s="343">
        <v>73829400.356153846</v>
      </c>
      <c r="F109" s="319">
        <v>476.0999999999998</v>
      </c>
      <c r="G109" s="319">
        <v>0</v>
      </c>
      <c r="H109" s="373">
        <f>'GDP A'!AF158</f>
        <v>145.73571236692533</v>
      </c>
      <c r="I109" s="53">
        <f t="shared" si="16"/>
        <v>31</v>
      </c>
      <c r="J109" s="53">
        <f t="shared" si="10"/>
        <v>1</v>
      </c>
      <c r="K109" s="53">
        <f t="shared" si="11"/>
        <v>0</v>
      </c>
      <c r="L109" s="53">
        <f t="shared" si="12"/>
        <v>0</v>
      </c>
      <c r="M109" s="53">
        <f t="shared" si="13"/>
        <v>0</v>
      </c>
      <c r="N109" s="341">
        <v>75</v>
      </c>
      <c r="O109" s="389">
        <f t="shared" si="14"/>
        <v>76184037.884185567</v>
      </c>
      <c r="P109" s="389">
        <f t="shared" si="15"/>
        <v>-2354637.5280317217</v>
      </c>
      <c r="Q109" s="389"/>
      <c r="AA109" s="211"/>
      <c r="AB109" s="211"/>
      <c r="AC109" s="211"/>
      <c r="AD109" s="211"/>
      <c r="AE109"/>
      <c r="AF109"/>
      <c r="AG109"/>
      <c r="AH109"/>
      <c r="AI109"/>
    </row>
    <row r="110" spans="2:35" ht="14.4" x14ac:dyDescent="0.3">
      <c r="B110" s="353">
        <v>42461</v>
      </c>
      <c r="C110" s="322">
        <f t="shared" si="9"/>
        <v>4</v>
      </c>
      <c r="D110" s="322">
        <v>2016</v>
      </c>
      <c r="E110" s="343">
        <v>69308215.465384632</v>
      </c>
      <c r="F110" s="319">
        <v>394.8</v>
      </c>
      <c r="G110" s="319">
        <v>0</v>
      </c>
      <c r="H110" s="373">
        <f>'GDP A'!AF159</f>
        <v>146.00942529313159</v>
      </c>
      <c r="I110" s="53">
        <f t="shared" si="16"/>
        <v>30</v>
      </c>
      <c r="J110" s="53">
        <f t="shared" si="10"/>
        <v>0</v>
      </c>
      <c r="K110" s="53">
        <f t="shared" si="11"/>
        <v>1</v>
      </c>
      <c r="L110" s="53">
        <f t="shared" si="12"/>
        <v>0</v>
      </c>
      <c r="M110" s="53">
        <f t="shared" si="13"/>
        <v>0</v>
      </c>
      <c r="N110" s="341">
        <v>76</v>
      </c>
      <c r="O110" s="389">
        <f t="shared" si="14"/>
        <v>70506723.832605451</v>
      </c>
      <c r="P110" s="389">
        <f t="shared" si="15"/>
        <v>-1198508.367220819</v>
      </c>
      <c r="Q110" s="389"/>
      <c r="AA110" s="211"/>
      <c r="AB110" s="211"/>
      <c r="AC110" s="211"/>
      <c r="AD110" s="211"/>
      <c r="AE110"/>
      <c r="AF110"/>
      <c r="AG110"/>
      <c r="AH110"/>
      <c r="AI110"/>
    </row>
    <row r="111" spans="2:35" ht="14.4" x14ac:dyDescent="0.3">
      <c r="B111" s="353">
        <v>42491</v>
      </c>
      <c r="C111" s="322">
        <f t="shared" si="9"/>
        <v>5</v>
      </c>
      <c r="D111" s="322">
        <v>2016</v>
      </c>
      <c r="E111" s="343">
        <v>72726898.225384623</v>
      </c>
      <c r="F111" s="319">
        <v>142.50000000000003</v>
      </c>
      <c r="G111" s="319">
        <v>36.9</v>
      </c>
      <c r="H111" s="373">
        <f>'GDP A'!AF160</f>
        <v>146.28365229213961</v>
      </c>
      <c r="I111" s="53">
        <f t="shared" si="16"/>
        <v>31</v>
      </c>
      <c r="J111" s="53">
        <f t="shared" si="10"/>
        <v>0</v>
      </c>
      <c r="K111" s="53">
        <f t="shared" si="11"/>
        <v>0</v>
      </c>
      <c r="L111" s="53">
        <f t="shared" si="12"/>
        <v>1</v>
      </c>
      <c r="M111" s="53">
        <f t="shared" si="13"/>
        <v>0</v>
      </c>
      <c r="N111" s="341">
        <v>77</v>
      </c>
      <c r="O111" s="389">
        <f t="shared" si="14"/>
        <v>74688520.296297923</v>
      </c>
      <c r="P111" s="389">
        <f t="shared" si="15"/>
        <v>-1961622.0709132999</v>
      </c>
      <c r="Q111" s="389"/>
      <c r="AA111" s="211"/>
      <c r="AB111" s="211"/>
      <c r="AC111" s="211"/>
      <c r="AD111" s="211"/>
      <c r="AE111"/>
      <c r="AF111"/>
      <c r="AG111"/>
      <c r="AH111"/>
      <c r="AI111"/>
    </row>
    <row r="112" spans="2:35" ht="14.4" x14ac:dyDescent="0.3">
      <c r="B112" s="353">
        <v>42522</v>
      </c>
      <c r="C112" s="322">
        <f t="shared" si="9"/>
        <v>6</v>
      </c>
      <c r="D112" s="322">
        <v>2016</v>
      </c>
      <c r="E112" s="343">
        <v>79069060.420000032</v>
      </c>
      <c r="F112" s="319">
        <v>24.200000000000003</v>
      </c>
      <c r="G112" s="319">
        <v>83.7</v>
      </c>
      <c r="H112" s="373">
        <f>'GDP A'!AF161</f>
        <v>146.55839432945308</v>
      </c>
      <c r="I112" s="53">
        <f t="shared" si="16"/>
        <v>30</v>
      </c>
      <c r="J112" s="53">
        <f t="shared" si="10"/>
        <v>0</v>
      </c>
      <c r="K112" s="53">
        <f t="shared" si="11"/>
        <v>0</v>
      </c>
      <c r="L112" s="53">
        <f t="shared" si="12"/>
        <v>0</v>
      </c>
      <c r="M112" s="53">
        <f t="shared" si="13"/>
        <v>0</v>
      </c>
      <c r="N112" s="341">
        <v>78</v>
      </c>
      <c r="O112" s="389">
        <f t="shared" si="14"/>
        <v>79855660.565043703</v>
      </c>
      <c r="P112" s="389">
        <f t="shared" si="15"/>
        <v>-786600.14504367113</v>
      </c>
      <c r="Q112" s="389"/>
      <c r="AA112" s="211"/>
      <c r="AB112" s="211"/>
      <c r="AC112" s="211"/>
      <c r="AD112" s="211"/>
      <c r="AE112"/>
      <c r="AF112"/>
      <c r="AG112"/>
      <c r="AH112"/>
      <c r="AI112"/>
    </row>
    <row r="113" spans="2:35" ht="14.4" x14ac:dyDescent="0.3">
      <c r="B113" s="353">
        <v>42552</v>
      </c>
      <c r="C113" s="322">
        <f t="shared" si="9"/>
        <v>7</v>
      </c>
      <c r="D113" s="322">
        <v>2016</v>
      </c>
      <c r="E113" s="343">
        <v>90249922.476153865</v>
      </c>
      <c r="F113" s="319">
        <v>0</v>
      </c>
      <c r="G113" s="319">
        <v>176.89999999999998</v>
      </c>
      <c r="H113" s="373">
        <f>'GDP A'!AF162</f>
        <v>146.83365237238908</v>
      </c>
      <c r="I113" s="53">
        <f t="shared" si="16"/>
        <v>31</v>
      </c>
      <c r="J113" s="53">
        <f t="shared" si="10"/>
        <v>0</v>
      </c>
      <c r="K113" s="53">
        <f t="shared" si="11"/>
        <v>0</v>
      </c>
      <c r="L113" s="53">
        <f t="shared" si="12"/>
        <v>0</v>
      </c>
      <c r="M113" s="53">
        <f t="shared" si="13"/>
        <v>0</v>
      </c>
      <c r="N113" s="341">
        <v>79</v>
      </c>
      <c r="O113" s="389">
        <f t="shared" si="14"/>
        <v>93184534.854763314</v>
      </c>
      <c r="P113" s="389">
        <f t="shared" si="15"/>
        <v>-2934612.3786094487</v>
      </c>
      <c r="Q113" s="389"/>
      <c r="AA113" s="211"/>
      <c r="AB113" s="211"/>
      <c r="AC113" s="211"/>
      <c r="AD113" s="211"/>
      <c r="AE113"/>
      <c r="AF113"/>
      <c r="AG113"/>
      <c r="AH113"/>
      <c r="AI113"/>
    </row>
    <row r="114" spans="2:35" ht="14.4" x14ac:dyDescent="0.3">
      <c r="B114" s="353">
        <v>42583</v>
      </c>
      <c r="C114" s="322">
        <f t="shared" si="9"/>
        <v>8</v>
      </c>
      <c r="D114" s="322">
        <v>2016</v>
      </c>
      <c r="E114" s="343">
        <v>94016713.441538468</v>
      </c>
      <c r="F114" s="319">
        <v>0</v>
      </c>
      <c r="G114" s="319">
        <v>195.4</v>
      </c>
      <c r="H114" s="373">
        <f>'GDP A'!AF163</f>
        <v>147.10942739008146</v>
      </c>
      <c r="I114" s="53">
        <f t="shared" si="16"/>
        <v>31</v>
      </c>
      <c r="J114" s="53">
        <f t="shared" si="10"/>
        <v>0</v>
      </c>
      <c r="K114" s="53">
        <f t="shared" si="11"/>
        <v>0</v>
      </c>
      <c r="L114" s="53">
        <f t="shared" si="12"/>
        <v>0</v>
      </c>
      <c r="M114" s="53">
        <f t="shared" si="13"/>
        <v>0</v>
      </c>
      <c r="N114" s="341">
        <v>80</v>
      </c>
      <c r="O114" s="389">
        <f t="shared" si="14"/>
        <v>95474174.506461546</v>
      </c>
      <c r="P114" s="389">
        <f t="shared" si="15"/>
        <v>-1457461.0649230778</v>
      </c>
      <c r="Q114" s="389"/>
      <c r="AA114" s="211"/>
      <c r="AB114" s="211"/>
      <c r="AC114" s="211"/>
      <c r="AD114" s="211"/>
      <c r="AE114"/>
      <c r="AF114"/>
      <c r="AG114"/>
      <c r="AH114"/>
      <c r="AI114"/>
    </row>
    <row r="115" spans="2:35" ht="14.4" x14ac:dyDescent="0.3">
      <c r="B115" s="353">
        <v>42614</v>
      </c>
      <c r="C115" s="322">
        <f t="shared" si="9"/>
        <v>9</v>
      </c>
      <c r="D115" s="322">
        <v>2016</v>
      </c>
      <c r="E115" s="343">
        <v>77678226.287692308</v>
      </c>
      <c r="F115" s="319">
        <v>25.900000000000006</v>
      </c>
      <c r="G115" s="319">
        <v>69.400000000000006</v>
      </c>
      <c r="H115" s="373">
        <f>'GDP A'!AF164</f>
        <v>147.3857203534842</v>
      </c>
      <c r="I115" s="53">
        <f t="shared" si="16"/>
        <v>30</v>
      </c>
      <c r="J115" s="53">
        <f t="shared" si="10"/>
        <v>0</v>
      </c>
      <c r="K115" s="53">
        <f t="shared" si="11"/>
        <v>0</v>
      </c>
      <c r="L115" s="53">
        <f t="shared" si="12"/>
        <v>0</v>
      </c>
      <c r="M115" s="53">
        <f t="shared" si="13"/>
        <v>0</v>
      </c>
      <c r="N115" s="341">
        <v>81</v>
      </c>
      <c r="O115" s="389">
        <f t="shared" si="14"/>
        <v>78094383.186800137</v>
      </c>
      <c r="P115" s="389">
        <f t="shared" si="15"/>
        <v>-416156.89910782874</v>
      </c>
      <c r="Q115" s="389"/>
      <c r="AA115" s="211"/>
      <c r="AB115" s="211"/>
      <c r="AC115" s="211"/>
      <c r="AD115" s="211"/>
      <c r="AE115"/>
      <c r="AF115"/>
      <c r="AG115"/>
      <c r="AH115"/>
      <c r="AI115"/>
    </row>
    <row r="116" spans="2:35" ht="14.4" x14ac:dyDescent="0.3">
      <c r="B116" s="353">
        <v>42644</v>
      </c>
      <c r="C116" s="322">
        <f t="shared" si="9"/>
        <v>10</v>
      </c>
      <c r="D116" s="322">
        <v>2016</v>
      </c>
      <c r="E116" s="343">
        <v>71025278.580769241</v>
      </c>
      <c r="F116" s="319">
        <v>194.20000000000002</v>
      </c>
      <c r="G116" s="319">
        <v>4.0999999999999996</v>
      </c>
      <c r="H116" s="373">
        <f>'GDP A'!AF165</f>
        <v>147.6625322353749</v>
      </c>
      <c r="I116" s="53">
        <f t="shared" si="16"/>
        <v>31</v>
      </c>
      <c r="J116" s="53">
        <f t="shared" si="10"/>
        <v>0</v>
      </c>
      <c r="K116" s="53">
        <f t="shared" si="11"/>
        <v>0</v>
      </c>
      <c r="L116" s="53">
        <f t="shared" si="12"/>
        <v>0</v>
      </c>
      <c r="M116" s="53">
        <f t="shared" si="13"/>
        <v>1</v>
      </c>
      <c r="N116" s="341">
        <v>82</v>
      </c>
      <c r="O116" s="389">
        <f t="shared" si="14"/>
        <v>72548052.248683527</v>
      </c>
      <c r="P116" s="389">
        <f t="shared" si="15"/>
        <v>-1522773.6679142863</v>
      </c>
      <c r="Q116" s="389"/>
      <c r="AA116" s="211"/>
      <c r="AB116" s="211"/>
      <c r="AC116" s="211"/>
      <c r="AD116" s="211"/>
      <c r="AE116"/>
      <c r="AF116"/>
      <c r="AG116"/>
      <c r="AH116"/>
      <c r="AI116"/>
    </row>
    <row r="117" spans="2:35" ht="14.4" x14ac:dyDescent="0.3">
      <c r="B117" s="353">
        <v>42675</v>
      </c>
      <c r="C117" s="322">
        <f t="shared" si="9"/>
        <v>11</v>
      </c>
      <c r="D117" s="322">
        <v>2016</v>
      </c>
      <c r="E117" s="343">
        <v>71123495.761538461</v>
      </c>
      <c r="F117" s="319">
        <v>337.80000000000007</v>
      </c>
      <c r="G117" s="319">
        <v>0</v>
      </c>
      <c r="H117" s="373">
        <f>'GDP A'!AF166</f>
        <v>147.93986401035815</v>
      </c>
      <c r="I117" s="53">
        <f t="shared" si="16"/>
        <v>30</v>
      </c>
      <c r="J117" s="53">
        <f t="shared" si="10"/>
        <v>0</v>
      </c>
      <c r="K117" s="53">
        <f t="shared" si="11"/>
        <v>0</v>
      </c>
      <c r="L117" s="53">
        <f t="shared" si="12"/>
        <v>0</v>
      </c>
      <c r="M117" s="53">
        <f t="shared" si="13"/>
        <v>0</v>
      </c>
      <c r="N117" s="341">
        <v>83</v>
      </c>
      <c r="O117" s="389">
        <f t="shared" si="14"/>
        <v>73867320.695161223</v>
      </c>
      <c r="P117" s="389">
        <f t="shared" si="15"/>
        <v>-2743824.9336227626</v>
      </c>
      <c r="Q117" s="389"/>
      <c r="AA117" s="211"/>
      <c r="AB117" s="211"/>
      <c r="AC117" s="211"/>
      <c r="AD117" s="211"/>
      <c r="AE117"/>
      <c r="AF117"/>
      <c r="AG117"/>
      <c r="AH117"/>
      <c r="AI117"/>
    </row>
    <row r="118" spans="2:35" ht="14.4" x14ac:dyDescent="0.3">
      <c r="B118" s="353">
        <v>42705</v>
      </c>
      <c r="C118" s="322">
        <f t="shared" si="9"/>
        <v>12</v>
      </c>
      <c r="D118" s="322">
        <v>2016</v>
      </c>
      <c r="E118" s="343">
        <v>76024870.703076944</v>
      </c>
      <c r="F118" s="319">
        <v>607.99999999999989</v>
      </c>
      <c r="G118" s="319">
        <v>0</v>
      </c>
      <c r="H118" s="373">
        <f>'GDP A'!AF167</f>
        <v>148.21771665486904</v>
      </c>
      <c r="I118" s="53">
        <f t="shared" si="16"/>
        <v>31</v>
      </c>
      <c r="J118" s="53">
        <f t="shared" si="10"/>
        <v>0</v>
      </c>
      <c r="K118" s="53">
        <f t="shared" si="11"/>
        <v>0</v>
      </c>
      <c r="L118" s="53">
        <f t="shared" si="12"/>
        <v>0</v>
      </c>
      <c r="M118" s="53">
        <f t="shared" si="13"/>
        <v>0</v>
      </c>
      <c r="N118" s="341">
        <v>84</v>
      </c>
      <c r="O118" s="389">
        <f t="shared" si="14"/>
        <v>79780455.491017982</v>
      </c>
      <c r="P118" s="389">
        <f t="shared" si="15"/>
        <v>-3755584.7879410386</v>
      </c>
      <c r="Q118" s="389"/>
      <c r="AA118" s="211"/>
      <c r="AB118" s="211"/>
      <c r="AC118" s="211"/>
      <c r="AD118" s="211"/>
      <c r="AE118"/>
      <c r="AF118"/>
      <c r="AG118"/>
      <c r="AH118"/>
      <c r="AI118"/>
    </row>
    <row r="119" spans="2:35" ht="14.4" x14ac:dyDescent="0.3">
      <c r="B119" s="353">
        <v>42736</v>
      </c>
      <c r="C119" s="322">
        <f t="shared" si="9"/>
        <v>1</v>
      </c>
      <c r="D119" s="322">
        <v>2017</v>
      </c>
      <c r="E119" s="343">
        <v>78997942.227619052</v>
      </c>
      <c r="F119" s="319">
        <v>608.9</v>
      </c>
      <c r="G119" s="319">
        <v>0</v>
      </c>
      <c r="H119" s="373">
        <f>'GDP A'!AF168</f>
        <v>148.6475381454095</v>
      </c>
      <c r="I119" s="53">
        <f t="shared" si="16"/>
        <v>31</v>
      </c>
      <c r="J119" s="53">
        <f t="shared" si="10"/>
        <v>0</v>
      </c>
      <c r="K119" s="53">
        <f t="shared" si="11"/>
        <v>0</v>
      </c>
      <c r="L119" s="53">
        <f t="shared" si="12"/>
        <v>0</v>
      </c>
      <c r="M119" s="53">
        <f t="shared" si="13"/>
        <v>0</v>
      </c>
      <c r="N119" s="341">
        <v>85</v>
      </c>
      <c r="O119" s="389">
        <f t="shared" si="14"/>
        <v>79869020.280506536</v>
      </c>
      <c r="P119" s="389">
        <f t="shared" si="15"/>
        <v>-871078.05288748443</v>
      </c>
      <c r="Q119" s="389"/>
      <c r="AA119" s="211"/>
      <c r="AB119" s="211"/>
      <c r="AC119" s="211"/>
      <c r="AD119" s="211"/>
      <c r="AE119"/>
      <c r="AF119"/>
      <c r="AG119"/>
      <c r="AH119"/>
      <c r="AI119"/>
    </row>
    <row r="120" spans="2:35" ht="14.4" x14ac:dyDescent="0.3">
      <c r="B120" s="353">
        <v>42767</v>
      </c>
      <c r="C120" s="322">
        <f t="shared" si="9"/>
        <v>2</v>
      </c>
      <c r="D120" s="322">
        <v>2017</v>
      </c>
      <c r="E120" s="343">
        <v>69829356.909999996</v>
      </c>
      <c r="F120" s="319">
        <v>510.4</v>
      </c>
      <c r="G120" s="319">
        <v>0</v>
      </c>
      <c r="H120" s="373">
        <f>'GDP A'!AF169</f>
        <v>149.07860608959868</v>
      </c>
      <c r="I120" s="53">
        <f t="shared" si="16"/>
        <v>28</v>
      </c>
      <c r="J120" s="53">
        <f t="shared" si="10"/>
        <v>0</v>
      </c>
      <c r="K120" s="53">
        <f t="shared" si="11"/>
        <v>0</v>
      </c>
      <c r="L120" s="53">
        <f t="shared" si="12"/>
        <v>0</v>
      </c>
      <c r="M120" s="53">
        <f t="shared" si="13"/>
        <v>0</v>
      </c>
      <c r="N120" s="341">
        <v>86</v>
      </c>
      <c r="O120" s="389">
        <f t="shared" si="14"/>
        <v>72206849.707884058</v>
      </c>
      <c r="P120" s="389">
        <f t="shared" si="15"/>
        <v>-2377492.7978840619</v>
      </c>
      <c r="Q120" s="389"/>
      <c r="AA120" s="211"/>
      <c r="AB120" s="211"/>
      <c r="AC120" s="211"/>
      <c r="AD120" s="211"/>
      <c r="AE120"/>
      <c r="AF120"/>
      <c r="AG120"/>
      <c r="AH120"/>
      <c r="AI120"/>
    </row>
    <row r="121" spans="2:35" ht="14.4" x14ac:dyDescent="0.3">
      <c r="B121" s="353">
        <v>42795</v>
      </c>
      <c r="C121" s="322">
        <f t="shared" si="9"/>
        <v>3</v>
      </c>
      <c r="D121" s="322">
        <v>2017</v>
      </c>
      <c r="E121" s="343">
        <v>76565564.916190505</v>
      </c>
      <c r="F121" s="319">
        <v>574</v>
      </c>
      <c r="G121" s="319">
        <v>0</v>
      </c>
      <c r="H121" s="373">
        <f>'GDP A'!AF170</f>
        <v>149.51092410206903</v>
      </c>
      <c r="I121" s="53">
        <f t="shared" si="16"/>
        <v>31</v>
      </c>
      <c r="J121" s="53">
        <f t="shared" si="10"/>
        <v>1</v>
      </c>
      <c r="K121" s="53">
        <f t="shared" si="11"/>
        <v>0</v>
      </c>
      <c r="L121" s="53">
        <f t="shared" si="12"/>
        <v>0</v>
      </c>
      <c r="M121" s="53">
        <f t="shared" si="13"/>
        <v>0</v>
      </c>
      <c r="N121" s="341">
        <v>87</v>
      </c>
      <c r="O121" s="389">
        <f t="shared" si="14"/>
        <v>77753267.760220423</v>
      </c>
      <c r="P121" s="389">
        <f t="shared" si="15"/>
        <v>-1187702.8440299183</v>
      </c>
      <c r="Q121" s="389"/>
      <c r="AA121" s="211"/>
      <c r="AB121" s="211"/>
      <c r="AC121" s="211"/>
      <c r="AD121" s="211"/>
      <c r="AE121"/>
      <c r="AF121"/>
      <c r="AG121"/>
      <c r="AH121"/>
      <c r="AI121"/>
    </row>
    <row r="122" spans="2:35" ht="14.4" x14ac:dyDescent="0.3">
      <c r="B122" s="353">
        <v>42826</v>
      </c>
      <c r="C122" s="322">
        <f t="shared" si="9"/>
        <v>4</v>
      </c>
      <c r="D122" s="322">
        <v>2017</v>
      </c>
      <c r="E122" s="343">
        <v>66644954.449523814</v>
      </c>
      <c r="F122" s="319">
        <v>257.49999999999994</v>
      </c>
      <c r="G122" s="319">
        <v>0</v>
      </c>
      <c r="H122" s="373">
        <f>'GDP A'!AF171</f>
        <v>149.94449580793514</v>
      </c>
      <c r="I122" s="53">
        <f t="shared" si="16"/>
        <v>30</v>
      </c>
      <c r="J122" s="53">
        <f t="shared" si="10"/>
        <v>0</v>
      </c>
      <c r="K122" s="53">
        <f t="shared" si="11"/>
        <v>1</v>
      </c>
      <c r="L122" s="53">
        <f t="shared" si="12"/>
        <v>0</v>
      </c>
      <c r="M122" s="53">
        <f t="shared" si="13"/>
        <v>0</v>
      </c>
      <c r="N122" s="341">
        <v>88</v>
      </c>
      <c r="O122" s="389">
        <f t="shared" si="14"/>
        <v>68852862.280396119</v>
      </c>
      <c r="P122" s="389">
        <f t="shared" si="15"/>
        <v>-2207907.8308723047</v>
      </c>
      <c r="Q122" s="389"/>
      <c r="AA122" s="211"/>
      <c r="AB122" s="211"/>
      <c r="AC122" s="211"/>
      <c r="AD122" s="211"/>
      <c r="AE122"/>
      <c r="AF122"/>
      <c r="AG122"/>
      <c r="AH122"/>
      <c r="AI122"/>
    </row>
    <row r="123" spans="2:35" ht="14.4" x14ac:dyDescent="0.3">
      <c r="B123" s="353">
        <v>42856</v>
      </c>
      <c r="C123" s="322">
        <f t="shared" si="9"/>
        <v>5</v>
      </c>
      <c r="D123" s="322">
        <v>2017</v>
      </c>
      <c r="E123" s="343">
        <v>70677545.254761904</v>
      </c>
      <c r="F123" s="319">
        <v>177</v>
      </c>
      <c r="G123" s="319">
        <v>9</v>
      </c>
      <c r="H123" s="373">
        <f>'GDP A'!AF172</f>
        <v>150.37932484282425</v>
      </c>
      <c r="I123" s="53">
        <f t="shared" si="16"/>
        <v>31</v>
      </c>
      <c r="J123" s="53">
        <f t="shared" si="10"/>
        <v>0</v>
      </c>
      <c r="K123" s="53">
        <f t="shared" si="11"/>
        <v>0</v>
      </c>
      <c r="L123" s="53">
        <f t="shared" si="12"/>
        <v>1</v>
      </c>
      <c r="M123" s="53">
        <f t="shared" si="13"/>
        <v>0</v>
      </c>
      <c r="N123" s="341">
        <v>89</v>
      </c>
      <c r="O123" s="389">
        <f t="shared" si="14"/>
        <v>72073793.363548279</v>
      </c>
      <c r="P123" s="389">
        <f t="shared" si="15"/>
        <v>-1396248.1087863743</v>
      </c>
      <c r="Q123" s="389"/>
      <c r="AA123" s="211"/>
      <c r="AB123" s="211"/>
      <c r="AC123" s="211"/>
      <c r="AD123" s="211"/>
      <c r="AE123"/>
      <c r="AF123"/>
      <c r="AG123"/>
      <c r="AH123"/>
      <c r="AI123"/>
    </row>
    <row r="124" spans="2:35" ht="14.4" x14ac:dyDescent="0.3">
      <c r="B124" s="353">
        <v>42887</v>
      </c>
      <c r="C124" s="322">
        <f t="shared" si="9"/>
        <v>6</v>
      </c>
      <c r="D124" s="322">
        <v>2017</v>
      </c>
      <c r="E124" s="343">
        <v>78699725.353333339</v>
      </c>
      <c r="F124" s="319">
        <v>26.699999999999996</v>
      </c>
      <c r="G124" s="319">
        <v>68.2</v>
      </c>
      <c r="H124" s="373">
        <f>'GDP A'!AF173</f>
        <v>150.81541485290663</v>
      </c>
      <c r="I124" s="53">
        <f t="shared" si="16"/>
        <v>30</v>
      </c>
      <c r="J124" s="53">
        <f t="shared" si="10"/>
        <v>0</v>
      </c>
      <c r="K124" s="53">
        <f t="shared" si="11"/>
        <v>0</v>
      </c>
      <c r="L124" s="53">
        <f t="shared" si="12"/>
        <v>0</v>
      </c>
      <c r="M124" s="53">
        <f t="shared" si="13"/>
        <v>0</v>
      </c>
      <c r="N124" s="341">
        <v>90</v>
      </c>
      <c r="O124" s="389">
        <f t="shared" si="14"/>
        <v>78412300.575968996</v>
      </c>
      <c r="P124" s="389">
        <f t="shared" si="15"/>
        <v>287424.7773643434</v>
      </c>
      <c r="Q124" s="389"/>
      <c r="AA124" s="211"/>
      <c r="AB124" s="211"/>
      <c r="AC124" s="211"/>
      <c r="AD124" s="211"/>
      <c r="AE124"/>
      <c r="AF124"/>
      <c r="AG124"/>
      <c r="AH124"/>
      <c r="AI124"/>
    </row>
    <row r="125" spans="2:35" ht="14.4" x14ac:dyDescent="0.3">
      <c r="B125" s="353">
        <v>42917</v>
      </c>
      <c r="C125" s="322">
        <f t="shared" si="9"/>
        <v>7</v>
      </c>
      <c r="D125" s="322">
        <v>2017</v>
      </c>
      <c r="E125" s="343">
        <v>85577695.760000005</v>
      </c>
      <c r="F125" s="319">
        <v>0</v>
      </c>
      <c r="G125" s="319">
        <v>116.49999999999999</v>
      </c>
      <c r="H125" s="373">
        <f>'GDP A'!AF174</f>
        <v>151.25276949492624</v>
      </c>
      <c r="I125" s="53">
        <f t="shared" si="16"/>
        <v>31</v>
      </c>
      <c r="J125" s="53">
        <f t="shared" si="10"/>
        <v>0</v>
      </c>
      <c r="K125" s="53">
        <f t="shared" si="11"/>
        <v>0</v>
      </c>
      <c r="L125" s="53">
        <f t="shared" si="12"/>
        <v>0</v>
      </c>
      <c r="M125" s="53">
        <f t="shared" si="13"/>
        <v>0</v>
      </c>
      <c r="N125" s="341">
        <v>91</v>
      </c>
      <c r="O125" s="389">
        <f t="shared" si="14"/>
        <v>86223306.239931509</v>
      </c>
      <c r="P125" s="389">
        <f t="shared" si="15"/>
        <v>-645610.47993150353</v>
      </c>
      <c r="Q125" s="389"/>
      <c r="AA125" s="211"/>
      <c r="AB125" s="211"/>
      <c r="AC125" s="211"/>
      <c r="AD125" s="211"/>
      <c r="AE125"/>
      <c r="AF125"/>
      <c r="AG125"/>
      <c r="AH125"/>
      <c r="AI125"/>
    </row>
    <row r="126" spans="2:35" ht="14.4" x14ac:dyDescent="0.3">
      <c r="B126" s="353">
        <v>42948</v>
      </c>
      <c r="C126" s="322">
        <f t="shared" si="9"/>
        <v>8</v>
      </c>
      <c r="D126" s="322">
        <v>2017</v>
      </c>
      <c r="E126" s="343">
        <v>83019509.650000006</v>
      </c>
      <c r="F126" s="319">
        <v>11.6</v>
      </c>
      <c r="G126" s="319">
        <v>75.2</v>
      </c>
      <c r="H126" s="373">
        <f>'GDP A'!AF175</f>
        <v>151.69139243623133</v>
      </c>
      <c r="I126" s="53">
        <f t="shared" si="16"/>
        <v>31</v>
      </c>
      <c r="J126" s="53">
        <f t="shared" si="10"/>
        <v>0</v>
      </c>
      <c r="K126" s="53">
        <f t="shared" si="11"/>
        <v>0</v>
      </c>
      <c r="L126" s="53">
        <f t="shared" si="12"/>
        <v>0</v>
      </c>
      <c r="M126" s="53">
        <f t="shared" si="13"/>
        <v>0</v>
      </c>
      <c r="N126" s="341">
        <v>92</v>
      </c>
      <c r="O126" s="389">
        <f t="shared" si="14"/>
        <v>81346300.406975999</v>
      </c>
      <c r="P126" s="389">
        <f t="shared" si="15"/>
        <v>1673209.2430240065</v>
      </c>
      <c r="Q126" s="389"/>
      <c r="AA126" s="211"/>
      <c r="AB126" s="211"/>
      <c r="AC126" s="211"/>
      <c r="AD126" s="211"/>
      <c r="AE126"/>
      <c r="AF126"/>
      <c r="AG126"/>
      <c r="AH126"/>
      <c r="AI126"/>
    </row>
    <row r="127" spans="2:35" ht="14.4" x14ac:dyDescent="0.3">
      <c r="B127" s="353">
        <v>42979</v>
      </c>
      <c r="C127" s="322">
        <f t="shared" si="9"/>
        <v>9</v>
      </c>
      <c r="D127" s="322">
        <v>2017</v>
      </c>
      <c r="E127" s="343">
        <v>77334131.13666667</v>
      </c>
      <c r="F127" s="319">
        <v>49.1</v>
      </c>
      <c r="G127" s="319">
        <v>71.499999999999986</v>
      </c>
      <c r="H127" s="373">
        <f>'GDP A'!AF176</f>
        <v>152.13128735480518</v>
      </c>
      <c r="I127" s="53">
        <f t="shared" si="16"/>
        <v>30</v>
      </c>
      <c r="J127" s="53">
        <f t="shared" si="10"/>
        <v>0</v>
      </c>
      <c r="K127" s="53">
        <f t="shared" si="11"/>
        <v>0</v>
      </c>
      <c r="L127" s="53">
        <f t="shared" si="12"/>
        <v>0</v>
      </c>
      <c r="M127" s="53">
        <f t="shared" si="13"/>
        <v>0</v>
      </c>
      <c r="N127" s="341">
        <v>93</v>
      </c>
      <c r="O127" s="389">
        <f t="shared" si="14"/>
        <v>79377766.792071417</v>
      </c>
      <c r="P127" s="389">
        <f t="shared" si="15"/>
        <v>-2043635.6554047465</v>
      </c>
      <c r="Q127" s="389"/>
      <c r="AA127" s="211"/>
      <c r="AB127" s="211"/>
      <c r="AC127" s="211"/>
      <c r="AD127" s="211"/>
      <c r="AE127"/>
      <c r="AF127"/>
      <c r="AG127"/>
      <c r="AH127"/>
      <c r="AI127"/>
    </row>
    <row r="128" spans="2:35" ht="14.4" x14ac:dyDescent="0.3">
      <c r="B128" s="353">
        <v>43009</v>
      </c>
      <c r="C128" s="322">
        <f t="shared" si="9"/>
        <v>10</v>
      </c>
      <c r="D128" s="322">
        <v>2017</v>
      </c>
      <c r="E128" s="343">
        <v>73469057.820000008</v>
      </c>
      <c r="F128" s="319">
        <v>153.99999999999997</v>
      </c>
      <c r="G128" s="319">
        <v>8.1</v>
      </c>
      <c r="H128" s="373">
        <f>'GDP A'!AF177</f>
        <v>152.57245793929707</v>
      </c>
      <c r="I128" s="53">
        <f t="shared" si="16"/>
        <v>31</v>
      </c>
      <c r="J128" s="53">
        <f t="shared" si="10"/>
        <v>0</v>
      </c>
      <c r="K128" s="53">
        <f t="shared" si="11"/>
        <v>0</v>
      </c>
      <c r="L128" s="53">
        <f t="shared" si="12"/>
        <v>0</v>
      </c>
      <c r="M128" s="53">
        <f t="shared" si="13"/>
        <v>1</v>
      </c>
      <c r="N128" s="341">
        <v>94</v>
      </c>
      <c r="O128" s="389">
        <f t="shared" si="14"/>
        <v>73261158.244503826</v>
      </c>
      <c r="P128" s="389">
        <f t="shared" si="15"/>
        <v>207899.57549618185</v>
      </c>
      <c r="Q128" s="389"/>
      <c r="AA128" s="211"/>
      <c r="AB128" s="211"/>
      <c r="AC128" s="211"/>
      <c r="AD128" s="211"/>
      <c r="AE128"/>
      <c r="AF128"/>
      <c r="AG128"/>
      <c r="AH128"/>
      <c r="AI128"/>
    </row>
    <row r="129" spans="2:35" ht="14.4" x14ac:dyDescent="0.3">
      <c r="B129" s="353">
        <v>43040</v>
      </c>
      <c r="C129" s="322">
        <f t="shared" si="9"/>
        <v>11</v>
      </c>
      <c r="D129" s="322">
        <v>2017</v>
      </c>
      <c r="E129" s="343">
        <v>74459348.126666665</v>
      </c>
      <c r="F129" s="319">
        <v>414.2</v>
      </c>
      <c r="G129" s="319">
        <v>0</v>
      </c>
      <c r="H129" s="373">
        <f>'GDP A'!AF178</f>
        <v>153.01490788905303</v>
      </c>
      <c r="I129" s="53">
        <f t="shared" si="16"/>
        <v>30</v>
      </c>
      <c r="J129" s="53">
        <f t="shared" si="10"/>
        <v>0</v>
      </c>
      <c r="K129" s="53">
        <f t="shared" si="11"/>
        <v>0</v>
      </c>
      <c r="L129" s="53">
        <f t="shared" si="12"/>
        <v>0</v>
      </c>
      <c r="M129" s="53">
        <f t="shared" si="13"/>
        <v>0</v>
      </c>
      <c r="N129" s="341">
        <v>95</v>
      </c>
      <c r="O129" s="389">
        <f t="shared" si="14"/>
        <v>75809207.919394091</v>
      </c>
      <c r="P129" s="389">
        <f t="shared" si="15"/>
        <v>-1349859.7927274257</v>
      </c>
      <c r="Q129" s="389"/>
      <c r="AA129" s="211"/>
      <c r="AB129" s="211"/>
      <c r="AC129" s="211"/>
      <c r="AD129" s="211"/>
      <c r="AE129"/>
      <c r="AF129"/>
      <c r="AG129"/>
      <c r="AH129"/>
      <c r="AI129"/>
    </row>
    <row r="130" spans="2:35" ht="14.4" x14ac:dyDescent="0.3">
      <c r="B130" s="353">
        <v>43070</v>
      </c>
      <c r="C130" s="322">
        <f t="shared" si="9"/>
        <v>12</v>
      </c>
      <c r="D130" s="322">
        <v>2017</v>
      </c>
      <c r="E130" s="343">
        <v>79667517.416666657</v>
      </c>
      <c r="F130" s="319">
        <v>718.49999999999989</v>
      </c>
      <c r="G130" s="319">
        <v>0</v>
      </c>
      <c r="H130" s="373">
        <f>'GDP A'!AF179</f>
        <v>153.45864091414703</v>
      </c>
      <c r="I130" s="53">
        <f t="shared" si="16"/>
        <v>31</v>
      </c>
      <c r="J130" s="53">
        <f t="shared" si="10"/>
        <v>0</v>
      </c>
      <c r="K130" s="53">
        <f t="shared" si="11"/>
        <v>0</v>
      </c>
      <c r="L130" s="53">
        <f t="shared" si="12"/>
        <v>0</v>
      </c>
      <c r="M130" s="53">
        <f t="shared" si="13"/>
        <v>0</v>
      </c>
      <c r="N130" s="341">
        <v>96</v>
      </c>
      <c r="O130" s="389">
        <f t="shared" si="14"/>
        <v>82287794.55542703</v>
      </c>
      <c r="P130" s="389">
        <f t="shared" si="15"/>
        <v>-2620277.138760373</v>
      </c>
      <c r="Q130" s="389"/>
      <c r="AA130" s="211"/>
      <c r="AB130" s="211"/>
      <c r="AC130" s="211"/>
      <c r="AD130" s="211"/>
      <c r="AE130"/>
      <c r="AF130"/>
      <c r="AG130"/>
      <c r="AH130"/>
      <c r="AI130"/>
    </row>
    <row r="131" spans="2:35" ht="14.4" x14ac:dyDescent="0.3">
      <c r="B131" s="353">
        <v>43101</v>
      </c>
      <c r="C131" s="322">
        <f t="shared" si="9"/>
        <v>1</v>
      </c>
      <c r="D131" s="322">
        <v>2018</v>
      </c>
      <c r="E131" s="343">
        <v>84752511.140000001</v>
      </c>
      <c r="F131" s="319">
        <v>732.29999999999984</v>
      </c>
      <c r="G131" s="319">
        <v>0</v>
      </c>
      <c r="H131" s="373">
        <f>'GDP A'!AF180</f>
        <v>153.85890281731997</v>
      </c>
      <c r="I131" s="53">
        <f t="shared" si="16"/>
        <v>31</v>
      </c>
      <c r="J131" s="53">
        <f t="shared" si="10"/>
        <v>0</v>
      </c>
      <c r="K131" s="53">
        <f t="shared" si="11"/>
        <v>0</v>
      </c>
      <c r="L131" s="53">
        <f t="shared" si="12"/>
        <v>0</v>
      </c>
      <c r="M131" s="53">
        <f t="shared" si="13"/>
        <v>0</v>
      </c>
      <c r="N131" s="341">
        <v>97</v>
      </c>
      <c r="O131" s="389">
        <f t="shared" si="14"/>
        <v>82542340.93903257</v>
      </c>
      <c r="P131" s="389">
        <f t="shared" si="15"/>
        <v>2210170.2009674311</v>
      </c>
      <c r="Q131" s="389"/>
      <c r="AA131" s="211"/>
      <c r="AB131" s="211"/>
      <c r="AC131" s="211"/>
      <c r="AD131" s="211"/>
      <c r="AE131"/>
      <c r="AF131"/>
      <c r="AG131"/>
      <c r="AH131"/>
      <c r="AI131"/>
    </row>
    <row r="132" spans="2:35" ht="14.4" x14ac:dyDescent="0.3">
      <c r="B132" s="353">
        <v>43132</v>
      </c>
      <c r="C132" s="322">
        <f t="shared" si="9"/>
        <v>2</v>
      </c>
      <c r="D132" s="322">
        <v>2018</v>
      </c>
      <c r="E132" s="343">
        <v>72631313.480000004</v>
      </c>
      <c r="F132" s="319">
        <v>555.00000000000023</v>
      </c>
      <c r="G132" s="319">
        <v>0</v>
      </c>
      <c r="H132" s="373">
        <f>'GDP A'!AF181</f>
        <v>154.26020871247783</v>
      </c>
      <c r="I132" s="53">
        <f t="shared" si="16"/>
        <v>28</v>
      </c>
      <c r="J132" s="53">
        <f t="shared" si="10"/>
        <v>0</v>
      </c>
      <c r="K132" s="53">
        <f t="shared" si="11"/>
        <v>0</v>
      </c>
      <c r="L132" s="53">
        <f t="shared" si="12"/>
        <v>0</v>
      </c>
      <c r="M132" s="53">
        <f t="shared" si="13"/>
        <v>0</v>
      </c>
      <c r="N132" s="341">
        <v>98</v>
      </c>
      <c r="O132" s="389">
        <f t="shared" si="14"/>
        <v>73757065.313709319</v>
      </c>
      <c r="P132" s="389">
        <f t="shared" si="15"/>
        <v>-1125751.8337093145</v>
      </c>
      <c r="Q132" s="389"/>
      <c r="AA132" s="211"/>
      <c r="AB132" s="211"/>
      <c r="AC132" s="211"/>
      <c r="AD132" s="211"/>
      <c r="AE132"/>
      <c r="AF132"/>
      <c r="AG132"/>
      <c r="AH132"/>
      <c r="AI132"/>
    </row>
    <row r="133" spans="2:35" ht="14.4" x14ac:dyDescent="0.3">
      <c r="B133" s="353">
        <v>43160</v>
      </c>
      <c r="C133" s="322">
        <f t="shared" si="9"/>
        <v>3</v>
      </c>
      <c r="D133" s="322">
        <v>2018</v>
      </c>
      <c r="E133" s="343">
        <v>77931843.100000009</v>
      </c>
      <c r="F133" s="319">
        <v>553.99999999999989</v>
      </c>
      <c r="G133" s="319">
        <v>0</v>
      </c>
      <c r="H133" s="373">
        <f>'GDP A'!AF182</f>
        <v>154.66256132263587</v>
      </c>
      <c r="I133" s="53">
        <f t="shared" si="16"/>
        <v>31</v>
      </c>
      <c r="J133" s="53">
        <f t="shared" si="10"/>
        <v>1</v>
      </c>
      <c r="K133" s="53">
        <f t="shared" si="11"/>
        <v>0</v>
      </c>
      <c r="L133" s="53">
        <f t="shared" si="12"/>
        <v>0</v>
      </c>
      <c r="M133" s="53">
        <f t="shared" si="13"/>
        <v>0</v>
      </c>
      <c r="N133" s="341">
        <v>99</v>
      </c>
      <c r="O133" s="389">
        <f t="shared" si="14"/>
        <v>78379875.106568143</v>
      </c>
      <c r="P133" s="389">
        <f t="shared" si="15"/>
        <v>-448032.00656813383</v>
      </c>
      <c r="Q133" s="389"/>
      <c r="AA133" s="211"/>
      <c r="AB133" s="211"/>
      <c r="AC133" s="211"/>
      <c r="AD133" s="211"/>
      <c r="AE133"/>
      <c r="AF133"/>
      <c r="AG133"/>
      <c r="AH133"/>
      <c r="AI133"/>
    </row>
    <row r="134" spans="2:35" ht="14.4" x14ac:dyDescent="0.3">
      <c r="B134" s="353">
        <v>43191</v>
      </c>
      <c r="C134" s="322">
        <f t="shared" si="9"/>
        <v>4</v>
      </c>
      <c r="D134" s="322">
        <v>2018</v>
      </c>
      <c r="E134" s="343">
        <v>72888274.790000007</v>
      </c>
      <c r="F134" s="319">
        <v>437.20000000000005</v>
      </c>
      <c r="G134" s="319">
        <v>0</v>
      </c>
      <c r="H134" s="373">
        <f>'GDP A'!AF183</f>
        <v>155.06596337791169</v>
      </c>
      <c r="I134" s="53">
        <f t="shared" si="16"/>
        <v>30</v>
      </c>
      <c r="J134" s="53">
        <f t="shared" si="10"/>
        <v>0</v>
      </c>
      <c r="K134" s="53">
        <f t="shared" si="11"/>
        <v>1</v>
      </c>
      <c r="L134" s="53">
        <f t="shared" si="12"/>
        <v>0</v>
      </c>
      <c r="M134" s="53">
        <f t="shared" si="13"/>
        <v>0</v>
      </c>
      <c r="N134" s="341">
        <v>100</v>
      </c>
      <c r="O134" s="389">
        <f t="shared" si="14"/>
        <v>72270889.651731431</v>
      </c>
      <c r="P134" s="389">
        <f t="shared" si="15"/>
        <v>617385.13826857507</v>
      </c>
      <c r="Q134" s="389"/>
      <c r="AA134" s="211"/>
      <c r="AB134" s="211"/>
      <c r="AC134" s="211"/>
      <c r="AD134" s="211"/>
      <c r="AE134"/>
      <c r="AF134"/>
      <c r="AG134"/>
      <c r="AH134"/>
      <c r="AI134"/>
    </row>
    <row r="135" spans="2:35" ht="14.4" x14ac:dyDescent="0.3">
      <c r="B135" s="353">
        <v>43221</v>
      </c>
      <c r="C135" s="322">
        <f t="shared" si="9"/>
        <v>5</v>
      </c>
      <c r="D135" s="322">
        <v>2018</v>
      </c>
      <c r="E135" s="343">
        <v>76624694.199999973</v>
      </c>
      <c r="F135" s="319">
        <v>75.3</v>
      </c>
      <c r="G135" s="319">
        <v>43.4</v>
      </c>
      <c r="H135" s="373">
        <f>'GDP A'!AF184</f>
        <v>155.47041761554377</v>
      </c>
      <c r="I135" s="53">
        <f t="shared" si="16"/>
        <v>31</v>
      </c>
      <c r="J135" s="53">
        <f t="shared" si="10"/>
        <v>0</v>
      </c>
      <c r="K135" s="53">
        <f t="shared" si="11"/>
        <v>0</v>
      </c>
      <c r="L135" s="53">
        <f t="shared" si="12"/>
        <v>1</v>
      </c>
      <c r="M135" s="53">
        <f t="shared" si="13"/>
        <v>0</v>
      </c>
      <c r="N135" s="341">
        <v>101</v>
      </c>
      <c r="O135" s="389">
        <f t="shared" si="14"/>
        <v>75785603.96441631</v>
      </c>
      <c r="P135" s="389">
        <f t="shared" si="15"/>
        <v>839090.23558366299</v>
      </c>
      <c r="Q135" s="389"/>
      <c r="AA135" s="211"/>
      <c r="AB135" s="211"/>
      <c r="AC135" s="211"/>
      <c r="AD135" s="211"/>
      <c r="AE135"/>
      <c r="AF135"/>
      <c r="AG135"/>
      <c r="AH135"/>
      <c r="AI135"/>
    </row>
    <row r="136" spans="2:35" ht="14.4" x14ac:dyDescent="0.3">
      <c r="B136" s="353">
        <v>43252</v>
      </c>
      <c r="C136" s="322">
        <f t="shared" si="9"/>
        <v>6</v>
      </c>
      <c r="D136" s="322">
        <v>2018</v>
      </c>
      <c r="E136" s="343">
        <v>80769043.830000013</v>
      </c>
      <c r="F136" s="319">
        <v>14.799999999999999</v>
      </c>
      <c r="G136" s="319">
        <v>60.5</v>
      </c>
      <c r="H136" s="373">
        <f>'GDP A'!AF185</f>
        <v>155.87592677991009</v>
      </c>
      <c r="I136" s="53">
        <f t="shared" si="16"/>
        <v>30</v>
      </c>
      <c r="J136" s="53">
        <f t="shared" si="10"/>
        <v>0</v>
      </c>
      <c r="K136" s="53">
        <f t="shared" si="11"/>
        <v>0</v>
      </c>
      <c r="L136" s="53">
        <f t="shared" si="12"/>
        <v>0</v>
      </c>
      <c r="M136" s="53">
        <f t="shared" si="13"/>
        <v>0</v>
      </c>
      <c r="N136" s="341">
        <v>102</v>
      </c>
      <c r="O136" s="389">
        <f t="shared" si="14"/>
        <v>78150775.5373009</v>
      </c>
      <c r="P136" s="389">
        <f t="shared" si="15"/>
        <v>2618268.2926991135</v>
      </c>
      <c r="Q136" s="389"/>
      <c r="AA136" s="211"/>
      <c r="AB136" s="211"/>
      <c r="AC136" s="211"/>
      <c r="AD136" s="211"/>
      <c r="AE136"/>
      <c r="AF136"/>
      <c r="AG136"/>
      <c r="AH136"/>
      <c r="AI136"/>
    </row>
    <row r="137" spans="2:35" ht="14.4" x14ac:dyDescent="0.3">
      <c r="B137" s="353">
        <v>43282</v>
      </c>
      <c r="C137" s="322">
        <f t="shared" si="9"/>
        <v>7</v>
      </c>
      <c r="D137" s="322">
        <v>2018</v>
      </c>
      <c r="E137" s="343">
        <v>95230727.25999999</v>
      </c>
      <c r="F137" s="319">
        <v>0</v>
      </c>
      <c r="G137" s="319">
        <v>167.8</v>
      </c>
      <c r="H137" s="373">
        <f>'GDP A'!AF186</f>
        <v>156.2824936225467</v>
      </c>
      <c r="I137" s="53">
        <f t="shared" si="16"/>
        <v>31</v>
      </c>
      <c r="J137" s="53">
        <f t="shared" si="10"/>
        <v>0</v>
      </c>
      <c r="K137" s="53">
        <f t="shared" si="11"/>
        <v>0</v>
      </c>
      <c r="L137" s="53">
        <f t="shared" si="12"/>
        <v>0</v>
      </c>
      <c r="M137" s="53">
        <f t="shared" si="13"/>
        <v>0</v>
      </c>
      <c r="N137" s="341">
        <v>103</v>
      </c>
      <c r="O137" s="389">
        <f t="shared" si="14"/>
        <v>93428132.79912512</v>
      </c>
      <c r="P137" s="389">
        <f t="shared" si="15"/>
        <v>1802594.4608748704</v>
      </c>
      <c r="Q137" s="389"/>
      <c r="AA137" s="211"/>
      <c r="AB137" s="211"/>
      <c r="AC137" s="211"/>
      <c r="AD137" s="211"/>
      <c r="AE137"/>
      <c r="AF137"/>
      <c r="AG137"/>
      <c r="AH137"/>
      <c r="AI137"/>
    </row>
    <row r="138" spans="2:35" ht="14.4" x14ac:dyDescent="0.3">
      <c r="B138" s="353">
        <v>43313</v>
      </c>
      <c r="C138" s="322">
        <f t="shared" si="9"/>
        <v>8</v>
      </c>
      <c r="D138" s="322">
        <v>2018</v>
      </c>
      <c r="E138" s="343">
        <v>93580216.839999989</v>
      </c>
      <c r="F138" s="319">
        <v>1.2</v>
      </c>
      <c r="G138" s="319">
        <v>162.4</v>
      </c>
      <c r="H138" s="373">
        <f>'GDP A'!AF187</f>
        <v>156.6901209021664</v>
      </c>
      <c r="I138" s="53">
        <f t="shared" si="16"/>
        <v>31</v>
      </c>
      <c r="J138" s="53">
        <f t="shared" si="10"/>
        <v>0</v>
      </c>
      <c r="K138" s="53">
        <f t="shared" si="11"/>
        <v>0</v>
      </c>
      <c r="L138" s="53">
        <f t="shared" si="12"/>
        <v>0</v>
      </c>
      <c r="M138" s="53">
        <f t="shared" si="13"/>
        <v>0</v>
      </c>
      <c r="N138" s="341">
        <v>104</v>
      </c>
      <c r="O138" s="389">
        <f t="shared" si="14"/>
        <v>92839876.966625586</v>
      </c>
      <c r="P138" s="389">
        <f t="shared" si="15"/>
        <v>740339.87337440252</v>
      </c>
      <c r="Q138" s="389"/>
      <c r="AA138" s="211"/>
      <c r="AB138" s="211"/>
      <c r="AC138" s="211"/>
      <c r="AD138" s="211"/>
      <c r="AE138"/>
      <c r="AF138"/>
      <c r="AG138"/>
      <c r="AH138"/>
      <c r="AI138"/>
    </row>
    <row r="139" spans="2:35" ht="14.4" x14ac:dyDescent="0.3">
      <c r="B139" s="353">
        <v>43344</v>
      </c>
      <c r="C139" s="322">
        <f t="shared" si="9"/>
        <v>9</v>
      </c>
      <c r="D139" s="322">
        <v>2018</v>
      </c>
      <c r="E139" s="343">
        <v>79916023.120000005</v>
      </c>
      <c r="F139" s="319">
        <v>41.399999999999991</v>
      </c>
      <c r="G139" s="319">
        <v>76.399999999999977</v>
      </c>
      <c r="H139" s="373">
        <f>'GDP A'!AF188</f>
        <v>157.09881138467748</v>
      </c>
      <c r="I139" s="53">
        <f t="shared" si="16"/>
        <v>30</v>
      </c>
      <c r="J139" s="53">
        <f t="shared" si="10"/>
        <v>0</v>
      </c>
      <c r="K139" s="53">
        <f t="shared" si="11"/>
        <v>0</v>
      </c>
      <c r="L139" s="53">
        <f t="shared" si="12"/>
        <v>0</v>
      </c>
      <c r="M139" s="53">
        <f t="shared" si="13"/>
        <v>0</v>
      </c>
      <c r="N139" s="341">
        <v>105</v>
      </c>
      <c r="O139" s="389">
        <f t="shared" si="14"/>
        <v>80689199.955159709</v>
      </c>
      <c r="P139" s="389">
        <f t="shared" si="15"/>
        <v>-773176.83515970409</v>
      </c>
      <c r="Q139" s="389"/>
      <c r="AA139" s="211"/>
      <c r="AB139" s="211"/>
      <c r="AC139" s="211"/>
      <c r="AD139" s="211"/>
      <c r="AE139"/>
      <c r="AF139"/>
      <c r="AG139"/>
      <c r="AH139"/>
      <c r="AI139"/>
    </row>
    <row r="140" spans="2:35" ht="14.4" x14ac:dyDescent="0.3">
      <c r="B140" s="353">
        <v>43374</v>
      </c>
      <c r="C140" s="322">
        <f t="shared" si="9"/>
        <v>10</v>
      </c>
      <c r="D140" s="322">
        <v>2018</v>
      </c>
      <c r="E140" s="343">
        <v>75870343.00999999</v>
      </c>
      <c r="F140" s="319">
        <v>289.40000000000003</v>
      </c>
      <c r="G140" s="319">
        <v>8.1999999999999993</v>
      </c>
      <c r="H140" s="373">
        <f>'GDP A'!AF189</f>
        <v>157.50856784320246</v>
      </c>
      <c r="I140" s="53">
        <f t="shared" si="16"/>
        <v>31</v>
      </c>
      <c r="J140" s="53">
        <f t="shared" si="10"/>
        <v>0</v>
      </c>
      <c r="K140" s="53">
        <f t="shared" si="11"/>
        <v>0</v>
      </c>
      <c r="L140" s="53">
        <f t="shared" si="12"/>
        <v>0</v>
      </c>
      <c r="M140" s="53">
        <f t="shared" si="13"/>
        <v>1</v>
      </c>
      <c r="N140" s="341">
        <v>106</v>
      </c>
      <c r="O140" s="389">
        <f t="shared" si="14"/>
        <v>75972643.239235893</v>
      </c>
      <c r="P140" s="389">
        <f t="shared" si="15"/>
        <v>-102300.22923590243</v>
      </c>
      <c r="Q140" s="389"/>
      <c r="AA140" s="211"/>
      <c r="AB140" s="211"/>
      <c r="AC140" s="211"/>
      <c r="AD140" s="211"/>
      <c r="AE140"/>
      <c r="AF140"/>
      <c r="AG140"/>
      <c r="AH140"/>
      <c r="AI140"/>
    </row>
    <row r="141" spans="2:35" ht="14.4" x14ac:dyDescent="0.3">
      <c r="B141" s="353">
        <v>43405</v>
      </c>
      <c r="C141" s="322">
        <f t="shared" si="9"/>
        <v>11</v>
      </c>
      <c r="D141" s="322">
        <v>2018</v>
      </c>
      <c r="E141" s="343">
        <v>77972578.930000007</v>
      </c>
      <c r="F141" s="319">
        <v>494.1</v>
      </c>
      <c r="G141" s="319">
        <v>0</v>
      </c>
      <c r="H141" s="373">
        <f>'GDP A'!AF190</f>
        <v>157.91939305809689</v>
      </c>
      <c r="I141" s="53">
        <f t="shared" si="16"/>
        <v>30</v>
      </c>
      <c r="J141" s="53">
        <f t="shared" si="10"/>
        <v>0</v>
      </c>
      <c r="K141" s="53">
        <f t="shared" si="11"/>
        <v>0</v>
      </c>
      <c r="L141" s="53">
        <f t="shared" si="12"/>
        <v>0</v>
      </c>
      <c r="M141" s="53">
        <f t="shared" si="13"/>
        <v>0</v>
      </c>
      <c r="N141" s="341">
        <v>107</v>
      </c>
      <c r="O141" s="389">
        <f t="shared" si="14"/>
        <v>77711738.91362913</v>
      </c>
      <c r="P141" s="389">
        <f t="shared" si="15"/>
        <v>260840.01637087762</v>
      </c>
      <c r="Q141" s="389"/>
      <c r="AA141" s="211"/>
      <c r="AB141" s="211"/>
      <c r="AC141" s="211"/>
      <c r="AD141" s="211"/>
      <c r="AE141"/>
      <c r="AF141"/>
      <c r="AG141"/>
      <c r="AH141"/>
      <c r="AI141"/>
    </row>
    <row r="142" spans="2:35" ht="14.4" x14ac:dyDescent="0.3">
      <c r="B142" s="353">
        <v>43435</v>
      </c>
      <c r="C142" s="322">
        <f t="shared" si="9"/>
        <v>12</v>
      </c>
      <c r="D142" s="322">
        <v>2018</v>
      </c>
      <c r="E142" s="343">
        <v>77716342.479999989</v>
      </c>
      <c r="F142" s="319">
        <v>563.60000000000014</v>
      </c>
      <c r="G142" s="319">
        <v>0</v>
      </c>
      <c r="H142" s="373">
        <f>'GDP A'!AF191</f>
        <v>158.33128981696836</v>
      </c>
      <c r="I142" s="53">
        <f t="shared" si="16"/>
        <v>31</v>
      </c>
      <c r="J142" s="53">
        <f t="shared" si="10"/>
        <v>0</v>
      </c>
      <c r="K142" s="53">
        <f t="shared" si="11"/>
        <v>0</v>
      </c>
      <c r="L142" s="53">
        <f t="shared" si="12"/>
        <v>0</v>
      </c>
      <c r="M142" s="53">
        <f t="shared" si="13"/>
        <v>0</v>
      </c>
      <c r="N142" s="341">
        <v>108</v>
      </c>
      <c r="O142" s="389">
        <f t="shared" si="14"/>
        <v>80873328.749843702</v>
      </c>
      <c r="P142" s="389">
        <f t="shared" si="15"/>
        <v>-3156986.2698437124</v>
      </c>
      <c r="Q142" s="389"/>
      <c r="AA142" s="211"/>
      <c r="AB142" s="211"/>
      <c r="AC142" s="211"/>
      <c r="AD142" s="211"/>
      <c r="AE142"/>
      <c r="AF142"/>
      <c r="AG142"/>
      <c r="AH142"/>
      <c r="AI142"/>
    </row>
    <row r="143" spans="2:35" ht="14.4" x14ac:dyDescent="0.3">
      <c r="B143" s="353">
        <v>43466</v>
      </c>
      <c r="C143" s="322">
        <f t="shared" si="9"/>
        <v>1</v>
      </c>
      <c r="D143" s="322">
        <v>2019</v>
      </c>
      <c r="E143" s="343">
        <v>85029523.596500009</v>
      </c>
      <c r="F143" s="319">
        <v>764.5</v>
      </c>
      <c r="G143" s="319">
        <v>0</v>
      </c>
      <c r="H143" s="373">
        <f>'GDP A'!AF192</f>
        <v>158.56186296962741</v>
      </c>
      <c r="I143" s="53">
        <f t="shared" si="16"/>
        <v>31</v>
      </c>
      <c r="J143" s="53">
        <f t="shared" si="10"/>
        <v>0</v>
      </c>
      <c r="K143" s="53">
        <f t="shared" si="11"/>
        <v>0</v>
      </c>
      <c r="L143" s="53">
        <f t="shared" si="12"/>
        <v>0</v>
      </c>
      <c r="M143" s="53">
        <f t="shared" si="13"/>
        <v>0</v>
      </c>
      <c r="N143" s="341">
        <v>109</v>
      </c>
      <c r="O143" s="389">
        <f t="shared" si="14"/>
        <v>83669744.944495216</v>
      </c>
      <c r="P143" s="389">
        <f t="shared" si="15"/>
        <v>1359778.6520047933</v>
      </c>
      <c r="Q143" s="389"/>
      <c r="AA143" s="211"/>
      <c r="AB143" s="211"/>
      <c r="AC143" s="211"/>
      <c r="AD143" s="211"/>
      <c r="AE143"/>
      <c r="AF143"/>
      <c r="AG143"/>
      <c r="AH143"/>
      <c r="AI143"/>
    </row>
    <row r="144" spans="2:35" ht="14.4" x14ac:dyDescent="0.3">
      <c r="B144" s="353">
        <v>43497</v>
      </c>
      <c r="C144" s="322">
        <f t="shared" si="9"/>
        <v>2</v>
      </c>
      <c r="D144" s="322">
        <v>2019</v>
      </c>
      <c r="E144" s="343">
        <v>75571374.736000016</v>
      </c>
      <c r="F144" s="319">
        <v>621.70000000000016</v>
      </c>
      <c r="G144" s="319">
        <v>0</v>
      </c>
      <c r="H144" s="373">
        <f>'GDP A'!AF193</f>
        <v>158.79277189911735</v>
      </c>
      <c r="I144" s="53">
        <f t="shared" si="16"/>
        <v>28</v>
      </c>
      <c r="J144" s="53">
        <f t="shared" si="10"/>
        <v>0</v>
      </c>
      <c r="K144" s="53">
        <f t="shared" si="11"/>
        <v>0</v>
      </c>
      <c r="L144" s="53">
        <f t="shared" si="12"/>
        <v>0</v>
      </c>
      <c r="M144" s="53">
        <f t="shared" si="13"/>
        <v>0</v>
      </c>
      <c r="N144" s="341">
        <v>110</v>
      </c>
      <c r="O144" s="389">
        <f t="shared" si="14"/>
        <v>75280948.728440478</v>
      </c>
      <c r="P144" s="389">
        <f t="shared" si="15"/>
        <v>290426.00755953789</v>
      </c>
      <c r="Q144" s="389"/>
      <c r="AA144" s="211"/>
      <c r="AB144" s="211"/>
      <c r="AC144" s="211"/>
      <c r="AD144" s="211"/>
      <c r="AE144"/>
      <c r="AF144"/>
      <c r="AG144"/>
      <c r="AH144"/>
      <c r="AI144"/>
    </row>
    <row r="145" spans="2:35" ht="14.4" x14ac:dyDescent="0.3">
      <c r="B145" s="353">
        <v>43525</v>
      </c>
      <c r="C145" s="322">
        <f t="shared" si="9"/>
        <v>3</v>
      </c>
      <c r="D145" s="322">
        <v>2019</v>
      </c>
      <c r="E145" s="343">
        <v>79381068.277800009</v>
      </c>
      <c r="F145" s="319">
        <v>593.90000000000009</v>
      </c>
      <c r="G145" s="319">
        <v>0</v>
      </c>
      <c r="H145" s="373">
        <f>'GDP A'!AF194</f>
        <v>159.02401709442</v>
      </c>
      <c r="I145" s="53">
        <f t="shared" si="16"/>
        <v>31</v>
      </c>
      <c r="J145" s="53">
        <f t="shared" si="10"/>
        <v>1</v>
      </c>
      <c r="K145" s="53">
        <f t="shared" si="11"/>
        <v>0</v>
      </c>
      <c r="L145" s="53">
        <f t="shared" si="12"/>
        <v>0</v>
      </c>
      <c r="M145" s="53">
        <f t="shared" si="13"/>
        <v>0</v>
      </c>
      <c r="N145" s="341">
        <v>111</v>
      </c>
      <c r="O145" s="389">
        <f t="shared" si="14"/>
        <v>79438205.295614198</v>
      </c>
      <c r="P145" s="389">
        <f t="shared" si="15"/>
        <v>-57137.017814189196</v>
      </c>
      <c r="Q145" s="389"/>
      <c r="AA145" s="211"/>
      <c r="AB145" s="211"/>
      <c r="AC145" s="211"/>
      <c r="AD145" s="211"/>
      <c r="AE145"/>
      <c r="AF145"/>
      <c r="AG145"/>
      <c r="AH145"/>
      <c r="AI145"/>
    </row>
    <row r="146" spans="2:35" ht="14.4" x14ac:dyDescent="0.3">
      <c r="B146" s="353">
        <v>43556</v>
      </c>
      <c r="C146" s="322">
        <f t="shared" si="9"/>
        <v>4</v>
      </c>
      <c r="D146" s="322">
        <v>2019</v>
      </c>
      <c r="E146" s="343">
        <v>73998852.774599999</v>
      </c>
      <c r="F146" s="319">
        <v>346.8</v>
      </c>
      <c r="G146" s="319">
        <v>0</v>
      </c>
      <c r="H146" s="373">
        <f>'GDP A'!AF195</f>
        <v>159.2555990452293</v>
      </c>
      <c r="I146" s="53">
        <f t="shared" si="16"/>
        <v>30</v>
      </c>
      <c r="J146" s="53">
        <f t="shared" si="10"/>
        <v>0</v>
      </c>
      <c r="K146" s="53">
        <f t="shared" si="11"/>
        <v>1</v>
      </c>
      <c r="L146" s="53">
        <f t="shared" si="12"/>
        <v>0</v>
      </c>
      <c r="M146" s="53">
        <f t="shared" si="13"/>
        <v>0</v>
      </c>
      <c r="N146" s="341">
        <v>112</v>
      </c>
      <c r="O146" s="389">
        <f t="shared" si="14"/>
        <v>71408448.296560004</v>
      </c>
      <c r="P146" s="389">
        <f t="shared" si="15"/>
        <v>2590404.4780399948</v>
      </c>
      <c r="Q146" s="389"/>
      <c r="AA146" s="211"/>
      <c r="AB146" s="211"/>
      <c r="AC146" s="211"/>
      <c r="AD146" s="211"/>
      <c r="AE146"/>
      <c r="AF146"/>
      <c r="AG146"/>
      <c r="AH146"/>
      <c r="AI146"/>
    </row>
    <row r="147" spans="2:35" ht="14.4" x14ac:dyDescent="0.3">
      <c r="B147" s="353">
        <v>43586</v>
      </c>
      <c r="C147" s="322">
        <f t="shared" si="9"/>
        <v>5</v>
      </c>
      <c r="D147" s="322">
        <v>2019</v>
      </c>
      <c r="E147" s="343">
        <v>74079885.052200004</v>
      </c>
      <c r="F147" s="319">
        <v>180.99999999999997</v>
      </c>
      <c r="G147" s="319">
        <v>0</v>
      </c>
      <c r="H147" s="373">
        <f>'GDP A'!AF196</f>
        <v>159.48751824195227</v>
      </c>
      <c r="I147" s="53">
        <f t="shared" si="16"/>
        <v>31</v>
      </c>
      <c r="J147" s="53">
        <f t="shared" si="10"/>
        <v>0</v>
      </c>
      <c r="K147" s="53">
        <f t="shared" si="11"/>
        <v>0</v>
      </c>
      <c r="L147" s="53">
        <f t="shared" si="12"/>
        <v>1</v>
      </c>
      <c r="M147" s="53">
        <f t="shared" si="13"/>
        <v>0</v>
      </c>
      <c r="N147" s="341">
        <v>113</v>
      </c>
      <c r="O147" s="389">
        <f t="shared" si="14"/>
        <v>72209151.545757622</v>
      </c>
      <c r="P147" s="389">
        <f t="shared" si="15"/>
        <v>1870733.5064423829</v>
      </c>
      <c r="Q147" s="389"/>
      <c r="AA147" s="211"/>
      <c r="AB147" s="211"/>
      <c r="AC147" s="211"/>
      <c r="AD147" s="211"/>
      <c r="AE147"/>
      <c r="AF147"/>
      <c r="AG147"/>
      <c r="AH147"/>
      <c r="AI147"/>
    </row>
    <row r="148" spans="2:35" ht="14.4" x14ac:dyDescent="0.3">
      <c r="B148" s="353">
        <v>43617</v>
      </c>
      <c r="C148" s="322">
        <f t="shared" si="9"/>
        <v>6</v>
      </c>
      <c r="D148" s="322">
        <v>2019</v>
      </c>
      <c r="E148" s="343">
        <v>77200774.899399996</v>
      </c>
      <c r="F148" s="319">
        <v>35.5</v>
      </c>
      <c r="G148" s="319">
        <v>41.300000000000004</v>
      </c>
      <c r="H148" s="373">
        <f>'GDP A'!AF197</f>
        <v>159.71977517571011</v>
      </c>
      <c r="I148" s="53">
        <f t="shared" si="16"/>
        <v>30</v>
      </c>
      <c r="J148" s="53">
        <f t="shared" si="10"/>
        <v>0</v>
      </c>
      <c r="K148" s="53">
        <f t="shared" si="11"/>
        <v>0</v>
      </c>
      <c r="L148" s="53">
        <f t="shared" si="12"/>
        <v>0</v>
      </c>
      <c r="M148" s="53">
        <f t="shared" si="13"/>
        <v>0</v>
      </c>
      <c r="N148" s="341">
        <v>114</v>
      </c>
      <c r="O148" s="389">
        <f t="shared" si="14"/>
        <v>76289983.863540217</v>
      </c>
      <c r="P148" s="389">
        <f t="shared" si="15"/>
        <v>910791.03585977852</v>
      </c>
      <c r="Q148" s="389"/>
      <c r="AA148" s="211"/>
      <c r="AB148" s="211"/>
      <c r="AC148" s="211"/>
      <c r="AD148" s="211"/>
      <c r="AE148"/>
      <c r="AF148"/>
      <c r="AG148"/>
      <c r="AH148"/>
      <c r="AI148"/>
    </row>
    <row r="149" spans="2:35" ht="14.4" x14ac:dyDescent="0.3">
      <c r="B149" s="353">
        <v>43647</v>
      </c>
      <c r="C149" s="322">
        <f t="shared" si="9"/>
        <v>7</v>
      </c>
      <c r="D149" s="322">
        <v>2019</v>
      </c>
      <c r="E149" s="343">
        <v>97266632.718700007</v>
      </c>
      <c r="F149" s="319">
        <v>0</v>
      </c>
      <c r="G149" s="319">
        <v>166.90000000000003</v>
      </c>
      <c r="H149" s="373">
        <f>'GDP A'!AF198</f>
        <v>159.95237033833922</v>
      </c>
      <c r="I149" s="53">
        <f t="shared" si="16"/>
        <v>31</v>
      </c>
      <c r="J149" s="53">
        <f t="shared" si="10"/>
        <v>0</v>
      </c>
      <c r="K149" s="53">
        <f t="shared" si="11"/>
        <v>0</v>
      </c>
      <c r="L149" s="53">
        <f t="shared" si="12"/>
        <v>0</v>
      </c>
      <c r="M149" s="53">
        <f t="shared" si="13"/>
        <v>0</v>
      </c>
      <c r="N149" s="341">
        <v>115</v>
      </c>
      <c r="O149" s="389">
        <f t="shared" si="14"/>
        <v>93454955.19863306</v>
      </c>
      <c r="P149" s="389">
        <f t="shared" si="15"/>
        <v>3811677.5200669467</v>
      </c>
      <c r="Q149" s="389"/>
      <c r="AA149" s="211"/>
      <c r="AB149" s="211"/>
      <c r="AC149" s="211"/>
      <c r="AD149" s="211"/>
      <c r="AE149"/>
      <c r="AF149"/>
      <c r="AG149"/>
      <c r="AH149"/>
      <c r="AI149"/>
    </row>
    <row r="150" spans="2:35" ht="14.4" x14ac:dyDescent="0.3">
      <c r="B150" s="353">
        <v>43678</v>
      </c>
      <c r="C150" s="322">
        <f t="shared" si="9"/>
        <v>8</v>
      </c>
      <c r="D150" s="322">
        <v>2019</v>
      </c>
      <c r="E150" s="343">
        <v>88226114.621299982</v>
      </c>
      <c r="F150" s="319">
        <v>0.89999999999999991</v>
      </c>
      <c r="G150" s="319">
        <v>103.30000000000003</v>
      </c>
      <c r="H150" s="373">
        <f>'GDP A'!AF199</f>
        <v>160.18530422239229</v>
      </c>
      <c r="I150" s="53">
        <f t="shared" si="16"/>
        <v>31</v>
      </c>
      <c r="J150" s="53">
        <f t="shared" si="10"/>
        <v>0</v>
      </c>
      <c r="K150" s="53">
        <f t="shared" si="11"/>
        <v>0</v>
      </c>
      <c r="L150" s="53">
        <f t="shared" si="12"/>
        <v>0</v>
      </c>
      <c r="M150" s="53">
        <f t="shared" si="13"/>
        <v>0</v>
      </c>
      <c r="N150" s="341">
        <v>116</v>
      </c>
      <c r="O150" s="389">
        <f t="shared" si="14"/>
        <v>85555904.804488406</v>
      </c>
      <c r="P150" s="389">
        <f t="shared" si="15"/>
        <v>2670209.8168115765</v>
      </c>
      <c r="Q150" s="389"/>
      <c r="AA150" s="211"/>
      <c r="AB150" s="211"/>
      <c r="AC150" s="211"/>
      <c r="AD150" s="211"/>
      <c r="AE150"/>
      <c r="AF150"/>
      <c r="AG150"/>
      <c r="AH150"/>
      <c r="AI150"/>
    </row>
    <row r="151" spans="2:35" ht="14.4" x14ac:dyDescent="0.3">
      <c r="B151" s="353">
        <v>43709</v>
      </c>
      <c r="C151" s="322">
        <f t="shared" si="9"/>
        <v>9</v>
      </c>
      <c r="D151" s="322">
        <v>2019</v>
      </c>
      <c r="E151" s="343">
        <v>76664331.356100008</v>
      </c>
      <c r="F151" s="319">
        <v>38.400000000000006</v>
      </c>
      <c r="G151" s="319">
        <v>25.400000000000002</v>
      </c>
      <c r="H151" s="373">
        <f>'GDP A'!AF200</f>
        <v>160.41857732113922</v>
      </c>
      <c r="I151" s="53">
        <f t="shared" si="16"/>
        <v>30</v>
      </c>
      <c r="J151" s="53">
        <f t="shared" si="10"/>
        <v>0</v>
      </c>
      <c r="K151" s="53">
        <f t="shared" si="11"/>
        <v>0</v>
      </c>
      <c r="L151" s="53">
        <f t="shared" si="12"/>
        <v>0</v>
      </c>
      <c r="M151" s="53">
        <f t="shared" si="13"/>
        <v>0</v>
      </c>
      <c r="N151" s="341">
        <v>117</v>
      </c>
      <c r="O151" s="389">
        <f t="shared" si="14"/>
        <v>74280470.134656981</v>
      </c>
      <c r="P151" s="389">
        <f t="shared" si="15"/>
        <v>2383861.2214430273</v>
      </c>
      <c r="Q151" s="389"/>
      <c r="AA151" s="211"/>
      <c r="AB151" s="211"/>
      <c r="AC151" s="211"/>
      <c r="AD151" s="211"/>
      <c r="AE151"/>
      <c r="AF151"/>
      <c r="AG151"/>
      <c r="AH151"/>
      <c r="AI151"/>
    </row>
    <row r="152" spans="2:35" ht="15" thickBot="1" x14ac:dyDescent="0.35">
      <c r="B152" s="353">
        <v>43739</v>
      </c>
      <c r="C152" s="322">
        <f t="shared" si="9"/>
        <v>10</v>
      </c>
      <c r="D152" s="322">
        <v>2019</v>
      </c>
      <c r="E152" s="343">
        <v>75138464.501400009</v>
      </c>
      <c r="F152" s="319">
        <v>236.5</v>
      </c>
      <c r="G152" s="319">
        <v>5.0999999999999996</v>
      </c>
      <c r="H152" s="373">
        <f>'GDP A'!AF201</f>
        <v>160.65219012856832</v>
      </c>
      <c r="I152" s="53">
        <f t="shared" si="16"/>
        <v>31</v>
      </c>
      <c r="J152" s="53">
        <f t="shared" si="10"/>
        <v>0</v>
      </c>
      <c r="K152" s="53">
        <f t="shared" si="11"/>
        <v>0</v>
      </c>
      <c r="L152" s="53">
        <f t="shared" si="12"/>
        <v>0</v>
      </c>
      <c r="M152" s="53">
        <f t="shared" si="13"/>
        <v>1</v>
      </c>
      <c r="N152" s="341">
        <v>118</v>
      </c>
      <c r="O152" s="389">
        <f t="shared" si="14"/>
        <v>74709880.365121007</v>
      </c>
      <c r="P152" s="389">
        <f t="shared" si="15"/>
        <v>428584.13627900183</v>
      </c>
      <c r="Q152" s="389"/>
      <c r="AA152" s="212"/>
      <c r="AB152" s="212"/>
      <c r="AC152" s="212"/>
      <c r="AD152" s="212"/>
      <c r="AE152"/>
      <c r="AF152"/>
      <c r="AG152"/>
      <c r="AH152"/>
      <c r="AI152"/>
    </row>
    <row r="153" spans="2:35" ht="14.4" x14ac:dyDescent="0.3">
      <c r="B153" s="353">
        <v>43770</v>
      </c>
      <c r="C153" s="322">
        <f t="shared" si="9"/>
        <v>11</v>
      </c>
      <c r="D153" s="322">
        <v>2019</v>
      </c>
      <c r="E153" s="343">
        <v>79324528.1259</v>
      </c>
      <c r="F153" s="319">
        <v>513.30000000000007</v>
      </c>
      <c r="G153" s="319">
        <v>0</v>
      </c>
      <c r="H153" s="373">
        <f>'GDP A'!AF202</f>
        <v>160.88614313938723</v>
      </c>
      <c r="I153" s="53">
        <f t="shared" si="16"/>
        <v>30</v>
      </c>
      <c r="J153" s="53">
        <f t="shared" si="10"/>
        <v>0</v>
      </c>
      <c r="K153" s="53">
        <f t="shared" si="11"/>
        <v>0</v>
      </c>
      <c r="L153" s="53">
        <f t="shared" si="12"/>
        <v>0</v>
      </c>
      <c r="M153" s="53">
        <f t="shared" si="13"/>
        <v>0</v>
      </c>
      <c r="N153" s="341">
        <v>119</v>
      </c>
      <c r="O153" s="389">
        <f t="shared" si="14"/>
        <v>77754968.935154065</v>
      </c>
      <c r="P153" s="389">
        <f t="shared" si="15"/>
        <v>1569559.1907459348</v>
      </c>
      <c r="Q153" s="389"/>
    </row>
    <row r="154" spans="2:35" ht="14.4" x14ac:dyDescent="0.3">
      <c r="B154" s="353">
        <v>43800</v>
      </c>
      <c r="C154" s="322">
        <f t="shared" si="9"/>
        <v>12</v>
      </c>
      <c r="D154" s="322">
        <v>2019</v>
      </c>
      <c r="E154" s="343">
        <v>77448670.109640002</v>
      </c>
      <c r="F154" s="319">
        <v>582.4</v>
      </c>
      <c r="G154" s="319">
        <v>0</v>
      </c>
      <c r="H154" s="373">
        <f>'GDP A'!AF203</f>
        <v>161.12043684902417</v>
      </c>
      <c r="I154" s="53">
        <f t="shared" si="16"/>
        <v>31</v>
      </c>
      <c r="J154" s="53">
        <f t="shared" si="10"/>
        <v>0</v>
      </c>
      <c r="K154" s="53">
        <f t="shared" si="11"/>
        <v>0</v>
      </c>
      <c r="L154" s="53">
        <f t="shared" si="12"/>
        <v>0</v>
      </c>
      <c r="M154" s="53">
        <f t="shared" si="13"/>
        <v>0</v>
      </c>
      <c r="N154" s="341">
        <v>120</v>
      </c>
      <c r="O154" s="389">
        <f t="shared" si="14"/>
        <v>80818724.753354922</v>
      </c>
      <c r="P154" s="389">
        <f t="shared" si="15"/>
        <v>-3370054.6437149197</v>
      </c>
      <c r="Q154" s="389"/>
    </row>
    <row r="155" spans="2:35" ht="14.4" x14ac:dyDescent="0.3">
      <c r="B155" s="353">
        <v>43831</v>
      </c>
      <c r="C155" s="322">
        <f t="shared" si="9"/>
        <v>1</v>
      </c>
      <c r="D155" s="322">
        <v>2020</v>
      </c>
      <c r="E155" s="343">
        <v>81251440.013279989</v>
      </c>
      <c r="F155" s="319">
        <v>605</v>
      </c>
      <c r="G155" s="319">
        <v>0</v>
      </c>
      <c r="H155" s="373">
        <f>'GDP A'!AF204</f>
        <v>160.32018522796301</v>
      </c>
      <c r="I155" s="53">
        <f t="shared" si="16"/>
        <v>31</v>
      </c>
      <c r="J155" s="53">
        <f t="shared" si="10"/>
        <v>0</v>
      </c>
      <c r="K155" s="53">
        <f t="shared" si="11"/>
        <v>0</v>
      </c>
      <c r="L155" s="53">
        <f t="shared" si="12"/>
        <v>0</v>
      </c>
      <c r="M155" s="53">
        <f t="shared" si="13"/>
        <v>0</v>
      </c>
      <c r="N155" s="341">
        <v>121</v>
      </c>
      <c r="O155" s="389">
        <f t="shared" si="14"/>
        <v>80573662.350812867</v>
      </c>
      <c r="P155" s="389">
        <f t="shared" si="15"/>
        <v>677777.66246712208</v>
      </c>
      <c r="Q155" s="389"/>
    </row>
    <row r="156" spans="2:35" ht="14.4" x14ac:dyDescent="0.3">
      <c r="B156" s="353">
        <v>43862</v>
      </c>
      <c r="C156" s="322">
        <f t="shared" si="9"/>
        <v>2</v>
      </c>
      <c r="D156" s="322">
        <v>2020</v>
      </c>
      <c r="E156" s="343">
        <v>75883614.011019975</v>
      </c>
      <c r="F156" s="319">
        <v>611.79999999999995</v>
      </c>
      <c r="G156" s="319">
        <v>0</v>
      </c>
      <c r="H156" s="373">
        <f>'GDP A'!AF205</f>
        <v>159.52390828987527</v>
      </c>
      <c r="I156" s="53">
        <f t="shared" si="16"/>
        <v>29</v>
      </c>
      <c r="J156" s="53">
        <f t="shared" si="10"/>
        <v>0</v>
      </c>
      <c r="K156" s="53">
        <f t="shared" si="11"/>
        <v>0</v>
      </c>
      <c r="L156" s="53">
        <f t="shared" si="12"/>
        <v>0</v>
      </c>
      <c r="M156" s="53">
        <f t="shared" si="13"/>
        <v>0</v>
      </c>
      <c r="N156" s="341">
        <v>122</v>
      </c>
      <c r="O156" s="389">
        <f t="shared" si="14"/>
        <v>75872460.218413189</v>
      </c>
      <c r="P156" s="389">
        <f t="shared" si="15"/>
        <v>11153.792606785893</v>
      </c>
      <c r="Q156" s="389"/>
    </row>
    <row r="157" spans="2:35" ht="14.4" x14ac:dyDescent="0.3">
      <c r="B157" s="353">
        <v>43891</v>
      </c>
      <c r="C157" s="322">
        <f t="shared" si="9"/>
        <v>3</v>
      </c>
      <c r="D157" s="322">
        <v>2020</v>
      </c>
      <c r="E157" s="343">
        <v>75425735.247120008</v>
      </c>
      <c r="F157" s="319">
        <v>458.69999999999993</v>
      </c>
      <c r="G157" s="319">
        <v>0</v>
      </c>
      <c r="H157" s="373">
        <f>'GDP A'!AF206</f>
        <v>158.73158629333921</v>
      </c>
      <c r="I157" s="53">
        <f t="shared" si="16"/>
        <v>31</v>
      </c>
      <c r="J157" s="53">
        <f t="shared" si="10"/>
        <v>1</v>
      </c>
      <c r="K157" s="53">
        <f t="shared" si="11"/>
        <v>0</v>
      </c>
      <c r="L157" s="53">
        <f t="shared" si="12"/>
        <v>0</v>
      </c>
      <c r="M157" s="53">
        <f t="shared" si="13"/>
        <v>0</v>
      </c>
      <c r="N157" s="341">
        <v>123</v>
      </c>
      <c r="O157" s="389">
        <f t="shared" si="14"/>
        <v>75618945.797684744</v>
      </c>
      <c r="P157" s="389">
        <f t="shared" si="15"/>
        <v>-193210.55056473613</v>
      </c>
      <c r="Q157" s="389"/>
    </row>
    <row r="158" spans="2:35" ht="14.4" x14ac:dyDescent="0.3">
      <c r="B158" s="353">
        <v>43922</v>
      </c>
      <c r="C158" s="322">
        <f t="shared" si="9"/>
        <v>4</v>
      </c>
      <c r="D158" s="322">
        <v>2020</v>
      </c>
      <c r="E158" s="343">
        <v>68179453.099079981</v>
      </c>
      <c r="F158" s="319">
        <v>362.2999999999999</v>
      </c>
      <c r="G158" s="319">
        <v>0</v>
      </c>
      <c r="H158" s="373">
        <f>'GDP A'!AF207</f>
        <v>157.94319959498461</v>
      </c>
      <c r="I158" s="53">
        <f t="shared" si="16"/>
        <v>30</v>
      </c>
      <c r="J158" s="53">
        <f t="shared" si="10"/>
        <v>0</v>
      </c>
      <c r="K158" s="53">
        <f t="shared" si="11"/>
        <v>1</v>
      </c>
      <c r="L158" s="53">
        <f t="shared" si="12"/>
        <v>0</v>
      </c>
      <c r="M158" s="53">
        <f t="shared" si="13"/>
        <v>0</v>
      </c>
      <c r="N158" s="341">
        <v>124</v>
      </c>
      <c r="O158" s="389">
        <f t="shared" si="14"/>
        <v>69177936.913882926</v>
      </c>
      <c r="P158" s="389">
        <f t="shared" si="15"/>
        <v>-998483.81480294466</v>
      </c>
      <c r="Q158" s="389"/>
    </row>
    <row r="159" spans="2:35" ht="14.4" x14ac:dyDescent="0.3">
      <c r="B159" s="353">
        <v>43952</v>
      </c>
      <c r="C159" s="322">
        <f t="shared" si="9"/>
        <v>5</v>
      </c>
      <c r="D159" s="322">
        <v>2020</v>
      </c>
      <c r="E159" s="343">
        <v>72113730.421249986</v>
      </c>
      <c r="F159" s="319">
        <v>208.09999999999997</v>
      </c>
      <c r="G159" s="319">
        <v>24.2</v>
      </c>
      <c r="H159" s="373">
        <f>'GDP A'!AF208</f>
        <v>157.15872864900581</v>
      </c>
      <c r="I159" s="53">
        <f t="shared" si="16"/>
        <v>31</v>
      </c>
      <c r="J159" s="53">
        <f t="shared" si="10"/>
        <v>0</v>
      </c>
      <c r="K159" s="53">
        <f t="shared" si="11"/>
        <v>0</v>
      </c>
      <c r="L159" s="53">
        <f t="shared" si="12"/>
        <v>1</v>
      </c>
      <c r="M159" s="53">
        <f t="shared" si="13"/>
        <v>0</v>
      </c>
      <c r="N159" s="341">
        <v>125</v>
      </c>
      <c r="O159" s="389">
        <f t="shared" si="14"/>
        <v>72614402.522570923</v>
      </c>
      <c r="P159" s="389">
        <f t="shared" si="15"/>
        <v>-500672.10132093728</v>
      </c>
      <c r="Q159" s="389"/>
    </row>
    <row r="160" spans="2:35" ht="14.4" x14ac:dyDescent="0.3">
      <c r="B160" s="353">
        <v>43983</v>
      </c>
      <c r="C160" s="322">
        <f t="shared" si="9"/>
        <v>6</v>
      </c>
      <c r="D160" s="322">
        <v>2020</v>
      </c>
      <c r="E160" s="343">
        <v>86099647.89466998</v>
      </c>
      <c r="F160" s="319">
        <v>23.799999999999997</v>
      </c>
      <c r="G160" s="319">
        <v>97.700000000000017</v>
      </c>
      <c r="H160" s="373">
        <f>'GDP A'!AF209</f>
        <v>156.37815400667708</v>
      </c>
      <c r="I160" s="53">
        <f t="shared" si="16"/>
        <v>30</v>
      </c>
      <c r="J160" s="53">
        <f t="shared" si="10"/>
        <v>0</v>
      </c>
      <c r="K160" s="53">
        <f t="shared" si="11"/>
        <v>0</v>
      </c>
      <c r="L160" s="53">
        <f t="shared" si="12"/>
        <v>0</v>
      </c>
      <c r="M160" s="53">
        <f t="shared" si="13"/>
        <v>0</v>
      </c>
      <c r="N160" s="341">
        <v>126</v>
      </c>
      <c r="O160" s="389">
        <f t="shared" si="14"/>
        <v>79616270.054041252</v>
      </c>
      <c r="P160" s="389">
        <f t="shared" si="15"/>
        <v>6483377.8406287283</v>
      </c>
      <c r="Q160" s="389"/>
    </row>
    <row r="161" spans="2:17" ht="14.4" x14ac:dyDescent="0.3">
      <c r="B161" s="353">
        <v>44013</v>
      </c>
      <c r="C161" s="322">
        <f t="shared" si="9"/>
        <v>7</v>
      </c>
      <c r="D161" s="322">
        <v>2020</v>
      </c>
      <c r="E161" s="343">
        <v>103947133.04603</v>
      </c>
      <c r="F161" s="319">
        <v>0</v>
      </c>
      <c r="G161" s="319">
        <v>215.7</v>
      </c>
      <c r="H161" s="373">
        <f>'GDP A'!AF210</f>
        <v>155.60145631587045</v>
      </c>
      <c r="I161" s="53">
        <f t="shared" si="16"/>
        <v>31</v>
      </c>
      <c r="J161" s="53">
        <f t="shared" si="10"/>
        <v>0</v>
      </c>
      <c r="K161" s="53">
        <f t="shared" si="11"/>
        <v>0</v>
      </c>
      <c r="L161" s="53">
        <f t="shared" si="12"/>
        <v>0</v>
      </c>
      <c r="M161" s="53">
        <f t="shared" si="13"/>
        <v>0</v>
      </c>
      <c r="N161" s="341">
        <v>127</v>
      </c>
      <c r="O161" s="389">
        <f t="shared" si="14"/>
        <v>95479398.690720037</v>
      </c>
      <c r="P161" s="389">
        <f t="shared" si="15"/>
        <v>8467734.3553099632</v>
      </c>
      <c r="Q161" s="389"/>
    </row>
    <row r="162" spans="2:17" ht="14.4" x14ac:dyDescent="0.3">
      <c r="B162" s="353">
        <v>44044</v>
      </c>
      <c r="C162" s="322">
        <f t="shared" si="9"/>
        <v>8</v>
      </c>
      <c r="D162" s="322">
        <v>2020</v>
      </c>
      <c r="E162" s="343">
        <v>92534942.41407001</v>
      </c>
      <c r="F162" s="319">
        <v>0.8</v>
      </c>
      <c r="G162" s="319">
        <v>126.69999999999999</v>
      </c>
      <c r="H162" s="373">
        <f>'GDP A'!AF211</f>
        <v>154.82861632057592</v>
      </c>
      <c r="I162" s="53">
        <f t="shared" si="16"/>
        <v>31</v>
      </c>
      <c r="J162" s="53">
        <f t="shared" si="10"/>
        <v>0</v>
      </c>
      <c r="K162" s="53">
        <f t="shared" si="11"/>
        <v>0</v>
      </c>
      <c r="L162" s="53">
        <f t="shared" si="12"/>
        <v>0</v>
      </c>
      <c r="M162" s="53">
        <f t="shared" si="13"/>
        <v>0</v>
      </c>
      <c r="N162" s="341">
        <v>128</v>
      </c>
      <c r="O162" s="389">
        <f t="shared" si="14"/>
        <v>83907548.213460311</v>
      </c>
      <c r="P162" s="389">
        <f t="shared" si="15"/>
        <v>8627394.2006096989</v>
      </c>
      <c r="Q162" s="389"/>
    </row>
    <row r="163" spans="2:17" ht="14.4" x14ac:dyDescent="0.3">
      <c r="B163" s="353">
        <v>44075</v>
      </c>
      <c r="C163" s="322">
        <f t="shared" si="9"/>
        <v>9</v>
      </c>
      <c r="D163" s="322">
        <v>2020</v>
      </c>
      <c r="E163" s="343">
        <v>76554649.522059992</v>
      </c>
      <c r="F163" s="319">
        <v>69.100000000000009</v>
      </c>
      <c r="G163" s="319">
        <v>33.300000000000004</v>
      </c>
      <c r="H163" s="373">
        <f>'GDP A'!AF212</f>
        <v>154.05961486042412</v>
      </c>
      <c r="I163" s="53">
        <f t="shared" si="16"/>
        <v>30</v>
      </c>
      <c r="J163" s="53">
        <f t="shared" si="10"/>
        <v>0</v>
      </c>
      <c r="K163" s="53">
        <f t="shared" si="11"/>
        <v>0</v>
      </c>
      <c r="L163" s="53">
        <f t="shared" si="12"/>
        <v>0</v>
      </c>
      <c r="M163" s="53">
        <f t="shared" si="13"/>
        <v>0</v>
      </c>
      <c r="N163" s="341">
        <v>129</v>
      </c>
      <c r="O163" s="389">
        <f t="shared" si="14"/>
        <v>70622919.292587698</v>
      </c>
      <c r="P163" s="389">
        <f t="shared" si="15"/>
        <v>5931730.2294722944</v>
      </c>
      <c r="Q163" s="389"/>
    </row>
    <row r="164" spans="2:17" ht="14.4" x14ac:dyDescent="0.3">
      <c r="B164" s="353">
        <v>44105</v>
      </c>
      <c r="C164" s="322">
        <f t="shared" ref="C164:C190" si="17">MONTH(B164)</f>
        <v>10</v>
      </c>
      <c r="D164" s="322">
        <v>2020</v>
      </c>
      <c r="E164" s="343">
        <v>74574750.82904999</v>
      </c>
      <c r="F164" s="319">
        <v>270.3</v>
      </c>
      <c r="G164" s="319">
        <v>0</v>
      </c>
      <c r="H164" s="373">
        <f>'GDP A'!AF213</f>
        <v>153.29443287021121</v>
      </c>
      <c r="I164" s="53">
        <f t="shared" si="16"/>
        <v>31</v>
      </c>
      <c r="J164" s="53">
        <f t="shared" ref="J164:J190" si="18">IF(MONTH($B164)=3,1,0)</f>
        <v>0</v>
      </c>
      <c r="K164" s="53">
        <f t="shared" ref="K164:K190" si="19">IF(MONTH($B164)=4,1,0)</f>
        <v>0</v>
      </c>
      <c r="L164" s="53">
        <f t="shared" ref="L164:L190" si="20">IF(MONTH($B164)=5,1,0)</f>
        <v>0</v>
      </c>
      <c r="M164" s="53">
        <f t="shared" ref="M164:M190" si="21">IF(MONTH($B164)=10,1,0)</f>
        <v>1</v>
      </c>
      <c r="N164" s="341">
        <v>130</v>
      </c>
      <c r="O164" s="389">
        <f t="shared" ref="O164:O189" si="22">$AB$17+MMULT(F164:N164,$AB$18:$AB$26)</f>
        <v>68965537.114997134</v>
      </c>
      <c r="P164" s="389">
        <f t="shared" ref="P164:P190" si="23">E164-O164</f>
        <v>5609213.714052856</v>
      </c>
      <c r="Q164" s="389"/>
    </row>
    <row r="165" spans="2:17" ht="14.4" x14ac:dyDescent="0.3">
      <c r="B165" s="353">
        <v>44136</v>
      </c>
      <c r="C165" s="322">
        <f t="shared" si="17"/>
        <v>11</v>
      </c>
      <c r="D165" s="322">
        <v>2020</v>
      </c>
      <c r="E165" s="343">
        <v>75524140.206439972</v>
      </c>
      <c r="F165" s="319">
        <v>334.79999999999995</v>
      </c>
      <c r="G165" s="319">
        <v>0</v>
      </c>
      <c r="H165" s="373">
        <f>'GDP A'!AF214</f>
        <v>152.53305137942624</v>
      </c>
      <c r="I165" s="53">
        <f t="shared" si="16"/>
        <v>30</v>
      </c>
      <c r="J165" s="53">
        <f t="shared" si="18"/>
        <v>0</v>
      </c>
      <c r="K165" s="53">
        <f t="shared" si="19"/>
        <v>0</v>
      </c>
      <c r="L165" s="53">
        <f t="shared" si="20"/>
        <v>0</v>
      </c>
      <c r="M165" s="53">
        <f t="shared" si="21"/>
        <v>0</v>
      </c>
      <c r="N165" s="341">
        <v>131</v>
      </c>
      <c r="O165" s="389">
        <f t="shared" si="22"/>
        <v>69141971.550623626</v>
      </c>
      <c r="P165" s="389">
        <f t="shared" si="23"/>
        <v>6382168.6558163464</v>
      </c>
      <c r="Q165" s="389"/>
    </row>
    <row r="166" spans="2:17" ht="14.4" x14ac:dyDescent="0.3">
      <c r="B166" s="353">
        <v>44166</v>
      </c>
      <c r="C166" s="322">
        <f t="shared" si="17"/>
        <v>12</v>
      </c>
      <c r="D166" s="322">
        <v>2020</v>
      </c>
      <c r="E166" s="343">
        <v>78942466.150570005</v>
      </c>
      <c r="F166" s="319">
        <v>567.29999999999995</v>
      </c>
      <c r="G166" s="319">
        <v>0</v>
      </c>
      <c r="H166" s="373">
        <f>'GDP A'!AF215</f>
        <v>151.77545151178077</v>
      </c>
      <c r="I166" s="53">
        <f t="shared" si="16"/>
        <v>31</v>
      </c>
      <c r="J166" s="53">
        <f t="shared" si="18"/>
        <v>0</v>
      </c>
      <c r="K166" s="53">
        <f t="shared" si="19"/>
        <v>0</v>
      </c>
      <c r="L166" s="53">
        <f t="shared" si="20"/>
        <v>0</v>
      </c>
      <c r="M166" s="53">
        <f t="shared" si="21"/>
        <v>0</v>
      </c>
      <c r="N166" s="341">
        <v>132</v>
      </c>
      <c r="O166" s="389">
        <f t="shared" si="22"/>
        <v>73987569.663921848</v>
      </c>
      <c r="P166" s="389">
        <f t="shared" si="23"/>
        <v>4954896.4866481572</v>
      </c>
      <c r="Q166" s="389"/>
    </row>
    <row r="167" spans="2:17" ht="14.4" x14ac:dyDescent="0.3">
      <c r="B167" s="353">
        <v>44197</v>
      </c>
      <c r="C167" s="322">
        <f t="shared" si="17"/>
        <v>1</v>
      </c>
      <c r="D167" s="322">
        <v>2021</v>
      </c>
      <c r="E167" s="343"/>
      <c r="F167" s="325">
        <f>'HDD&amp;CDD'!AG8</f>
        <v>709.9571428571428</v>
      </c>
      <c r="G167" s="325">
        <f>'HDD&amp;CDD'!AG28</f>
        <v>0</v>
      </c>
      <c r="H167" s="373">
        <f>'GDP A'!AF216</f>
        <v>152.5262111274333</v>
      </c>
      <c r="I167" s="53">
        <f t="shared" si="16"/>
        <v>31</v>
      </c>
      <c r="J167" s="53">
        <f t="shared" si="18"/>
        <v>0</v>
      </c>
      <c r="K167" s="53">
        <f t="shared" si="19"/>
        <v>0</v>
      </c>
      <c r="L167" s="53">
        <f t="shared" si="20"/>
        <v>0</v>
      </c>
      <c r="M167" s="53">
        <f t="shared" si="21"/>
        <v>0</v>
      </c>
      <c r="N167" s="341">
        <v>133</v>
      </c>
      <c r="O167" s="389">
        <f t="shared" si="22"/>
        <v>76235375.389097348</v>
      </c>
      <c r="P167" s="389">
        <f t="shared" si="23"/>
        <v>-76235375.389097348</v>
      </c>
      <c r="Q167" s="389"/>
    </row>
    <row r="168" spans="2:17" ht="14.4" x14ac:dyDescent="0.3">
      <c r="B168" s="353">
        <v>44228</v>
      </c>
      <c r="C168" s="322">
        <f t="shared" si="17"/>
        <v>2</v>
      </c>
      <c r="D168" s="322">
        <v>2021</v>
      </c>
      <c r="E168" s="343"/>
      <c r="F168" s="325">
        <f>'HDD&amp;CDD'!AG9</f>
        <v>632.24714285714276</v>
      </c>
      <c r="G168" s="325">
        <f>'HDD&amp;CDD'!AG29</f>
        <v>0</v>
      </c>
      <c r="H168" s="373">
        <f>'GDP A'!AF217</f>
        <v>153.28068438712299</v>
      </c>
      <c r="I168" s="53">
        <f t="shared" si="16"/>
        <v>28</v>
      </c>
      <c r="J168" s="53">
        <f t="shared" si="18"/>
        <v>0</v>
      </c>
      <c r="K168" s="53">
        <f t="shared" si="19"/>
        <v>0</v>
      </c>
      <c r="L168" s="53">
        <f t="shared" si="20"/>
        <v>0</v>
      </c>
      <c r="M168" s="53">
        <f t="shared" si="21"/>
        <v>0</v>
      </c>
      <c r="N168" s="341">
        <v>134</v>
      </c>
      <c r="O168" s="389">
        <f t="shared" si="22"/>
        <v>69033351.440985367</v>
      </c>
      <c r="P168" s="389">
        <f t="shared" si="23"/>
        <v>-69033351.440985367</v>
      </c>
      <c r="Q168" s="389"/>
    </row>
    <row r="169" spans="2:17" ht="14.4" x14ac:dyDescent="0.3">
      <c r="B169" s="353">
        <v>44256</v>
      </c>
      <c r="C169" s="322">
        <f t="shared" si="17"/>
        <v>3</v>
      </c>
      <c r="D169" s="322">
        <v>2021</v>
      </c>
      <c r="E169" s="343"/>
      <c r="F169" s="325">
        <f>'HDD&amp;CDD'!AG10</f>
        <v>548.30285714285731</v>
      </c>
      <c r="G169" s="325">
        <f>'HDD&amp;CDD'!AG30</f>
        <v>5.7142857142857169E-3</v>
      </c>
      <c r="H169" s="373">
        <f>'GDP A'!AF218</f>
        <v>154.03888966044744</v>
      </c>
      <c r="I169" s="53">
        <f t="shared" si="16"/>
        <v>31</v>
      </c>
      <c r="J169" s="53">
        <f t="shared" si="18"/>
        <v>1</v>
      </c>
      <c r="K169" s="53">
        <f t="shared" si="19"/>
        <v>0</v>
      </c>
      <c r="L169" s="53">
        <f t="shared" si="20"/>
        <v>0</v>
      </c>
      <c r="M169" s="53">
        <f t="shared" si="21"/>
        <v>0</v>
      </c>
      <c r="N169" s="341">
        <v>135</v>
      </c>
      <c r="O169" s="389">
        <f t="shared" si="22"/>
        <v>72675721.457316086</v>
      </c>
      <c r="P169" s="389">
        <f t="shared" si="23"/>
        <v>-72675721.457316086</v>
      </c>
      <c r="Q169" s="389"/>
    </row>
    <row r="170" spans="2:17" ht="14.4" x14ac:dyDescent="0.3">
      <c r="B170" s="353">
        <v>44287</v>
      </c>
      <c r="C170" s="322">
        <f t="shared" si="17"/>
        <v>4</v>
      </c>
      <c r="D170" s="322">
        <v>2021</v>
      </c>
      <c r="E170" s="343"/>
      <c r="F170" s="325">
        <f>'HDD&amp;CDD'!AG11</f>
        <v>302.96571428571434</v>
      </c>
      <c r="G170" s="325">
        <f>'HDD&amp;CDD'!AG31</f>
        <v>2.145714285714285</v>
      </c>
      <c r="H170" s="373">
        <f>'GDP A'!AF219</f>
        <v>154.80084540786976</v>
      </c>
      <c r="I170" s="53">
        <f t="shared" ref="I170:I190" si="24">DAY(EOMONTH(B170,0))</f>
        <v>30</v>
      </c>
      <c r="J170" s="53">
        <f t="shared" si="18"/>
        <v>0</v>
      </c>
      <c r="K170" s="53">
        <f t="shared" si="19"/>
        <v>1</v>
      </c>
      <c r="L170" s="53">
        <f t="shared" si="20"/>
        <v>0</v>
      </c>
      <c r="M170" s="53">
        <f t="shared" si="21"/>
        <v>0</v>
      </c>
      <c r="N170" s="341">
        <v>136</v>
      </c>
      <c r="O170" s="389">
        <f t="shared" si="22"/>
        <v>65211439.940860823</v>
      </c>
      <c r="P170" s="389">
        <f t="shared" si="23"/>
        <v>-65211439.940860823</v>
      </c>
      <c r="Q170" s="389"/>
    </row>
    <row r="171" spans="2:17" ht="14.4" x14ac:dyDescent="0.3">
      <c r="B171" s="353">
        <v>44317</v>
      </c>
      <c r="C171" s="322">
        <f t="shared" si="17"/>
        <v>5</v>
      </c>
      <c r="D171" s="322">
        <v>2021</v>
      </c>
      <c r="E171" s="343"/>
      <c r="F171" s="325">
        <f>'HDD&amp;CDD'!AG12</f>
        <v>159.72142857142859</v>
      </c>
      <c r="G171" s="325">
        <f>'HDD&amp;CDD'!AG32</f>
        <v>8.9185714285714237</v>
      </c>
      <c r="H171" s="373">
        <f>'GDP A'!AF220</f>
        <v>155.566570181168</v>
      </c>
      <c r="I171" s="53">
        <f t="shared" si="24"/>
        <v>31</v>
      </c>
      <c r="J171" s="53">
        <f t="shared" si="18"/>
        <v>0</v>
      </c>
      <c r="K171" s="53">
        <f t="shared" si="19"/>
        <v>0</v>
      </c>
      <c r="L171" s="53">
        <f t="shared" si="20"/>
        <v>1</v>
      </c>
      <c r="M171" s="53">
        <f t="shared" si="21"/>
        <v>0</v>
      </c>
      <c r="N171" s="341">
        <v>137</v>
      </c>
      <c r="O171" s="389">
        <f t="shared" si="22"/>
        <v>67446076.159706578</v>
      </c>
      <c r="P171" s="389">
        <f t="shared" si="23"/>
        <v>-67446076.159706578</v>
      </c>
      <c r="Q171" s="389"/>
    </row>
    <row r="172" spans="2:17" ht="14.4" x14ac:dyDescent="0.3">
      <c r="B172" s="353">
        <v>44348</v>
      </c>
      <c r="C172" s="322">
        <f t="shared" si="17"/>
        <v>6</v>
      </c>
      <c r="D172" s="322">
        <v>2021</v>
      </c>
      <c r="E172" s="343"/>
      <c r="F172" s="325">
        <f>'HDD&amp;CDD'!AG13</f>
        <v>31.881428571428572</v>
      </c>
      <c r="G172" s="325">
        <f>'HDD&amp;CDD'!AG33</f>
        <v>74.13000000000001</v>
      </c>
      <c r="H172" s="373">
        <f>'GDP A'!AF221</f>
        <v>156.33608262388691</v>
      </c>
      <c r="I172" s="53">
        <f t="shared" si="24"/>
        <v>30</v>
      </c>
      <c r="J172" s="53">
        <f t="shared" si="18"/>
        <v>0</v>
      </c>
      <c r="K172" s="53">
        <f t="shared" si="19"/>
        <v>0</v>
      </c>
      <c r="L172" s="53">
        <f t="shared" si="20"/>
        <v>0</v>
      </c>
      <c r="M172" s="53">
        <f t="shared" si="21"/>
        <v>0</v>
      </c>
      <c r="N172" s="341">
        <v>138</v>
      </c>
      <c r="O172" s="389">
        <f t="shared" si="22"/>
        <v>75018727.037737846</v>
      </c>
      <c r="P172" s="389">
        <f t="shared" si="23"/>
        <v>-75018727.037737846</v>
      </c>
      <c r="Q172" s="389"/>
    </row>
    <row r="173" spans="2:17" ht="14.4" x14ac:dyDescent="0.3">
      <c r="B173" s="353">
        <v>44378</v>
      </c>
      <c r="C173" s="322">
        <f t="shared" si="17"/>
        <v>7</v>
      </c>
      <c r="D173" s="322">
        <v>2021</v>
      </c>
      <c r="E173" s="343"/>
      <c r="F173" s="325">
        <f>'HDD&amp;CDD'!AG14</f>
        <v>3.9171428571428573</v>
      </c>
      <c r="G173" s="325">
        <f>'HDD&amp;CDD'!AG34</f>
        <v>122.69</v>
      </c>
      <c r="H173" s="373">
        <f>'GDP A'!AF222</f>
        <v>157.10940147179178</v>
      </c>
      <c r="I173" s="53">
        <f t="shared" si="24"/>
        <v>31</v>
      </c>
      <c r="J173" s="53">
        <f t="shared" si="18"/>
        <v>0</v>
      </c>
      <c r="K173" s="53">
        <f t="shared" si="19"/>
        <v>0</v>
      </c>
      <c r="L173" s="53">
        <f t="shared" si="20"/>
        <v>0</v>
      </c>
      <c r="M173" s="53">
        <f t="shared" si="21"/>
        <v>0</v>
      </c>
      <c r="N173" s="341">
        <v>139</v>
      </c>
      <c r="O173" s="389">
        <f t="shared" si="22"/>
        <v>83018629.589746192</v>
      </c>
      <c r="P173" s="389">
        <f t="shared" si="23"/>
        <v>-83018629.589746192</v>
      </c>
      <c r="Q173" s="389"/>
    </row>
    <row r="174" spans="2:17" ht="14.4" x14ac:dyDescent="0.3">
      <c r="B174" s="353">
        <v>44409</v>
      </c>
      <c r="C174" s="322">
        <f t="shared" si="17"/>
        <v>8</v>
      </c>
      <c r="D174" s="322">
        <v>2021</v>
      </c>
      <c r="E174" s="343"/>
      <c r="F174" s="325">
        <f>'HDD&amp;CDD'!AG15</f>
        <v>5.4957142857142856</v>
      </c>
      <c r="G174" s="325">
        <f>'HDD&amp;CDD'!AG35</f>
        <v>118.71428571428569</v>
      </c>
      <c r="H174" s="373">
        <f>'GDP A'!AF223</f>
        <v>157.88654555332465</v>
      </c>
      <c r="I174" s="53">
        <f t="shared" si="24"/>
        <v>31</v>
      </c>
      <c r="J174" s="53">
        <f t="shared" si="18"/>
        <v>0</v>
      </c>
      <c r="K174" s="53">
        <f t="shared" si="19"/>
        <v>0</v>
      </c>
      <c r="L174" s="53">
        <f t="shared" si="20"/>
        <v>0</v>
      </c>
      <c r="M174" s="53">
        <f t="shared" si="21"/>
        <v>0</v>
      </c>
      <c r="N174" s="341">
        <v>140</v>
      </c>
      <c r="O174" s="389">
        <f t="shared" si="22"/>
        <v>82804136.928414181</v>
      </c>
      <c r="P174" s="389">
        <f t="shared" si="23"/>
        <v>-82804136.928414181</v>
      </c>
      <c r="Q174" s="389"/>
    </row>
    <row r="175" spans="2:17" ht="14.4" x14ac:dyDescent="0.3">
      <c r="B175" s="353">
        <v>44440</v>
      </c>
      <c r="C175" s="322">
        <f t="shared" si="17"/>
        <v>9</v>
      </c>
      <c r="D175" s="322">
        <v>2021</v>
      </c>
      <c r="E175" s="343"/>
      <c r="F175" s="325">
        <f>'HDD&amp;CDD'!AG16</f>
        <v>61.315714285714307</v>
      </c>
      <c r="G175" s="325">
        <f>'HDD&amp;CDD'!AG36</f>
        <v>37.677142857142854</v>
      </c>
      <c r="H175" s="373">
        <f>'GDP A'!AF224</f>
        <v>158.66753379006278</v>
      </c>
      <c r="I175" s="53">
        <f t="shared" si="24"/>
        <v>30</v>
      </c>
      <c r="J175" s="53">
        <f t="shared" si="18"/>
        <v>0</v>
      </c>
      <c r="K175" s="53">
        <f t="shared" si="19"/>
        <v>0</v>
      </c>
      <c r="L175" s="53">
        <f t="shared" si="20"/>
        <v>0</v>
      </c>
      <c r="M175" s="53">
        <f t="shared" si="21"/>
        <v>0</v>
      </c>
      <c r="N175" s="341">
        <v>141</v>
      </c>
      <c r="O175" s="389">
        <f t="shared" si="22"/>
        <v>71681634.909054235</v>
      </c>
      <c r="P175" s="389">
        <f t="shared" si="23"/>
        <v>-71681634.909054235</v>
      </c>
      <c r="Q175" s="389"/>
    </row>
    <row r="176" spans="2:17" ht="14.4" x14ac:dyDescent="0.3">
      <c r="B176" s="353">
        <v>44470</v>
      </c>
      <c r="C176" s="322">
        <f t="shared" si="17"/>
        <v>10</v>
      </c>
      <c r="D176" s="322">
        <v>2021</v>
      </c>
      <c r="E176" s="343"/>
      <c r="F176" s="325">
        <f>'HDD&amp;CDD'!AG17</f>
        <v>248.0842857142857</v>
      </c>
      <c r="G176" s="325">
        <f>'HDD&amp;CDD'!AG37</f>
        <v>4.225714285714286</v>
      </c>
      <c r="H176" s="373">
        <f>'GDP A'!AF225</f>
        <v>159.45238519717927</v>
      </c>
      <c r="I176" s="53">
        <f t="shared" si="24"/>
        <v>31</v>
      </c>
      <c r="J176" s="53">
        <f t="shared" si="18"/>
        <v>0</v>
      </c>
      <c r="K176" s="53">
        <f t="shared" si="19"/>
        <v>0</v>
      </c>
      <c r="L176" s="53">
        <f t="shared" si="20"/>
        <v>0</v>
      </c>
      <c r="M176" s="53">
        <f t="shared" si="21"/>
        <v>1</v>
      </c>
      <c r="N176" s="341">
        <v>142</v>
      </c>
      <c r="O176" s="389">
        <f t="shared" si="22"/>
        <v>70607399.117885232</v>
      </c>
      <c r="P176" s="389">
        <f t="shared" si="23"/>
        <v>-70607399.117885232</v>
      </c>
      <c r="Q176" s="389"/>
    </row>
    <row r="177" spans="2:17" ht="14.4" x14ac:dyDescent="0.3">
      <c r="B177" s="353">
        <v>44501</v>
      </c>
      <c r="C177" s="322">
        <f t="shared" si="17"/>
        <v>11</v>
      </c>
      <c r="D177" s="322">
        <v>2021</v>
      </c>
      <c r="E177" s="343"/>
      <c r="F177" s="325">
        <f>'HDD&amp;CDD'!AG18</f>
        <v>385.99142857142857</v>
      </c>
      <c r="G177" s="325">
        <f>'HDD&amp;CDD'!AG38</f>
        <v>0</v>
      </c>
      <c r="H177" s="373">
        <f>'GDP A'!AF226</f>
        <v>160.24111888390607</v>
      </c>
      <c r="I177" s="53">
        <f t="shared" si="24"/>
        <v>30</v>
      </c>
      <c r="J177" s="53">
        <f t="shared" si="18"/>
        <v>0</v>
      </c>
      <c r="K177" s="53">
        <f t="shared" si="19"/>
        <v>0</v>
      </c>
      <c r="L177" s="53">
        <f t="shared" si="20"/>
        <v>0</v>
      </c>
      <c r="M177" s="53">
        <f t="shared" si="21"/>
        <v>0</v>
      </c>
      <c r="N177" s="341">
        <v>143</v>
      </c>
      <c r="O177" s="389">
        <f t="shared" si="22"/>
        <v>72096578.932124659</v>
      </c>
      <c r="P177" s="389">
        <f t="shared" si="23"/>
        <v>-72096578.932124659</v>
      </c>
      <c r="Q177" s="389"/>
    </row>
    <row r="178" spans="2:17" ht="14.4" x14ac:dyDescent="0.3">
      <c r="B178" s="353">
        <v>44531</v>
      </c>
      <c r="C178" s="322">
        <f t="shared" si="17"/>
        <v>12</v>
      </c>
      <c r="D178" s="322">
        <v>2021</v>
      </c>
      <c r="E178" s="343"/>
      <c r="F178" s="325">
        <f>'HDD&amp;CDD'!AG19</f>
        <v>629.05999999999995</v>
      </c>
      <c r="G178" s="325">
        <f>'HDD&amp;CDD'!AG39</f>
        <v>0</v>
      </c>
      <c r="H178" s="373">
        <f>'GDP A'!AF227</f>
        <v>161.03375405399939</v>
      </c>
      <c r="I178" s="53">
        <f t="shared" si="24"/>
        <v>31</v>
      </c>
      <c r="J178" s="53">
        <f t="shared" si="18"/>
        <v>0</v>
      </c>
      <c r="K178" s="53">
        <f t="shared" si="19"/>
        <v>0</v>
      </c>
      <c r="L178" s="53">
        <f t="shared" si="20"/>
        <v>0</v>
      </c>
      <c r="M178" s="53">
        <f t="shared" si="21"/>
        <v>0</v>
      </c>
      <c r="N178" s="341">
        <v>144</v>
      </c>
      <c r="O178" s="389">
        <f t="shared" si="22"/>
        <v>77895615.495021984</v>
      </c>
      <c r="P178" s="389">
        <f t="shared" si="23"/>
        <v>-77895615.495021984</v>
      </c>
      <c r="Q178" s="389"/>
    </row>
    <row r="179" spans="2:17" ht="14.4" x14ac:dyDescent="0.3">
      <c r="B179" s="353">
        <v>44562</v>
      </c>
      <c r="C179" s="322">
        <f t="shared" si="17"/>
        <v>1</v>
      </c>
      <c r="D179" s="322">
        <v>2022</v>
      </c>
      <c r="E179" s="343"/>
      <c r="F179" s="325">
        <f>'HDD&amp;CDD'!AG8</f>
        <v>709.9571428571428</v>
      </c>
      <c r="G179" s="325">
        <f>'HDD&amp;CDD'!AG28</f>
        <v>0</v>
      </c>
      <c r="H179" s="373">
        <f>'GDP A'!AF228</f>
        <v>161.58680504392095</v>
      </c>
      <c r="I179" s="53">
        <f t="shared" si="24"/>
        <v>31</v>
      </c>
      <c r="J179" s="53">
        <f t="shared" si="18"/>
        <v>0</v>
      </c>
      <c r="K179" s="53">
        <f t="shared" si="19"/>
        <v>0</v>
      </c>
      <c r="L179" s="53">
        <f t="shared" si="20"/>
        <v>0</v>
      </c>
      <c r="M179" s="53">
        <f t="shared" si="21"/>
        <v>0</v>
      </c>
      <c r="N179" s="341">
        <v>145</v>
      </c>
      <c r="O179" s="389">
        <f t="shared" si="22"/>
        <v>79172641.23634471</v>
      </c>
      <c r="P179" s="389">
        <f t="shared" si="23"/>
        <v>-79172641.23634471</v>
      </c>
      <c r="Q179" s="389"/>
    </row>
    <row r="180" spans="2:17" ht="14.4" x14ac:dyDescent="0.3">
      <c r="B180" s="353">
        <v>44593</v>
      </c>
      <c r="C180" s="322">
        <f t="shared" si="17"/>
        <v>2</v>
      </c>
      <c r="D180" s="322">
        <v>2022</v>
      </c>
      <c r="E180" s="343"/>
      <c r="F180" s="325">
        <f>'HDD&amp;CDD'!AG9</f>
        <v>632.24714285714276</v>
      </c>
      <c r="G180" s="325">
        <f>'HDD&amp;CDD'!AG29</f>
        <v>0</v>
      </c>
      <c r="H180" s="373">
        <f>'GDP A'!AF229</f>
        <v>162.14175542070862</v>
      </c>
      <c r="I180" s="53">
        <f t="shared" si="24"/>
        <v>28</v>
      </c>
      <c r="J180" s="53">
        <f t="shared" si="18"/>
        <v>0</v>
      </c>
      <c r="K180" s="53">
        <f t="shared" si="19"/>
        <v>0</v>
      </c>
      <c r="L180" s="53">
        <f t="shared" si="20"/>
        <v>0</v>
      </c>
      <c r="M180" s="53">
        <f t="shared" si="21"/>
        <v>0</v>
      </c>
      <c r="N180" s="341">
        <v>146</v>
      </c>
      <c r="O180" s="389">
        <f t="shared" si="22"/>
        <v>71867025.105434313</v>
      </c>
      <c r="P180" s="389">
        <f t="shared" si="23"/>
        <v>-71867025.105434313</v>
      </c>
      <c r="Q180" s="389"/>
    </row>
    <row r="181" spans="2:17" ht="14.4" x14ac:dyDescent="0.3">
      <c r="B181" s="353">
        <v>44621</v>
      </c>
      <c r="C181" s="322">
        <f t="shared" si="17"/>
        <v>3</v>
      </c>
      <c r="D181" s="322">
        <v>2022</v>
      </c>
      <c r="E181" s="343"/>
      <c r="F181" s="325">
        <f>'HDD&amp;CDD'!AG10</f>
        <v>548.30285714285731</v>
      </c>
      <c r="G181" s="325">
        <f>'HDD&amp;CDD'!AG30</f>
        <v>5.7142857142857169E-3</v>
      </c>
      <c r="H181" s="373">
        <f>'GDP A'!AF230</f>
        <v>162.69861170757736</v>
      </c>
      <c r="I181" s="53">
        <f t="shared" si="24"/>
        <v>31</v>
      </c>
      <c r="J181" s="53">
        <f t="shared" si="18"/>
        <v>1</v>
      </c>
      <c r="K181" s="53">
        <f t="shared" si="19"/>
        <v>0</v>
      </c>
      <c r="L181" s="53">
        <f t="shared" si="20"/>
        <v>0</v>
      </c>
      <c r="M181" s="53">
        <f t="shared" si="21"/>
        <v>0</v>
      </c>
      <c r="N181" s="341">
        <v>147</v>
      </c>
      <c r="O181" s="389">
        <f t="shared" si="22"/>
        <v>75404854.82689862</v>
      </c>
      <c r="P181" s="389">
        <f t="shared" si="23"/>
        <v>-75404854.82689862</v>
      </c>
      <c r="Q181" s="389"/>
    </row>
    <row r="182" spans="2:17" ht="14.4" x14ac:dyDescent="0.3">
      <c r="B182" s="353">
        <v>44652</v>
      </c>
      <c r="C182" s="322">
        <f t="shared" si="17"/>
        <v>4</v>
      </c>
      <c r="D182" s="322">
        <v>2022</v>
      </c>
      <c r="E182" s="343"/>
      <c r="F182" s="325">
        <f>'HDD&amp;CDD'!AG11</f>
        <v>302.96571428571434</v>
      </c>
      <c r="G182" s="325">
        <f>'HDD&amp;CDD'!AG31</f>
        <v>2.145714285714285</v>
      </c>
      <c r="H182" s="373">
        <f>'GDP A'!AF231</f>
        <v>163.25738045014523</v>
      </c>
      <c r="I182" s="53">
        <f t="shared" si="24"/>
        <v>30</v>
      </c>
      <c r="J182" s="53">
        <f t="shared" si="18"/>
        <v>0</v>
      </c>
      <c r="K182" s="53">
        <f t="shared" si="19"/>
        <v>1</v>
      </c>
      <c r="L182" s="53">
        <f t="shared" si="20"/>
        <v>0</v>
      </c>
      <c r="M182" s="53">
        <f t="shared" si="21"/>
        <v>0</v>
      </c>
      <c r="N182" s="341">
        <v>148</v>
      </c>
      <c r="O182" s="389">
        <f t="shared" si="22"/>
        <v>67835078.717327073</v>
      </c>
      <c r="P182" s="389">
        <f t="shared" si="23"/>
        <v>-67835078.717327073</v>
      </c>
      <c r="Q182" s="389"/>
    </row>
    <row r="183" spans="2:17" ht="14.4" x14ac:dyDescent="0.3">
      <c r="B183" s="353">
        <v>44682</v>
      </c>
      <c r="C183" s="322">
        <f t="shared" si="17"/>
        <v>5</v>
      </c>
      <c r="D183" s="322">
        <v>2022</v>
      </c>
      <c r="E183" s="343"/>
      <c r="F183" s="325">
        <f>'HDD&amp;CDD'!AG12</f>
        <v>159.72142857142859</v>
      </c>
      <c r="G183" s="325">
        <f>'HDD&amp;CDD'!AG32</f>
        <v>8.9185714285714237</v>
      </c>
      <c r="H183" s="373">
        <f>'GDP A'!AF232</f>
        <v>163.81806821651051</v>
      </c>
      <c r="I183" s="53">
        <f t="shared" si="24"/>
        <v>31</v>
      </c>
      <c r="J183" s="53">
        <f t="shared" si="18"/>
        <v>0</v>
      </c>
      <c r="K183" s="53">
        <f t="shared" si="19"/>
        <v>0</v>
      </c>
      <c r="L183" s="53">
        <f t="shared" si="20"/>
        <v>1</v>
      </c>
      <c r="M183" s="53">
        <f t="shared" si="21"/>
        <v>0</v>
      </c>
      <c r="N183" s="341">
        <v>149</v>
      </c>
      <c r="O183" s="389">
        <f t="shared" si="22"/>
        <v>69963259.82288608</v>
      </c>
      <c r="P183" s="389">
        <f t="shared" si="23"/>
        <v>-69963259.82288608</v>
      </c>
      <c r="Q183" s="389"/>
    </row>
    <row r="184" spans="2:17" ht="14.4" x14ac:dyDescent="0.3">
      <c r="B184" s="353">
        <v>44713</v>
      </c>
      <c r="C184" s="322">
        <f t="shared" si="17"/>
        <v>6</v>
      </c>
      <c r="D184" s="322">
        <v>2022</v>
      </c>
      <c r="E184" s="343"/>
      <c r="F184" s="325">
        <f>'HDD&amp;CDD'!AG13</f>
        <v>31.881428571428572</v>
      </c>
      <c r="G184" s="325">
        <f>'HDD&amp;CDD'!AG33</f>
        <v>74.13000000000001</v>
      </c>
      <c r="H184" s="373">
        <f>'GDP A'!AF233</f>
        <v>164.38068159732879</v>
      </c>
      <c r="I184" s="53">
        <f t="shared" si="24"/>
        <v>30</v>
      </c>
      <c r="J184" s="53">
        <f t="shared" si="18"/>
        <v>0</v>
      </c>
      <c r="K184" s="53">
        <f t="shared" si="19"/>
        <v>0</v>
      </c>
      <c r="L184" s="53">
        <f t="shared" si="20"/>
        <v>0</v>
      </c>
      <c r="M184" s="53">
        <f t="shared" si="21"/>
        <v>0</v>
      </c>
      <c r="N184" s="341">
        <v>150</v>
      </c>
      <c r="O184" s="389">
        <f t="shared" si="22"/>
        <v>77428488.80960606</v>
      </c>
      <c r="P184" s="389">
        <f t="shared" si="23"/>
        <v>-77428488.80960606</v>
      </c>
      <c r="Q184" s="389"/>
    </row>
    <row r="185" spans="2:17" ht="14.4" x14ac:dyDescent="0.3">
      <c r="B185" s="353">
        <v>44743</v>
      </c>
      <c r="C185" s="322">
        <f t="shared" si="17"/>
        <v>7</v>
      </c>
      <c r="D185" s="322">
        <v>2022</v>
      </c>
      <c r="E185" s="343"/>
      <c r="F185" s="325">
        <f>'HDD&amp;CDD'!AG14</f>
        <v>3.9171428571428573</v>
      </c>
      <c r="G185" s="325">
        <f>'HDD&amp;CDD'!AG34</f>
        <v>122.69</v>
      </c>
      <c r="H185" s="373">
        <f>'GDP A'!AF234</f>
        <v>164.94522720589043</v>
      </c>
      <c r="I185" s="53">
        <f t="shared" si="24"/>
        <v>31</v>
      </c>
      <c r="J185" s="53">
        <f t="shared" si="18"/>
        <v>0</v>
      </c>
      <c r="K185" s="53">
        <f t="shared" si="19"/>
        <v>0</v>
      </c>
      <c r="L185" s="53">
        <f t="shared" si="20"/>
        <v>0</v>
      </c>
      <c r="M185" s="53">
        <f t="shared" si="21"/>
        <v>0</v>
      </c>
      <c r="N185" s="341">
        <v>151</v>
      </c>
      <c r="O185" s="389">
        <f t="shared" si="22"/>
        <v>85319996.398295507</v>
      </c>
      <c r="P185" s="389">
        <f t="shared" si="23"/>
        <v>-85319996.398295507</v>
      </c>
      <c r="Q185" s="389"/>
    </row>
    <row r="186" spans="2:17" ht="14.4" x14ac:dyDescent="0.3">
      <c r="B186" s="353">
        <v>44774</v>
      </c>
      <c r="C186" s="322">
        <f t="shared" si="17"/>
        <v>8</v>
      </c>
      <c r="D186" s="322">
        <v>2022</v>
      </c>
      <c r="E186" s="343"/>
      <c r="F186" s="325">
        <f>'HDD&amp;CDD'!AG15</f>
        <v>5.4957142857142856</v>
      </c>
      <c r="G186" s="325">
        <f>'HDD&amp;CDD'!AG35</f>
        <v>118.71428571428569</v>
      </c>
      <c r="H186" s="373">
        <f>'GDP A'!AF235</f>
        <v>165.51171167819842</v>
      </c>
      <c r="I186" s="53">
        <f t="shared" si="24"/>
        <v>31</v>
      </c>
      <c r="J186" s="53">
        <f t="shared" si="18"/>
        <v>0</v>
      </c>
      <c r="K186" s="53">
        <f t="shared" si="19"/>
        <v>0</v>
      </c>
      <c r="L186" s="53">
        <f t="shared" si="20"/>
        <v>0</v>
      </c>
      <c r="M186" s="53">
        <f t="shared" si="21"/>
        <v>0</v>
      </c>
      <c r="N186" s="341">
        <v>152</v>
      </c>
      <c r="O186" s="389">
        <f t="shared" si="22"/>
        <v>84996129.371328577</v>
      </c>
      <c r="P186" s="389">
        <f t="shared" si="23"/>
        <v>-84996129.371328577</v>
      </c>
      <c r="Q186" s="389"/>
    </row>
    <row r="187" spans="2:17" ht="14.4" x14ac:dyDescent="0.3">
      <c r="B187" s="353">
        <v>44805</v>
      </c>
      <c r="C187" s="322">
        <f t="shared" si="17"/>
        <v>9</v>
      </c>
      <c r="D187" s="322">
        <v>2022</v>
      </c>
      <c r="E187" s="343"/>
      <c r="F187" s="325">
        <f>'HDD&amp;CDD'!AG16</f>
        <v>61.315714285714307</v>
      </c>
      <c r="G187" s="325">
        <f>'HDD&amp;CDD'!AG36</f>
        <v>37.677142857142854</v>
      </c>
      <c r="H187" s="373">
        <f>'GDP A'!AF236</f>
        <v>166.08014167304623</v>
      </c>
      <c r="I187" s="53">
        <f t="shared" si="24"/>
        <v>30</v>
      </c>
      <c r="J187" s="53">
        <f t="shared" si="18"/>
        <v>0</v>
      </c>
      <c r="K187" s="53">
        <f t="shared" si="19"/>
        <v>0</v>
      </c>
      <c r="L187" s="53">
        <f t="shared" si="20"/>
        <v>0</v>
      </c>
      <c r="M187" s="53">
        <f t="shared" si="21"/>
        <v>0</v>
      </c>
      <c r="N187" s="341">
        <v>153</v>
      </c>
      <c r="O187" s="389">
        <f t="shared" si="22"/>
        <v>73763267.217186421</v>
      </c>
      <c r="P187" s="389">
        <f t="shared" si="23"/>
        <v>-73763267.217186421</v>
      </c>
      <c r="Q187" s="389"/>
    </row>
    <row r="188" spans="2:17" ht="14.4" x14ac:dyDescent="0.3">
      <c r="B188" s="353">
        <v>44835</v>
      </c>
      <c r="C188" s="322">
        <f t="shared" si="17"/>
        <v>10</v>
      </c>
      <c r="D188" s="322">
        <v>2022</v>
      </c>
      <c r="E188" s="343"/>
      <c r="F188" s="325">
        <f>'HDD&amp;CDD'!AG17</f>
        <v>248.0842857142857</v>
      </c>
      <c r="G188" s="325">
        <f>'HDD&amp;CDD'!AG37</f>
        <v>4.225714285714286</v>
      </c>
      <c r="H188" s="373">
        <f>'GDP A'!AF237</f>
        <v>166.65052387209619</v>
      </c>
      <c r="I188" s="53">
        <f t="shared" si="24"/>
        <v>31</v>
      </c>
      <c r="J188" s="53">
        <f t="shared" si="18"/>
        <v>0</v>
      </c>
      <c r="K188" s="53">
        <f t="shared" si="19"/>
        <v>0</v>
      </c>
      <c r="L188" s="53">
        <f t="shared" si="20"/>
        <v>0</v>
      </c>
      <c r="M188" s="53">
        <f t="shared" si="21"/>
        <v>1</v>
      </c>
      <c r="N188" s="341">
        <v>154</v>
      </c>
      <c r="O188" s="389">
        <f t="shared" si="22"/>
        <v>72577679.118535176</v>
      </c>
      <c r="P188" s="389">
        <f t="shared" si="23"/>
        <v>-72577679.118535176</v>
      </c>
      <c r="Q188" s="389"/>
    </row>
    <row r="189" spans="2:17" ht="14.4" x14ac:dyDescent="0.3">
      <c r="B189" s="353">
        <v>44866</v>
      </c>
      <c r="C189" s="322">
        <f t="shared" si="17"/>
        <v>11</v>
      </c>
      <c r="D189" s="322">
        <v>2022</v>
      </c>
      <c r="E189" s="343"/>
      <c r="F189" s="325">
        <f>'HDD&amp;CDD'!AG18</f>
        <v>385.99142857142857</v>
      </c>
      <c r="G189" s="325">
        <f>'HDD&amp;CDD'!AG38</f>
        <v>0</v>
      </c>
      <c r="H189" s="373">
        <f>'GDP A'!AF238</f>
        <v>167.22286497995796</v>
      </c>
      <c r="I189" s="53">
        <f t="shared" si="24"/>
        <v>30</v>
      </c>
      <c r="J189" s="53">
        <f t="shared" si="18"/>
        <v>0</v>
      </c>
      <c r="K189" s="53">
        <f t="shared" si="19"/>
        <v>0</v>
      </c>
      <c r="L189" s="53">
        <f t="shared" si="20"/>
        <v>0</v>
      </c>
      <c r="M189" s="53">
        <f t="shared" si="21"/>
        <v>0</v>
      </c>
      <c r="N189" s="341">
        <v>155</v>
      </c>
      <c r="O189" s="389">
        <f t="shared" si="22"/>
        <v>73954508.012118548</v>
      </c>
      <c r="P189" s="389">
        <f t="shared" si="23"/>
        <v>-73954508.012118548</v>
      </c>
      <c r="Q189" s="389"/>
    </row>
    <row r="190" spans="2:17" ht="14.4" x14ac:dyDescent="0.3">
      <c r="B190" s="353">
        <v>44896</v>
      </c>
      <c r="C190" s="322">
        <f t="shared" si="17"/>
        <v>12</v>
      </c>
      <c r="D190" s="322">
        <v>2022</v>
      </c>
      <c r="E190" s="343"/>
      <c r="F190" s="325">
        <f>'HDD&amp;CDD'!AG19</f>
        <v>629.05999999999995</v>
      </c>
      <c r="G190" s="325">
        <f>'HDD&amp;CDD'!AG39</f>
        <v>0</v>
      </c>
      <c r="H190" s="373">
        <f>'GDP A'!AF239</f>
        <v>167.79717172426737</v>
      </c>
      <c r="I190" s="53">
        <f t="shared" si="24"/>
        <v>31</v>
      </c>
      <c r="J190" s="53">
        <f t="shared" si="18"/>
        <v>0</v>
      </c>
      <c r="K190" s="53">
        <f t="shared" si="19"/>
        <v>0</v>
      </c>
      <c r="L190" s="53">
        <f t="shared" si="20"/>
        <v>0</v>
      </c>
      <c r="M190" s="53">
        <f t="shared" si="21"/>
        <v>0</v>
      </c>
      <c r="N190" s="341">
        <v>156</v>
      </c>
      <c r="O190" s="389">
        <f>$AB$17+MMULT(F190:N190,$AB$18:$AB$26)</f>
        <v>79640188.563590392</v>
      </c>
      <c r="P190" s="389">
        <f t="shared" si="23"/>
        <v>-79640188.563590392</v>
      </c>
      <c r="Q190" s="389">
        <f>'Purch. Power Model '!O190</f>
        <v>79078631.179987177</v>
      </c>
    </row>
    <row r="191" spans="2:17" x14ac:dyDescent="0.25">
      <c r="B191" s="342"/>
      <c r="C191" s="342"/>
      <c r="D191" s="323"/>
      <c r="Q191" s="196"/>
    </row>
    <row r="192" spans="2:17" ht="14.4" x14ac:dyDescent="0.3">
      <c r="B192" s="322">
        <v>2010</v>
      </c>
      <c r="E192" s="343">
        <f>SUMIF($D$35:$D$190,"="&amp;B192,$E$35:$E$190)</f>
        <v>950759112.65007687</v>
      </c>
      <c r="P192" s="343">
        <f>SUMIF($D$35:$D$190,"="&amp;$B192,$O$35:$O$190)</f>
        <v>960319810.41915989</v>
      </c>
      <c r="Q192" s="343">
        <f>B192</f>
        <v>2010</v>
      </c>
    </row>
    <row r="193" spans="2:17" ht="14.4" x14ac:dyDescent="0.3">
      <c r="B193" s="322">
        <v>2011</v>
      </c>
      <c r="E193" s="343">
        <f>SUMIF($D$35:$D$190,"="&amp;B193,$E$35:$E$190)</f>
        <v>944902732.12384617</v>
      </c>
      <c r="P193" s="343">
        <f t="shared" ref="P193:P204" si="25">SUMIF($D$35:$D$190,"="&amp;$B193,$O$35:$O$190)</f>
        <v>958844382.30784512</v>
      </c>
      <c r="Q193" s="343">
        <f t="shared" ref="Q193:Q204" si="26">B193</f>
        <v>2011</v>
      </c>
    </row>
    <row r="194" spans="2:17" ht="14.4" x14ac:dyDescent="0.3">
      <c r="B194" s="322">
        <v>2012</v>
      </c>
      <c r="E194" s="343">
        <f t="shared" ref="E194:E204" si="27">SUMIF($D$35:$D$190,"="&amp;B194,$E$35:$E$190)</f>
        <v>964379230.70517492</v>
      </c>
      <c r="P194" s="343">
        <f t="shared" si="25"/>
        <v>950666119.44824326</v>
      </c>
      <c r="Q194" s="343">
        <f t="shared" si="26"/>
        <v>2012</v>
      </c>
    </row>
    <row r="195" spans="2:17" ht="14.4" x14ac:dyDescent="0.3">
      <c r="B195" s="322">
        <v>2013</v>
      </c>
      <c r="E195" s="343">
        <f t="shared" si="27"/>
        <v>961335479.00000012</v>
      </c>
      <c r="P195" s="343">
        <f t="shared" si="25"/>
        <v>927029805.31403124</v>
      </c>
      <c r="Q195" s="343">
        <f t="shared" si="26"/>
        <v>2013</v>
      </c>
    </row>
    <row r="196" spans="2:17" ht="14.4" x14ac:dyDescent="0.3">
      <c r="B196" s="322">
        <v>2014</v>
      </c>
      <c r="E196" s="343">
        <f t="shared" si="27"/>
        <v>913546785.3566668</v>
      </c>
      <c r="P196" s="343">
        <f t="shared" si="25"/>
        <v>918015075.310835</v>
      </c>
      <c r="Q196" s="343">
        <f t="shared" si="26"/>
        <v>2014</v>
      </c>
    </row>
    <row r="197" spans="2:17" ht="14.4" x14ac:dyDescent="0.3">
      <c r="B197" s="322">
        <v>2015</v>
      </c>
      <c r="E197" s="343">
        <f t="shared" si="27"/>
        <v>920489866.98307681</v>
      </c>
      <c r="P197" s="343">
        <f t="shared" si="25"/>
        <v>924465660.20835423</v>
      </c>
      <c r="Q197" s="343">
        <f t="shared" si="26"/>
        <v>2015</v>
      </c>
    </row>
    <row r="198" spans="2:17" ht="14.4" x14ac:dyDescent="0.3">
      <c r="B198" s="322">
        <v>2016</v>
      </c>
      <c r="E198" s="343">
        <f t="shared" si="27"/>
        <v>928717584.78461564</v>
      </c>
      <c r="P198" s="343">
        <f t="shared" si="25"/>
        <v>950199934.43693376</v>
      </c>
      <c r="Q198" s="343">
        <f t="shared" si="26"/>
        <v>2016</v>
      </c>
    </row>
    <row r="199" spans="2:17" ht="14.4" x14ac:dyDescent="0.3">
      <c r="B199" s="322">
        <v>2017</v>
      </c>
      <c r="E199" s="343">
        <f t="shared" si="27"/>
        <v>914942349.02142859</v>
      </c>
      <c r="F199" s="368"/>
      <c r="P199" s="343">
        <f t="shared" si="25"/>
        <v>927473628.12682843</v>
      </c>
      <c r="Q199" s="343">
        <f t="shared" si="26"/>
        <v>2017</v>
      </c>
    </row>
    <row r="200" spans="2:17" ht="14.4" x14ac:dyDescent="0.3">
      <c r="B200" s="322">
        <v>2018</v>
      </c>
      <c r="E200" s="343">
        <f>SUMIF($D$35:$D$190,"="&amp;B200,$E$35:$E$190)</f>
        <v>965883912.18000007</v>
      </c>
      <c r="F200" s="343"/>
      <c r="P200" s="343">
        <f t="shared" si="25"/>
        <v>962401471.13637781</v>
      </c>
      <c r="Q200" s="343">
        <f t="shared" si="26"/>
        <v>2018</v>
      </c>
    </row>
    <row r="201" spans="2:17" ht="14.4" x14ac:dyDescent="0.3">
      <c r="B201" s="322">
        <v>2019</v>
      </c>
      <c r="E201" s="343">
        <f t="shared" si="27"/>
        <v>959330220.76954007</v>
      </c>
      <c r="F201" s="343"/>
      <c r="P201" s="343">
        <f t="shared" si="25"/>
        <v>944871386.86581624</v>
      </c>
      <c r="Q201" s="343">
        <f t="shared" si="26"/>
        <v>2019</v>
      </c>
    </row>
    <row r="202" spans="2:17" ht="14.4" x14ac:dyDescent="0.3">
      <c r="B202" s="322">
        <v>2020</v>
      </c>
      <c r="E202" s="343">
        <f t="shared" si="27"/>
        <v>961031702.85464001</v>
      </c>
      <c r="F202" s="343"/>
      <c r="P202" s="343">
        <f t="shared" si="25"/>
        <v>915578622.38371658</v>
      </c>
      <c r="Q202" s="343">
        <f t="shared" si="26"/>
        <v>2020</v>
      </c>
    </row>
    <row r="203" spans="2:17" ht="14.4" x14ac:dyDescent="0.3">
      <c r="B203" s="360">
        <v>2021</v>
      </c>
      <c r="C203" s="360"/>
      <c r="D203" s="362"/>
      <c r="E203" s="371">
        <f t="shared" si="27"/>
        <v>0</v>
      </c>
      <c r="F203" s="360"/>
      <c r="G203" s="360"/>
      <c r="H203" s="372"/>
      <c r="I203" s="360"/>
      <c r="J203" s="360"/>
      <c r="K203" s="360"/>
      <c r="L203" s="361"/>
      <c r="M203" s="360"/>
      <c r="N203" s="360"/>
      <c r="O203" s="361"/>
      <c r="P203" s="343">
        <f t="shared" si="25"/>
        <v>883724686.39795053</v>
      </c>
      <c r="Q203" s="343">
        <f t="shared" si="26"/>
        <v>2021</v>
      </c>
    </row>
    <row r="204" spans="2:17" ht="14.4" x14ac:dyDescent="0.3">
      <c r="B204" s="322">
        <v>2022</v>
      </c>
      <c r="E204" s="343">
        <f t="shared" si="27"/>
        <v>0</v>
      </c>
      <c r="P204" s="343">
        <f t="shared" si="25"/>
        <v>911923117.19955158</v>
      </c>
      <c r="Q204" s="343">
        <f t="shared" si="26"/>
        <v>2022</v>
      </c>
    </row>
    <row r="205" spans="2:17" x14ac:dyDescent="0.25">
      <c r="P205" s="336"/>
      <c r="Q205" s="313"/>
    </row>
    <row r="206" spans="2:17" x14ac:dyDescent="0.25">
      <c r="P206" s="336"/>
      <c r="Q206" s="313"/>
    </row>
    <row r="207" spans="2:17" x14ac:dyDescent="0.25">
      <c r="P207" s="336"/>
      <c r="Q207" s="313"/>
    </row>
    <row r="208" spans="2:17" x14ac:dyDescent="0.25">
      <c r="P208" s="336"/>
      <c r="Q208" s="313"/>
    </row>
    <row r="209" spans="2:17" x14ac:dyDescent="0.25">
      <c r="K209" s="342"/>
      <c r="P209" s="336"/>
      <c r="Q209" s="313"/>
    </row>
    <row r="210" spans="2:17" x14ac:dyDescent="0.25">
      <c r="K210" s="366"/>
      <c r="Q210" s="313"/>
    </row>
    <row r="211" spans="2:17" x14ac:dyDescent="0.25">
      <c r="K211" s="338"/>
      <c r="L211" s="339"/>
      <c r="M211" s="338"/>
      <c r="N211" s="338"/>
      <c r="O211" s="339"/>
      <c r="P211" s="340"/>
      <c r="Q211" s="313"/>
    </row>
    <row r="212" spans="2:17" x14ac:dyDescent="0.25">
      <c r="B212" s="336"/>
      <c r="C212" s="336"/>
      <c r="D212" s="336"/>
      <c r="E212" s="336"/>
      <c r="K212" s="338"/>
      <c r="L212" s="339"/>
      <c r="M212" s="338"/>
      <c r="N212" s="338"/>
      <c r="O212" s="339"/>
      <c r="Q212" s="313"/>
    </row>
    <row r="213" spans="2:17" x14ac:dyDescent="0.25">
      <c r="B213" s="336"/>
      <c r="C213" s="336"/>
      <c r="D213" s="336"/>
      <c r="E213" s="336"/>
      <c r="K213" s="338"/>
      <c r="L213" s="339"/>
      <c r="M213" s="338"/>
      <c r="N213" s="338"/>
      <c r="O213" s="339"/>
      <c r="P213" s="336"/>
    </row>
    <row r="214" spans="2:17" x14ac:dyDescent="0.25">
      <c r="K214" s="338"/>
      <c r="L214" s="339"/>
      <c r="M214" s="338"/>
      <c r="N214" s="338"/>
      <c r="O214" s="339"/>
      <c r="P214" s="336"/>
    </row>
    <row r="215" spans="2:17" x14ac:dyDescent="0.25">
      <c r="Q215" s="335"/>
    </row>
    <row r="216" spans="2:17" x14ac:dyDescent="0.25">
      <c r="Q216" s="336"/>
    </row>
    <row r="217" spans="2:17" x14ac:dyDescent="0.25">
      <c r="Q217" s="336"/>
    </row>
    <row r="218" spans="2:17" x14ac:dyDescent="0.25">
      <c r="F218" s="333"/>
      <c r="G218" s="333"/>
      <c r="I218" s="333"/>
      <c r="J218" s="333"/>
      <c r="K218" s="333"/>
      <c r="M218" s="333"/>
      <c r="N218" s="333"/>
      <c r="Q218" s="336"/>
    </row>
  </sheetData>
  <pageMargins left="0.38" right="0.75" top="0.73" bottom="0.74" header="0.5" footer="0.5"/>
  <pageSetup scale="17" orientation="landscape"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CDM Worksheet--simple ex.</vt:lpstr>
      <vt:lpstr>Summary</vt:lpstr>
      <vt:lpstr>Embedded Distributor Forecast</vt:lpstr>
      <vt:lpstr>Rate Class Energy Model</vt:lpstr>
      <vt:lpstr>Rate Class Customer Model</vt:lpstr>
      <vt:lpstr>Rate Class Load Model</vt:lpstr>
      <vt:lpstr>Purch. Power Model </vt:lpstr>
      <vt:lpstr>HDD&amp;CDD</vt:lpstr>
      <vt:lpstr>Purch. Power Model (20yr Avg W)</vt:lpstr>
      <vt:lpstr>CDM</vt:lpstr>
      <vt:lpstr>CDM Results</vt:lpstr>
      <vt:lpstr>CDM Notes</vt:lpstr>
      <vt:lpstr>CDM Activity (waterloo)</vt:lpstr>
      <vt:lpstr>Load Profile - Step 5 </vt:lpstr>
      <vt:lpstr>WMP Forecast</vt:lpstr>
      <vt:lpstr>Change Tracking</vt:lpstr>
      <vt:lpstr>Sheet5</vt:lpstr>
      <vt:lpstr>CDM Results - update</vt:lpstr>
      <vt:lpstr>Negative Impact Var</vt:lpstr>
      <vt:lpstr>GDP A</vt:lpstr>
      <vt:lpstr>Sheet1</vt:lpstr>
      <vt:lpstr>Forecast Notes</vt:lpstr>
      <vt:lpstr>GDP_Used</vt:lpstr>
      <vt:lpstr>'CDM Activity (waterloo)'!Print_Area</vt:lpstr>
      <vt:lpstr>Total_for_half_Yr</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Teri Bohar</cp:lastModifiedBy>
  <cp:lastPrinted>2009-07-21T19:47:49Z</cp:lastPrinted>
  <dcterms:created xsi:type="dcterms:W3CDTF">2008-02-06T18:24:44Z</dcterms:created>
  <dcterms:modified xsi:type="dcterms:W3CDTF">2021-08-09T17:00:48Z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