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ngston Hydro\Kingston Hydro 2022 IRM EB-2021-0037\Components\"/>
    </mc:Choice>
  </mc:AlternateContent>
  <xr:revisionPtr revIDLastSave="0" documentId="13_ncr:1_{6E627A27-8589-49A1-A442-8B4FF102AA91}" xr6:coauthVersionLast="46" xr6:coauthVersionMax="46" xr10:uidLastSave="{00000000-0000-0000-0000-000000000000}"/>
  <bookViews>
    <workbookView xWindow="-120" yWindow="-120" windowWidth="17307" windowHeight="9867" xr2:uid="{00000000-000D-0000-FFFF-FFFF00000000}"/>
  </bookViews>
  <sheets>
    <sheet name="Summary" sheetId="7" r:id="rId1"/>
    <sheet name="General Plant-ERM" sheetId="1" r:id="rId2"/>
    <sheet name="General Plant-Truck" sheetId="2" r:id="rId3"/>
    <sheet name="Service Renewal" sheetId="3" r:id="rId4"/>
    <sheet name="System Access-Meters" sheetId="5" r:id="rId5"/>
    <sheet name="System Access-Russell St" sheetId="6" r:id="rId6"/>
  </sheets>
  <definedNames>
    <definedName name="_xlnm.Print_Area" localSheetId="1">'General Plant-ERM'!$A$1:$J$47</definedName>
    <definedName name="_xlnm.Print_Area" localSheetId="2">'General Plant-Truck'!$A$1:$J$48</definedName>
    <definedName name="_xlnm.Print_Area" localSheetId="3">'Service Renewal'!$A$1:$J$48</definedName>
    <definedName name="_xlnm.Print_Area" localSheetId="4">'System Access-Meters'!$A$1:$J$48</definedName>
    <definedName name="_xlnm.Print_Area" localSheetId="5">'System Access-Russell St'!$A$1:$J$48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7" l="1"/>
  <c r="D8" i="7"/>
  <c r="D7" i="7"/>
  <c r="D6" i="7"/>
  <c r="D5" i="7"/>
  <c r="D12" i="7" l="1"/>
  <c r="E15" i="7" s="1"/>
  <c r="D16" i="7" s="1"/>
  <c r="M15" i="7"/>
  <c r="L16" i="7" s="1"/>
  <c r="U15" i="7"/>
  <c r="T16" i="7" s="1"/>
  <c r="G17" i="5" l="1"/>
  <c r="I18" i="3"/>
  <c r="I17" i="3"/>
  <c r="I17" i="1"/>
  <c r="G25" i="5"/>
  <c r="G24" i="5"/>
  <c r="I25" i="3"/>
  <c r="I24" i="3"/>
  <c r="E17" i="1"/>
  <c r="I24" i="1"/>
  <c r="H17" i="1"/>
  <c r="F17" i="5" l="1"/>
  <c r="G24" i="6"/>
  <c r="F24" i="6"/>
  <c r="E24" i="6"/>
  <c r="G17" i="6"/>
  <c r="F17" i="6"/>
  <c r="H16" i="3"/>
  <c r="H24" i="1"/>
  <c r="G24" i="1"/>
  <c r="G17" i="1"/>
  <c r="F17" i="2" l="1"/>
  <c r="F24" i="2"/>
  <c r="G24" i="2"/>
  <c r="H24" i="2"/>
  <c r="I24" i="2"/>
  <c r="E24" i="2"/>
  <c r="G17" i="2"/>
  <c r="E17" i="2"/>
  <c r="E19" i="6"/>
  <c r="E25" i="6"/>
  <c r="F18" i="6"/>
  <c r="F19" i="6" s="1"/>
  <c r="E18" i="6"/>
  <c r="H23" i="3"/>
  <c r="H24" i="3" s="1"/>
  <c r="I23" i="3"/>
  <c r="H22" i="3"/>
  <c r="I16" i="3"/>
  <c r="F24" i="1"/>
  <c r="E24" i="1"/>
  <c r="F18" i="1"/>
  <c r="F17" i="1"/>
  <c r="I23" i="1"/>
  <c r="G42" i="5" l="1"/>
  <c r="E17" i="5"/>
  <c r="H15" i="3" l="1"/>
  <c r="G42" i="6"/>
  <c r="G35" i="6" s="1"/>
  <c r="G23" i="5" l="1"/>
  <c r="G35" i="5"/>
  <c r="I42" i="3"/>
  <c r="I35" i="3" s="1"/>
  <c r="I30" i="3"/>
  <c r="I42" i="2"/>
  <c r="I35" i="2" s="1"/>
  <c r="I30" i="2"/>
  <c r="I17" i="2"/>
  <c r="H17" i="2"/>
  <c r="I30" i="1"/>
  <c r="H23" i="1"/>
  <c r="H30" i="3" l="1"/>
  <c r="H17" i="3"/>
  <c r="H42" i="3" s="1"/>
  <c r="H42" i="2"/>
  <c r="H30" i="2"/>
  <c r="G30" i="2"/>
  <c r="H30" i="1"/>
  <c r="H35" i="3" l="1"/>
  <c r="H36" i="3"/>
  <c r="H35" i="2"/>
  <c r="H25" i="3" l="1"/>
  <c r="I22" i="3" s="1"/>
  <c r="G30" i="6" l="1"/>
  <c r="F30" i="6"/>
  <c r="E30" i="6"/>
  <c r="G23" i="6"/>
  <c r="F23" i="6"/>
  <c r="E23" i="6"/>
  <c r="E36" i="6" s="1"/>
  <c r="F42" i="6"/>
  <c r="F35" i="6" s="1"/>
  <c r="E17" i="6"/>
  <c r="I36" i="3" l="1"/>
  <c r="F22" i="6"/>
  <c r="F15" i="6"/>
  <c r="E42" i="6"/>
  <c r="F36" i="6" l="1"/>
  <c r="E35" i="6"/>
  <c r="G15" i="6"/>
  <c r="G18" i="6" s="1"/>
  <c r="G19" i="6" s="1"/>
  <c r="E44" i="6"/>
  <c r="E45" i="6"/>
  <c r="E34" i="6" s="1"/>
  <c r="F25" i="6" l="1"/>
  <c r="G22" i="6" s="1"/>
  <c r="E37" i="6"/>
  <c r="E38" i="6" s="1"/>
  <c r="E39" i="6" s="1"/>
  <c r="E46" i="6" s="1"/>
  <c r="E47" i="6" s="1"/>
  <c r="G25" i="6" l="1"/>
  <c r="G36" i="6"/>
  <c r="G45" i="6"/>
  <c r="G34" i="6" s="1"/>
  <c r="G44" i="6"/>
  <c r="F44" i="6"/>
  <c r="F45" i="6"/>
  <c r="F34" i="6" s="1"/>
  <c r="F37" i="6" s="1"/>
  <c r="F38" i="6" s="1"/>
  <c r="G37" i="6" l="1"/>
  <c r="G38" i="6" s="1"/>
  <c r="G39" i="6" s="1"/>
  <c r="G46" i="6" s="1"/>
  <c r="G47" i="6" s="1"/>
  <c r="F39" i="6"/>
  <c r="F46" i="6" s="1"/>
  <c r="F47" i="6" s="1"/>
  <c r="G30" i="5" l="1"/>
  <c r="F30" i="5"/>
  <c r="E30" i="5"/>
  <c r="F23" i="5"/>
  <c r="E23" i="5"/>
  <c r="E24" i="5" s="1"/>
  <c r="F42" i="5"/>
  <c r="E42" i="5"/>
  <c r="E18" i="5" l="1"/>
  <c r="E35" i="5"/>
  <c r="E36" i="5"/>
  <c r="F35" i="5"/>
  <c r="E19" i="5" l="1"/>
  <c r="E45" i="5" s="1"/>
  <c r="E34" i="5" s="1"/>
  <c r="F15" i="5"/>
  <c r="F18" i="5" s="1"/>
  <c r="G15" i="5" s="1"/>
  <c r="E25" i="5"/>
  <c r="F22" i="5" s="1"/>
  <c r="F24" i="5" s="1"/>
  <c r="E44" i="5"/>
  <c r="E37" i="5"/>
  <c r="E38" i="5" s="1"/>
  <c r="E39" i="5" s="1"/>
  <c r="E46" i="5" s="1"/>
  <c r="E47" i="5" s="1"/>
  <c r="G18" i="5" l="1"/>
  <c r="F36" i="5"/>
  <c r="F19" i="5"/>
  <c r="G19" i="5" l="1"/>
  <c r="G44" i="5" s="1"/>
  <c r="F25" i="5"/>
  <c r="G22" i="5" s="1"/>
  <c r="F44" i="5"/>
  <c r="F45" i="5"/>
  <c r="F34" i="5" s="1"/>
  <c r="F37" i="5" s="1"/>
  <c r="F38" i="5" s="1"/>
  <c r="F39" i="5" s="1"/>
  <c r="F46" i="5" s="1"/>
  <c r="G45" i="5" l="1"/>
  <c r="G34" i="5" s="1"/>
  <c r="G36" i="5"/>
  <c r="F47" i="5"/>
  <c r="G37" i="5" l="1"/>
  <c r="G38" i="5" s="1"/>
  <c r="G39" i="5" s="1"/>
  <c r="G46" i="5" s="1"/>
  <c r="G47" i="5" s="1"/>
  <c r="F23" i="2"/>
  <c r="F23" i="1"/>
  <c r="G17" i="3"/>
  <c r="G23" i="3"/>
  <c r="F23" i="3"/>
  <c r="F17" i="3"/>
  <c r="E17" i="3"/>
  <c r="G30" i="3" l="1"/>
  <c r="F30" i="3"/>
  <c r="E30" i="3"/>
  <c r="E23" i="3"/>
  <c r="G42" i="3"/>
  <c r="F42" i="3"/>
  <c r="E42" i="3"/>
  <c r="E24" i="3" l="1"/>
  <c r="E36" i="3" s="1"/>
  <c r="F35" i="3"/>
  <c r="G35" i="3"/>
  <c r="E35" i="3"/>
  <c r="E18" i="3"/>
  <c r="E25" i="3" l="1"/>
  <c r="F22" i="3" s="1"/>
  <c r="E19" i="3"/>
  <c r="F15" i="3"/>
  <c r="F24" i="3" l="1"/>
  <c r="F36" i="3" s="1"/>
  <c r="F18" i="3"/>
  <c r="G15" i="3" s="1"/>
  <c r="G18" i="3" s="1"/>
  <c r="H18" i="3" s="1"/>
  <c r="E45" i="3"/>
  <c r="E34" i="3" s="1"/>
  <c r="E37" i="3" s="1"/>
  <c r="E38" i="3" s="1"/>
  <c r="E39" i="3" s="1"/>
  <c r="E46" i="3" s="1"/>
  <c r="E44" i="3"/>
  <c r="H19" i="3" l="1"/>
  <c r="H45" i="3" s="1"/>
  <c r="H34" i="3" s="1"/>
  <c r="H37" i="3" s="1"/>
  <c r="H38" i="3" s="1"/>
  <c r="H39" i="3" s="1"/>
  <c r="H46" i="3" s="1"/>
  <c r="I15" i="3"/>
  <c r="F25" i="3"/>
  <c r="G22" i="3" s="1"/>
  <c r="G24" i="3" s="1"/>
  <c r="G36" i="3" s="1"/>
  <c r="E47" i="3"/>
  <c r="F19" i="3"/>
  <c r="F44" i="3" s="1"/>
  <c r="G19" i="3"/>
  <c r="G25" i="3"/>
  <c r="H44" i="3" l="1"/>
  <c r="I19" i="3"/>
  <c r="H47" i="3"/>
  <c r="F45" i="3"/>
  <c r="F34" i="3" s="1"/>
  <c r="F37" i="3" s="1"/>
  <c r="F38" i="3" s="1"/>
  <c r="F39" i="3" s="1"/>
  <c r="F46" i="3" s="1"/>
  <c r="G45" i="3"/>
  <c r="G34" i="3" s="1"/>
  <c r="G37" i="3" s="1"/>
  <c r="G38" i="3" s="1"/>
  <c r="G39" i="3" s="1"/>
  <c r="G46" i="3" s="1"/>
  <c r="G44" i="3"/>
  <c r="I45" i="3" l="1"/>
  <c r="I34" i="3" s="1"/>
  <c r="I37" i="3" s="1"/>
  <c r="I38" i="3" s="1"/>
  <c r="I39" i="3" s="1"/>
  <c r="I46" i="3" s="1"/>
  <c r="I44" i="3"/>
  <c r="F47" i="3"/>
  <c r="G47" i="3"/>
  <c r="I47" i="3" l="1"/>
  <c r="F30" i="2"/>
  <c r="E30" i="2"/>
  <c r="E23" i="2"/>
  <c r="G42" i="2"/>
  <c r="F42" i="2"/>
  <c r="F35" i="2" s="1"/>
  <c r="E42" i="2"/>
  <c r="E35" i="2" l="1"/>
  <c r="E36" i="2"/>
  <c r="E18" i="2"/>
  <c r="E19" i="2" s="1"/>
  <c r="E45" i="2" s="1"/>
  <c r="E34" i="2" s="1"/>
  <c r="E37" i="2" s="1"/>
  <c r="E38" i="2" s="1"/>
  <c r="E39" i="2" s="1"/>
  <c r="G35" i="2"/>
  <c r="E44" i="2"/>
  <c r="F15" i="2"/>
  <c r="F18" i="2" s="1"/>
  <c r="G15" i="2" s="1"/>
  <c r="E25" i="2"/>
  <c r="F22" i="2" s="1"/>
  <c r="G30" i="1"/>
  <c r="F30" i="1"/>
  <c r="E46" i="2" l="1"/>
  <c r="E47" i="2" s="1"/>
  <c r="F36" i="2"/>
  <c r="G42" i="1"/>
  <c r="G35" i="1" s="1"/>
  <c r="F42" i="1"/>
  <c r="F35" i="1" s="1"/>
  <c r="E30" i="1"/>
  <c r="F25" i="2" l="1"/>
  <c r="G22" i="2" s="1"/>
  <c r="G36" i="2" s="1"/>
  <c r="F19" i="2"/>
  <c r="F45" i="2" s="1"/>
  <c r="F34" i="2" s="1"/>
  <c r="G18" i="2"/>
  <c r="H15" i="2" s="1"/>
  <c r="H18" i="2" s="1"/>
  <c r="E23" i="1"/>
  <c r="E42" i="1"/>
  <c r="F37" i="2" l="1"/>
  <c r="F38" i="2" s="1"/>
  <c r="F39" i="2" s="1"/>
  <c r="F46" i="2" s="1"/>
  <c r="G19" i="2"/>
  <c r="G45" i="2" s="1"/>
  <c r="G34" i="2" s="1"/>
  <c r="G37" i="2" s="1"/>
  <c r="G38" i="2" s="1"/>
  <c r="G39" i="2" s="1"/>
  <c r="G46" i="2" s="1"/>
  <c r="H19" i="2"/>
  <c r="H45" i="2" s="1"/>
  <c r="H34" i="2" s="1"/>
  <c r="I15" i="2"/>
  <c r="F44" i="2"/>
  <c r="G25" i="2"/>
  <c r="H22" i="2" s="1"/>
  <c r="E36" i="1"/>
  <c r="E25" i="1"/>
  <c r="F22" i="1" s="1"/>
  <c r="E18" i="1"/>
  <c r="F15" i="1" s="1"/>
  <c r="E35" i="1"/>
  <c r="G44" i="2" l="1"/>
  <c r="G47" i="2" s="1"/>
  <c r="H44" i="2"/>
  <c r="F47" i="2"/>
  <c r="I18" i="2"/>
  <c r="I19" i="2" s="1"/>
  <c r="H36" i="2"/>
  <c r="H37" i="2" s="1"/>
  <c r="E19" i="1"/>
  <c r="E45" i="1" s="1"/>
  <c r="E34" i="1" s="1"/>
  <c r="E37" i="1" s="1"/>
  <c r="E38" i="1" s="1"/>
  <c r="E39" i="1" s="1"/>
  <c r="E46" i="1" s="1"/>
  <c r="E44" i="1"/>
  <c r="F19" i="1"/>
  <c r="F44" i="1" s="1"/>
  <c r="G15" i="1"/>
  <c r="F36" i="1"/>
  <c r="I45" i="2" l="1"/>
  <c r="I34" i="2" s="1"/>
  <c r="I44" i="2"/>
  <c r="H38" i="2"/>
  <c r="H39" i="2" s="1"/>
  <c r="H46" i="2" s="1"/>
  <c r="H47" i="2" s="1"/>
  <c r="H42" i="1"/>
  <c r="H25" i="2"/>
  <c r="I22" i="2" s="1"/>
  <c r="G18" i="1"/>
  <c r="H15" i="1" s="1"/>
  <c r="H18" i="1" s="1"/>
  <c r="I42" i="1" s="1"/>
  <c r="I35" i="1" s="1"/>
  <c r="F45" i="1"/>
  <c r="F34" i="1" s="1"/>
  <c r="F37" i="1" s="1"/>
  <c r="F38" i="1" s="1"/>
  <c r="F39" i="1" s="1"/>
  <c r="F46" i="1" s="1"/>
  <c r="F47" i="1" s="1"/>
  <c r="E47" i="1"/>
  <c r="F25" i="1"/>
  <c r="G22" i="1" s="1"/>
  <c r="G36" i="1" s="1"/>
  <c r="I36" i="2" l="1"/>
  <c r="I37" i="2" s="1"/>
  <c r="I38" i="2" s="1"/>
  <c r="I39" i="2" s="1"/>
  <c r="I46" i="2" s="1"/>
  <c r="I47" i="2" s="1"/>
  <c r="H19" i="1"/>
  <c r="I15" i="1"/>
  <c r="G19" i="1"/>
  <c r="G44" i="1" s="1"/>
  <c r="H44" i="1"/>
  <c r="H45" i="1"/>
  <c r="H34" i="1" s="1"/>
  <c r="H35" i="1"/>
  <c r="G45" i="1"/>
  <c r="G25" i="1"/>
  <c r="H22" i="1" s="1"/>
  <c r="I25" i="2" l="1"/>
  <c r="I18" i="1"/>
  <c r="I19" i="1" s="1"/>
  <c r="H36" i="1"/>
  <c r="H37" i="1" s="1"/>
  <c r="H38" i="1" s="1"/>
  <c r="H39" i="1" s="1"/>
  <c r="H46" i="1" s="1"/>
  <c r="H47" i="1" s="1"/>
  <c r="G34" i="1"/>
  <c r="G37" i="1" s="1"/>
  <c r="G38" i="1" s="1"/>
  <c r="G39" i="1" s="1"/>
  <c r="I44" i="1" l="1"/>
  <c r="I45" i="1"/>
  <c r="I34" i="1" s="1"/>
  <c r="G46" i="1"/>
  <c r="G47" i="1" s="1"/>
  <c r="H25" i="1"/>
  <c r="I22" i="1" s="1"/>
  <c r="I36" i="1" l="1"/>
  <c r="I25" i="1"/>
  <c r="I37" i="1"/>
  <c r="I38" i="1" s="1"/>
  <c r="I39" i="1" s="1"/>
  <c r="I46" i="1" s="1"/>
  <c r="I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Murphy,Randy</author>
  </authors>
  <commentList>
    <comment ref="F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 spent in general for the year in the amount of 337,740; 181110 allocated to trucks; remainder to ERM</t>
        </r>
      </text>
    </comment>
    <comment ref="H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positive equals overspend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Murphy,Randy</author>
  </authors>
  <commentList>
    <comment ref="F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overspent in general in 2017 by $337,740; $181,110 allocated to truck; remainder to ERM</t>
        </r>
      </text>
    </comment>
  </commentList>
</comments>
</file>

<file path=xl/sharedStrings.xml><?xml version="1.0" encoding="utf-8"?>
<sst xmlns="http://schemas.openxmlformats.org/spreadsheetml/2006/main" count="240" uniqueCount="59">
  <si>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</si>
  <si>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</si>
  <si>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</si>
  <si>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</si>
  <si>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</si>
  <si>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</si>
  <si>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</si>
  <si>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</si>
  <si>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</si>
  <si>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</si>
  <si>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</si>
  <si>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</si>
  <si>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</si>
  <si>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</si>
  <si>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</si>
  <si>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</si>
  <si>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</si>
  <si>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</si>
  <si>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</si>
  <si>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</si>
  <si>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</si>
  <si>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</si>
  <si>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</si>
  <si>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</si>
  <si>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</si>
  <si>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</si>
  <si>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</si>
  <si>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</si>
  <si>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</si>
  <si>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</si>
  <si>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</si>
  <si>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</si>
  <si>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</si>
  <si>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</si>
  <si>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</si>
  <si>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</si>
  <si>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Deferred to 2017</t>
  </si>
  <si>
    <t>General Plant - Truck</t>
  </si>
  <si>
    <t>Not received/in service until 2017</t>
  </si>
  <si>
    <t>System Renewal/Service</t>
  </si>
  <si>
    <t>2016 and 2017 underspending</t>
  </si>
  <si>
    <t xml:space="preserve">Total </t>
  </si>
  <si>
    <t>150.140117.</t>
  </si>
  <si>
    <t>150.660035.8125.49800</t>
  </si>
  <si>
    <t>System Access-Meters</t>
  </si>
  <si>
    <t>Service Renewal</t>
  </si>
  <si>
    <t>Summary</t>
  </si>
  <si>
    <t xml:space="preserve">System Access-Meters </t>
  </si>
  <si>
    <t>General Plant-ERM</t>
  </si>
  <si>
    <t>General Plant-Truck</t>
  </si>
  <si>
    <t>Entry</t>
  </si>
  <si>
    <t>System Access-Russell St</t>
  </si>
  <si>
    <t>System Access-Road Construction - Russell Street</t>
  </si>
  <si>
    <t>2019 Capital Additions Variance</t>
  </si>
  <si>
    <t>ONLY CALCULATE VARIANCE WHEN CLOSING BALANCE (line 18) IS NEGATIVE</t>
  </si>
  <si>
    <t>2019 was filed with zero variance</t>
  </si>
  <si>
    <t>2020 Capital Additions Variance</t>
  </si>
  <si>
    <t>2018 Capital Additions Variance</t>
  </si>
  <si>
    <t>Kingston _Capital Additions Variance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</si>
</sst>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0" fillId="0" borderId="0" xfId="1" applyNumberFormat="1" applyFont="1" applyFill="1"/>
    <xf numFmtId="164" fontId="0" fillId="0" borderId="1" xfId="1" applyNumberFormat="1" applyFont="1" applyBorder="1"/>
    <xf numFmtId="43" fontId="0" fillId="0" borderId="0" xfId="1" applyFont="1"/>
    <xf numFmtId="166" fontId="2" fillId="0" borderId="4" xfId="0" applyNumberFormat="1" applyFont="1" applyFill="1" applyBorder="1"/>
    <xf numFmtId="0" fontId="0" fillId="0" borderId="0" xfId="0" applyFill="1"/>
    <xf numFmtId="9" fontId="0" fillId="0" borderId="0" xfId="2" applyFont="1" applyFill="1"/>
    <xf numFmtId="165" fontId="0" fillId="0" borderId="0" xfId="2" applyNumberFormat="1" applyFont="1" applyFill="1"/>
    <xf numFmtId="0" fontId="0" fillId="2" borderId="5" xfId="0" applyFill="1" applyBorder="1"/>
    <xf numFmtId="0" fontId="0" fillId="2" borderId="6" xfId="0" applyFill="1" applyBorder="1"/>
    <xf numFmtId="43" fontId="0" fillId="2" borderId="6" xfId="1" applyFont="1" applyFill="1" applyBorder="1"/>
    <xf numFmtId="0" fontId="0" fillId="2" borderId="8" xfId="0" applyFill="1" applyBorder="1"/>
    <xf numFmtId="43" fontId="0" fillId="2" borderId="9" xfId="1" applyFont="1" applyFill="1" applyBorder="1"/>
    <xf numFmtId="0" fontId="0" fillId="2" borderId="11" xfId="0" applyFill="1" applyBorder="1"/>
    <xf numFmtId="43" fontId="0" fillId="2" borderId="11" xfId="1" applyFont="1" applyFill="1" applyBorder="1"/>
    <xf numFmtId="43" fontId="0" fillId="2" borderId="12" xfId="1" applyFont="1" applyFill="1" applyBorder="1"/>
    <xf numFmtId="43" fontId="2" fillId="2" borderId="7" xfId="1" applyFont="1" applyFill="1" applyBorder="1"/>
    <xf numFmtId="43" fontId="2" fillId="2" borderId="0" xfId="1" applyFont="1" applyFill="1" applyBorder="1"/>
    <xf numFmtId="167" fontId="0" fillId="0" borderId="0" xfId="1" applyNumberFormat="1" applyFont="1"/>
    <xf numFmtId="167" fontId="0" fillId="0" borderId="1" xfId="1" applyNumberFormat="1" applyFont="1" applyBorder="1"/>
    <xf numFmtId="0" fontId="5" fillId="0" borderId="0" xfId="0" applyFont="1"/>
    <xf numFmtId="0" fontId="0" fillId="2" borderId="0" xfId="0" applyFill="1"/>
    <xf numFmtId="0" fontId="2" fillId="2" borderId="10" xfId="0" applyFont="1" applyFill="1" applyBorder="1"/>
    <xf numFmtId="166" fontId="2" fillId="3" borderId="4" xfId="0" applyNumberFormat="1" applyFont="1" applyFill="1" applyBorder="1"/>
    <xf numFmtId="0" fontId="0" fillId="0" borderId="0" xfId="0" applyFill="1" applyBorder="1"/>
    <xf numFmtId="0" fontId="2" fillId="2" borderId="13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14" xfId="0" applyFill="1" applyBorder="1" applyAlignment="1">
      <alignment horizontal="centerContinuous"/>
    </xf>
    <xf numFmtId="166" fontId="2" fillId="4" borderId="4" xfId="0" applyNumberFormat="1" applyFont="1" applyFill="1" applyBorder="1"/>
    <xf numFmtId="166" fontId="0" fillId="5" borderId="0" xfId="1" applyNumberFormat="1" applyFont="1" applyFill="1"/>
    <xf numFmtId="9" fontId="0" fillId="5" borderId="0" xfId="2" applyFont="1" applyFill="1"/>
    <xf numFmtId="0" fontId="2" fillId="5" borderId="0" xfId="0" applyFont="1" applyFill="1"/>
    <xf numFmtId="167" fontId="0" fillId="0" borderId="0" xfId="1" applyNumberFormat="1" applyFont="1" applyFill="1"/>
    <xf numFmtId="166" fontId="0" fillId="2" borderId="2" xfId="1" applyNumberFormat="1" applyFont="1" applyFill="1" applyBorder="1"/>
    <xf numFmtId="166" fontId="0" fillId="3" borderId="2" xfId="1" applyNumberFormat="1" applyFont="1" applyFill="1" applyBorder="1"/>
    <xf numFmtId="0" fontId="6" fillId="0" borderId="0" xfId="0" applyFont="1" applyAlignment="1">
      <alignment horizontal="center" wrapText="1"/>
    </xf>
    <xf numFmtId="166" fontId="0" fillId="0" borderId="1" xfId="1" applyNumberFormat="1" applyFont="1" applyFill="1" applyBorder="1"/>
    <xf numFmtId="164" fontId="0" fillId="0" borderId="0" xfId="0" applyNumberFormat="1"/>
    <xf numFmtId="166" fontId="0" fillId="0" borderId="0" xfId="1" applyNumberFormat="1" applyFont="1" applyFill="1" applyBorder="1"/>
    <xf numFmtId="0" fontId="2" fillId="0" borderId="0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3898-8BBC-4F14-A90D-471389810FF7}">
  <dimension ref="A1:U18"/>
  <sheetViews>
    <sheetView tabSelected="1" zoomScale="73" zoomScaleNormal="73" workbookViewId="0">
      <selection activeCell="A23" sqref="A23"/>
    </sheetView>
  </sheetViews>
  <sheetFormatPr defaultRowHeight="15.35" x14ac:dyDescent="0.3"/>
  <cols>
    <col min="1" max="1" width="29.33203125" bestFit="1" customWidth="1"/>
    <col min="4" max="4" width="12" bestFit="1" customWidth="1"/>
    <col min="5" max="5" width="11.33203125" bestFit="1" customWidth="1"/>
    <col min="9" max="9" width="29.33203125" bestFit="1" customWidth="1"/>
    <col min="12" max="12" width="12" bestFit="1" customWidth="1"/>
    <col min="13" max="13" width="11.33203125" bestFit="1" customWidth="1"/>
    <col min="17" max="17" width="29.33203125" bestFit="1" customWidth="1"/>
    <col min="20" max="20" width="12" bestFit="1" customWidth="1"/>
    <col min="21" max="21" width="11.33203125" bestFit="1" customWidth="1"/>
  </cols>
  <sheetData>
    <row r="1" spans="1:21" x14ac:dyDescent="0.3">
      <c r="A1" t="s">
        <v>58</v>
      </c>
    </row>
    <row r="2" spans="1:21" x14ac:dyDescent="0.3">
      <c r="A2" s="52"/>
      <c r="B2" s="52"/>
      <c r="C2" s="52"/>
      <c r="D2" s="52"/>
      <c r="E2" s="52"/>
      <c r="F2" s="52"/>
    </row>
    <row r="3" spans="1:21" x14ac:dyDescent="0.3">
      <c r="A3" t="s">
        <v>46</v>
      </c>
      <c r="D3" s="12">
        <v>2020</v>
      </c>
      <c r="I3" t="s">
        <v>46</v>
      </c>
      <c r="L3" s="12">
        <v>2019</v>
      </c>
      <c r="Q3" t="s">
        <v>46</v>
      </c>
      <c r="T3" s="12">
        <v>2018</v>
      </c>
    </row>
    <row r="4" spans="1:21" x14ac:dyDescent="0.3">
      <c r="D4" s="12" t="s">
        <v>50</v>
      </c>
      <c r="L4" s="12" t="s">
        <v>50</v>
      </c>
      <c r="T4" s="12" t="s">
        <v>50</v>
      </c>
    </row>
    <row r="5" spans="1:21" x14ac:dyDescent="0.3">
      <c r="A5" t="s">
        <v>48</v>
      </c>
      <c r="D5" s="16">
        <f>+'General Plant-ERM'!I47</f>
        <v>-36559.001677305583</v>
      </c>
      <c r="I5" t="s">
        <v>48</v>
      </c>
      <c r="L5" s="16">
        <v>-9030.403927416739</v>
      </c>
      <c r="Q5" t="s">
        <v>48</v>
      </c>
      <c r="T5" s="16">
        <v>-14523.406148561906</v>
      </c>
    </row>
    <row r="6" spans="1:21" x14ac:dyDescent="0.3">
      <c r="A6" t="s">
        <v>49</v>
      </c>
      <c r="D6" s="16">
        <f>+'General Plant-Truck'!I47</f>
        <v>0</v>
      </c>
      <c r="I6" t="s">
        <v>49</v>
      </c>
      <c r="L6" s="16">
        <v>0</v>
      </c>
      <c r="Q6" t="s">
        <v>49</v>
      </c>
      <c r="T6" s="16">
        <v>0</v>
      </c>
    </row>
    <row r="7" spans="1:21" x14ac:dyDescent="0.3">
      <c r="A7" t="s">
        <v>45</v>
      </c>
      <c r="D7" s="16">
        <f>+'Service Renewal'!I48</f>
        <v>0</v>
      </c>
      <c r="I7" t="s">
        <v>45</v>
      </c>
      <c r="L7" s="16">
        <v>-1.2715126147321869E-12</v>
      </c>
      <c r="Q7" t="s">
        <v>45</v>
      </c>
      <c r="T7" s="16">
        <v>-8158.6054973323153</v>
      </c>
    </row>
    <row r="8" spans="1:21" x14ac:dyDescent="0.3">
      <c r="A8" t="s">
        <v>47</v>
      </c>
      <c r="D8" s="16">
        <f>+'System Access-Meters'!G48</f>
        <v>0</v>
      </c>
      <c r="I8" t="s">
        <v>47</v>
      </c>
      <c r="L8" s="16">
        <v>-19963.172466866796</v>
      </c>
      <c r="Q8" t="s">
        <v>47</v>
      </c>
      <c r="T8" s="16">
        <v>-16365.823370414893</v>
      </c>
    </row>
    <row r="9" spans="1:21" x14ac:dyDescent="0.3">
      <c r="A9" t="s">
        <v>51</v>
      </c>
      <c r="D9" s="16">
        <f>+'System Access-Russell St'!G47</f>
        <v>-5629.3792199303143</v>
      </c>
      <c r="I9" t="s">
        <v>51</v>
      </c>
      <c r="L9" s="16">
        <v>-5579.5787251629563</v>
      </c>
      <c r="Q9" t="s">
        <v>51</v>
      </c>
      <c r="T9" s="16">
        <v>-2776.7354508722788</v>
      </c>
    </row>
    <row r="10" spans="1:21" x14ac:dyDescent="0.3">
      <c r="D10" s="16"/>
      <c r="L10" s="16"/>
      <c r="T10" s="16"/>
    </row>
    <row r="11" spans="1:21" x14ac:dyDescent="0.3">
      <c r="D11" s="16"/>
      <c r="L11" s="16"/>
      <c r="T11" s="16"/>
    </row>
    <row r="12" spans="1:21" x14ac:dyDescent="0.3">
      <c r="A12" t="s">
        <v>41</v>
      </c>
      <c r="D12" s="16">
        <f>SUM(D5:D9)</f>
        <v>-42188.380897235897</v>
      </c>
      <c r="I12" t="s">
        <v>41</v>
      </c>
      <c r="L12" s="16">
        <v>-34573.155119446492</v>
      </c>
      <c r="Q12" t="s">
        <v>41</v>
      </c>
      <c r="T12" s="16">
        <v>-41824.570467181395</v>
      </c>
    </row>
    <row r="13" spans="1:21" x14ac:dyDescent="0.3">
      <c r="D13" s="16"/>
      <c r="L13" s="16"/>
      <c r="T13" s="16"/>
    </row>
    <row r="14" spans="1:21" ht="16" thickBot="1" x14ac:dyDescent="0.35">
      <c r="D14" s="16"/>
      <c r="L14" s="16"/>
      <c r="T14" s="16"/>
    </row>
    <row r="15" spans="1:21" x14ac:dyDescent="0.3">
      <c r="A15" s="21" t="s">
        <v>42</v>
      </c>
      <c r="B15" s="22"/>
      <c r="C15" s="22"/>
      <c r="D15" s="23"/>
      <c r="E15" s="29">
        <f>-D12</f>
        <v>42188.380897235897</v>
      </c>
      <c r="I15" s="21" t="s">
        <v>42</v>
      </c>
      <c r="J15" s="22"/>
      <c r="K15" s="22"/>
      <c r="L15" s="23"/>
      <c r="M15" s="29">
        <f>-L12</f>
        <v>34573.155119446492</v>
      </c>
      <c r="Q15" s="21" t="s">
        <v>42</v>
      </c>
      <c r="R15" s="22"/>
      <c r="S15" s="22"/>
      <c r="T15" s="23"/>
      <c r="U15" s="29">
        <f>-T12</f>
        <v>41824.570467181395</v>
      </c>
    </row>
    <row r="16" spans="1:21" x14ac:dyDescent="0.3">
      <c r="A16" s="24" t="s">
        <v>43</v>
      </c>
      <c r="B16" s="34"/>
      <c r="C16" s="34"/>
      <c r="D16" s="30">
        <f>E15</f>
        <v>42188.380897235897</v>
      </c>
      <c r="E16" s="25"/>
      <c r="I16" s="24" t="s">
        <v>43</v>
      </c>
      <c r="J16" s="34"/>
      <c r="K16" s="34"/>
      <c r="L16" s="30">
        <f>M15</f>
        <v>34573.155119446492</v>
      </c>
      <c r="M16" s="25"/>
      <c r="Q16" s="24" t="s">
        <v>43</v>
      </c>
      <c r="R16" s="34"/>
      <c r="S16" s="34"/>
      <c r="T16" s="30">
        <f>U15</f>
        <v>41824.570467181395</v>
      </c>
      <c r="U16" s="25"/>
    </row>
    <row r="17" spans="1:21" ht="16" thickBot="1" x14ac:dyDescent="0.35">
      <c r="A17" s="35" t="s">
        <v>56</v>
      </c>
      <c r="B17" s="26"/>
      <c r="C17" s="26"/>
      <c r="D17" s="27"/>
      <c r="E17" s="28"/>
      <c r="I17" s="35" t="s">
        <v>53</v>
      </c>
      <c r="J17" s="26"/>
      <c r="K17" s="26"/>
      <c r="L17" s="27"/>
      <c r="M17" s="28"/>
      <c r="Q17" s="35" t="s">
        <v>57</v>
      </c>
      <c r="R17" s="26"/>
      <c r="S17" s="26"/>
      <c r="T17" s="27"/>
      <c r="U17" s="28"/>
    </row>
    <row r="18" spans="1:21" x14ac:dyDescent="0.3">
      <c r="T18" s="16"/>
      <c r="U18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K48"/>
  <sheetViews>
    <sheetView view="pageBreakPreview" zoomScale="60" zoomScaleNormal="90" workbookViewId="0">
      <pane xSplit="1" ySplit="13" topLeftCell="B23" activePane="bottomRight" state="frozen"/>
      <selection pane="topRight" activeCell="B1" sqref="B1"/>
      <selection pane="bottomLeft" activeCell="A14" sqref="A14"/>
      <selection pane="bottomRight" activeCell="L26" sqref="L26"/>
    </sheetView>
  </sheetViews>
  <sheetFormatPr defaultRowHeight="15.35" x14ac:dyDescent="0.3"/>
  <cols>
    <col min="1" max="1" width="28.33203125" customWidth="1"/>
    <col min="5" max="9" width="14.6640625" customWidth="1"/>
  </cols>
  <sheetData>
    <row r="1" spans="1:9" ht="16" thickBot="1" x14ac:dyDescent="0.35">
      <c r="A1" s="1" t="s">
        <v>0</v>
      </c>
    </row>
    <row r="2" spans="1:9" ht="16" thickBot="1" x14ac:dyDescent="0.35">
      <c r="A2" s="1" t="s">
        <v>1</v>
      </c>
      <c r="E2" s="38" t="s">
        <v>54</v>
      </c>
      <c r="F2" s="39"/>
      <c r="G2" s="39"/>
      <c r="H2" s="39"/>
      <c r="I2" s="40"/>
    </row>
    <row r="3" spans="1:9" x14ac:dyDescent="0.3">
      <c r="A3" s="44" t="s">
        <v>35</v>
      </c>
    </row>
    <row r="4" spans="1:9" x14ac:dyDescent="0.3">
      <c r="A4" t="s">
        <v>36</v>
      </c>
    </row>
    <row r="6" spans="1:9" x14ac:dyDescent="0.3">
      <c r="A6" t="s">
        <v>27</v>
      </c>
      <c r="C6" s="42">
        <v>5</v>
      </c>
    </row>
    <row r="7" spans="1:9" x14ac:dyDescent="0.3">
      <c r="A7" t="s">
        <v>3</v>
      </c>
      <c r="C7" s="43">
        <v>0.55000000000000004</v>
      </c>
    </row>
    <row r="8" spans="1:9" x14ac:dyDescent="0.3">
      <c r="A8" t="s">
        <v>4</v>
      </c>
      <c r="C8" s="2">
        <v>0.26500000000000001</v>
      </c>
    </row>
    <row r="9" spans="1:9" x14ac:dyDescent="0.3">
      <c r="A9" t="s">
        <v>5</v>
      </c>
      <c r="C9" s="2">
        <v>0.04</v>
      </c>
    </row>
    <row r="10" spans="1:9" x14ac:dyDescent="0.3">
      <c r="A10" t="s">
        <v>6</v>
      </c>
      <c r="C10" s="2">
        <v>0.56000000000000005</v>
      </c>
    </row>
    <row r="11" spans="1:9" x14ac:dyDescent="0.3">
      <c r="A11" t="s">
        <v>7</v>
      </c>
      <c r="C11" s="2">
        <v>0.4</v>
      </c>
    </row>
    <row r="13" spans="1:9" x14ac:dyDescent="0.3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x14ac:dyDescent="0.3">
      <c r="A14" s="1" t="s">
        <v>8</v>
      </c>
    </row>
    <row r="15" spans="1:9" x14ac:dyDescent="0.3">
      <c r="A15" t="s">
        <v>9</v>
      </c>
      <c r="E15" s="3">
        <v>0</v>
      </c>
      <c r="F15" s="3">
        <f>E18</f>
        <v>-211886.1</v>
      </c>
      <c r="G15" s="3">
        <f>F18</f>
        <v>-70919.100000000006</v>
      </c>
      <c r="H15" s="4">
        <f>G18</f>
        <v>-64348.200000000004</v>
      </c>
      <c r="I15" s="4">
        <f>H18</f>
        <v>-66822.48000000001</v>
      </c>
    </row>
    <row r="16" spans="1:9" x14ac:dyDescent="0.3">
      <c r="A16" t="s">
        <v>14</v>
      </c>
      <c r="E16" s="14">
        <v>-235429</v>
      </c>
      <c r="F16" s="3">
        <v>156630</v>
      </c>
      <c r="G16" s="3">
        <v>7301</v>
      </c>
      <c r="H16" s="3">
        <v>-18509</v>
      </c>
      <c r="I16" s="14">
        <v>-252924.02</v>
      </c>
    </row>
    <row r="17" spans="1:11" x14ac:dyDescent="0.3">
      <c r="A17" t="s">
        <v>10</v>
      </c>
      <c r="E17" s="32">
        <f>-E16/$C$6/2</f>
        <v>23542.9</v>
      </c>
      <c r="F17" s="32">
        <f>-F16/$C$6/2</f>
        <v>-15663</v>
      </c>
      <c r="G17" s="31">
        <f>-G16/$C$6/2</f>
        <v>-730.1</v>
      </c>
      <c r="H17" s="31">
        <f>-H16/$C$6/2-G15/$C$6</f>
        <v>16034.720000000001</v>
      </c>
      <c r="I17" s="45">
        <f>-I16/$C$6/2-SUM(E16:H16)/$C$6</f>
        <v>43293.801999999996</v>
      </c>
      <c r="K17" s="33"/>
    </row>
    <row r="18" spans="1:11" ht="16" thickBot="1" x14ac:dyDescent="0.35">
      <c r="A18" s="34" t="s">
        <v>11</v>
      </c>
      <c r="E18" s="6">
        <f>SUM(E15:E17)</f>
        <v>-211886.1</v>
      </c>
      <c r="F18" s="6">
        <f>SUM(F15:F17)</f>
        <v>-70919.100000000006</v>
      </c>
      <c r="G18" s="6">
        <f t="shared" ref="G18" si="0">SUM(G15:G17)</f>
        <v>-64348.200000000004</v>
      </c>
      <c r="H18" s="6">
        <f>SUM(H15:H17)</f>
        <v>-66822.48000000001</v>
      </c>
      <c r="I18" s="46">
        <f>SUM(I15:I17)</f>
        <v>-276452.69799999997</v>
      </c>
      <c r="K18" s="1"/>
    </row>
    <row r="19" spans="1:11" ht="16" thickBot="1" x14ac:dyDescent="0.35">
      <c r="A19" t="s">
        <v>12</v>
      </c>
      <c r="E19" s="7">
        <f>E18/2</f>
        <v>-105943.05</v>
      </c>
      <c r="F19" s="7">
        <f>(F15+F18)/2</f>
        <v>-141402.6</v>
      </c>
      <c r="G19" s="7">
        <f>(G15+G18)/2</f>
        <v>-67633.650000000009</v>
      </c>
      <c r="H19" s="7">
        <f>(H15+H18)/2</f>
        <v>-65585.340000000011</v>
      </c>
      <c r="I19" s="7">
        <f>(I15+I18)/2</f>
        <v>-171637.58899999998</v>
      </c>
    </row>
    <row r="20" spans="1:11" x14ac:dyDescent="0.3">
      <c r="E20" s="3"/>
      <c r="F20" s="3"/>
      <c r="G20" s="3"/>
    </row>
    <row r="21" spans="1:11" x14ac:dyDescent="0.3">
      <c r="A21" s="1" t="s">
        <v>13</v>
      </c>
      <c r="E21" s="3"/>
      <c r="F21" s="3"/>
      <c r="G21" s="3"/>
    </row>
    <row r="22" spans="1:11" x14ac:dyDescent="0.3">
      <c r="A22" t="s">
        <v>9</v>
      </c>
      <c r="E22" s="3">
        <v>0</v>
      </c>
      <c r="F22" s="3">
        <f>E25</f>
        <v>-170686.02499999999</v>
      </c>
      <c r="G22" s="3">
        <f>F25</f>
        <v>-57129.274999999994</v>
      </c>
      <c r="H22" s="4">
        <f>G25</f>
        <v>-79241.601249999992</v>
      </c>
      <c r="I22" s="4">
        <f>H25</f>
        <v>-49077.745562499993</v>
      </c>
    </row>
    <row r="23" spans="1:11" x14ac:dyDescent="0.3">
      <c r="A23" t="s">
        <v>14</v>
      </c>
      <c r="E23" s="3">
        <f>E16</f>
        <v>-235429</v>
      </c>
      <c r="F23" s="3">
        <f>F16</f>
        <v>156630</v>
      </c>
      <c r="G23" s="3">
        <v>7301</v>
      </c>
      <c r="H23" s="4">
        <f>H16</f>
        <v>-18509</v>
      </c>
      <c r="I23" s="4">
        <f>I16</f>
        <v>-252924.02</v>
      </c>
    </row>
    <row r="24" spans="1:11" x14ac:dyDescent="0.3">
      <c r="A24" t="s">
        <v>15</v>
      </c>
      <c r="E24" s="5">
        <f>-E23*$C$7/2</f>
        <v>64742.975000000006</v>
      </c>
      <c r="F24" s="5">
        <f>-F23*$C$7/2</f>
        <v>-43073.25</v>
      </c>
      <c r="G24" s="3">
        <f>G22*$C$7+G23*$C$7/2</f>
        <v>-29413.326249999998</v>
      </c>
      <c r="H24" s="31">
        <f>-H22*$C$7-H23*$C$7/2</f>
        <v>48672.855687499999</v>
      </c>
      <c r="I24" s="31">
        <f>-I22*$C$7-I23*$C$7/2</f>
        <v>96546.865559375001</v>
      </c>
    </row>
    <row r="25" spans="1:11" ht="16" thickBot="1" x14ac:dyDescent="0.35">
      <c r="A25" t="s">
        <v>11</v>
      </c>
      <c r="E25" s="6">
        <f>SUM(E22:E24)</f>
        <v>-170686.02499999999</v>
      </c>
      <c r="F25" s="6">
        <f>SUM(F22:F24)</f>
        <v>-57129.274999999994</v>
      </c>
      <c r="G25" s="6">
        <f>SUM(G22:G24)</f>
        <v>-79241.601249999992</v>
      </c>
      <c r="H25" s="6">
        <f>SUM(H22:H24)</f>
        <v>-49077.745562499993</v>
      </c>
      <c r="I25" s="6">
        <f>SUM(I22:I24)</f>
        <v>-205454.90000312499</v>
      </c>
    </row>
    <row r="27" spans="1:11" x14ac:dyDescent="0.3">
      <c r="A27" s="1" t="s">
        <v>16</v>
      </c>
    </row>
    <row r="28" spans="1:11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3">
      <c r="A33" t="s">
        <v>28</v>
      </c>
    </row>
    <row r="34" spans="1:9" x14ac:dyDescent="0.3">
      <c r="A34" t="s">
        <v>29</v>
      </c>
      <c r="E34" s="3">
        <f>E45</f>
        <v>-3894.4665179999997</v>
      </c>
      <c r="F34" s="3">
        <f>F45</f>
        <v>-5197.9595760000002</v>
      </c>
      <c r="G34" s="3">
        <f>G45</f>
        <v>-2486.212974</v>
      </c>
      <c r="H34" s="3">
        <f>H45</f>
        <v>-2410.9170984000007</v>
      </c>
      <c r="I34" s="3">
        <f>I45</f>
        <v>-6309.3977716399995</v>
      </c>
    </row>
    <row r="35" spans="1:9" x14ac:dyDescent="0.3">
      <c r="A35" t="s">
        <v>31</v>
      </c>
      <c r="E35" s="3">
        <f>E42</f>
        <v>-23542.9</v>
      </c>
      <c r="F35" s="3">
        <f>F42</f>
        <v>15663</v>
      </c>
      <c r="G35" s="3">
        <f>G42</f>
        <v>730.1</v>
      </c>
      <c r="H35" s="3">
        <f>H42</f>
        <v>-16034.720000000001</v>
      </c>
      <c r="I35" s="3">
        <f>I42</f>
        <v>-43293.801999999996</v>
      </c>
    </row>
    <row r="36" spans="1:9" x14ac:dyDescent="0.3">
      <c r="A36" t="s">
        <v>30</v>
      </c>
      <c r="E36" s="5">
        <f>E24</f>
        <v>64742.975000000006</v>
      </c>
      <c r="F36" s="5">
        <f>F24</f>
        <v>-43073.25</v>
      </c>
      <c r="G36" s="5">
        <f>G24</f>
        <v>-29413.326249999998</v>
      </c>
      <c r="H36" s="3">
        <f>H24</f>
        <v>48672.855687499999</v>
      </c>
      <c r="I36" s="3">
        <f>I24</f>
        <v>96546.865559375001</v>
      </c>
    </row>
    <row r="37" spans="1:9" ht="16" thickBot="1" x14ac:dyDescent="0.35">
      <c r="A37" t="s">
        <v>32</v>
      </c>
      <c r="E37" s="6">
        <f>SUM(E34:E36)</f>
        <v>37305.608482000003</v>
      </c>
      <c r="F37" s="6">
        <f>SUM(F34:F36)</f>
        <v>-32608.209576000001</v>
      </c>
      <c r="G37" s="6">
        <f>SUM(G34:G36)</f>
        <v>-31169.439223999998</v>
      </c>
      <c r="H37" s="6">
        <f>SUM(H34:H36)</f>
        <v>30227.218589099997</v>
      </c>
      <c r="I37" s="6">
        <f>SUM(I34:I36)</f>
        <v>46943.665787735008</v>
      </c>
    </row>
    <row r="38" spans="1:9" ht="16" thickBot="1" x14ac:dyDescent="0.35">
      <c r="A38" t="s">
        <v>33</v>
      </c>
      <c r="E38" s="7">
        <f>E37*C8</f>
        <v>9885.9862477300012</v>
      </c>
      <c r="F38" s="7">
        <f>F37*C8</f>
        <v>-8641.1755376400015</v>
      </c>
      <c r="G38" s="7">
        <f>G37*C8</f>
        <v>-8259.9013943600003</v>
      </c>
      <c r="H38" s="7">
        <f>H37*C8</f>
        <v>8010.2129261114997</v>
      </c>
      <c r="I38" s="7">
        <f>I37*C8</f>
        <v>12440.071433749777</v>
      </c>
    </row>
    <row r="39" spans="1:9" ht="16" thickBot="1" x14ac:dyDescent="0.35">
      <c r="A39" t="s">
        <v>34</v>
      </c>
      <c r="E39" s="7">
        <f>E38/(1-0.265)</f>
        <v>13450.321425482995</v>
      </c>
      <c r="F39" s="7">
        <f>F38/(1-0.265)</f>
        <v>-11756.701411755104</v>
      </c>
      <c r="G39" s="7">
        <f>G38/(1-0.265)</f>
        <v>-11237.961080761905</v>
      </c>
      <c r="H39" s="7">
        <f>H38/(1-0.265)</f>
        <v>10898.248879063265</v>
      </c>
      <c r="I39" s="7">
        <f>I38/(1-0.265)</f>
        <v>16925.267256802417</v>
      </c>
    </row>
    <row r="41" spans="1:9" x14ac:dyDescent="0.3">
      <c r="A41" t="s">
        <v>21</v>
      </c>
    </row>
    <row r="42" spans="1:9" x14ac:dyDescent="0.3">
      <c r="A42" t="s">
        <v>2</v>
      </c>
      <c r="E42" s="4">
        <f>-E17</f>
        <v>-23542.9</v>
      </c>
      <c r="F42" s="4">
        <f>-F17</f>
        <v>15663</v>
      </c>
      <c r="G42" s="4">
        <f>-G17</f>
        <v>730.1</v>
      </c>
      <c r="H42" s="4">
        <f>-H17</f>
        <v>-16034.720000000001</v>
      </c>
      <c r="I42" s="4">
        <f>-I17</f>
        <v>-43293.801999999996</v>
      </c>
    </row>
    <row r="43" spans="1:9" x14ac:dyDescent="0.3">
      <c r="A43" t="s">
        <v>22</v>
      </c>
      <c r="E43" s="4"/>
      <c r="F43" s="4"/>
      <c r="G43" s="4"/>
    </row>
    <row r="44" spans="1:9" x14ac:dyDescent="0.3">
      <c r="A44" t="s">
        <v>23</v>
      </c>
      <c r="E44" s="4">
        <f>E19*E30*0.6</f>
        <v>-2390.0249395729884</v>
      </c>
      <c r="F44" s="4">
        <f>F19*F30*0.6</f>
        <v>-3189.4770456000006</v>
      </c>
      <c r="G44" s="4">
        <f>G19*G30*0.6</f>
        <v>-1529.3320938000004</v>
      </c>
      <c r="H44" s="4">
        <f>H19*H30*0.6</f>
        <v>-1483.0157080800006</v>
      </c>
      <c r="I44" s="4">
        <f>I19*I30*0.6</f>
        <v>-3881.0691624680003</v>
      </c>
    </row>
    <row r="45" spans="1:9" x14ac:dyDescent="0.3">
      <c r="A45" t="s">
        <v>24</v>
      </c>
      <c r="E45" s="4">
        <f>E19*E31*0.4</f>
        <v>-3894.4665179999997</v>
      </c>
      <c r="F45" s="4">
        <f>F19*F31*0.4</f>
        <v>-5197.9595760000002</v>
      </c>
      <c r="G45" s="4">
        <f>G19*G31*0.4</f>
        <v>-2486.212974</v>
      </c>
      <c r="H45" s="4">
        <f>H19*H31*0.4</f>
        <v>-2410.9170984000007</v>
      </c>
      <c r="I45" s="4">
        <f>I19*I31*0.4</f>
        <v>-6309.3977716399995</v>
      </c>
    </row>
    <row r="46" spans="1:9" x14ac:dyDescent="0.3">
      <c r="A46" t="s">
        <v>25</v>
      </c>
      <c r="E46" s="10">
        <f>E39</f>
        <v>13450.321425482995</v>
      </c>
      <c r="F46" s="10">
        <f>F39</f>
        <v>-11756.701411755104</v>
      </c>
      <c r="G46" s="10">
        <f>G39</f>
        <v>-11237.961080761905</v>
      </c>
      <c r="H46" s="10">
        <f>H39</f>
        <v>10898.248879063265</v>
      </c>
      <c r="I46" s="10">
        <f>I39</f>
        <v>16925.267256802417</v>
      </c>
    </row>
    <row r="47" spans="1:9" ht="16" thickBot="1" x14ac:dyDescent="0.35">
      <c r="A47" s="1" t="s">
        <v>26</v>
      </c>
      <c r="B47" s="1"/>
      <c r="C47" s="1"/>
      <c r="D47" s="1"/>
      <c r="E47" s="11">
        <f>SUM(E42:E46)</f>
        <v>-16377.070032089996</v>
      </c>
      <c r="F47" s="17">
        <f>SUM(F42:F46)</f>
        <v>-4481.1380333551051</v>
      </c>
      <c r="G47" s="11">
        <f>SUM(G42:G46)</f>
        <v>-14523.406148561906</v>
      </c>
      <c r="H47" s="17">
        <f>SUM(H42:H46)</f>
        <v>-9030.403927416739</v>
      </c>
      <c r="I47" s="41">
        <f>SUM(I42:I46)</f>
        <v>-36559.001677305583</v>
      </c>
    </row>
    <row r="48" spans="1:9" ht="16" thickTop="1" x14ac:dyDescent="0.3"/>
  </sheetData>
  <pageMargins left="0.70866141732283472" right="0.70866141732283472" top="0.74803149606299213" bottom="0.74803149606299213" header="0.31496062992125984" footer="0.31496062992125984"/>
  <pageSetup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48"/>
  <sheetViews>
    <sheetView view="pageBreakPreview" zoomScale="60" zoomScaleNormal="90" workbookViewId="0">
      <pane xSplit="1" ySplit="13" topLeftCell="B21" activePane="bottomRight" state="frozen"/>
      <selection pane="topRight" activeCell="B1" sqref="B1"/>
      <selection pane="bottomLeft" activeCell="A14" sqref="A14"/>
      <selection pane="bottomRight" activeCell="E34" sqref="E34"/>
    </sheetView>
  </sheetViews>
  <sheetFormatPr defaultRowHeight="15.35" x14ac:dyDescent="0.3"/>
  <cols>
    <col min="1" max="1" width="26" customWidth="1"/>
    <col min="5" max="9" width="14.6640625" customWidth="1"/>
  </cols>
  <sheetData>
    <row r="1" spans="1:9" ht="16" thickBot="1" x14ac:dyDescent="0.35">
      <c r="A1" s="1" t="s">
        <v>0</v>
      </c>
    </row>
    <row r="2" spans="1:9" ht="16" thickBot="1" x14ac:dyDescent="0.35">
      <c r="A2" s="1" t="s">
        <v>1</v>
      </c>
      <c r="E2" s="38" t="s">
        <v>54</v>
      </c>
      <c r="F2" s="39"/>
      <c r="G2" s="39"/>
      <c r="H2" s="39"/>
      <c r="I2" s="40"/>
    </row>
    <row r="3" spans="1:9" x14ac:dyDescent="0.3">
      <c r="A3" s="44" t="s">
        <v>37</v>
      </c>
    </row>
    <row r="4" spans="1:9" x14ac:dyDescent="0.3">
      <c r="A4" t="s">
        <v>38</v>
      </c>
    </row>
    <row r="6" spans="1:9" x14ac:dyDescent="0.3">
      <c r="A6" t="s">
        <v>27</v>
      </c>
      <c r="C6" s="42">
        <v>12</v>
      </c>
    </row>
    <row r="7" spans="1:9" x14ac:dyDescent="0.3">
      <c r="A7" t="s">
        <v>3</v>
      </c>
      <c r="C7" s="43">
        <v>0.3</v>
      </c>
    </row>
    <row r="8" spans="1:9" x14ac:dyDescent="0.3">
      <c r="A8" t="s">
        <v>4</v>
      </c>
      <c r="C8" s="2">
        <v>0.26500000000000001</v>
      </c>
    </row>
    <row r="9" spans="1:9" x14ac:dyDescent="0.3">
      <c r="A9" t="s">
        <v>5</v>
      </c>
      <c r="C9" s="2">
        <v>0.04</v>
      </c>
    </row>
    <row r="10" spans="1:9" x14ac:dyDescent="0.3">
      <c r="A10" t="s">
        <v>6</v>
      </c>
      <c r="C10" s="2">
        <v>0.56000000000000005</v>
      </c>
    </row>
    <row r="11" spans="1:9" x14ac:dyDescent="0.3">
      <c r="A11" t="s">
        <v>7</v>
      </c>
      <c r="C11" s="2">
        <v>0.4</v>
      </c>
    </row>
    <row r="13" spans="1:9" x14ac:dyDescent="0.3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x14ac:dyDescent="0.3">
      <c r="A14" s="1" t="s">
        <v>8</v>
      </c>
    </row>
    <row r="15" spans="1:9" x14ac:dyDescent="0.3">
      <c r="A15" t="s">
        <v>9</v>
      </c>
      <c r="E15" s="3">
        <v>0</v>
      </c>
      <c r="F15" s="3">
        <f>E18</f>
        <v>-173563.75</v>
      </c>
      <c r="G15" s="3">
        <f>F18</f>
        <v>0</v>
      </c>
      <c r="H15" s="3">
        <f>G18</f>
        <v>0</v>
      </c>
      <c r="I15" s="3">
        <f>H18</f>
        <v>0</v>
      </c>
    </row>
    <row r="16" spans="1:9" x14ac:dyDescent="0.3">
      <c r="A16" t="s">
        <v>14</v>
      </c>
      <c r="E16" s="14">
        <v>-181110</v>
      </c>
      <c r="F16" s="3">
        <v>181110</v>
      </c>
      <c r="G16" s="3"/>
      <c r="H16" s="3"/>
    </row>
    <row r="17" spans="1:11" x14ac:dyDescent="0.3">
      <c r="A17" t="s">
        <v>10</v>
      </c>
      <c r="E17" s="5">
        <f>-E16/$C$6/2</f>
        <v>7546.25</v>
      </c>
      <c r="F17" s="15">
        <f>-F16/$C$6/2</f>
        <v>-7546.25</v>
      </c>
      <c r="G17" s="3">
        <f>-G16/$C$6/2</f>
        <v>0</v>
      </c>
      <c r="H17" s="3">
        <f>-H16/$C$6/2</f>
        <v>0</v>
      </c>
      <c r="I17" s="3">
        <f>-I16/$C$6/2</f>
        <v>0</v>
      </c>
    </row>
    <row r="18" spans="1:11" ht="16" thickBot="1" x14ac:dyDescent="0.35">
      <c r="A18" s="34" t="s">
        <v>11</v>
      </c>
      <c r="E18" s="6">
        <f>SUM(E15:E17)</f>
        <v>-173563.75</v>
      </c>
      <c r="F18" s="6">
        <f>SUM(F15:F17)</f>
        <v>0</v>
      </c>
      <c r="G18" s="6">
        <f>SUM(G15:G17)</f>
        <v>0</v>
      </c>
      <c r="H18" s="6">
        <f>SUM(H15:H17)</f>
        <v>0</v>
      </c>
      <c r="I18" s="47">
        <f>SUM(I15:I17)</f>
        <v>0</v>
      </c>
      <c r="K18" s="1"/>
    </row>
    <row r="19" spans="1:11" ht="16" thickBot="1" x14ac:dyDescent="0.35">
      <c r="A19" t="s">
        <v>12</v>
      </c>
      <c r="E19" s="7">
        <f>E18/2</f>
        <v>-86781.875</v>
      </c>
      <c r="F19" s="7">
        <f>(F15+F18)/2</f>
        <v>-86781.875</v>
      </c>
      <c r="G19" s="7">
        <f>(G15+G18)/2</f>
        <v>0</v>
      </c>
      <c r="H19" s="7">
        <f>(H15+H18)/2</f>
        <v>0</v>
      </c>
      <c r="I19" s="7">
        <f>(I15+I18)/2</f>
        <v>0</v>
      </c>
    </row>
    <row r="20" spans="1:11" x14ac:dyDescent="0.3">
      <c r="E20" s="3"/>
      <c r="F20" s="3"/>
      <c r="G20" s="3"/>
      <c r="H20" s="3"/>
    </row>
    <row r="21" spans="1:11" x14ac:dyDescent="0.3">
      <c r="A21" s="1" t="s">
        <v>13</v>
      </c>
      <c r="E21" s="3"/>
      <c r="F21" s="3"/>
      <c r="G21" s="3"/>
      <c r="H21" s="3"/>
    </row>
    <row r="22" spans="1:11" x14ac:dyDescent="0.3">
      <c r="A22" t="s">
        <v>9</v>
      </c>
      <c r="E22" s="3">
        <v>0</v>
      </c>
      <c r="F22" s="3">
        <f>E25</f>
        <v>-153943.5</v>
      </c>
      <c r="G22" s="3">
        <f>F25</f>
        <v>0</v>
      </c>
      <c r="H22" s="3">
        <f>G25</f>
        <v>0</v>
      </c>
      <c r="I22" s="3">
        <f>H25</f>
        <v>0</v>
      </c>
    </row>
    <row r="23" spans="1:11" x14ac:dyDescent="0.3">
      <c r="A23" t="s">
        <v>14</v>
      </c>
      <c r="E23" s="3">
        <f>E16</f>
        <v>-181110</v>
      </c>
      <c r="F23" s="3">
        <f>F16</f>
        <v>181110</v>
      </c>
      <c r="G23" s="3">
        <v>0</v>
      </c>
      <c r="H23" s="3">
        <v>0</v>
      </c>
      <c r="I23" s="16">
        <v>0</v>
      </c>
    </row>
    <row r="24" spans="1:11" x14ac:dyDescent="0.3">
      <c r="A24" t="s">
        <v>15</v>
      </c>
      <c r="E24" s="5">
        <f>-E23*$C$7/2</f>
        <v>27166.5</v>
      </c>
      <c r="F24" s="5">
        <f>-F23*$C$7/2</f>
        <v>-27166.5</v>
      </c>
      <c r="G24" s="5">
        <f t="shared" ref="G24:I24" si="0">-G23*$C$7/2</f>
        <v>0</v>
      </c>
      <c r="H24" s="5">
        <f t="shared" si="0"/>
        <v>0</v>
      </c>
      <c r="I24" s="5">
        <f t="shared" si="0"/>
        <v>0</v>
      </c>
    </row>
    <row r="25" spans="1:11" ht="16" thickBot="1" x14ac:dyDescent="0.35">
      <c r="A25" t="s">
        <v>11</v>
      </c>
      <c r="E25" s="6">
        <f>SUM(E22:E24)</f>
        <v>-153943.5</v>
      </c>
      <c r="F25" s="6">
        <f>SUM(F22:F24)</f>
        <v>0</v>
      </c>
      <c r="G25" s="6">
        <f>SUM(G22:G24)</f>
        <v>0</v>
      </c>
      <c r="H25" s="6">
        <f>SUM(H22:H24)</f>
        <v>0</v>
      </c>
      <c r="I25" s="6">
        <f>SUM(I22:I24)</f>
        <v>0</v>
      </c>
    </row>
    <row r="27" spans="1:11" x14ac:dyDescent="0.3">
      <c r="A27" s="1" t="s">
        <v>16</v>
      </c>
    </row>
    <row r="28" spans="1:11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3">
      <c r="A33" t="s">
        <v>28</v>
      </c>
    </row>
    <row r="34" spans="1:9" x14ac:dyDescent="0.3">
      <c r="A34" t="s">
        <v>29</v>
      </c>
      <c r="E34" s="3">
        <f>E45</f>
        <v>-3190.101725</v>
      </c>
      <c r="F34" s="3">
        <f>F45</f>
        <v>-3190.101725</v>
      </c>
      <c r="G34" s="3">
        <f>G45</f>
        <v>0</v>
      </c>
      <c r="H34" s="3">
        <f>H45</f>
        <v>0</v>
      </c>
      <c r="I34" s="3">
        <f>I45</f>
        <v>0</v>
      </c>
    </row>
    <row r="35" spans="1:9" x14ac:dyDescent="0.3">
      <c r="A35" t="s">
        <v>31</v>
      </c>
      <c r="E35" s="3">
        <f>E42</f>
        <v>-7546.25</v>
      </c>
      <c r="F35" s="3">
        <f>F42</f>
        <v>7546.25</v>
      </c>
      <c r="G35" s="3">
        <f>G42</f>
        <v>0</v>
      </c>
      <c r="H35" s="3">
        <f>H42</f>
        <v>0</v>
      </c>
      <c r="I35" s="3">
        <f>I42</f>
        <v>0</v>
      </c>
    </row>
    <row r="36" spans="1:9" x14ac:dyDescent="0.3">
      <c r="A36" t="s">
        <v>30</v>
      </c>
      <c r="E36" s="5">
        <f>E24</f>
        <v>27166.5</v>
      </c>
      <c r="F36" s="5">
        <f>F24</f>
        <v>-27166.5</v>
      </c>
      <c r="G36" s="5">
        <f>G24</f>
        <v>0</v>
      </c>
      <c r="H36" s="5">
        <f>H24</f>
        <v>0</v>
      </c>
      <c r="I36" s="5">
        <f>I24</f>
        <v>0</v>
      </c>
    </row>
    <row r="37" spans="1:9" ht="16" thickBot="1" x14ac:dyDescent="0.35">
      <c r="A37" t="s">
        <v>32</v>
      </c>
      <c r="E37" s="6">
        <f>SUM(E34:E36)</f>
        <v>16430.148275</v>
      </c>
      <c r="F37" s="6">
        <f>SUM(F34:F36)</f>
        <v>-22810.351725</v>
      </c>
      <c r="G37" s="6">
        <f>SUM(G34:G36)</f>
        <v>0</v>
      </c>
      <c r="H37" s="6">
        <f>SUM(H34:H36)</f>
        <v>0</v>
      </c>
      <c r="I37" s="6">
        <f>SUM(I34:I36)</f>
        <v>0</v>
      </c>
    </row>
    <row r="38" spans="1:9" ht="16" thickBot="1" x14ac:dyDescent="0.35">
      <c r="A38" t="s">
        <v>33</v>
      </c>
      <c r="E38" s="7">
        <f>E37*C8</f>
        <v>4353.9892928750005</v>
      </c>
      <c r="F38" s="7">
        <f>F37*C8</f>
        <v>-6044.7432071250005</v>
      </c>
      <c r="G38" s="7">
        <f>G37*C8</f>
        <v>0</v>
      </c>
      <c r="H38" s="7">
        <f>H37*C8</f>
        <v>0</v>
      </c>
      <c r="I38" s="7">
        <f>I37*C8</f>
        <v>0</v>
      </c>
    </row>
    <row r="39" spans="1:9" ht="16" thickBot="1" x14ac:dyDescent="0.35">
      <c r="A39" t="s">
        <v>34</v>
      </c>
      <c r="E39" s="7">
        <f>E38/(1-0.265)</f>
        <v>5923.7949562925178</v>
      </c>
      <c r="F39" s="7">
        <f>F38/(1-0.265)</f>
        <v>-8224.1404178571429</v>
      </c>
      <c r="G39" s="7">
        <f>G38/(1-0.265)</f>
        <v>0</v>
      </c>
      <c r="H39" s="7">
        <f>H38/(1-0.265)</f>
        <v>0</v>
      </c>
      <c r="I39" s="7">
        <f>I38/(1-0.265)</f>
        <v>0</v>
      </c>
    </row>
    <row r="41" spans="1:9" x14ac:dyDescent="0.3">
      <c r="A41" t="s">
        <v>21</v>
      </c>
    </row>
    <row r="42" spans="1:9" x14ac:dyDescent="0.3">
      <c r="A42" t="s">
        <v>2</v>
      </c>
      <c r="E42" s="4">
        <f>-E17</f>
        <v>-7546.25</v>
      </c>
      <c r="F42" s="4">
        <f>-F17</f>
        <v>7546.25</v>
      </c>
      <c r="G42" s="4">
        <f>-G17</f>
        <v>0</v>
      </c>
      <c r="H42" s="4">
        <f>-H17</f>
        <v>0</v>
      </c>
      <c r="I42" s="4">
        <f>-I17</f>
        <v>0</v>
      </c>
    </row>
    <row r="43" spans="1:9" x14ac:dyDescent="0.3">
      <c r="A43" t="s">
        <v>22</v>
      </c>
      <c r="E43" s="4"/>
      <c r="F43" s="4"/>
      <c r="G43" s="4"/>
      <c r="H43" s="4"/>
    </row>
    <row r="44" spans="1:9" x14ac:dyDescent="0.3">
      <c r="A44" t="s">
        <v>23</v>
      </c>
      <c r="E44" s="4">
        <f>E19*E30*0.6</f>
        <v>-1957.7579232701496</v>
      </c>
      <c r="F44" s="4">
        <f>F19*F30*0.6</f>
        <v>-1957.4519725000002</v>
      </c>
      <c r="G44" s="4">
        <f>G19*G30*0.6</f>
        <v>0</v>
      </c>
      <c r="H44" s="4">
        <f>H19*H30*0.6</f>
        <v>0</v>
      </c>
      <c r="I44" s="4">
        <f>I19*I30*0.6</f>
        <v>0</v>
      </c>
    </row>
    <row r="45" spans="1:9" x14ac:dyDescent="0.3">
      <c r="A45" t="s">
        <v>24</v>
      </c>
      <c r="E45" s="4">
        <f>E19*E31*0.4</f>
        <v>-3190.101725</v>
      </c>
      <c r="F45" s="4">
        <f>F19*F31*0.4</f>
        <v>-3190.101725</v>
      </c>
      <c r="G45" s="4">
        <f>G19*G31*0.4</f>
        <v>0</v>
      </c>
      <c r="H45" s="4">
        <f>H19*H31*0.4</f>
        <v>0</v>
      </c>
      <c r="I45" s="4">
        <f>I19*I31*0.4</f>
        <v>0</v>
      </c>
    </row>
    <row r="46" spans="1:9" x14ac:dyDescent="0.3">
      <c r="A46" t="s">
        <v>25</v>
      </c>
      <c r="E46" s="10">
        <f>E39</f>
        <v>5923.7949562925178</v>
      </c>
      <c r="F46" s="10">
        <f>F39</f>
        <v>-8224.1404178571429</v>
      </c>
      <c r="G46" s="10">
        <f>G39</f>
        <v>0</v>
      </c>
      <c r="H46" s="10">
        <f>H39</f>
        <v>0</v>
      </c>
      <c r="I46" s="10">
        <f>I39</f>
        <v>0</v>
      </c>
    </row>
    <row r="47" spans="1:9" ht="16" thickBot="1" x14ac:dyDescent="0.35">
      <c r="A47" s="1" t="s">
        <v>26</v>
      </c>
      <c r="B47" s="1"/>
      <c r="C47" s="1"/>
      <c r="D47" s="1"/>
      <c r="E47" s="11">
        <f>SUM(E42:E46)</f>
        <v>-6770.3146919776327</v>
      </c>
      <c r="F47" s="17">
        <f>SUM(F42:F46)</f>
        <v>-5825.4441153571424</v>
      </c>
      <c r="G47" s="11">
        <f>SUM(G42:G46)</f>
        <v>0</v>
      </c>
      <c r="H47" s="11">
        <f>SUM(H42:H46)</f>
        <v>0</v>
      </c>
      <c r="I47" s="36">
        <f>SUM(I42:I46)</f>
        <v>0</v>
      </c>
    </row>
    <row r="48" spans="1:9" ht="16" thickTop="1" x14ac:dyDescent="0.3"/>
  </sheetData>
  <pageMargins left="0.70866141732283472" right="0.70866141732283472" top="0.74803149606299213" bottom="0.74803149606299213" header="0.31496062992125984" footer="0.31496062992125984"/>
  <pageSetup scale="6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48"/>
  <sheetViews>
    <sheetView view="pageBreakPreview" zoomScale="60" zoomScaleNormal="90" workbookViewId="0">
      <pane xSplit="1" ySplit="13" topLeftCell="B3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RowHeight="15.35" x14ac:dyDescent="0.3"/>
  <cols>
    <col min="1" max="1" width="27.109375" customWidth="1"/>
    <col min="5" max="9" width="14.6640625" customWidth="1"/>
    <col min="10" max="10" width="6.5546875" customWidth="1"/>
    <col min="11" max="11" width="17.109375" customWidth="1"/>
  </cols>
  <sheetData>
    <row r="1" spans="1:11" ht="16" thickBot="1" x14ac:dyDescent="0.35">
      <c r="A1" s="1" t="s">
        <v>0</v>
      </c>
    </row>
    <row r="2" spans="1:11" ht="16" thickBot="1" x14ac:dyDescent="0.35">
      <c r="A2" s="1" t="s">
        <v>1</v>
      </c>
      <c r="E2" s="38" t="s">
        <v>54</v>
      </c>
      <c r="F2" s="39"/>
      <c r="G2" s="39"/>
      <c r="H2" s="39"/>
      <c r="I2" s="40"/>
    </row>
    <row r="3" spans="1:11" x14ac:dyDescent="0.3">
      <c r="A3" s="44" t="s">
        <v>39</v>
      </c>
    </row>
    <row r="4" spans="1:11" x14ac:dyDescent="0.3">
      <c r="A4" t="s">
        <v>40</v>
      </c>
    </row>
    <row r="6" spans="1:11" x14ac:dyDescent="0.3">
      <c r="A6" t="s">
        <v>27</v>
      </c>
      <c r="C6" s="42">
        <v>60</v>
      </c>
    </row>
    <row r="7" spans="1:11" x14ac:dyDescent="0.3">
      <c r="A7" t="s">
        <v>3</v>
      </c>
      <c r="C7" s="43">
        <v>0.08</v>
      </c>
    </row>
    <row r="8" spans="1:11" x14ac:dyDescent="0.3">
      <c r="A8" t="s">
        <v>4</v>
      </c>
      <c r="C8" s="2">
        <v>0.26500000000000001</v>
      </c>
    </row>
    <row r="9" spans="1:11" x14ac:dyDescent="0.3">
      <c r="A9" t="s">
        <v>5</v>
      </c>
      <c r="C9" s="2">
        <v>0.04</v>
      </c>
    </row>
    <row r="10" spans="1:11" ht="22.7" x14ac:dyDescent="0.3">
      <c r="A10" t="s">
        <v>6</v>
      </c>
      <c r="C10" s="2">
        <v>0.56000000000000005</v>
      </c>
      <c r="H10" s="48" t="s">
        <v>55</v>
      </c>
    </row>
    <row r="11" spans="1:11" x14ac:dyDescent="0.3">
      <c r="A11" t="s">
        <v>7</v>
      </c>
      <c r="C11" s="2">
        <v>0.4</v>
      </c>
    </row>
    <row r="13" spans="1:11" x14ac:dyDescent="0.3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11" x14ac:dyDescent="0.3">
      <c r="A14" s="1" t="s">
        <v>8</v>
      </c>
    </row>
    <row r="15" spans="1:11" x14ac:dyDescent="0.3">
      <c r="A15" t="s">
        <v>9</v>
      </c>
      <c r="E15" s="3">
        <v>0</v>
      </c>
      <c r="F15" s="3">
        <f>E18</f>
        <v>-210215.48333333334</v>
      </c>
      <c r="G15" s="3">
        <f>F18</f>
        <v>-225067.67500000002</v>
      </c>
      <c r="H15" s="4">
        <f>G18</f>
        <v>-1.7507773009128869E-11</v>
      </c>
      <c r="I15" s="4">
        <f>H18</f>
        <v>176296.81416666662</v>
      </c>
      <c r="K15" s="50"/>
    </row>
    <row r="16" spans="1:11" x14ac:dyDescent="0.3">
      <c r="A16" t="s">
        <v>14</v>
      </c>
      <c r="E16" s="14">
        <v>-211982</v>
      </c>
      <c r="F16" s="3">
        <v>-14977</v>
      </c>
      <c r="G16" s="3">
        <v>226959</v>
      </c>
      <c r="H16" s="3">
        <f>84927.06+92851.24</f>
        <v>177778.3</v>
      </c>
      <c r="I16" s="3">
        <f>82669.18-160796</f>
        <v>-78126.820000000007</v>
      </c>
      <c r="K16" s="50"/>
    </row>
    <row r="17" spans="1:11" x14ac:dyDescent="0.3">
      <c r="A17" t="s">
        <v>10</v>
      </c>
      <c r="E17" s="5">
        <f>-E16/$C$6/2</f>
        <v>1766.5166666666667</v>
      </c>
      <c r="F17" s="5">
        <f>-F16/$C$6/2</f>
        <v>124.80833333333334</v>
      </c>
      <c r="G17" s="5">
        <f>-G16/$C$6/2</f>
        <v>-1891.325</v>
      </c>
      <c r="H17" s="5">
        <f>-H16/$C$6/2</f>
        <v>-1481.4858333333332</v>
      </c>
      <c r="I17" s="5">
        <f>-I16/$C$6/2-SUM(E16:H16)/$C$6</f>
        <v>-2311.9148333333328</v>
      </c>
    </row>
    <row r="18" spans="1:11" ht="16" thickBot="1" x14ac:dyDescent="0.35">
      <c r="A18" s="34" t="s">
        <v>11</v>
      </c>
      <c r="E18" s="6">
        <f>SUM(E15:E17)</f>
        <v>-210215.48333333334</v>
      </c>
      <c r="F18" s="6">
        <f>SUM(F15:F17)</f>
        <v>-225067.67500000002</v>
      </c>
      <c r="G18" s="6">
        <f>SUM(G15:G17)</f>
        <v>-1.7507773009128869E-11</v>
      </c>
      <c r="H18" s="6">
        <f>SUM(H15:H17)</f>
        <v>176296.81416666662</v>
      </c>
      <c r="I18" s="47">
        <f>SUM(I15:I17)</f>
        <v>95858.079333333284</v>
      </c>
      <c r="K18" s="1"/>
    </row>
    <row r="19" spans="1:11" ht="16" thickBot="1" x14ac:dyDescent="0.35">
      <c r="A19" t="s">
        <v>12</v>
      </c>
      <c r="E19" s="7">
        <f>E18/2</f>
        <v>-105107.74166666667</v>
      </c>
      <c r="F19" s="7">
        <f>(F15+F18)/2</f>
        <v>-217641.57916666666</v>
      </c>
      <c r="G19" s="7">
        <f>(G15+G18)/2</f>
        <v>-112533.83750000002</v>
      </c>
      <c r="H19" s="7">
        <f>(H15+H18)/2</f>
        <v>88148.407083333295</v>
      </c>
      <c r="I19" s="7">
        <f>(I15+I18)/2</f>
        <v>136077.44674999994</v>
      </c>
      <c r="K19" s="51"/>
    </row>
    <row r="20" spans="1:11" x14ac:dyDescent="0.3">
      <c r="E20" s="3"/>
      <c r="F20" s="3"/>
      <c r="G20" s="3"/>
      <c r="H20" s="4"/>
      <c r="I20" s="4"/>
    </row>
    <row r="21" spans="1:11" x14ac:dyDescent="0.3">
      <c r="A21" s="1" t="s">
        <v>13</v>
      </c>
      <c r="E21" s="3"/>
      <c r="F21" s="3"/>
      <c r="G21" s="3"/>
      <c r="H21" s="4"/>
      <c r="I21" s="4"/>
    </row>
    <row r="22" spans="1:11" x14ac:dyDescent="0.3">
      <c r="A22" t="s">
        <v>9</v>
      </c>
      <c r="E22" s="3">
        <v>0</v>
      </c>
      <c r="F22" s="3">
        <f>E25</f>
        <v>-203502.72</v>
      </c>
      <c r="G22" s="3">
        <f>F25</f>
        <v>-202199.5024</v>
      </c>
      <c r="H22" s="3">
        <f t="shared" ref="H22:I22" si="0">G25</f>
        <v>17661.897408000004</v>
      </c>
      <c r="I22" s="3">
        <f t="shared" si="0"/>
        <v>203964.28120064002</v>
      </c>
      <c r="K22" s="3"/>
    </row>
    <row r="23" spans="1:11" x14ac:dyDescent="0.3">
      <c r="A23" t="s">
        <v>14</v>
      </c>
      <c r="E23" s="3">
        <f>E16</f>
        <v>-211982</v>
      </c>
      <c r="F23" s="3">
        <f>F16</f>
        <v>-14977</v>
      </c>
      <c r="G23" s="3">
        <f>G16</f>
        <v>226959</v>
      </c>
      <c r="H23" s="3">
        <f t="shared" ref="H23:I23" si="1">H16</f>
        <v>177778.3</v>
      </c>
      <c r="I23" s="3">
        <f t="shared" si="1"/>
        <v>-78126.820000000007</v>
      </c>
      <c r="K23" s="3"/>
    </row>
    <row r="24" spans="1:11" x14ac:dyDescent="0.3">
      <c r="A24" t="s">
        <v>15</v>
      </c>
      <c r="E24" s="5">
        <f>-E23*C7/2</f>
        <v>8479.2800000000007</v>
      </c>
      <c r="F24" s="3">
        <f>F22*-C7</f>
        <v>16280.2176</v>
      </c>
      <c r="G24" s="3">
        <f>G22*C7+G23*C7/2</f>
        <v>-7097.6001919999999</v>
      </c>
      <c r="H24" s="3">
        <f>H22*C7+H23*C7/2</f>
        <v>8524.08379264</v>
      </c>
      <c r="I24" s="3">
        <f>-I22*C7-I23*C7/2</f>
        <v>-13192.069696051201</v>
      </c>
    </row>
    <row r="25" spans="1:11" ht="16" thickBot="1" x14ac:dyDescent="0.35">
      <c r="A25" t="s">
        <v>11</v>
      </c>
      <c r="E25" s="6">
        <f>SUM(E22:E24)</f>
        <v>-203502.72</v>
      </c>
      <c r="F25" s="6">
        <f>SUM(F22:F24)</f>
        <v>-202199.5024</v>
      </c>
      <c r="G25" s="6">
        <f>SUM(G22:G24)</f>
        <v>17661.897408000004</v>
      </c>
      <c r="H25" s="6">
        <f>SUM(H22:H24)</f>
        <v>203964.28120064002</v>
      </c>
      <c r="I25" s="6">
        <f>SUM(I22:I24)</f>
        <v>112645.39150458881</v>
      </c>
    </row>
    <row r="27" spans="1:11" x14ac:dyDescent="0.3">
      <c r="A27" s="1" t="s">
        <v>16</v>
      </c>
    </row>
    <row r="28" spans="1:11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  <c r="H28" s="8">
        <v>1.6500000000000001E-2</v>
      </c>
      <c r="I28" s="8">
        <v>1.6500000000000001E-2</v>
      </c>
    </row>
    <row r="29" spans="1:11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  <c r="H29" s="8">
        <v>3.9199999999999999E-2</v>
      </c>
      <c r="I29" s="8">
        <v>3.9199999999999999E-2</v>
      </c>
    </row>
    <row r="30" spans="1:11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  <c r="H30" s="8">
        <f>(H28*0.04+H29*0.56)/0.6*1</f>
        <v>3.7686666666666674E-2</v>
      </c>
      <c r="I30" s="8">
        <f>(I28*0.04+I29*0.56)/0.6*1</f>
        <v>3.7686666666666674E-2</v>
      </c>
    </row>
    <row r="31" spans="1:11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  <c r="H31" s="8">
        <v>9.1899999999999996E-2</v>
      </c>
      <c r="I31" s="8">
        <v>9.1899999999999996E-2</v>
      </c>
    </row>
    <row r="33" spans="1:9" x14ac:dyDescent="0.3">
      <c r="A33" t="s">
        <v>28</v>
      </c>
    </row>
    <row r="34" spans="1:9" x14ac:dyDescent="0.3">
      <c r="A34" t="s">
        <v>29</v>
      </c>
      <c r="E34" s="3">
        <f>E45</f>
        <v>-3863.7605836666662</v>
      </c>
      <c r="F34" s="3">
        <f>F45</f>
        <v>-8000.5044501666671</v>
      </c>
      <c r="G34" s="3">
        <f>G45</f>
        <v>-4136.7438665000009</v>
      </c>
      <c r="H34" s="3">
        <f>H45</f>
        <v>3240.3354443833323</v>
      </c>
      <c r="I34" s="3">
        <f>I45</f>
        <v>5002.2069425299978</v>
      </c>
    </row>
    <row r="35" spans="1:9" x14ac:dyDescent="0.3">
      <c r="A35" t="s">
        <v>31</v>
      </c>
      <c r="E35" s="3">
        <f>E42</f>
        <v>-1766.5166666666667</v>
      </c>
      <c r="F35" s="3">
        <f>F42</f>
        <v>-124.80833333333334</v>
      </c>
      <c r="G35" s="3">
        <f>G42</f>
        <v>1891.325</v>
      </c>
      <c r="H35" s="3">
        <f>H42</f>
        <v>1481.4858333333332</v>
      </c>
      <c r="I35" s="3">
        <f>I42</f>
        <v>2311.9148333333328</v>
      </c>
    </row>
    <row r="36" spans="1:9" x14ac:dyDescent="0.3">
      <c r="A36" t="s">
        <v>30</v>
      </c>
      <c r="E36" s="5">
        <f>E24</f>
        <v>8479.2800000000007</v>
      </c>
      <c r="F36" s="5">
        <f>F24</f>
        <v>16280.2176</v>
      </c>
      <c r="G36" s="5">
        <f>G24</f>
        <v>-7097.6001919999999</v>
      </c>
      <c r="H36" s="5">
        <f>H24</f>
        <v>8524.08379264</v>
      </c>
      <c r="I36" s="5">
        <f>I24</f>
        <v>-13192.069696051201</v>
      </c>
    </row>
    <row r="37" spans="1:9" ht="16" thickBot="1" x14ac:dyDescent="0.35">
      <c r="A37" t="s">
        <v>32</v>
      </c>
      <c r="E37" s="6">
        <f>SUM(E34:E36)</f>
        <v>2849.002749666668</v>
      </c>
      <c r="F37" s="6">
        <f>SUM(F34:F36)</f>
        <v>8154.9048164999995</v>
      </c>
      <c r="G37" s="6">
        <f>SUM(G34:G36)</f>
        <v>-9343.0190585000018</v>
      </c>
      <c r="H37" s="6">
        <f>SUM(H34:H36)</f>
        <v>13245.905070356665</v>
      </c>
      <c r="I37" s="6">
        <f>SUM(I34:I36)</f>
        <v>-5877.9479201878712</v>
      </c>
    </row>
    <row r="38" spans="1:9" ht="16" thickBot="1" x14ac:dyDescent="0.35">
      <c r="A38" t="s">
        <v>33</v>
      </c>
      <c r="E38" s="7">
        <f>E37*C8</f>
        <v>754.98572866166705</v>
      </c>
      <c r="F38" s="7">
        <f>F37*C8</f>
        <v>2161.0497763724998</v>
      </c>
      <c r="G38" s="7">
        <f>G37*C8</f>
        <v>-2475.9000505025006</v>
      </c>
      <c r="H38" s="7">
        <f>H37*C8</f>
        <v>3510.1648436445162</v>
      </c>
      <c r="I38" s="7">
        <f>I37*C8</f>
        <v>-1557.6561988497861</v>
      </c>
    </row>
    <row r="39" spans="1:9" ht="16" thickBot="1" x14ac:dyDescent="0.35">
      <c r="A39" t="s">
        <v>34</v>
      </c>
      <c r="E39" s="7">
        <f>E38/(1-0.265)</f>
        <v>1027.1914675668941</v>
      </c>
      <c r="F39" s="7">
        <f>F38/(1-0.265)</f>
        <v>2940.203777377551</v>
      </c>
      <c r="G39" s="7">
        <f>G38/(1-0.265)</f>
        <v>-3368.5714972823139</v>
      </c>
      <c r="H39" s="7">
        <f>H38/(1-0.265)</f>
        <v>4775.734481149002</v>
      </c>
      <c r="I39" s="7">
        <f>I38/(1-0.265)</f>
        <v>-2119.2601344895047</v>
      </c>
    </row>
    <row r="41" spans="1:9" x14ac:dyDescent="0.3">
      <c r="A41" t="s">
        <v>21</v>
      </c>
    </row>
    <row r="42" spans="1:9" x14ac:dyDescent="0.3">
      <c r="A42" t="s">
        <v>2</v>
      </c>
      <c r="E42" s="4">
        <f>-E17</f>
        <v>-1766.5166666666667</v>
      </c>
      <c r="F42" s="4">
        <f>-F17</f>
        <v>-124.80833333333334</v>
      </c>
      <c r="G42" s="4">
        <f>-G17</f>
        <v>1891.325</v>
      </c>
      <c r="H42" s="4">
        <f>-H17</f>
        <v>1481.4858333333332</v>
      </c>
      <c r="I42" s="4">
        <f>-I17</f>
        <v>2311.9148333333328</v>
      </c>
    </row>
    <row r="43" spans="1:9" x14ac:dyDescent="0.3">
      <c r="A43" t="s">
        <v>22</v>
      </c>
      <c r="E43" s="4"/>
      <c r="F43" s="4"/>
      <c r="G43" s="4"/>
    </row>
    <row r="44" spans="1:9" x14ac:dyDescent="0.3">
      <c r="A44" t="s">
        <v>23</v>
      </c>
      <c r="E44" s="4">
        <f>E19*E30*0.6</f>
        <v>-2371.1807799145699</v>
      </c>
      <c r="F44" s="4">
        <f>F19*F30*0.6</f>
        <v>-4909.1234596833337</v>
      </c>
      <c r="G44" s="4">
        <f>G19*G30*0.6</f>
        <v>-2544.6151335500008</v>
      </c>
      <c r="H44" s="4">
        <f>H19*H30*0.6</f>
        <v>1993.2117809683327</v>
      </c>
      <c r="I44" s="4">
        <f>I19*I30*0.6</f>
        <v>3076.9832259109994</v>
      </c>
    </row>
    <row r="45" spans="1:9" x14ac:dyDescent="0.3">
      <c r="A45" t="s">
        <v>24</v>
      </c>
      <c r="E45" s="4">
        <f>E19*E31*0.4</f>
        <v>-3863.7605836666662</v>
      </c>
      <c r="F45" s="4">
        <f>F19*F31*0.4</f>
        <v>-8000.5044501666671</v>
      </c>
      <c r="G45" s="4">
        <f>G19*G31*0.4</f>
        <v>-4136.7438665000009</v>
      </c>
      <c r="H45" s="4">
        <f>H19*H31*0.4</f>
        <v>3240.3354443833323</v>
      </c>
      <c r="I45" s="4">
        <f>I19*I31*0.4</f>
        <v>5002.2069425299978</v>
      </c>
    </row>
    <row r="46" spans="1:9" x14ac:dyDescent="0.3">
      <c r="A46" t="s">
        <v>25</v>
      </c>
      <c r="E46" s="10">
        <f>E39</f>
        <v>1027.1914675668941</v>
      </c>
      <c r="F46" s="10">
        <f>F39</f>
        <v>2940.203777377551</v>
      </c>
      <c r="G46" s="10">
        <f>G39</f>
        <v>-3368.5714972823139</v>
      </c>
      <c r="H46" s="10">
        <f>H39</f>
        <v>4775.734481149002</v>
      </c>
      <c r="I46" s="10">
        <f>I39</f>
        <v>-2119.2601344895047</v>
      </c>
    </row>
    <row r="47" spans="1:9" ht="16" thickBot="1" x14ac:dyDescent="0.35">
      <c r="A47" s="1" t="s">
        <v>26</v>
      </c>
      <c r="B47" s="1"/>
      <c r="C47" s="1"/>
      <c r="D47" s="1"/>
      <c r="E47" s="11">
        <f>SUM(E42:E46)</f>
        <v>-6974.2665626810085</v>
      </c>
      <c r="F47" s="17">
        <f>SUM(F42:F46)</f>
        <v>-10094.232465805784</v>
      </c>
      <c r="G47" s="11">
        <f>SUM(G42:G46)</f>
        <v>-8158.6054973323153</v>
      </c>
      <c r="H47" s="11">
        <f>SUM(H42:H46)</f>
        <v>11490.767539834</v>
      </c>
      <c r="I47" s="36">
        <f>SUM(I42:I46)</f>
        <v>8271.8448672848244</v>
      </c>
    </row>
    <row r="48" spans="1:9" ht="16" thickTop="1" x14ac:dyDescent="0.3"/>
  </sheetData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J48"/>
  <sheetViews>
    <sheetView view="pageBreakPreview" zoomScale="60" zoomScaleNormal="90" workbookViewId="0">
      <pane xSplit="1" ySplit="13" topLeftCell="B23" activePane="bottomRight" state="frozen"/>
      <selection pane="topRight" activeCell="B1" sqref="B1"/>
      <selection pane="bottomLeft" activeCell="A14" sqref="A14"/>
      <selection pane="bottomRight" activeCell="G24" sqref="G24"/>
    </sheetView>
  </sheetViews>
  <sheetFormatPr defaultRowHeight="15.35" x14ac:dyDescent="0.3"/>
  <cols>
    <col min="1" max="1" width="31.33203125" bestFit="1" customWidth="1"/>
    <col min="5" max="9" width="14.6640625" customWidth="1"/>
    <col min="10" max="11" width="17.109375" customWidth="1"/>
  </cols>
  <sheetData>
    <row r="1" spans="1:9" ht="16" thickBot="1" x14ac:dyDescent="0.35">
      <c r="A1" s="1" t="s">
        <v>0</v>
      </c>
    </row>
    <row r="2" spans="1:9" ht="16" thickBot="1" x14ac:dyDescent="0.35">
      <c r="A2" s="1" t="s">
        <v>1</v>
      </c>
      <c r="E2" s="38" t="s">
        <v>54</v>
      </c>
      <c r="F2" s="39"/>
      <c r="G2" s="39"/>
      <c r="H2" s="39"/>
      <c r="I2" s="40"/>
    </row>
    <row r="3" spans="1:9" x14ac:dyDescent="0.3">
      <c r="A3" s="44" t="s">
        <v>44</v>
      </c>
    </row>
    <row r="4" spans="1:9" x14ac:dyDescent="0.3">
      <c r="A4" t="s">
        <v>40</v>
      </c>
    </row>
    <row r="5" spans="1:9" x14ac:dyDescent="0.3">
      <c r="C5" s="18"/>
    </row>
    <row r="6" spans="1:9" x14ac:dyDescent="0.3">
      <c r="A6" t="s">
        <v>27</v>
      </c>
      <c r="C6" s="42">
        <v>15</v>
      </c>
    </row>
    <row r="7" spans="1:9" x14ac:dyDescent="0.3">
      <c r="A7" t="s">
        <v>3</v>
      </c>
      <c r="C7" s="43">
        <v>0.04</v>
      </c>
    </row>
    <row r="8" spans="1:9" x14ac:dyDescent="0.3">
      <c r="A8" t="s">
        <v>4</v>
      </c>
      <c r="C8" s="20">
        <v>0.26500000000000001</v>
      </c>
    </row>
    <row r="9" spans="1:9" x14ac:dyDescent="0.3">
      <c r="A9" t="s">
        <v>5</v>
      </c>
      <c r="C9" s="2">
        <v>0.04</v>
      </c>
    </row>
    <row r="10" spans="1:9" x14ac:dyDescent="0.3">
      <c r="A10" t="s">
        <v>6</v>
      </c>
      <c r="C10" s="2">
        <v>0.56000000000000005</v>
      </c>
    </row>
    <row r="11" spans="1:9" x14ac:dyDescent="0.3">
      <c r="A11" t="s">
        <v>7</v>
      </c>
      <c r="C11" s="2">
        <v>0.4</v>
      </c>
    </row>
    <row r="13" spans="1:9" x14ac:dyDescent="0.3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9" x14ac:dyDescent="0.3">
      <c r="A14" s="1" t="s">
        <v>8</v>
      </c>
    </row>
    <row r="15" spans="1:9" x14ac:dyDescent="0.3">
      <c r="A15" t="s">
        <v>9</v>
      </c>
      <c r="E15" s="3">
        <v>0</v>
      </c>
      <c r="F15" s="3">
        <f>E18</f>
        <v>-216072.30099999977</v>
      </c>
      <c r="G15" s="3">
        <f>F18</f>
        <v>-38886.762999999788</v>
      </c>
    </row>
    <row r="16" spans="1:9" x14ac:dyDescent="0.3">
      <c r="A16" t="s">
        <v>14</v>
      </c>
      <c r="E16" s="14">
        <v>-223523.06999999977</v>
      </c>
      <c r="F16" s="3">
        <v>167880</v>
      </c>
      <c r="G16" s="14">
        <v>349284.65</v>
      </c>
    </row>
    <row r="17" spans="1:10" x14ac:dyDescent="0.3">
      <c r="A17" t="s">
        <v>10</v>
      </c>
      <c r="E17" s="5">
        <f>-E16/$C$6/2</f>
        <v>7450.768999999992</v>
      </c>
      <c r="F17" s="5">
        <f>-F16/$C$6/2-E16/$C$6</f>
        <v>9305.5379999999841</v>
      </c>
      <c r="G17" s="49">
        <f>-G16/$C$6/2-SUM(E16:F16)/$C$6</f>
        <v>-7933.2836666666817</v>
      </c>
    </row>
    <row r="18" spans="1:10" ht="16" thickBot="1" x14ac:dyDescent="0.35">
      <c r="A18" s="34" t="s">
        <v>11</v>
      </c>
      <c r="E18" s="6">
        <f>SUM(E15:E17)</f>
        <v>-216072.30099999977</v>
      </c>
      <c r="F18" s="6">
        <f>SUM(F15:F17)</f>
        <v>-38886.762999999788</v>
      </c>
      <c r="G18" s="47">
        <f>SUM(G15:G17)</f>
        <v>302464.60333333357</v>
      </c>
      <c r="J18" s="1"/>
    </row>
    <row r="19" spans="1:10" ht="16" thickBot="1" x14ac:dyDescent="0.35">
      <c r="A19" t="s">
        <v>12</v>
      </c>
      <c r="E19" s="7">
        <f>E18/2</f>
        <v>-108036.15049999989</v>
      </c>
      <c r="F19" s="7">
        <f>(F15+F18)/2</f>
        <v>-127479.53199999977</v>
      </c>
      <c r="G19" s="7">
        <f>(G15+G18)/2</f>
        <v>131788.92016666688</v>
      </c>
    </row>
    <row r="20" spans="1:10" x14ac:dyDescent="0.3">
      <c r="E20" s="3"/>
      <c r="F20" s="3"/>
      <c r="G20" s="3"/>
    </row>
    <row r="21" spans="1:10" x14ac:dyDescent="0.3">
      <c r="A21" s="1" t="s">
        <v>13</v>
      </c>
      <c r="E21" s="3"/>
      <c r="F21" s="3"/>
      <c r="G21" s="3"/>
    </row>
    <row r="22" spans="1:10" x14ac:dyDescent="0.3">
      <c r="A22" t="s">
        <v>9</v>
      </c>
      <c r="E22" s="3">
        <v>0</v>
      </c>
      <c r="F22" s="3">
        <f>E25</f>
        <v>-219052.60859999977</v>
      </c>
      <c r="G22" s="3">
        <f>F25</f>
        <v>-45768.104255999788</v>
      </c>
    </row>
    <row r="23" spans="1:10" x14ac:dyDescent="0.3">
      <c r="A23" t="s">
        <v>14</v>
      </c>
      <c r="E23" s="3">
        <f>E16</f>
        <v>-223523.06999999977</v>
      </c>
      <c r="F23" s="3">
        <f>F16</f>
        <v>167880</v>
      </c>
      <c r="G23" s="3">
        <f>G16</f>
        <v>349284.65</v>
      </c>
    </row>
    <row r="24" spans="1:10" x14ac:dyDescent="0.3">
      <c r="A24" t="s">
        <v>15</v>
      </c>
      <c r="E24" s="5">
        <f>-E23*C7/2</f>
        <v>4470.4613999999956</v>
      </c>
      <c r="F24" s="5">
        <f>-F23*C7/2-F22*C7</f>
        <v>5404.5043439999899</v>
      </c>
      <c r="G24" s="3">
        <f>-G22*C7-G23*C7/2</f>
        <v>-5154.9688297600087</v>
      </c>
    </row>
    <row r="25" spans="1:10" ht="16" thickBot="1" x14ac:dyDescent="0.35">
      <c r="A25" t="s">
        <v>11</v>
      </c>
      <c r="E25" s="6">
        <f>SUM(E22:E24)</f>
        <v>-219052.60859999977</v>
      </c>
      <c r="F25" s="6">
        <f>SUM(F22:F24)</f>
        <v>-45768.104255999788</v>
      </c>
      <c r="G25" s="6">
        <f>SUM(G22:G24)</f>
        <v>298361.5769142402</v>
      </c>
    </row>
    <row r="27" spans="1:10" x14ac:dyDescent="0.3">
      <c r="A27" s="1" t="s">
        <v>16</v>
      </c>
    </row>
    <row r="28" spans="1:10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10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10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10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-3971.4088923799959</v>
      </c>
      <c r="F34" s="3">
        <f>F45</f>
        <v>-4686.147596319991</v>
      </c>
      <c r="G34" s="3">
        <f>G45</f>
        <v>4844.5607053266749</v>
      </c>
    </row>
    <row r="35" spans="1:7" x14ac:dyDescent="0.3">
      <c r="A35" t="s">
        <v>31</v>
      </c>
      <c r="E35" s="3">
        <f>E42</f>
        <v>-7450.768999999992</v>
      </c>
      <c r="F35" s="3">
        <f>F42</f>
        <v>-9305.5379999999841</v>
      </c>
      <c r="G35" s="3">
        <f>G42</f>
        <v>7933.2836666666817</v>
      </c>
    </row>
    <row r="36" spans="1:7" x14ac:dyDescent="0.3">
      <c r="A36" t="s">
        <v>30</v>
      </c>
      <c r="E36" s="5">
        <f>E24</f>
        <v>4470.4613999999956</v>
      </c>
      <c r="F36" s="5">
        <f>F24</f>
        <v>5404.5043439999899</v>
      </c>
      <c r="G36" s="5">
        <f>G24</f>
        <v>-5154.9688297600087</v>
      </c>
    </row>
    <row r="37" spans="1:7" ht="16" thickBot="1" x14ac:dyDescent="0.35">
      <c r="A37" t="s">
        <v>32</v>
      </c>
      <c r="E37" s="6">
        <f>SUM(E34:E36)</f>
        <v>-6951.7164923799928</v>
      </c>
      <c r="F37" s="6">
        <f>SUM(F34:F36)</f>
        <v>-8587.1812523199842</v>
      </c>
      <c r="G37" s="6">
        <f>SUM(G34:G36)</f>
        <v>7622.8755422333479</v>
      </c>
    </row>
    <row r="38" spans="1:7" ht="16" thickBot="1" x14ac:dyDescent="0.35">
      <c r="A38" t="s">
        <v>33</v>
      </c>
      <c r="E38" s="7">
        <f>E37*C8</f>
        <v>-1842.2048704806982</v>
      </c>
      <c r="F38" s="7">
        <f>F37*C8</f>
        <v>-2275.6030318647959</v>
      </c>
      <c r="G38" s="7">
        <f>G37*C8</f>
        <v>2020.0620186918372</v>
      </c>
    </row>
    <row r="39" spans="1:7" ht="16" thickBot="1" x14ac:dyDescent="0.35">
      <c r="A39" t="s">
        <v>34</v>
      </c>
      <c r="E39" s="7">
        <f>E38/(1-0.265)</f>
        <v>-2506.4011843274807</v>
      </c>
      <c r="F39" s="7">
        <f>F38/(1-0.265)</f>
        <v>-3096.0585467548244</v>
      </c>
      <c r="G39" s="7">
        <f>G38/(1-0.265)</f>
        <v>2748.383698900459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-7450.768999999992</v>
      </c>
      <c r="F42" s="4">
        <f>-F17</f>
        <v>-9305.5379999999841</v>
      </c>
      <c r="G42" s="4">
        <f>-G17</f>
        <v>7933.2836666666817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-2437.2442937074256</v>
      </c>
      <c r="F44" s="4">
        <f>F19*F30*0.6</f>
        <v>-2875.4283237919949</v>
      </c>
      <c r="G44" s="4">
        <f>G19*G30*0.6</f>
        <v>2980.0110628086718</v>
      </c>
    </row>
    <row r="45" spans="1:7" x14ac:dyDescent="0.3">
      <c r="A45" t="s">
        <v>24</v>
      </c>
      <c r="E45" s="4">
        <f>E19*E31*0.4</f>
        <v>-3971.4088923799959</v>
      </c>
      <c r="F45" s="4">
        <f>F19*F31*0.4</f>
        <v>-4686.147596319991</v>
      </c>
      <c r="G45" s="4">
        <f>G19*G31*0.4</f>
        <v>4844.5607053266749</v>
      </c>
    </row>
    <row r="46" spans="1:7" x14ac:dyDescent="0.3">
      <c r="A46" t="s">
        <v>25</v>
      </c>
      <c r="E46" s="10">
        <f>E39</f>
        <v>-2506.4011843274807</v>
      </c>
      <c r="F46" s="10">
        <f>F39</f>
        <v>-3096.0585467548244</v>
      </c>
      <c r="G46" s="10">
        <f>G39</f>
        <v>2748.383698900459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-16365.823370414893</v>
      </c>
      <c r="F47" s="17">
        <f>SUM(F42:F46)</f>
        <v>-19963.172466866796</v>
      </c>
      <c r="G47" s="36">
        <f>SUM(G42:G46)</f>
        <v>18506.239133702489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J48"/>
  <sheetViews>
    <sheetView view="pageBreakPreview" zoomScale="60" zoomScaleNormal="90" workbookViewId="0">
      <pane xSplit="1" ySplit="13" topLeftCell="B18" activePane="bottomRight" state="frozen"/>
      <selection pane="topRight" activeCell="B1" sqref="B1"/>
      <selection pane="bottomLeft" activeCell="A14" sqref="A14"/>
      <selection pane="bottomRight" activeCell="H18" sqref="H18"/>
    </sheetView>
  </sheetViews>
  <sheetFormatPr defaultRowHeight="15.35" x14ac:dyDescent="0.3"/>
  <cols>
    <col min="1" max="1" width="44.5546875" customWidth="1"/>
    <col min="5" max="9" width="14.6640625" customWidth="1"/>
    <col min="10" max="11" width="17.109375" customWidth="1"/>
  </cols>
  <sheetData>
    <row r="1" spans="1:10" ht="16" thickBot="1" x14ac:dyDescent="0.35">
      <c r="A1" s="1" t="s">
        <v>0</v>
      </c>
    </row>
    <row r="2" spans="1:10" ht="16" thickBot="1" x14ac:dyDescent="0.35">
      <c r="A2" s="1" t="s">
        <v>1</v>
      </c>
      <c r="E2" s="38" t="s">
        <v>54</v>
      </c>
      <c r="F2" s="39"/>
      <c r="G2" s="39"/>
      <c r="H2" s="39"/>
      <c r="I2" s="40"/>
      <c r="J2" s="37"/>
    </row>
    <row r="3" spans="1:10" x14ac:dyDescent="0.3">
      <c r="A3" s="13" t="s">
        <v>52</v>
      </c>
    </row>
    <row r="4" spans="1:10" x14ac:dyDescent="0.3">
      <c r="A4" t="s">
        <v>40</v>
      </c>
      <c r="C4" s="18"/>
    </row>
    <row r="5" spans="1:10" x14ac:dyDescent="0.3">
      <c r="C5" s="18"/>
    </row>
    <row r="6" spans="1:10" x14ac:dyDescent="0.3">
      <c r="A6" t="s">
        <v>27</v>
      </c>
      <c r="C6" s="14">
        <v>45</v>
      </c>
    </row>
    <row r="7" spans="1:10" x14ac:dyDescent="0.3">
      <c r="A7" t="s">
        <v>3</v>
      </c>
      <c r="C7" s="19">
        <v>0.08</v>
      </c>
    </row>
    <row r="8" spans="1:10" x14ac:dyDescent="0.3">
      <c r="A8" t="s">
        <v>4</v>
      </c>
      <c r="C8" s="20">
        <v>0.26500000000000001</v>
      </c>
    </row>
    <row r="9" spans="1:10" x14ac:dyDescent="0.3">
      <c r="A9" t="s">
        <v>5</v>
      </c>
      <c r="C9" s="2">
        <v>0.04</v>
      </c>
    </row>
    <row r="10" spans="1:10" x14ac:dyDescent="0.3">
      <c r="A10" t="s">
        <v>6</v>
      </c>
      <c r="C10" s="2">
        <v>0.56000000000000005</v>
      </c>
    </row>
    <row r="11" spans="1:10" x14ac:dyDescent="0.3">
      <c r="A11" t="s">
        <v>7</v>
      </c>
      <c r="C11" s="2">
        <v>0.4</v>
      </c>
    </row>
    <row r="13" spans="1:10" x14ac:dyDescent="0.3">
      <c r="E13" s="12">
        <v>2018</v>
      </c>
      <c r="F13" s="12">
        <v>2019</v>
      </c>
      <c r="G13" s="12">
        <v>2020</v>
      </c>
      <c r="H13" s="12">
        <v>2021</v>
      </c>
      <c r="I13" s="12">
        <v>2022</v>
      </c>
    </row>
    <row r="14" spans="1:10" x14ac:dyDescent="0.3">
      <c r="A14" s="1" t="s">
        <v>8</v>
      </c>
    </row>
    <row r="15" spans="1:10" x14ac:dyDescent="0.3">
      <c r="A15" t="s">
        <v>9</v>
      </c>
      <c r="E15" s="3">
        <v>0</v>
      </c>
      <c r="F15" s="3">
        <f>E18</f>
        <v>-75067.663111111106</v>
      </c>
      <c r="G15" s="3">
        <f>F18</f>
        <v>-73380.749333333326</v>
      </c>
    </row>
    <row r="16" spans="1:10" x14ac:dyDescent="0.3">
      <c r="A16" t="s">
        <v>14</v>
      </c>
      <c r="E16" s="14">
        <v>-75911.12</v>
      </c>
      <c r="F16" s="3">
        <v>0</v>
      </c>
      <c r="G16" s="3">
        <v>0</v>
      </c>
      <c r="H16" s="4"/>
    </row>
    <row r="17" spans="1:10" x14ac:dyDescent="0.3">
      <c r="A17" t="s">
        <v>10</v>
      </c>
      <c r="E17" s="32">
        <f>-E16/$C$6/2</f>
        <v>843.45688888888878</v>
      </c>
      <c r="F17" s="32">
        <f>-E16/$C$6-G16/$C$6/2</f>
        <v>1686.9137777777776</v>
      </c>
      <c r="G17" s="32">
        <f>-E16/$C$6-G16/$C$6/2</f>
        <v>1686.9137777777776</v>
      </c>
      <c r="J17" s="33"/>
    </row>
    <row r="18" spans="1:10" ht="16" thickBot="1" x14ac:dyDescent="0.35">
      <c r="A18" s="34" t="s">
        <v>11</v>
      </c>
      <c r="E18" s="6">
        <f>SUM(E15:E17)</f>
        <v>-75067.663111111106</v>
      </c>
      <c r="F18" s="6">
        <f>SUM(F15:F17)</f>
        <v>-73380.749333333326</v>
      </c>
      <c r="G18" s="46">
        <f>SUM(G15:G17)</f>
        <v>-71693.835555555546</v>
      </c>
    </row>
    <row r="19" spans="1:10" ht="16" thickBot="1" x14ac:dyDescent="0.35">
      <c r="A19" t="s">
        <v>12</v>
      </c>
      <c r="E19" s="7">
        <f>(E15+E18)/2</f>
        <v>-37533.831555555553</v>
      </c>
      <c r="F19" s="7">
        <f>(F15+F18)/2</f>
        <v>-74224.206222222216</v>
      </c>
      <c r="G19" s="7">
        <f>(G15+G18)/2</f>
        <v>-72537.292444444436</v>
      </c>
    </row>
    <row r="20" spans="1:10" x14ac:dyDescent="0.3">
      <c r="E20" s="3"/>
      <c r="F20" s="3"/>
      <c r="G20" s="3"/>
    </row>
    <row r="21" spans="1:10" x14ac:dyDescent="0.3">
      <c r="A21" s="1" t="s">
        <v>13</v>
      </c>
      <c r="E21" s="3"/>
      <c r="F21" s="3"/>
      <c r="G21" s="3"/>
    </row>
    <row r="22" spans="1:10" x14ac:dyDescent="0.3">
      <c r="A22" t="s">
        <v>9</v>
      </c>
      <c r="E22" s="3">
        <v>0</v>
      </c>
      <c r="F22" s="3">
        <f>E25</f>
        <v>-72874.675199999998</v>
      </c>
      <c r="G22" s="3">
        <f>F25</f>
        <v>-67044.701184000005</v>
      </c>
    </row>
    <row r="23" spans="1:10" x14ac:dyDescent="0.3">
      <c r="A23" t="s">
        <v>14</v>
      </c>
      <c r="E23" s="3">
        <f>E16</f>
        <v>-75911.12</v>
      </c>
      <c r="F23" s="3">
        <f>F16</f>
        <v>0</v>
      </c>
      <c r="G23" s="3">
        <f>G16</f>
        <v>0</v>
      </c>
    </row>
    <row r="24" spans="1:10" x14ac:dyDescent="0.3">
      <c r="A24" t="s">
        <v>15</v>
      </c>
      <c r="E24" s="5">
        <f>-E23*$C$7/2</f>
        <v>3036.4447999999998</v>
      </c>
      <c r="F24" s="3">
        <f>F22*-$C$7</f>
        <v>5829.9740160000001</v>
      </c>
      <c r="G24" s="3">
        <f>G22*-$C$7</f>
        <v>5363.5760947200006</v>
      </c>
    </row>
    <row r="25" spans="1:10" ht="16" thickBot="1" x14ac:dyDescent="0.35">
      <c r="A25" t="s">
        <v>11</v>
      </c>
      <c r="E25" s="6">
        <f>SUM(E22:E24)</f>
        <v>-72874.675199999998</v>
      </c>
      <c r="F25" s="6">
        <f>SUM(F22:F24)</f>
        <v>-67044.701184000005</v>
      </c>
      <c r="G25" s="6">
        <f>SUM(G22:G24)</f>
        <v>-61681.125089280002</v>
      </c>
    </row>
    <row r="27" spans="1:10" x14ac:dyDescent="0.3">
      <c r="A27" s="1" t="s">
        <v>16</v>
      </c>
    </row>
    <row r="28" spans="1:10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10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10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10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-1379.7436479822222</v>
      </c>
      <c r="F34" s="3">
        <f>F45</f>
        <v>-2728.4818207288886</v>
      </c>
      <c r="G34" s="3">
        <f>G45</f>
        <v>-2666.4708702577773</v>
      </c>
    </row>
    <row r="35" spans="1:7" x14ac:dyDescent="0.3">
      <c r="A35" t="s">
        <v>31</v>
      </c>
      <c r="E35" s="3">
        <f>E42</f>
        <v>-843.45688888888878</v>
      </c>
      <c r="F35" s="3">
        <f>F42</f>
        <v>-1686.9137777777776</v>
      </c>
      <c r="G35" s="3">
        <f>G42</f>
        <v>-1686.9137777777776</v>
      </c>
    </row>
    <row r="36" spans="1:7" x14ac:dyDescent="0.3">
      <c r="A36" t="s">
        <v>30</v>
      </c>
      <c r="E36" s="5">
        <f>E24</f>
        <v>3036.4447999999998</v>
      </c>
      <c r="F36" s="5">
        <f>F24</f>
        <v>5829.9740160000001</v>
      </c>
      <c r="G36" s="5">
        <f>G24</f>
        <v>5363.5760947200006</v>
      </c>
    </row>
    <row r="37" spans="1:7" ht="16" thickBot="1" x14ac:dyDescent="0.35">
      <c r="A37" t="s">
        <v>32</v>
      </c>
      <c r="E37" s="6">
        <f>SUM(E34:E36)</f>
        <v>813.24426312888863</v>
      </c>
      <c r="F37" s="6">
        <f>SUM(F34:F36)</f>
        <v>1414.5784174933342</v>
      </c>
      <c r="G37" s="6">
        <f>SUM(G34:G36)</f>
        <v>1010.1914466844455</v>
      </c>
    </row>
    <row r="38" spans="1:7" ht="16" thickBot="1" x14ac:dyDescent="0.35">
      <c r="A38" t="s">
        <v>33</v>
      </c>
      <c r="E38" s="7">
        <f>E37*C8</f>
        <v>215.50972972915551</v>
      </c>
      <c r="F38" s="7">
        <f>F37*C8</f>
        <v>374.86328063573359</v>
      </c>
      <c r="G38" s="7">
        <f>G37*C8</f>
        <v>267.70073337137808</v>
      </c>
    </row>
    <row r="39" spans="1:7" ht="16" thickBot="1" x14ac:dyDescent="0.35">
      <c r="A39" t="s">
        <v>34</v>
      </c>
      <c r="E39" s="7">
        <f>E38/(1-0.265)</f>
        <v>293.21051663830684</v>
      </c>
      <c r="F39" s="7">
        <f>F38/(1-0.265)</f>
        <v>510.01806889215453</v>
      </c>
      <c r="G39" s="7">
        <f>G38/(1-0.265)</f>
        <v>364.2186848590178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-843.45688888888878</v>
      </c>
      <c r="F42" s="4">
        <f>-F17</f>
        <v>-1686.9137777777776</v>
      </c>
      <c r="G42" s="4">
        <f>-G17</f>
        <v>-1686.9137777777776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-846.74543063947465</v>
      </c>
      <c r="F44" s="4">
        <f>F19*F30*0.6</f>
        <v>-1674.2011955484447</v>
      </c>
      <c r="G44" s="4">
        <f>G19*G30*0.6</f>
        <v>-1640.2132567537778</v>
      </c>
    </row>
    <row r="45" spans="1:7" x14ac:dyDescent="0.3">
      <c r="A45" t="s">
        <v>24</v>
      </c>
      <c r="E45" s="4">
        <f>E19*E31*0.4</f>
        <v>-1379.7436479822222</v>
      </c>
      <c r="F45" s="4">
        <f>F19*F31*0.4</f>
        <v>-2728.4818207288886</v>
      </c>
      <c r="G45" s="4">
        <f>G19*G31*0.4</f>
        <v>-2666.4708702577773</v>
      </c>
    </row>
    <row r="46" spans="1:7" x14ac:dyDescent="0.3">
      <c r="A46" t="s">
        <v>25</v>
      </c>
      <c r="E46" s="10">
        <f>E39</f>
        <v>293.21051663830684</v>
      </c>
      <c r="F46" s="10">
        <f>F39</f>
        <v>510.01806889215453</v>
      </c>
      <c r="G46" s="10">
        <f>G39</f>
        <v>364.2186848590178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-2776.7354508722788</v>
      </c>
      <c r="F47" s="17">
        <f>SUM(F42:F46)</f>
        <v>-5579.5787251629563</v>
      </c>
      <c r="G47" s="41">
        <f>SUM(G42:G46)</f>
        <v>-5629.3792199303143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General Plant-ERM</vt:lpstr>
      <vt:lpstr>General Plant-Truck</vt:lpstr>
      <vt:lpstr>Service Renewal</vt:lpstr>
      <vt:lpstr>System Access-Meters</vt:lpstr>
      <vt:lpstr>System Access-Russell St</vt:lpstr>
      <vt:lpstr>'General Plant-ERM'!Print_Area</vt:lpstr>
      <vt:lpstr>'General Plant-Truck'!Print_Area</vt:lpstr>
      <vt:lpstr>'Service Renewal'!Print_Area</vt:lpstr>
      <vt:lpstr>'System Access-Meters'!Print_Area</vt:lpstr>
      <vt:lpstr>'System Access-Russell St'!Print_Area</vt:lpstr>
    </vt:vector>
  </TitlesOfParts>
  <Company>City of Kingston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Gibson,Sherry</cp:lastModifiedBy>
  <cp:lastPrinted>2018-03-19T18:53:27Z</cp:lastPrinted>
  <dcterms:created xsi:type="dcterms:W3CDTF">2015-10-20T23:58:46Z</dcterms:created>
  <dcterms:modified xsi:type="dcterms:W3CDTF">2021-08-13T15:35:15Z</dcterms:modified>
</cp:coreProperties>
</file>