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228"/>
  <workbookPr defaultThemeVersion="124226"/>
  <mc:AlternateContent xmlns:mc="http://schemas.openxmlformats.org/markup-compatibility/2006">
    <mc:Choice Requires="x15">
      <x15ac:absPath xmlns:x15ac="http://schemas.microsoft.com/office/spreadsheetml/2010/11/ac" url="F:\OEB\Rates\2022 Rate Application\Accounting Guidance\VRZ\To OEB\"/>
    </mc:Choice>
  </mc:AlternateContent>
  <xr:revisionPtr revIDLastSave="0" documentId="13_ncr:1_{08981259-9A86-4AE8-8B81-12DE90035486}" xr6:coauthVersionLast="47" xr6:coauthVersionMax="47" xr10:uidLastSave="{00000000-0000-0000-0000-000000000000}"/>
  <bookViews>
    <workbookView xWindow="-108" yWindow="-108" windowWidth="20376" windowHeight="12216" tabRatio="800" xr2:uid="{00000000-000D-0000-FFFF-FFFF00000000}"/>
  </bookViews>
  <sheets>
    <sheet name="Veridian - 2018Apr" sheetId="5" r:id="rId1"/>
    <sheet name="Veridian Apr 2018 RPP TU" sheetId="6" r:id="rId2"/>
    <sheet name="Ver Settlement Comparison" sheetId="7" r:id="rId3"/>
    <sheet name="Final RSVA Balances" sheetId="9" r:id="rId4"/>
  </sheets>
  <externalReferences>
    <externalReference r:id="rId5"/>
  </externalReferences>
  <definedNames>
    <definedName name="_xlnm.Print_Area" localSheetId="2">'Ver Settlement Comparison'!$A$1:$O$109</definedName>
    <definedName name="_xlnm.Print_Area" localSheetId="0">'Veridian - 2018Apr'!$B$1:$E$89</definedName>
    <definedName name="_xlnm.Print_Area" localSheetId="1">'Veridian Apr 2018 RPP TU'!$A$1:$K$23</definedName>
    <definedName name="_xlnm.Print_Titles" localSheetId="2">'Ver Settlement Comparison'!$1:$2</definedName>
    <definedName name="_xlnm.Print_Titles" localSheetId="0">'Veridian - 2018Apr'!$1:$2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49" i="5" l="1"/>
  <c r="C80" i="5" l="1"/>
  <c r="C52" i="5"/>
  <c r="C51" i="5"/>
  <c r="C37" i="7" l="1"/>
  <c r="F8" i="9" l="1"/>
  <c r="H42" i="7" l="1"/>
  <c r="E21" i="7"/>
  <c r="E20" i="7"/>
  <c r="E19" i="7"/>
  <c r="E18" i="7"/>
  <c r="E17" i="7"/>
  <c r="G47" i="6"/>
  <c r="I38" i="7"/>
  <c r="B8" i="9" l="1"/>
  <c r="G8" i="9" s="1"/>
  <c r="E80" i="5"/>
  <c r="L47" i="6"/>
  <c r="D81" i="5" l="1"/>
  <c r="B9" i="9"/>
  <c r="L23" i="6" l="1"/>
  <c r="D41" i="6"/>
  <c r="D43" i="6" l="1"/>
  <c r="J43" i="6" s="1"/>
  <c r="D42" i="6"/>
  <c r="J42" i="6" s="1"/>
  <c r="D44" i="6"/>
  <c r="J44" i="6" s="1"/>
  <c r="J41" i="6"/>
  <c r="D45" i="6"/>
  <c r="J45" i="6" s="1"/>
  <c r="J47" i="6" l="1"/>
  <c r="D6" i="5"/>
  <c r="E10" i="7" l="1"/>
  <c r="E89" i="7"/>
  <c r="E29" i="5"/>
  <c r="D88" i="5" s="1"/>
  <c r="D25" i="9" l="1"/>
  <c r="F16" i="9"/>
  <c r="E81" i="7" l="1"/>
  <c r="C17" i="9" l="1"/>
  <c r="F9" i="9"/>
  <c r="C9" i="9"/>
  <c r="C7" i="9"/>
  <c r="C26" i="9"/>
  <c r="G9" i="9" l="1"/>
  <c r="I8" i="9" s="1"/>
  <c r="D47" i="9" l="1"/>
  <c r="D46" i="9"/>
  <c r="E65" i="7"/>
  <c r="F65" i="7"/>
  <c r="E87" i="7" l="1"/>
  <c r="F87" i="7"/>
  <c r="F64" i="7"/>
  <c r="E64" i="7"/>
  <c r="E22" i="7" l="1"/>
  <c r="E66" i="7" l="1"/>
  <c r="G11" i="6" l="1"/>
  <c r="D11" i="6"/>
  <c r="C11" i="6"/>
  <c r="B11" i="6"/>
  <c r="G10" i="6"/>
  <c r="D10" i="6"/>
  <c r="C10" i="6"/>
  <c r="B10" i="6"/>
  <c r="G9" i="6"/>
  <c r="D9" i="6"/>
  <c r="C9" i="6"/>
  <c r="B9" i="6"/>
  <c r="G8" i="6"/>
  <c r="D8" i="6"/>
  <c r="C8" i="6"/>
  <c r="B8" i="6"/>
  <c r="G7" i="6"/>
  <c r="D7" i="6"/>
  <c r="C7" i="6"/>
  <c r="B7" i="6"/>
  <c r="H9" i="6" l="1"/>
  <c r="E9" i="6"/>
  <c r="F9" i="6" s="1"/>
  <c r="G12" i="6"/>
  <c r="I7" i="6"/>
  <c r="J10" i="6"/>
  <c r="I11" i="6"/>
  <c r="J8" i="6"/>
  <c r="H11" i="6"/>
  <c r="H7" i="6"/>
  <c r="I9" i="6"/>
  <c r="E11" i="6"/>
  <c r="F11" i="6" s="1"/>
  <c r="E7" i="6"/>
  <c r="J7" i="6"/>
  <c r="H8" i="6"/>
  <c r="J9" i="6"/>
  <c r="H10" i="6"/>
  <c r="J11" i="6"/>
  <c r="E8" i="6"/>
  <c r="I8" i="6"/>
  <c r="E10" i="6"/>
  <c r="I10" i="6"/>
  <c r="H12" i="6" l="1"/>
  <c r="B12" i="6" s="1"/>
  <c r="I12" i="6"/>
  <c r="K11" i="6"/>
  <c r="F7" i="6"/>
  <c r="F10" i="6"/>
  <c r="K8" i="6"/>
  <c r="J12" i="6"/>
  <c r="K7" i="6"/>
  <c r="K10" i="6"/>
  <c r="F8" i="6"/>
  <c r="K9" i="6"/>
  <c r="E38" i="5"/>
  <c r="H30" i="7" s="1"/>
  <c r="E37" i="5"/>
  <c r="H29" i="7" s="1"/>
  <c r="E36" i="5"/>
  <c r="H28" i="7" s="1"/>
  <c r="E35" i="5"/>
  <c r="H27" i="7" s="1"/>
  <c r="E34" i="5"/>
  <c r="H26" i="7" s="1"/>
  <c r="I39" i="5"/>
  <c r="H19" i="7" l="1"/>
  <c r="C71" i="5"/>
  <c r="H17" i="7"/>
  <c r="C69" i="5"/>
  <c r="H20" i="7"/>
  <c r="C72" i="5"/>
  <c r="H21" i="7"/>
  <c r="C73" i="5"/>
  <c r="H18" i="7"/>
  <c r="C70" i="5"/>
  <c r="K12" i="6"/>
  <c r="B19" i="6" l="1"/>
  <c r="B30" i="6" s="1"/>
  <c r="B42" i="6"/>
  <c r="H42" i="6" s="1"/>
  <c r="B21" i="6"/>
  <c r="B32" i="6" s="1"/>
  <c r="B44" i="6"/>
  <c r="H44" i="6" s="1"/>
  <c r="B22" i="6"/>
  <c r="B33" i="6" s="1"/>
  <c r="B45" i="6"/>
  <c r="H45" i="6" s="1"/>
  <c r="B18" i="6"/>
  <c r="B29" i="6" s="1"/>
  <c r="B41" i="6"/>
  <c r="H41" i="6" s="1"/>
  <c r="B20" i="6"/>
  <c r="B31" i="6" s="1"/>
  <c r="B43" i="6"/>
  <c r="H43" i="6" s="1"/>
  <c r="D39" i="5"/>
  <c r="D5" i="5"/>
  <c r="D7" i="5"/>
  <c r="H47" i="6" l="1"/>
  <c r="B47" i="6" s="1"/>
  <c r="D9" i="5"/>
  <c r="D28" i="5"/>
  <c r="B6" i="9" s="1"/>
  <c r="B10" i="9" s="1"/>
  <c r="C34" i="5"/>
  <c r="C17" i="5" s="1"/>
  <c r="C35" i="5"/>
  <c r="C38" i="5"/>
  <c r="C37" i="5"/>
  <c r="C36" i="5"/>
  <c r="E8" i="7" l="1"/>
  <c r="C39" i="5"/>
  <c r="D73" i="5" l="1"/>
  <c r="F21" i="7" s="1"/>
  <c r="E30" i="7" s="1"/>
  <c r="D72" i="5"/>
  <c r="F20" i="7" s="1"/>
  <c r="E29" i="7" s="1"/>
  <c r="D71" i="5"/>
  <c r="F19" i="7" s="1"/>
  <c r="E28" i="7" s="1"/>
  <c r="D70" i="5"/>
  <c r="F18" i="7" s="1"/>
  <c r="E27" i="7" s="1"/>
  <c r="D69" i="5"/>
  <c r="F17" i="7" s="1"/>
  <c r="E79" i="5"/>
  <c r="D30" i="5"/>
  <c r="E28" i="5"/>
  <c r="C21" i="5"/>
  <c r="C20" i="5"/>
  <c r="C19" i="5"/>
  <c r="C18" i="5"/>
  <c r="F83" i="7" l="1"/>
  <c r="E26" i="7"/>
  <c r="E31" i="7" s="1"/>
  <c r="F22" i="7"/>
  <c r="C28" i="5"/>
  <c r="C11" i="5" s="1"/>
  <c r="D11" i="5" s="1"/>
  <c r="D17" i="5" s="1"/>
  <c r="C6" i="9"/>
  <c r="C10" i="9" s="1"/>
  <c r="D87" i="5"/>
  <c r="D89" i="5" s="1"/>
  <c r="G7" i="9"/>
  <c r="G10" i="9" s="1"/>
  <c r="E24" i="9"/>
  <c r="E83" i="7"/>
  <c r="C22" i="5"/>
  <c r="E70" i="5"/>
  <c r="E71" i="5"/>
  <c r="E30" i="5"/>
  <c r="E26" i="5" s="1"/>
  <c r="J58" i="5"/>
  <c r="D78" i="5"/>
  <c r="E69" i="5"/>
  <c r="E72" i="5"/>
  <c r="E73" i="5"/>
  <c r="C81" i="5"/>
  <c r="D26" i="5"/>
  <c r="C29" i="5"/>
  <c r="C12" i="5" s="1"/>
  <c r="D74" i="5"/>
  <c r="C13" i="5" l="1"/>
  <c r="E81" i="5"/>
  <c r="I81" i="5" s="1"/>
  <c r="E74" i="5"/>
  <c r="C30" i="5"/>
  <c r="D62" i="5"/>
  <c r="D56" i="5"/>
  <c r="C56" i="5" s="1"/>
  <c r="E58" i="7" l="1"/>
  <c r="F58" i="7"/>
  <c r="E82" i="7"/>
  <c r="E84" i="7" s="1"/>
  <c r="F82" i="7"/>
  <c r="F84" i="7" s="1"/>
  <c r="C74" i="5"/>
  <c r="I62" i="5"/>
  <c r="C62" i="5"/>
  <c r="I56" i="5"/>
  <c r="E9" i="5"/>
  <c r="D57" i="5"/>
  <c r="I74" i="5"/>
  <c r="D12" i="5"/>
  <c r="G58" i="7" l="1"/>
  <c r="G84" i="7"/>
  <c r="B18" i="9"/>
  <c r="B25" i="9" s="1"/>
  <c r="C47" i="9" s="1"/>
  <c r="C18" i="9"/>
  <c r="B16" i="9"/>
  <c r="I57" i="5"/>
  <c r="C57" i="5"/>
  <c r="E12" i="5"/>
  <c r="D60" i="5"/>
  <c r="D13" i="5"/>
  <c r="D32" i="5" s="1"/>
  <c r="D59" i="5"/>
  <c r="D18" i="5"/>
  <c r="F27" i="7" s="1"/>
  <c r="G27" i="7" s="1"/>
  <c r="I27" i="7" s="1"/>
  <c r="E11" i="5"/>
  <c r="D19" i="5"/>
  <c r="F28" i="7" s="1"/>
  <c r="G28" i="7" s="1"/>
  <c r="I28" i="7" s="1"/>
  <c r="D20" i="5"/>
  <c r="F29" i="7" s="1"/>
  <c r="G29" i="7" s="1"/>
  <c r="I29" i="7" s="1"/>
  <c r="D21" i="5"/>
  <c r="F30" i="7" s="1"/>
  <c r="G30" i="7" s="1"/>
  <c r="I30" i="7" s="1"/>
  <c r="F26" i="7"/>
  <c r="F31" i="7" l="1"/>
  <c r="G26" i="7"/>
  <c r="C88" i="5"/>
  <c r="E88" i="5" s="1"/>
  <c r="C87" i="5" s="1"/>
  <c r="H37" i="7" s="1"/>
  <c r="C16" i="9"/>
  <c r="C34" i="9" s="1"/>
  <c r="B19" i="9"/>
  <c r="C36" i="9"/>
  <c r="C37" i="9"/>
  <c r="E47" i="9"/>
  <c r="C46" i="9"/>
  <c r="B26" i="9"/>
  <c r="G17" i="7"/>
  <c r="G18" i="6"/>
  <c r="H18" i="6" s="1"/>
  <c r="G21" i="7"/>
  <c r="I21" i="7" s="1"/>
  <c r="G22" i="6"/>
  <c r="I88" i="5"/>
  <c r="J88" i="5" s="1"/>
  <c r="G18" i="7"/>
  <c r="I18" i="7" s="1"/>
  <c r="G19" i="6"/>
  <c r="G20" i="7"/>
  <c r="I20" i="7" s="1"/>
  <c r="G21" i="6"/>
  <c r="G19" i="7"/>
  <c r="I19" i="7" s="1"/>
  <c r="G20" i="6"/>
  <c r="D22" i="5"/>
  <c r="I87" i="5"/>
  <c r="J87" i="5" s="1"/>
  <c r="E13" i="5"/>
  <c r="G31" i="7" l="1"/>
  <c r="I26" i="7"/>
  <c r="I31" i="7" s="1"/>
  <c r="C19" i="9"/>
  <c r="C35" i="9"/>
  <c r="E89" i="5"/>
  <c r="C89" i="5" s="1"/>
  <c r="H19" i="6"/>
  <c r="G30" i="6"/>
  <c r="G31" i="6"/>
  <c r="H20" i="6"/>
  <c r="H21" i="6"/>
  <c r="G32" i="6"/>
  <c r="H22" i="6"/>
  <c r="G33" i="6"/>
  <c r="G29" i="6"/>
  <c r="G23" i="6"/>
  <c r="I17" i="7"/>
  <c r="I22" i="7" s="1"/>
  <c r="G22" i="7"/>
  <c r="G37" i="7" l="1"/>
  <c r="G42" i="7" s="1"/>
  <c r="I42" i="7" s="1"/>
  <c r="I43" i="7" s="1"/>
  <c r="E90" i="7" s="1"/>
  <c r="I33" i="7"/>
  <c r="G34" i="6"/>
  <c r="H29" i="6"/>
  <c r="H23" i="6"/>
  <c r="H31" i="6"/>
  <c r="H33" i="6"/>
  <c r="H32" i="6"/>
  <c r="H30" i="6"/>
  <c r="I44" i="7" l="1"/>
  <c r="I37" i="7"/>
  <c r="I39" i="7" s="1"/>
  <c r="I40" i="7" s="1"/>
  <c r="E107" i="7"/>
  <c r="B107" i="7" s="1"/>
  <c r="I34" i="7"/>
  <c r="B23" i="6"/>
  <c r="D6" i="9" s="1"/>
  <c r="F8" i="7"/>
  <c r="H34" i="6"/>
  <c r="E69" i="7" l="1"/>
  <c r="E106" i="7" s="1"/>
  <c r="D35" i="9"/>
  <c r="E35" i="9" s="1"/>
  <c r="E6" i="9"/>
  <c r="G8" i="7"/>
  <c r="H8" i="7" s="1"/>
  <c r="G16" i="9" l="1"/>
  <c r="C60" i="5" l="1"/>
  <c r="G19" i="9"/>
  <c r="E25" i="9"/>
  <c r="E26" i="9" s="1"/>
  <c r="E43" i="9" s="1"/>
  <c r="E46" i="9"/>
  <c r="E48" i="9" s="1"/>
  <c r="E60" i="5" l="1"/>
  <c r="F88" i="7" l="1"/>
  <c r="F91" i="7" s="1"/>
  <c r="I93" i="7" s="1"/>
  <c r="I94" i="7" s="1"/>
  <c r="J60" i="5"/>
  <c r="J63" i="5" s="1"/>
  <c r="F93" i="7" l="1"/>
  <c r="D18" i="6" l="1"/>
  <c r="J18" i="6" s="1"/>
  <c r="C59" i="5"/>
  <c r="E59" i="5" s="1"/>
  <c r="E88" i="7" l="1"/>
  <c r="E91" i="7" s="1"/>
  <c r="I59" i="5"/>
  <c r="F67" i="7"/>
  <c r="D20" i="6"/>
  <c r="D19" i="6"/>
  <c r="D22" i="6"/>
  <c r="D21" i="6"/>
  <c r="D29" i="6"/>
  <c r="E93" i="7" l="1"/>
  <c r="G93" i="7" s="1"/>
  <c r="G91" i="7"/>
  <c r="J29" i="6"/>
  <c r="D33" i="6"/>
  <c r="J22" i="6"/>
  <c r="J20" i="6"/>
  <c r="D31" i="6"/>
  <c r="D32" i="6"/>
  <c r="J21" i="6"/>
  <c r="J19" i="6"/>
  <c r="D30" i="6"/>
  <c r="J30" i="6" l="1"/>
  <c r="J23" i="6"/>
  <c r="F10" i="7" s="1"/>
  <c r="J33" i="6"/>
  <c r="J32" i="6"/>
  <c r="J31" i="6"/>
  <c r="G10" i="7" l="1"/>
  <c r="J34" i="6"/>
  <c r="H10" i="7" l="1"/>
  <c r="E78" i="5" l="1"/>
  <c r="E60" i="7" l="1"/>
  <c r="F60" i="7"/>
  <c r="F61" i="7" s="1"/>
  <c r="I75" i="5"/>
  <c r="I76" i="5" s="1"/>
  <c r="E82" i="5"/>
  <c r="C45" i="5"/>
  <c r="G60" i="7" l="1"/>
  <c r="E61" i="7"/>
  <c r="G61" i="7" s="1"/>
  <c r="D16" i="9"/>
  <c r="E16" i="9" s="1"/>
  <c r="C41" i="6"/>
  <c r="I41" i="6" s="1"/>
  <c r="C18" i="6"/>
  <c r="I18" i="6" s="1"/>
  <c r="C42" i="6" l="1"/>
  <c r="I42" i="6" s="1"/>
  <c r="E41" i="6"/>
  <c r="F41" i="6" s="1"/>
  <c r="C19" i="6"/>
  <c r="I19" i="6" s="1"/>
  <c r="K18" i="6"/>
  <c r="M18" i="6" s="1"/>
  <c r="C29" i="6"/>
  <c r="E18" i="6"/>
  <c r="F18" i="6" s="1"/>
  <c r="F29" i="6" s="1"/>
  <c r="E29" i="6" l="1"/>
  <c r="K41" i="6"/>
  <c r="E19" i="6"/>
  <c r="F19" i="6" s="1"/>
  <c r="F30" i="6" s="1"/>
  <c r="C20" i="6"/>
  <c r="I20" i="6" s="1"/>
  <c r="K42" i="6"/>
  <c r="M42" i="6" s="1"/>
  <c r="C43" i="6"/>
  <c r="I43" i="6" s="1"/>
  <c r="E42" i="6"/>
  <c r="F42" i="6" s="1"/>
  <c r="C30" i="6"/>
  <c r="I30" i="6"/>
  <c r="K30" i="6" s="1"/>
  <c r="I29" i="6"/>
  <c r="K29" i="6" s="1"/>
  <c r="B106" i="7"/>
  <c r="E20" i="6" l="1"/>
  <c r="E31" i="6" s="1"/>
  <c r="C31" i="6"/>
  <c r="E30" i="6"/>
  <c r="M41" i="6"/>
  <c r="K43" i="6"/>
  <c r="E43" i="6"/>
  <c r="F43" i="6" s="1"/>
  <c r="C44" i="6"/>
  <c r="C21" i="6"/>
  <c r="K19" i="6"/>
  <c r="M19" i="6" s="1"/>
  <c r="F20" i="6" l="1"/>
  <c r="F31" i="6" s="1"/>
  <c r="I44" i="6"/>
  <c r="E44" i="6"/>
  <c r="F44" i="6" s="1"/>
  <c r="C45" i="6"/>
  <c r="I31" i="6"/>
  <c r="K31" i="6" s="1"/>
  <c r="K20" i="6"/>
  <c r="M20" i="6" s="1"/>
  <c r="I21" i="6"/>
  <c r="C22" i="6"/>
  <c r="C32" i="6"/>
  <c r="E21" i="6"/>
  <c r="M43" i="6"/>
  <c r="K44" i="6" l="1"/>
  <c r="M44" i="6" s="1"/>
  <c r="K21" i="6"/>
  <c r="M21" i="6" s="1"/>
  <c r="I32" i="6"/>
  <c r="K32" i="6" s="1"/>
  <c r="I45" i="6"/>
  <c r="I47" i="6" s="1"/>
  <c r="E45" i="6"/>
  <c r="F45" i="6" s="1"/>
  <c r="I22" i="6"/>
  <c r="I23" i="6" s="1"/>
  <c r="F9" i="7" s="1"/>
  <c r="C33" i="6"/>
  <c r="E22" i="6"/>
  <c r="F21" i="6"/>
  <c r="F32" i="6" s="1"/>
  <c r="E32" i="6"/>
  <c r="E9" i="7" l="1"/>
  <c r="G9" i="7" s="1"/>
  <c r="E68" i="7"/>
  <c r="E70" i="7" s="1"/>
  <c r="E72" i="7" s="1"/>
  <c r="K45" i="6"/>
  <c r="K47" i="6" s="1"/>
  <c r="E5" i="7" s="1"/>
  <c r="E33" i="6"/>
  <c r="F22" i="6"/>
  <c r="F33" i="6" s="1"/>
  <c r="F13" i="7"/>
  <c r="K22" i="6"/>
  <c r="I33" i="6"/>
  <c r="K33" i="6" l="1"/>
  <c r="K34" i="6" s="1"/>
  <c r="I34" i="6"/>
  <c r="K23" i="6"/>
  <c r="M22" i="6"/>
  <c r="M23" i="6" s="1"/>
  <c r="M45" i="6"/>
  <c r="M47" i="6" s="1"/>
  <c r="H9" i="7"/>
  <c r="C46" i="5"/>
  <c r="D9" i="9"/>
  <c r="E9" i="9" s="1"/>
  <c r="D7" i="9"/>
  <c r="J89" i="5"/>
  <c r="E61" i="5" l="1"/>
  <c r="K49" i="6"/>
  <c r="E12" i="7" s="1"/>
  <c r="F68" i="7"/>
  <c r="F70" i="7" s="1"/>
  <c r="H16" i="9"/>
  <c r="D17" i="9"/>
  <c r="C78" i="5"/>
  <c r="D18" i="9"/>
  <c r="E18" i="9" s="1"/>
  <c r="I18" i="9" s="1"/>
  <c r="E7" i="9"/>
  <c r="E10" i="9" s="1"/>
  <c r="D37" i="9"/>
  <c r="E37" i="9" s="1"/>
  <c r="E108" i="7" l="1"/>
  <c r="B108" i="7" s="1"/>
  <c r="G12" i="7"/>
  <c r="G13" i="7" s="1"/>
  <c r="H13" i="7" s="1"/>
  <c r="E13" i="7"/>
  <c r="H19" i="9"/>
  <c r="I16" i="9"/>
  <c r="D34" i="9" s="1"/>
  <c r="E34" i="9" s="1"/>
  <c r="F72" i="7"/>
  <c r="G72" i="7" s="1"/>
  <c r="I72" i="7"/>
  <c r="I73" i="7" s="1"/>
  <c r="G70" i="7"/>
  <c r="E63" i="5"/>
  <c r="I61" i="5"/>
  <c r="I63" i="5" s="1"/>
  <c r="K63" i="5" s="1"/>
  <c r="D36" i="9"/>
  <c r="E36" i="9" s="1"/>
  <c r="E17" i="9"/>
  <c r="E38" i="9" l="1"/>
  <c r="I17" i="9"/>
  <c r="I19" i="9" s="1"/>
  <c r="E31" i="9" s="1"/>
  <c r="E19" i="9"/>
</calcChain>
</file>

<file path=xl/sharedStrings.xml><?xml version="1.0" encoding="utf-8"?>
<sst xmlns="http://schemas.openxmlformats.org/spreadsheetml/2006/main" count="373" uniqueCount="211">
  <si>
    <t>Table 22: Wholesale Volume data per IESO Power Bill</t>
  </si>
  <si>
    <t>GA RPP/non-RPP Ratios</t>
  </si>
  <si>
    <t>GA Volumes</t>
  </si>
  <si>
    <t>Energy Volumes</t>
  </si>
  <si>
    <t>Embedded Generation</t>
  </si>
  <si>
    <t>Class A customer Volumes for GA  (TLF included)</t>
  </si>
  <si>
    <t>Actual RPP Quantity Proportion</t>
  </si>
  <si>
    <t>Actual non-RPP Quantity Proportion</t>
  </si>
  <si>
    <t xml:space="preserve">Wholesale kWh Volumes </t>
  </si>
  <si>
    <t>Table 23: Actual Volumes purchased for RPP Customers (TLF Included)</t>
  </si>
  <si>
    <t>kWh Volumes</t>
  </si>
  <si>
    <t>Actual %</t>
  </si>
  <si>
    <t>Tier 1</t>
  </si>
  <si>
    <t>Tier 2</t>
  </si>
  <si>
    <t>TOU Off-peak</t>
  </si>
  <si>
    <t>TOU Mid-peak</t>
  </si>
  <si>
    <t>TOU On-peak</t>
  </si>
  <si>
    <t>Table 24: Actual Retail Volume Revenue Data (TLF included)</t>
  </si>
  <si>
    <t>Billed/Unbilled Retail Volumes</t>
  </si>
  <si>
    <t>Actual RPP Sales Quantities</t>
  </si>
  <si>
    <t>Actual non-RPP Sales Quantities</t>
  </si>
  <si>
    <t xml:space="preserve">Actual Retail Revenue kWh Volumes </t>
  </si>
  <si>
    <r>
      <t>Table 25: Actual RPP Revenue Volume and Price Data</t>
    </r>
    <r>
      <rPr>
        <b/>
        <vertAlign val="superscript"/>
        <sz val="10"/>
        <color theme="1"/>
        <rFont val="Calibri"/>
        <family val="2"/>
        <scheme val="minor"/>
      </rPr>
      <t>14</t>
    </r>
  </si>
  <si>
    <t>RPP Price/kWh</t>
  </si>
  <si>
    <t>Table 26: Commodity Price Data</t>
  </si>
  <si>
    <t>Wholesale Prices</t>
  </si>
  <si>
    <t>Commodity Price</t>
  </si>
  <si>
    <t>per kWh</t>
  </si>
  <si>
    <t>Actual Average Energy Price for RPP Customers</t>
  </si>
  <si>
    <t>Actual Average Energy Price for non-RPP customers</t>
  </si>
  <si>
    <t>GA 1st estimate</t>
  </si>
  <si>
    <t>GA 2nd estimate</t>
  </si>
  <si>
    <t>Class B - GA actual</t>
  </si>
  <si>
    <t>Class B - GA actual IESO billed</t>
  </si>
  <si>
    <t>Table 27: Commodity Cost of Power Billed by IESO</t>
  </si>
  <si>
    <t>Cost/kWh</t>
  </si>
  <si>
    <t>Amount</t>
  </si>
  <si>
    <t>Actual Payments to Embedded Generators - 4705</t>
  </si>
  <si>
    <t>Charge Type 101 - 4705</t>
  </si>
  <si>
    <t>Charge Type 147 - non-RPP Class A - 4707</t>
  </si>
  <si>
    <r>
      <t>Charge Type 148 - RPP - 4705</t>
    </r>
    <r>
      <rPr>
        <b/>
        <vertAlign val="superscript"/>
        <sz val="11"/>
        <color theme="1"/>
        <rFont val="Calibri"/>
        <family val="2"/>
        <scheme val="minor"/>
      </rPr>
      <t>15</t>
    </r>
  </si>
  <si>
    <r>
      <t>Charge Type 148 - non-RPP - 4707</t>
    </r>
    <r>
      <rPr>
        <b/>
        <vertAlign val="superscript"/>
        <sz val="11"/>
        <color theme="1"/>
        <rFont val="Calibri"/>
        <family val="2"/>
        <scheme val="minor"/>
      </rPr>
      <t>15</t>
    </r>
  </si>
  <si>
    <r>
      <t>Charge Type 1142 - RPP - 4705 - RPP Settlement - Final Settlement Amount</t>
    </r>
    <r>
      <rPr>
        <b/>
        <vertAlign val="superscript"/>
        <sz val="11"/>
        <color theme="1"/>
        <rFont val="Calibri"/>
        <family val="2"/>
        <scheme val="minor"/>
      </rPr>
      <t>16</t>
    </r>
  </si>
  <si>
    <t>Charge Type 1412 - FIT Program Settlement Amount - 4705</t>
  </si>
  <si>
    <t>Actual cost of power</t>
  </si>
  <si>
    <t>Actual Net Accrued &amp; Billed Revenue from RPP &amp; non-RPP Customers:</t>
  </si>
  <si>
    <t>Table 28: RPP Commodity Revenue</t>
  </si>
  <si>
    <t>Total Actual Revenue</t>
  </si>
  <si>
    <t>Table 29: non-RPP Actual Revenue</t>
  </si>
  <si>
    <t>Actual non-RPP Energy Revenue</t>
  </si>
  <si>
    <t>Actual Class A non-RPP GA Revenue at PDF</t>
  </si>
  <si>
    <t>Class B non-RPP GA Revenue at 1st estimate</t>
  </si>
  <si>
    <t>Actual RPP power sales volumes and revenues</t>
  </si>
  <si>
    <t>Actual Non-RPP power sales volumes and revenues</t>
  </si>
  <si>
    <r>
      <rPr>
        <vertAlign val="superscript"/>
        <sz val="11"/>
        <color theme="1"/>
        <rFont val="Calibri"/>
        <family val="2"/>
        <scheme val="minor"/>
      </rPr>
      <t>14</t>
    </r>
    <r>
      <rPr>
        <sz val="11"/>
        <color theme="1"/>
        <rFont val="Calibri"/>
        <family val="2"/>
        <scheme val="minor"/>
      </rPr>
      <t xml:space="preserve"> - Volumes related to each RPP price point for Revenue based on actual consumption during calendar month.
</t>
    </r>
    <r>
      <rPr>
        <vertAlign val="superscript"/>
        <sz val="11"/>
        <color theme="1"/>
        <rFont val="Calibri"/>
        <family val="2"/>
        <scheme val="minor"/>
      </rPr>
      <t>15</t>
    </r>
    <r>
      <rPr>
        <sz val="11"/>
        <color theme="1"/>
        <rFont val="Calibri"/>
        <family val="2"/>
        <scheme val="minor"/>
      </rPr>
      <t xml:space="preserve"> - Updated GA for RPP and non-RPP class B customers based on actual proportions for RPP and non-RPP Class B customers.
</t>
    </r>
    <r>
      <rPr>
        <vertAlign val="superscript"/>
        <sz val="11"/>
        <color theme="1"/>
        <rFont val="Calibri"/>
        <family val="2"/>
        <scheme val="minor"/>
      </rPr>
      <t>16</t>
    </r>
    <r>
      <rPr>
        <sz val="11"/>
        <color theme="1"/>
        <rFont val="Calibri"/>
        <family val="2"/>
        <scheme val="minor"/>
      </rPr>
      <t xml:space="preserve"> - This is the updated cumulative RPP Settlement amount. The true up element of this amount will be incorporated into Charge 
       Type 1142 in the RPP settlement with the IESO for February or March on day four of February or March.</t>
    </r>
  </si>
  <si>
    <t>RPP Settlement Calculation based on Actual GA Price on Business Day 4 of February 2018</t>
  </si>
  <si>
    <t>Table 31: Estimated RPP Revenue &amp; Actual GA price</t>
  </si>
  <si>
    <t>RPP Revenue Prices</t>
  </si>
  <si>
    <t>RPP Price</t>
  </si>
  <si>
    <t>Estimated RPP Energy Price</t>
  </si>
  <si>
    <t>GA Actual</t>
  </si>
  <si>
    <t>Total Commodity</t>
  </si>
  <si>
    <t>Difference</t>
  </si>
  <si>
    <t>$ Estimated RPP Revenue</t>
  </si>
  <si>
    <t>$ Estimated RPP Energy</t>
  </si>
  <si>
    <t>$ Actual GA</t>
  </si>
  <si>
    <t>$ Estimated RPP Settlement</t>
  </si>
  <si>
    <t>Table 32 Final Revised RPP Settlement based on Actual RPP Revenue and Actual GA Price</t>
  </si>
  <si>
    <t>Actual RPP Energy Price</t>
  </si>
  <si>
    <t>$ Actual RPP Revenue</t>
  </si>
  <si>
    <t>$ Actual RPP Energy</t>
  </si>
  <si>
    <t>2nd RPP Settlement True-up</t>
  </si>
  <si>
    <t>Table 33: True-up of RPP Volumes and Revenue and GA price to actual</t>
  </si>
  <si>
    <t>True-Up elements</t>
  </si>
  <si>
    <t>RPP Energy Price Difference</t>
  </si>
  <si>
    <t>GA Price Difference</t>
  </si>
  <si>
    <t>$ True-Up RPP Revenue</t>
  </si>
  <si>
    <t>$ True-up RPP Energy</t>
  </si>
  <si>
    <t>$ True-up GA</t>
  </si>
  <si>
    <t>$ RPP Settlement True-UP</t>
  </si>
  <si>
    <t>GA Revenue</t>
  </si>
  <si>
    <t>Energy Revenue</t>
  </si>
  <si>
    <t>TOU On-peak (total)</t>
  </si>
  <si>
    <t>Total for all RPP</t>
  </si>
  <si>
    <t xml:space="preserve">Table 30: Actual Average unit cost of power sold for RPP &amp; non-RPP for 2nd True-up </t>
  </si>
  <si>
    <t>$ Final RPP Settlement</t>
  </si>
  <si>
    <t>Total</t>
  </si>
  <si>
    <t>Total Actual IESO Settlement</t>
  </si>
  <si>
    <t>Comparison</t>
  </si>
  <si>
    <t>OEB Method</t>
  </si>
  <si>
    <t>RPP Revenue</t>
  </si>
  <si>
    <t>GA - RPP</t>
  </si>
  <si>
    <t>Diff</t>
  </si>
  <si>
    <t>Non-RPP Revenue</t>
  </si>
  <si>
    <t>Energy Revenue - RPP</t>
  </si>
  <si>
    <t>GA RPP Portion</t>
  </si>
  <si>
    <t>GA - T otal Revenue</t>
  </si>
  <si>
    <t>GA - Class A Cost</t>
  </si>
  <si>
    <t xml:space="preserve">GA - Class B Cost </t>
  </si>
  <si>
    <t>GA - Class A Revenue</t>
  </si>
  <si>
    <t>GA - Total Cost</t>
  </si>
  <si>
    <t xml:space="preserve">Final RPP Settlement Calculation </t>
  </si>
  <si>
    <t>(1)</t>
  </si>
  <si>
    <t>Rate</t>
  </si>
  <si>
    <t>$ Amount</t>
  </si>
  <si>
    <t>(2)</t>
  </si>
  <si>
    <t>Retail kWh</t>
  </si>
  <si>
    <t>Wholesale kWh</t>
  </si>
  <si>
    <t>(3)</t>
  </si>
  <si>
    <t>GA - Class B Non-RPP Revenue</t>
  </si>
  <si>
    <t>(A)</t>
  </si>
  <si>
    <t>(B)</t>
  </si>
  <si>
    <t>(C)</t>
  </si>
  <si>
    <t>GA Costs (4707)</t>
  </si>
  <si>
    <t>Cost of Energy (4705)</t>
  </si>
  <si>
    <t>GA - Cost (4707)</t>
  </si>
  <si>
    <t>Power Costs (4705)</t>
  </si>
  <si>
    <t>Total $</t>
  </si>
  <si>
    <t>from above</t>
  </si>
  <si>
    <t>Table 37 - Total Energy and GA Revenue</t>
  </si>
  <si>
    <t>Volume Data by Customer Group</t>
  </si>
  <si>
    <t>Revenue - Energy Sales (Tables 28 &amp; 29)</t>
  </si>
  <si>
    <t>Revenue - GA (Table 29)</t>
  </si>
  <si>
    <t>Customer Group</t>
  </si>
  <si>
    <t>GA Retail
kWh Volumes</t>
  </si>
  <si>
    <t>Energy Retail kWh Volumes</t>
  </si>
  <si>
    <t>1st Estimate GA</t>
  </si>
  <si>
    <t>Class B - RPP</t>
  </si>
  <si>
    <t xml:space="preserve">Class A - Non-RPP </t>
  </si>
  <si>
    <t>Class B - Non-RPP</t>
  </si>
  <si>
    <t>Table 38 - Account 4705 Total Commodity Costs</t>
  </si>
  <si>
    <t>Costs - 4705 (Table 27)</t>
  </si>
  <si>
    <t>Commodity  (Wholesale)</t>
  </si>
  <si>
    <t>GA (Wholesale)</t>
  </si>
  <si>
    <t>Final IESO RPP Settlement</t>
  </si>
  <si>
    <t>Total Wholesale Cost</t>
  </si>
  <si>
    <t>GA Wholesale kWh Volumes</t>
  </si>
  <si>
    <t>Energy Wholesale kWh Volumes</t>
  </si>
  <si>
    <t>Final Purchased Price</t>
  </si>
  <si>
    <t>Actual GA IESO Bill Price</t>
  </si>
  <si>
    <t>Class B  - RPP</t>
  </si>
  <si>
    <t xml:space="preserve"> </t>
  </si>
  <si>
    <t>Table 39 - Account 4705 Total GA Costs</t>
  </si>
  <si>
    <t>GA Costs - 4707 (Table 27)</t>
  </si>
  <si>
    <t>Table 40 - Account 1588 Balance Explanation</t>
  </si>
  <si>
    <t>1588 - RSVA Power - Balance Explanation</t>
  </si>
  <si>
    <t>Balance Per DVA Continuity</t>
  </si>
  <si>
    <t>Variance - Type</t>
  </si>
  <si>
    <t>Quantity</t>
  </si>
  <si>
    <t>Price</t>
  </si>
  <si>
    <t>Explanation</t>
  </si>
  <si>
    <t>Price Variance</t>
  </si>
  <si>
    <t>Retail vs Wholesale Price Variances</t>
  </si>
  <si>
    <t>Volume Variance</t>
  </si>
  <si>
    <t>Retail vs Wholesale Volume Variance - (UFE differences)</t>
  </si>
  <si>
    <t>Price Difference</t>
  </si>
  <si>
    <t>Balance Explained</t>
  </si>
  <si>
    <t>Table 41 - Account 1589 Balance Explanation</t>
  </si>
  <si>
    <t>1589 - RSVA GA - Balance Explanation</t>
  </si>
  <si>
    <t>Retail GA Price Billed vs Wholesale GA Actual Price paid to IESO</t>
  </si>
  <si>
    <t>1589 Variance Account (after true-up)</t>
  </si>
  <si>
    <t>Wholesale</t>
  </si>
  <si>
    <t xml:space="preserve">Sale of Energy </t>
  </si>
  <si>
    <t>not required</t>
  </si>
  <si>
    <t>see split below</t>
  </si>
  <si>
    <t>RPP - Class B GA actual</t>
  </si>
  <si>
    <t>Non RPP - Class B GA actual</t>
  </si>
  <si>
    <t>linked  to final 2nd true-up</t>
  </si>
  <si>
    <t>UFE</t>
  </si>
  <si>
    <t xml:space="preserve">1588 Variance Account - Final(after true-up) </t>
  </si>
  <si>
    <t>Retail</t>
  </si>
  <si>
    <t>For Informational Purposes Only:</t>
  </si>
  <si>
    <t>Final IESO Settlement (A-B-C)</t>
  </si>
  <si>
    <t xml:space="preserve">FIT/MicroFit @ spot </t>
  </si>
  <si>
    <t>Summary:</t>
  </si>
  <si>
    <t>Energy  Cost</t>
  </si>
  <si>
    <t>GA Cost</t>
  </si>
  <si>
    <t xml:space="preserve">  Adjustment for OEB Accounting Guidance (UFE)</t>
  </si>
  <si>
    <t>Materiality Threshold</t>
  </si>
  <si>
    <t>Entry to Align to OEB Methodology Outcome:</t>
  </si>
  <si>
    <t>EV Method</t>
  </si>
  <si>
    <t>IESO AQEW</t>
  </si>
  <si>
    <t>Recalculated $
1st True-UP Submitted 20190807</t>
  </si>
  <si>
    <t>Difference = $ Final RPP Settlement</t>
  </si>
  <si>
    <t>+ve = payment to IESO</t>
  </si>
  <si>
    <t>-ve = payment from IESO</t>
  </si>
  <si>
    <t>Table 32a Final Revised RPP Settlement based on Actual RPP Revenue and Actual GA Price - Veridian Methodology</t>
  </si>
  <si>
    <t>Additional Supply - Hydro One</t>
  </si>
  <si>
    <t>HO/Powerstream</t>
  </si>
  <si>
    <t>Commodity Cost of Power per IESO/Hydro One Invoice:</t>
  </si>
  <si>
    <t>Class B non-RPP GA Revenue at actual (embedded)</t>
  </si>
  <si>
    <t>Actual vs. Estimate Tier Volume (kWh):</t>
  </si>
  <si>
    <t>Estimate Tier</t>
  </si>
  <si>
    <t>Actual Tier</t>
  </si>
  <si>
    <t>(1a)</t>
  </si>
  <si>
    <t>Wholesale vs Retail Volume Differences (UFE ):</t>
  </si>
  <si>
    <t>(1b)</t>
  </si>
  <si>
    <t>Total  Difference (1a + 1b)</t>
  </si>
  <si>
    <t xml:space="preserve">  Adjustment for OEB Accounting Guidance (Act Tier + UFE)</t>
  </si>
  <si>
    <t>Net Energy Cost Settlement (IESO CT 101 + Hydro One)</t>
  </si>
  <si>
    <t>* EV Method splits 1598 settlement as follows:  1)RPP less Energy posted to 4705 and 2) GA portion posted to 4707</t>
  </si>
  <si>
    <t>1598 Final Settlement*</t>
  </si>
  <si>
    <t>A/R IESO</t>
  </si>
  <si>
    <t>Data for Final RPP Settlement based on Actual Revenue Volumes Apr 2018:</t>
  </si>
  <si>
    <t xml:space="preserve">Actual </t>
  </si>
  <si>
    <t>1st estimate</t>
  </si>
  <si>
    <t xml:space="preserve">Account Balance </t>
  </si>
  <si>
    <t>Account Balance</t>
  </si>
  <si>
    <t>RPP Settlement - Apr 2018</t>
  </si>
  <si>
    <t>COMPARISON - EV AND OEB METHODOLOGY OUTCOME - Apr 2018</t>
  </si>
  <si>
    <t>Apr 2018 - Summary and Explanation of Final Balances of RSVA 1588 and 1589 -OEB Guidance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</si>
</sst>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9">
    <numFmt numFmtId="44" formatCode="_-&quot;$&quot;* #,##0.00_-;\-&quot;$&quot;* #,##0.00_-;_-&quot;$&quot;* &quot;-&quot;??_-;_-@_-"/>
    <numFmt numFmtId="43" formatCode="_-* #,##0.00_-;\-* #,##0.00_-;_-* &quot;-&quot;??_-;_-@_-"/>
    <numFmt numFmtId="164" formatCode="_(&quot;$&quot;* #,##0.00_);_(&quot;$&quot;* \(#,##0.00\);_(&quot;$&quot;* &quot;-&quot;??_);_(@_)"/>
    <numFmt numFmtId="165" formatCode="_(* #,##0.00_);_(* \(#,##0.00\);_(* &quot;-&quot;??_);_(@_)"/>
    <numFmt numFmtId="166" formatCode="_(* #,##0_);_(* \(#,##0\);_(* &quot;-&quot;??_);_(@_)"/>
    <numFmt numFmtId="167" formatCode="_(&quot;$&quot;* #,##0_);_(&quot;$&quot;* \(#,##0\);_(&quot;$&quot;* &quot;-&quot;??_);_(@_)"/>
    <numFmt numFmtId="168" formatCode="_(* #,##0.00000_);_(* \(#,##0.00000\);_(* &quot;-&quot;??_);_(@_)"/>
    <numFmt numFmtId="169" formatCode="_(&quot;$&quot;* #,##0.0000_);_(&quot;$&quot;* \(#,##0.0000\);_(&quot;$&quot;* &quot;-&quot;??_);_(@_)"/>
    <numFmt numFmtId="170" formatCode="_-* #,##0_-;\-* #,##0_-;_-* &quot;-&quot;??_-;_-@_-"/>
    <numFmt numFmtId="171" formatCode="_(&quot;$&quot;* #,##0.000_);_(&quot;$&quot;* \(#,##0.000\);_(&quot;$&quot;* &quot;-&quot;??_);_(@_)"/>
    <numFmt numFmtId="172" formatCode="_(* #,##0.0000_);_(* \(#,##0.0000\);_(* &quot;-&quot;??_);_(@_)"/>
    <numFmt numFmtId="173" formatCode="_-&quot;$&quot;* #,##0.0000_-;\-&quot;$&quot;* #,##0.0000_-;_-&quot;$&quot;* &quot;-&quot;??_-;_-@_-"/>
    <numFmt numFmtId="174" formatCode="_(&quot;$&quot;* #,##0.00000_);_(&quot;$&quot;* \(#,##0.00000\);_(&quot;$&quot;* &quot;-&quot;??_);_(@_)"/>
    <numFmt numFmtId="175" formatCode="_-&quot;$&quot;* #,##0_-;\-&quot;$&quot;* #,##0_-;_-&quot;$&quot;* &quot;-&quot;????_-;_-@_-"/>
    <numFmt numFmtId="176" formatCode="_-&quot;$&quot;* #,##0_-;\-&quot;$&quot;* #,##0_-;_-&quot;$&quot;* &quot;-&quot;??_-;_-@_-"/>
    <numFmt numFmtId="177" formatCode="_-&quot;$&quot;* #,##0.00000_-;\-&quot;$&quot;* #,##0.00000_-;_-&quot;$&quot;* &quot;-&quot;??_-;_-@_-"/>
    <numFmt numFmtId="178" formatCode="0.000000"/>
    <numFmt numFmtId="179" formatCode="_(* #,##0.000_);_(* \(#,##0.000\);_(* &quot;-&quot;??_);_(@_)"/>
    <numFmt numFmtId="180" formatCode="0.00000"/>
    <numFmt numFmtId="181" formatCode="\ mm\/dd\/yyyy"/>
    <numFmt numFmtId="182" formatCode="0.0000"/>
    <numFmt numFmtId="183" formatCode="_(* #,##0.000000_);_(* \(#,##0.000000\);_(* &quot;-&quot;??_);_(@_)"/>
    <numFmt numFmtId="184" formatCode="0.0%"/>
    <numFmt numFmtId="185" formatCode="_(&quot;$&quot;* #,##0.000000_);_(&quot;$&quot;* \(#,##0.000000\);_(&quot;$&quot;* &quot;-&quot;??_);_(@_)"/>
    <numFmt numFmtId="186" formatCode="0.000%"/>
    <numFmt numFmtId="187" formatCode="_(* #,##0.0000000_);_(* \(#,##0.0000000\);_(* &quot;-&quot;??_);_(@_)"/>
    <numFmt numFmtId="188" formatCode="_-* #,##0.000000_-;\-* #,##0.000000_-;_-* &quot;-&quot;??_-;_-@_-"/>
    <numFmt numFmtId="189" formatCode="#,##0.00000_);[Red]\(#,##0.00000\)"/>
    <numFmt numFmtId="190" formatCode="_(&quot;$&quot;* #,##0.0000_);_(&quot;$&quot;* \(#,##0.0000\);_(&quot;$&quot;* &quot;-&quot;????_);_(@_)"/>
  </numFmts>
  <fonts count="24"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b/>
      <sz val="10"/>
      <color theme="1"/>
      <name val="Calibri"/>
      <family val="2"/>
      <scheme val="minor"/>
    </font>
    <font>
      <sz val="11"/>
      <name val="Calibri"/>
      <family val="2"/>
      <scheme val="minor"/>
    </font>
    <font>
      <b/>
      <vertAlign val="superscript"/>
      <sz val="10"/>
      <color theme="1"/>
      <name val="Calibri"/>
      <family val="2"/>
      <scheme val="minor"/>
    </font>
    <font>
      <b/>
      <vertAlign val="superscript"/>
      <sz val="11"/>
      <color theme="1"/>
      <name val="Calibri"/>
      <family val="2"/>
      <scheme val="minor"/>
    </font>
    <font>
      <vertAlign val="superscript"/>
      <sz val="11"/>
      <color theme="1"/>
      <name val="Calibri"/>
      <family val="2"/>
      <scheme val="minor"/>
    </font>
    <font>
      <b/>
      <sz val="20"/>
      <color theme="1"/>
      <name val="Calibri"/>
      <family val="2"/>
      <scheme val="minor"/>
    </font>
    <font>
      <i/>
      <sz val="11"/>
      <color theme="1"/>
      <name val="Calibri"/>
      <family val="2"/>
      <scheme val="minor"/>
    </font>
    <font>
      <sz val="9"/>
      <color theme="1"/>
      <name val="Calibri"/>
      <family val="2"/>
      <scheme val="minor"/>
    </font>
    <font>
      <u/>
      <sz val="11"/>
      <color theme="1"/>
      <name val="Calibri"/>
      <family val="2"/>
      <scheme val="minor"/>
    </font>
    <font>
      <sz val="12"/>
      <name val="Arial"/>
      <family val="2"/>
    </font>
    <font>
      <u/>
      <sz val="10"/>
      <name val="Arial"/>
      <family val="2"/>
    </font>
    <font>
      <sz val="11"/>
      <name val="Comic Sans MS"/>
      <family val="4"/>
    </font>
    <font>
      <b/>
      <u/>
      <sz val="20"/>
      <color theme="1"/>
      <name val="Calibri"/>
      <family val="2"/>
      <scheme val="minor"/>
    </font>
    <font>
      <b/>
      <sz val="12"/>
      <color theme="1"/>
      <name val="Calibri"/>
      <family val="2"/>
      <scheme val="minor"/>
    </font>
    <font>
      <sz val="10"/>
      <color theme="1"/>
      <name val="Calibri"/>
      <family val="2"/>
      <scheme val="minor"/>
    </font>
    <font>
      <i/>
      <sz val="10"/>
      <color theme="1"/>
      <name val="Calibri"/>
      <family val="2"/>
      <scheme val="minor"/>
    </font>
    <font>
      <u/>
      <sz val="10"/>
      <color theme="1"/>
      <name val="Calibri"/>
      <family val="2"/>
      <scheme val="minor"/>
    </font>
    <font>
      <b/>
      <u/>
      <sz val="16"/>
      <color theme="1"/>
      <name val="Calibri"/>
      <family val="2"/>
      <scheme val="minor"/>
    </font>
    <font>
      <i/>
      <sz val="9"/>
      <color theme="1"/>
      <name val="Calibri"/>
      <family val="2"/>
      <scheme val="minor"/>
    </font>
    <font>
      <sz val="10"/>
      <name val="Arial"/>
      <family val="2"/>
    </font>
  </fonts>
  <fills count="7">
    <fill>
      <patternFill patternType="none"/>
    </fill>
    <fill>
      <patternFill patternType="gray125"/>
    </fill>
    <fill>
      <patternFill patternType="solid">
        <fgColor theme="6" tint="0.79998168889431442"/>
        <bgColor indexed="64"/>
      </patternFill>
    </fill>
    <fill>
      <patternFill patternType="solid">
        <fgColor theme="0" tint="-4.9989318521683403E-2"/>
        <bgColor indexed="64"/>
      </patternFill>
    </fill>
    <fill>
      <patternFill patternType="solid">
        <fgColor theme="0"/>
        <bgColor indexed="64"/>
      </patternFill>
    </fill>
    <fill>
      <patternFill patternType="solid">
        <fgColor theme="8" tint="0.59999389629810485"/>
        <bgColor indexed="64"/>
      </patternFill>
    </fill>
    <fill>
      <patternFill patternType="solid">
        <fgColor theme="8" tint="0.79998168889431442"/>
        <bgColor indexed="64"/>
      </patternFill>
    </fill>
  </fills>
  <borders count="68">
    <border>
      <left/>
      <right/>
      <top/>
      <bottom/>
      <diagonal/>
    </border>
    <border>
      <left/>
      <right/>
      <top style="thin">
        <color indexed="64"/>
      </top>
      <bottom style="thin">
        <color auto="1"/>
      </bottom>
      <diagonal/>
    </border>
    <border>
      <left/>
      <right/>
      <top style="thin">
        <color indexed="64"/>
      </top>
      <bottom style="double">
        <color indexed="64"/>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top style="thin">
        <color auto="1"/>
      </top>
      <bottom style="medium">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indexed="64"/>
      </top>
      <bottom style="thin">
        <color auto="1"/>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thin">
        <color indexed="64"/>
      </top>
      <bottom/>
      <diagonal/>
    </border>
    <border>
      <left/>
      <right style="thin">
        <color indexed="64"/>
      </right>
      <top/>
      <bottom/>
      <diagonal/>
    </border>
    <border>
      <left/>
      <right style="thin">
        <color indexed="64"/>
      </right>
      <top style="thin">
        <color auto="1"/>
      </top>
      <bottom style="thin">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thin">
        <color auto="1"/>
      </top>
      <bottom style="medium">
        <color auto="1"/>
      </bottom>
      <diagonal/>
    </border>
    <border>
      <left style="thin">
        <color indexed="64"/>
      </left>
      <right/>
      <top style="thin">
        <color indexed="64"/>
      </top>
      <bottom style="thin">
        <color indexed="64"/>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indexed="64"/>
      </left>
      <right/>
      <top style="medium">
        <color auto="1"/>
      </top>
      <bottom style="medium">
        <color auto="1"/>
      </bottom>
      <diagonal/>
    </border>
    <border>
      <left style="dashed">
        <color indexed="64"/>
      </left>
      <right style="thin">
        <color auto="1"/>
      </right>
      <top style="medium">
        <color auto="1"/>
      </top>
      <bottom style="medium">
        <color auto="1"/>
      </bottom>
      <diagonal/>
    </border>
    <border>
      <left style="thin">
        <color auto="1"/>
      </left>
      <right style="thin">
        <color auto="1"/>
      </right>
      <top style="medium">
        <color auto="1"/>
      </top>
      <bottom style="thin">
        <color indexed="64"/>
      </bottom>
      <diagonal/>
    </border>
    <border>
      <left style="thin">
        <color auto="1"/>
      </left>
      <right style="thin">
        <color auto="1"/>
      </right>
      <top style="thin">
        <color auto="1"/>
      </top>
      <bottom style="medium">
        <color auto="1"/>
      </bottom>
      <diagonal/>
    </border>
    <border>
      <left style="thin">
        <color indexed="64"/>
      </left>
      <right style="thin">
        <color auto="1"/>
      </right>
      <top style="medium">
        <color auto="1"/>
      </top>
      <bottom style="double">
        <color indexed="64"/>
      </bottom>
      <diagonal/>
    </border>
    <border>
      <left style="dashed">
        <color indexed="64"/>
      </left>
      <right style="thin">
        <color auto="1"/>
      </right>
      <top style="medium">
        <color auto="1"/>
      </top>
      <bottom style="double">
        <color indexed="64"/>
      </bottom>
      <diagonal/>
    </border>
    <border>
      <left/>
      <right style="thin">
        <color auto="1"/>
      </right>
      <top style="medium">
        <color auto="1"/>
      </top>
      <bottom style="medium">
        <color auto="1"/>
      </bottom>
      <diagonal/>
    </border>
    <border>
      <left/>
      <right style="hair">
        <color auto="1"/>
      </right>
      <top style="medium">
        <color auto="1"/>
      </top>
      <bottom style="medium">
        <color auto="1"/>
      </bottom>
      <diagonal/>
    </border>
    <border>
      <left style="thin">
        <color auto="1"/>
      </left>
      <right/>
      <top style="medium">
        <color auto="1"/>
      </top>
      <bottom style="thin">
        <color auto="1"/>
      </bottom>
      <diagonal/>
    </border>
    <border>
      <left style="dashed">
        <color indexed="64"/>
      </left>
      <right style="thin">
        <color auto="1"/>
      </right>
      <top style="medium">
        <color auto="1"/>
      </top>
      <bottom style="thin">
        <color auto="1"/>
      </bottom>
      <diagonal/>
    </border>
    <border>
      <left/>
      <right style="hair">
        <color auto="1"/>
      </right>
      <top style="medium">
        <color auto="1"/>
      </top>
      <bottom style="thin">
        <color auto="1"/>
      </bottom>
      <diagonal/>
    </border>
    <border>
      <left/>
      <right style="thin">
        <color indexed="64"/>
      </right>
      <top style="medium">
        <color auto="1"/>
      </top>
      <bottom style="thin">
        <color auto="1"/>
      </bottom>
      <diagonal/>
    </border>
    <border>
      <left style="dashed">
        <color indexed="64"/>
      </left>
      <right style="thin">
        <color auto="1"/>
      </right>
      <top style="thin">
        <color indexed="64"/>
      </top>
      <bottom style="thin">
        <color indexed="64"/>
      </bottom>
      <diagonal/>
    </border>
    <border>
      <left/>
      <right style="hair">
        <color auto="1"/>
      </right>
      <top style="thin">
        <color auto="1"/>
      </top>
      <bottom style="thin">
        <color auto="1"/>
      </bottom>
      <diagonal/>
    </border>
    <border>
      <left style="thin">
        <color auto="1"/>
      </left>
      <right style="dashed">
        <color indexed="64"/>
      </right>
      <top style="thin">
        <color auto="1"/>
      </top>
      <bottom style="medium">
        <color auto="1"/>
      </bottom>
      <diagonal/>
    </border>
    <border>
      <left style="dashed">
        <color indexed="64"/>
      </left>
      <right style="medium">
        <color auto="1"/>
      </right>
      <top style="medium">
        <color auto="1"/>
      </top>
      <bottom style="medium">
        <color auto="1"/>
      </bottom>
      <diagonal/>
    </border>
    <border>
      <left style="dashed">
        <color indexed="64"/>
      </left>
      <right style="thin">
        <color auto="1"/>
      </right>
      <top style="thin">
        <color indexed="64"/>
      </top>
      <bottom style="medium">
        <color auto="1"/>
      </bottom>
      <diagonal/>
    </border>
    <border>
      <left/>
      <right style="thin">
        <color indexed="64"/>
      </right>
      <top style="medium">
        <color auto="1"/>
      </top>
      <bottom style="double">
        <color auto="1"/>
      </bottom>
      <diagonal/>
    </border>
    <border>
      <left style="thin">
        <color auto="1"/>
      </left>
      <right/>
      <top/>
      <bottom style="medium">
        <color auto="1"/>
      </bottom>
      <diagonal/>
    </border>
    <border>
      <left/>
      <right style="thin">
        <color indexed="64"/>
      </right>
      <top/>
      <bottom style="medium">
        <color auto="1"/>
      </bottom>
      <diagonal/>
    </border>
    <border>
      <left style="dashed">
        <color indexed="64"/>
      </left>
      <right style="dashed">
        <color indexed="64"/>
      </right>
      <top style="medium">
        <color auto="1"/>
      </top>
      <bottom style="medium">
        <color auto="1"/>
      </bottom>
      <diagonal/>
    </border>
    <border>
      <left style="medium">
        <color auto="1"/>
      </left>
      <right/>
      <top style="medium">
        <color auto="1"/>
      </top>
      <bottom style="thin">
        <color auto="1"/>
      </bottom>
      <diagonal/>
    </border>
    <border>
      <left style="dashed">
        <color indexed="64"/>
      </left>
      <right style="dashed">
        <color indexed="64"/>
      </right>
      <top style="medium">
        <color auto="1"/>
      </top>
      <bottom style="thin">
        <color auto="1"/>
      </bottom>
      <diagonal/>
    </border>
    <border>
      <left/>
      <right style="medium">
        <color auto="1"/>
      </right>
      <top style="medium">
        <color auto="1"/>
      </top>
      <bottom style="thin">
        <color auto="1"/>
      </bottom>
      <diagonal/>
    </border>
    <border>
      <left style="dashed">
        <color indexed="64"/>
      </left>
      <right style="dashed">
        <color indexed="64"/>
      </right>
      <top style="thin">
        <color indexed="64"/>
      </top>
      <bottom style="thin">
        <color auto="1"/>
      </bottom>
      <diagonal/>
    </border>
    <border>
      <left/>
      <right style="medium">
        <color auto="1"/>
      </right>
      <top style="thin">
        <color auto="1"/>
      </top>
      <bottom style="thin">
        <color auto="1"/>
      </bottom>
      <diagonal/>
    </border>
    <border>
      <left style="medium">
        <color auto="1"/>
      </left>
      <right/>
      <top style="thin">
        <color auto="1"/>
      </top>
      <bottom style="medium">
        <color auto="1"/>
      </bottom>
      <diagonal/>
    </border>
    <border>
      <left style="dashed">
        <color indexed="64"/>
      </left>
      <right style="dashed">
        <color indexed="64"/>
      </right>
      <top style="thin">
        <color auto="1"/>
      </top>
      <bottom style="medium">
        <color auto="1"/>
      </bottom>
      <diagonal/>
    </border>
    <border>
      <left/>
      <right style="medium">
        <color auto="1"/>
      </right>
      <top style="thin">
        <color auto="1"/>
      </top>
      <bottom style="medium">
        <color auto="1"/>
      </bottom>
      <diagonal/>
    </border>
    <border>
      <left style="thin">
        <color indexed="64"/>
      </left>
      <right style="thin">
        <color indexed="64"/>
      </right>
      <top/>
      <bottom style="double">
        <color indexed="64"/>
      </bottom>
      <diagonal/>
    </border>
    <border>
      <left/>
      <right style="thin">
        <color indexed="64"/>
      </right>
      <top style="thin">
        <color indexed="64"/>
      </top>
      <bottom style="double">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diagonal/>
    </border>
  </borders>
  <cellStyleXfs count="7">
    <xf numFmtId="0" fontId="0" fillId="0" borderId="0"/>
    <xf numFmtId="165"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13" fillId="0" borderId="0"/>
    <xf numFmtId="0" fontId="23" fillId="0" borderId="0"/>
    <xf numFmtId="165" fontId="1" fillId="0" borderId="0" applyFont="0" applyFill="0" applyBorder="0" applyAlignment="0" applyProtection="0"/>
  </cellStyleXfs>
  <cellXfs count="443">
    <xf numFmtId="0" fontId="0" fillId="0" borderId="0" xfId="0"/>
    <xf numFmtId="0" fontId="3" fillId="0" borderId="0" xfId="0" applyFont="1"/>
    <xf numFmtId="0" fontId="2" fillId="0" borderId="0" xfId="0" applyFont="1"/>
    <xf numFmtId="0" fontId="0" fillId="0" borderId="0" xfId="0" applyBorder="1"/>
    <xf numFmtId="0" fontId="0" fillId="0" borderId="0" xfId="0" applyFont="1"/>
    <xf numFmtId="166" fontId="0" fillId="0" borderId="0" xfId="1" applyNumberFormat="1" applyFont="1" applyFill="1"/>
    <xf numFmtId="166" fontId="0" fillId="0" borderId="0" xfId="1" applyNumberFormat="1" applyFont="1"/>
    <xf numFmtId="166" fontId="0" fillId="0" borderId="0" xfId="0" applyNumberFormat="1"/>
    <xf numFmtId="0" fontId="3" fillId="0" borderId="0" xfId="0" applyFont="1" applyBorder="1"/>
    <xf numFmtId="167" fontId="0" fillId="0" borderId="0" xfId="0" applyNumberFormat="1" applyBorder="1"/>
    <xf numFmtId="166" fontId="0" fillId="0" borderId="1" xfId="1" applyNumberFormat="1" applyFont="1" applyFill="1" applyBorder="1"/>
    <xf numFmtId="0" fontId="2" fillId="0" borderId="0" xfId="0" applyFont="1" applyBorder="1" applyAlignment="1">
      <alignment horizontal="center"/>
    </xf>
    <xf numFmtId="166" fontId="2" fillId="0" borderId="0" xfId="1" applyNumberFormat="1" applyFont="1" applyBorder="1" applyAlignment="1">
      <alignment horizontal="center"/>
    </xf>
    <xf numFmtId="0" fontId="2" fillId="0" borderId="0" xfId="0" applyFont="1" applyBorder="1" applyAlignment="1">
      <alignment horizontal="center" wrapText="1"/>
    </xf>
    <xf numFmtId="10" fontId="0" fillId="0" borderId="0" xfId="3" applyNumberFormat="1" applyFont="1"/>
    <xf numFmtId="10" fontId="0" fillId="0" borderId="0" xfId="3" applyNumberFormat="1" applyFont="1" applyFill="1"/>
    <xf numFmtId="168" fontId="0" fillId="0" borderId="0" xfId="0" applyNumberFormat="1" applyBorder="1"/>
    <xf numFmtId="169" fontId="0" fillId="0" borderId="0" xfId="0" applyNumberFormat="1" applyBorder="1"/>
    <xf numFmtId="166" fontId="0" fillId="0" borderId="0" xfId="0" applyNumberFormat="1" applyBorder="1"/>
    <xf numFmtId="167" fontId="0" fillId="0" borderId="0" xfId="2" applyNumberFormat="1" applyFont="1" applyBorder="1"/>
    <xf numFmtId="10" fontId="0" fillId="0" borderId="0" xfId="3" applyNumberFormat="1" applyFont="1" applyBorder="1"/>
    <xf numFmtId="0" fontId="0" fillId="0" borderId="0" xfId="0" applyFill="1"/>
    <xf numFmtId="10" fontId="0" fillId="0" borderId="2" xfId="0" applyNumberFormat="1" applyBorder="1"/>
    <xf numFmtId="166" fontId="0" fillId="0" borderId="2" xfId="0" applyNumberFormat="1" applyBorder="1"/>
    <xf numFmtId="0" fontId="4" fillId="0" borderId="0" xfId="0" applyFont="1"/>
    <xf numFmtId="169" fontId="0" fillId="0" borderId="0" xfId="0" applyNumberFormat="1"/>
    <xf numFmtId="167" fontId="0" fillId="0" borderId="0" xfId="2" applyNumberFormat="1" applyFont="1"/>
    <xf numFmtId="170" fontId="0" fillId="0" borderId="0" xfId="1" applyNumberFormat="1" applyFont="1"/>
    <xf numFmtId="171" fontId="0" fillId="0" borderId="0" xfId="2" applyNumberFormat="1" applyFont="1" applyFill="1"/>
    <xf numFmtId="171" fontId="0" fillId="0" borderId="0" xfId="2" applyNumberFormat="1" applyFont="1"/>
    <xf numFmtId="166" fontId="5" fillId="0" borderId="0" xfId="1" applyNumberFormat="1" applyFont="1" applyFill="1"/>
    <xf numFmtId="165" fontId="0" fillId="0" borderId="0" xfId="0" applyNumberFormat="1"/>
    <xf numFmtId="166" fontId="0" fillId="0" borderId="0" xfId="3" applyNumberFormat="1" applyFont="1"/>
    <xf numFmtId="0" fontId="0" fillId="0" borderId="0" xfId="0" applyAlignment="1">
      <alignment horizontal="center"/>
    </xf>
    <xf numFmtId="172" fontId="0" fillId="0" borderId="0" xfId="0" applyNumberFormat="1"/>
    <xf numFmtId="169" fontId="0" fillId="0" borderId="0" xfId="2" applyNumberFormat="1" applyFont="1"/>
    <xf numFmtId="164" fontId="0" fillId="0" borderId="0" xfId="0" applyNumberFormat="1"/>
    <xf numFmtId="173" fontId="0" fillId="0" borderId="0" xfId="0" applyNumberFormat="1"/>
    <xf numFmtId="167" fontId="2" fillId="0" borderId="0" xfId="2" applyNumberFormat="1" applyFont="1" applyBorder="1" applyAlignment="1">
      <alignment horizontal="center"/>
    </xf>
    <xf numFmtId="167" fontId="0" fillId="0" borderId="0" xfId="2" applyNumberFormat="1" applyFont="1" applyFill="1"/>
    <xf numFmtId="167" fontId="0" fillId="0" borderId="0" xfId="0" applyNumberFormat="1" applyFill="1"/>
    <xf numFmtId="174" fontId="0" fillId="0" borderId="0" xfId="0" applyNumberFormat="1" applyFill="1"/>
    <xf numFmtId="167" fontId="0" fillId="0" borderId="2" xfId="2" applyNumberFormat="1" applyFont="1" applyFill="1" applyBorder="1"/>
    <xf numFmtId="164" fontId="0" fillId="0" borderId="0" xfId="2" applyFont="1"/>
    <xf numFmtId="164" fontId="0" fillId="0" borderId="0" xfId="2" applyFont="1" applyFill="1"/>
    <xf numFmtId="167" fontId="0" fillId="0" borderId="0" xfId="0" applyNumberFormat="1"/>
    <xf numFmtId="166" fontId="0" fillId="0" borderId="0" xfId="0" applyNumberFormat="1" applyFill="1"/>
    <xf numFmtId="0" fontId="2" fillId="0" borderId="0" xfId="0" applyFont="1" applyFill="1" applyAlignment="1">
      <alignment horizontal="center" wrapText="1"/>
    </xf>
    <xf numFmtId="44" fontId="0" fillId="0" borderId="0" xfId="0" applyNumberFormat="1"/>
    <xf numFmtId="43" fontId="0" fillId="0" borderId="0" xfId="0" applyNumberFormat="1" applyFill="1"/>
    <xf numFmtId="175" fontId="0" fillId="0" borderId="0" xfId="0" applyNumberFormat="1"/>
    <xf numFmtId="175" fontId="0" fillId="0" borderId="0" xfId="0" applyNumberFormat="1" applyFill="1"/>
    <xf numFmtId="166" fontId="0" fillId="0" borderId="2" xfId="1" applyNumberFormat="1" applyFont="1" applyBorder="1"/>
    <xf numFmtId="167" fontId="0" fillId="0" borderId="0" xfId="2" applyNumberFormat="1" applyFont="1" applyFill="1" applyBorder="1"/>
    <xf numFmtId="166" fontId="0" fillId="0" borderId="0" xfId="1" applyNumberFormat="1" applyFont="1" applyBorder="1"/>
    <xf numFmtId="164" fontId="0" fillId="0" borderId="0" xfId="0" applyNumberFormat="1" applyFill="1"/>
    <xf numFmtId="167" fontId="2" fillId="0" borderId="0" xfId="2" applyNumberFormat="1" applyFont="1" applyFill="1" applyBorder="1" applyAlignment="1">
      <alignment horizontal="center"/>
    </xf>
    <xf numFmtId="169" fontId="0" fillId="0" borderId="0" xfId="0" applyNumberFormat="1" applyFont="1" applyFill="1"/>
    <xf numFmtId="166" fontId="1" fillId="0" borderId="0" xfId="1" applyNumberFormat="1" applyFont="1" applyBorder="1"/>
    <xf numFmtId="167" fontId="1" fillId="0" borderId="0" xfId="2" applyNumberFormat="1" applyFont="1" applyFill="1" applyBorder="1"/>
    <xf numFmtId="167" fontId="0" fillId="0" borderId="2" xfId="2" applyNumberFormat="1" applyFont="1" applyBorder="1"/>
    <xf numFmtId="10" fontId="0" fillId="0" borderId="0" xfId="3" applyNumberFormat="1" applyFont="1" applyFill="1" applyBorder="1"/>
    <xf numFmtId="43" fontId="0" fillId="0" borderId="0" xfId="0" applyNumberFormat="1"/>
    <xf numFmtId="9" fontId="0" fillId="0" borderId="0" xfId="3" applyFont="1" applyBorder="1"/>
    <xf numFmtId="168" fontId="0" fillId="0" borderId="0" xfId="1" applyNumberFormat="1" applyFont="1" applyBorder="1"/>
    <xf numFmtId="177" fontId="0" fillId="0" borderId="0" xfId="0" applyNumberFormat="1"/>
    <xf numFmtId="169" fontId="0" fillId="0" borderId="1" xfId="0" applyNumberFormat="1" applyBorder="1"/>
    <xf numFmtId="166" fontId="0" fillId="0" borderId="1" xfId="1" applyNumberFormat="1" applyFont="1" applyBorder="1"/>
    <xf numFmtId="167" fontId="0" fillId="0" borderId="2" xfId="0" applyNumberFormat="1" applyBorder="1"/>
    <xf numFmtId="174" fontId="0" fillId="0" borderId="0" xfId="3" applyNumberFormat="1" applyFont="1" applyBorder="1"/>
    <xf numFmtId="43" fontId="0" fillId="0" borderId="0" xfId="1" applyNumberFormat="1" applyFont="1" applyBorder="1"/>
    <xf numFmtId="174" fontId="0" fillId="0" borderId="0" xfId="2" applyNumberFormat="1" applyFont="1" applyBorder="1"/>
    <xf numFmtId="165" fontId="0" fillId="0" borderId="0" xfId="1" applyFont="1" applyBorder="1"/>
    <xf numFmtId="0" fontId="0" fillId="0" borderId="0" xfId="0" applyFill="1" applyBorder="1"/>
    <xf numFmtId="0" fontId="2" fillId="0" borderId="0" xfId="0" applyFont="1" applyFill="1" applyBorder="1" applyAlignment="1">
      <alignment horizontal="center"/>
    </xf>
    <xf numFmtId="166" fontId="0" fillId="0" borderId="0" xfId="1" applyNumberFormat="1" applyFont="1" applyFill="1" applyBorder="1"/>
    <xf numFmtId="167" fontId="0" fillId="0" borderId="0" xfId="0" applyNumberFormat="1" applyFill="1" applyBorder="1"/>
    <xf numFmtId="0" fontId="9" fillId="0" borderId="0" xfId="0" applyFont="1"/>
    <xf numFmtId="0" fontId="2" fillId="0" borderId="0" xfId="0" applyFont="1" applyBorder="1"/>
    <xf numFmtId="0" fontId="2" fillId="0" borderId="3" xfId="0" applyFont="1" applyBorder="1"/>
    <xf numFmtId="0" fontId="2" fillId="0" borderId="3" xfId="0" applyFont="1" applyBorder="1" applyAlignment="1">
      <alignment horizontal="center"/>
    </xf>
    <xf numFmtId="0" fontId="2" fillId="0" borderId="3" xfId="0" applyFont="1" applyBorder="1" applyAlignment="1">
      <alignment horizontal="center" wrapText="1"/>
    </xf>
    <xf numFmtId="0" fontId="2" fillId="0" borderId="0" xfId="0" applyFont="1" applyBorder="1" applyAlignment="1">
      <alignment wrapText="1"/>
    </xf>
    <xf numFmtId="0" fontId="0" fillId="0" borderId="4" xfId="0" applyBorder="1"/>
    <xf numFmtId="169" fontId="0" fillId="0" borderId="5" xfId="2" applyNumberFormat="1" applyFont="1" applyBorder="1"/>
    <xf numFmtId="173" fontId="0" fillId="0" borderId="5" xfId="0" applyNumberFormat="1" applyBorder="1"/>
    <xf numFmtId="171" fontId="0" fillId="0" borderId="0" xfId="0" applyNumberFormat="1" applyBorder="1"/>
    <xf numFmtId="169" fontId="0" fillId="0" borderId="0" xfId="2" applyNumberFormat="1" applyFont="1" applyBorder="1"/>
    <xf numFmtId="173" fontId="0" fillId="0" borderId="0" xfId="0" applyNumberFormat="1" applyBorder="1"/>
    <xf numFmtId="166" fontId="0" fillId="0" borderId="0" xfId="3" applyNumberFormat="1" applyFont="1" applyBorder="1"/>
    <xf numFmtId="0" fontId="0" fillId="0" borderId="6" xfId="0" applyBorder="1"/>
    <xf numFmtId="0" fontId="0" fillId="0" borderId="7" xfId="0" applyBorder="1"/>
    <xf numFmtId="169" fontId="0" fillId="0" borderId="8" xfId="2" applyNumberFormat="1" applyFont="1" applyBorder="1"/>
    <xf numFmtId="173" fontId="0" fillId="0" borderId="8" xfId="0" applyNumberFormat="1" applyBorder="1"/>
    <xf numFmtId="169" fontId="0" fillId="0" borderId="9" xfId="2" applyNumberFormat="1" applyFont="1" applyBorder="1"/>
    <xf numFmtId="177" fontId="0" fillId="0" borderId="0" xfId="0" applyNumberFormat="1" applyBorder="1"/>
    <xf numFmtId="0" fontId="0" fillId="0" borderId="0" xfId="0" applyBorder="1" applyAlignment="1">
      <alignment horizontal="center"/>
    </xf>
    <xf numFmtId="44" fontId="0" fillId="0" borderId="0" xfId="0" applyNumberFormat="1" applyBorder="1"/>
    <xf numFmtId="0" fontId="2" fillId="0" borderId="3" xfId="0" applyFont="1" applyBorder="1" applyAlignment="1">
      <alignment wrapText="1"/>
    </xf>
    <xf numFmtId="0" fontId="2" fillId="0" borderId="0" xfId="0" applyFont="1" applyFill="1" applyBorder="1" applyAlignment="1">
      <alignment horizontal="center" wrapText="1"/>
    </xf>
    <xf numFmtId="171" fontId="0" fillId="0" borderId="5" xfId="0" applyNumberFormat="1" applyBorder="1"/>
    <xf numFmtId="171" fontId="0" fillId="0" borderId="8" xfId="0" applyNumberFormat="1" applyBorder="1"/>
    <xf numFmtId="0" fontId="2" fillId="0" borderId="0" xfId="0" applyFont="1" applyAlignment="1">
      <alignment horizontal="center"/>
    </xf>
    <xf numFmtId="0" fontId="2" fillId="0" borderId="0" xfId="0" applyFont="1" applyAlignment="1">
      <alignment horizontal="center" wrapText="1"/>
    </xf>
    <xf numFmtId="0" fontId="0" fillId="0" borderId="0" xfId="0" applyFill="1" applyAlignment="1">
      <alignment horizontal="center"/>
    </xf>
    <xf numFmtId="0" fontId="0" fillId="0" borderId="11" xfId="0" applyBorder="1"/>
    <xf numFmtId="0" fontId="0" fillId="0" borderId="0" xfId="0" applyBorder="1" applyAlignment="1">
      <alignment horizontal="left"/>
    </xf>
    <xf numFmtId="0" fontId="11" fillId="0" borderId="0" xfId="0" applyFont="1" applyFill="1"/>
    <xf numFmtId="0" fontId="0" fillId="0" borderId="8" xfId="0" applyBorder="1" applyAlignment="1">
      <alignment horizontal="center"/>
    </xf>
    <xf numFmtId="166" fontId="0" fillId="2" borderId="0" xfId="1" applyNumberFormat="1" applyFont="1" applyFill="1"/>
    <xf numFmtId="166" fontId="0" fillId="2" borderId="0" xfId="0" applyNumberFormat="1" applyFill="1"/>
    <xf numFmtId="174" fontId="0" fillId="0" borderId="0" xfId="0" applyNumberFormat="1"/>
    <xf numFmtId="169" fontId="0" fillId="0" borderId="5" xfId="2" applyNumberFormat="1" applyFont="1" applyFill="1" applyBorder="1"/>
    <xf numFmtId="169" fontId="0" fillId="0" borderId="0" xfId="2" applyNumberFormat="1" applyFont="1" applyFill="1" applyBorder="1"/>
    <xf numFmtId="169" fontId="0" fillId="0" borderId="8" xfId="2" applyNumberFormat="1" applyFont="1" applyFill="1" applyBorder="1"/>
    <xf numFmtId="0" fontId="0" fillId="0" borderId="0" xfId="0" applyFill="1" applyBorder="1" applyAlignment="1">
      <alignment horizontal="center"/>
    </xf>
    <xf numFmtId="166" fontId="2" fillId="0" borderId="0" xfId="0" applyNumberFormat="1" applyFont="1" applyBorder="1" applyAlignment="1">
      <alignment horizontal="center"/>
    </xf>
    <xf numFmtId="165" fontId="0" fillId="0" borderId="0" xfId="1" applyFont="1"/>
    <xf numFmtId="165" fontId="0" fillId="0" borderId="0" xfId="1" applyNumberFormat="1" applyFont="1" applyFill="1" applyBorder="1"/>
    <xf numFmtId="0" fontId="16" fillId="0" borderId="0" xfId="0" applyFont="1" applyAlignment="1"/>
    <xf numFmtId="0" fontId="0" fillId="0" borderId="0" xfId="0" applyAlignment="1">
      <alignment wrapText="1"/>
    </xf>
    <xf numFmtId="0" fontId="16" fillId="0" borderId="0" xfId="0" applyFont="1" applyAlignment="1">
      <alignment horizontal="center"/>
    </xf>
    <xf numFmtId="0" fontId="2" fillId="0" borderId="33" xfId="0" applyFont="1" applyBorder="1"/>
    <xf numFmtId="0" fontId="2" fillId="0" borderId="34" xfId="0" applyFont="1" applyBorder="1" applyAlignment="1">
      <alignment horizontal="center" wrapText="1"/>
    </xf>
    <xf numFmtId="0" fontId="2" fillId="0" borderId="35" xfId="0" applyFont="1" applyBorder="1" applyAlignment="1">
      <alignment horizontal="center"/>
    </xf>
    <xf numFmtId="0" fontId="2" fillId="0" borderId="36" xfId="0" applyFont="1" applyBorder="1" applyAlignment="1">
      <alignment horizontal="center"/>
    </xf>
    <xf numFmtId="0" fontId="2" fillId="0" borderId="35" xfId="0" applyFont="1" applyBorder="1" applyAlignment="1">
      <alignment horizontal="center" wrapText="1"/>
    </xf>
    <xf numFmtId="166" fontId="0" fillId="0" borderId="0" xfId="0" applyNumberFormat="1" applyAlignment="1">
      <alignment wrapText="1"/>
    </xf>
    <xf numFmtId="166" fontId="0" fillId="0" borderId="0" xfId="1" applyNumberFormat="1" applyFont="1" applyAlignment="1">
      <alignment wrapText="1"/>
    </xf>
    <xf numFmtId="187" fontId="0" fillId="0" borderId="0" xfId="0" applyNumberFormat="1" applyAlignment="1">
      <alignment wrapText="1"/>
    </xf>
    <xf numFmtId="0" fontId="0" fillId="0" borderId="3" xfId="0" applyFont="1" applyBorder="1"/>
    <xf numFmtId="166" fontId="0" fillId="0" borderId="37" xfId="0" applyNumberFormat="1" applyBorder="1"/>
    <xf numFmtId="169" fontId="0" fillId="0" borderId="37" xfId="0" applyNumberFormat="1" applyBorder="1"/>
    <xf numFmtId="0" fontId="0" fillId="0" borderId="37" xfId="0" applyBorder="1"/>
    <xf numFmtId="166" fontId="0" fillId="0" borderId="3" xfId="0" applyNumberFormat="1" applyBorder="1"/>
    <xf numFmtId="169" fontId="0" fillId="0" borderId="3" xfId="0" applyNumberFormat="1" applyBorder="1"/>
    <xf numFmtId="0" fontId="0" fillId="0" borderId="3" xfId="0" applyBorder="1"/>
    <xf numFmtId="166" fontId="0" fillId="0" borderId="38" xfId="0" applyNumberFormat="1" applyBorder="1"/>
    <xf numFmtId="169" fontId="0" fillId="0" borderId="38" xfId="0" applyNumberFormat="1" applyBorder="1"/>
    <xf numFmtId="165" fontId="0" fillId="0" borderId="0" xfId="0" applyNumberFormat="1" applyAlignment="1">
      <alignment wrapText="1"/>
    </xf>
    <xf numFmtId="166" fontId="0" fillId="0" borderId="39" xfId="0" applyNumberFormat="1" applyBorder="1"/>
    <xf numFmtId="0" fontId="0" fillId="0" borderId="30" xfId="0" applyBorder="1"/>
    <xf numFmtId="167" fontId="0" fillId="0" borderId="0" xfId="0" applyNumberFormat="1" applyAlignment="1">
      <alignment wrapText="1"/>
    </xf>
    <xf numFmtId="168" fontId="0" fillId="0" borderId="0" xfId="0" applyNumberFormat="1" applyAlignment="1">
      <alignment wrapText="1"/>
    </xf>
    <xf numFmtId="166" fontId="0" fillId="0" borderId="0" xfId="0" applyNumberFormat="1" applyFill="1" applyBorder="1"/>
    <xf numFmtId="0" fontId="0" fillId="3" borderId="4" xfId="0" applyFill="1" applyBorder="1"/>
    <xf numFmtId="0" fontId="0" fillId="3" borderId="5" xfId="0" applyFill="1" applyBorder="1"/>
    <xf numFmtId="0" fontId="0" fillId="3" borderId="31" xfId="0" applyFill="1" applyBorder="1"/>
    <xf numFmtId="0" fontId="2" fillId="0" borderId="42" xfId="0" applyFont="1" applyBorder="1" applyAlignment="1">
      <alignment horizontal="center" wrapText="1"/>
    </xf>
    <xf numFmtId="0" fontId="2" fillId="0" borderId="23" xfId="0" applyFont="1" applyBorder="1" applyAlignment="1">
      <alignment horizontal="center" wrapText="1"/>
    </xf>
    <xf numFmtId="0" fontId="2" fillId="0" borderId="23" xfId="0" applyFont="1" applyBorder="1" applyAlignment="1">
      <alignment horizontal="center"/>
    </xf>
    <xf numFmtId="0" fontId="0" fillId="0" borderId="20" xfId="0" applyFont="1" applyBorder="1"/>
    <xf numFmtId="166" fontId="0" fillId="0" borderId="43" xfId="0" applyNumberFormat="1" applyBorder="1"/>
    <xf numFmtId="166" fontId="0" fillId="0" borderId="44" xfId="0" applyNumberFormat="1" applyBorder="1"/>
    <xf numFmtId="169" fontId="0" fillId="0" borderId="43" xfId="0" applyNumberFormat="1" applyBorder="1"/>
    <xf numFmtId="166" fontId="0" fillId="0" borderId="45" xfId="1" applyNumberFormat="1" applyFont="1" applyBorder="1"/>
    <xf numFmtId="166" fontId="0" fillId="0" borderId="46" xfId="0" applyNumberFormat="1" applyBorder="1"/>
    <xf numFmtId="166" fontId="0" fillId="0" borderId="4" xfId="0" applyNumberFormat="1" applyBorder="1"/>
    <xf numFmtId="166" fontId="0" fillId="0" borderId="47" xfId="0" applyNumberFormat="1" applyBorder="1"/>
    <xf numFmtId="169" fontId="0" fillId="0" borderId="32" xfId="0" applyNumberFormat="1" applyBorder="1"/>
    <xf numFmtId="0" fontId="0" fillId="0" borderId="48" xfId="0" applyBorder="1"/>
    <xf numFmtId="166" fontId="0" fillId="0" borderId="28" xfId="0" applyNumberFormat="1" applyBorder="1"/>
    <xf numFmtId="172" fontId="0" fillId="0" borderId="0" xfId="0" applyNumberFormat="1" applyAlignment="1">
      <alignment wrapText="1"/>
    </xf>
    <xf numFmtId="166" fontId="0" fillId="0" borderId="49" xfId="0" applyNumberFormat="1" applyBorder="1"/>
    <xf numFmtId="169" fontId="0" fillId="0" borderId="49" xfId="0" applyNumberFormat="1" applyBorder="1"/>
    <xf numFmtId="166" fontId="0" fillId="0" borderId="47" xfId="0" applyNumberFormat="1" applyFill="1" applyBorder="1"/>
    <xf numFmtId="165" fontId="0" fillId="0" borderId="47" xfId="0" applyNumberFormat="1" applyBorder="1"/>
    <xf numFmtId="188" fontId="0" fillId="0" borderId="0" xfId="0" applyNumberFormat="1"/>
    <xf numFmtId="0" fontId="0" fillId="0" borderId="5" xfId="0" applyBorder="1"/>
    <xf numFmtId="0" fontId="0" fillId="0" borderId="6" xfId="0" applyFill="1" applyBorder="1" applyAlignment="1"/>
    <xf numFmtId="0" fontId="0" fillId="0" borderId="0" xfId="0" applyFill="1" applyBorder="1" applyAlignment="1"/>
    <xf numFmtId="0" fontId="2" fillId="0" borderId="50" xfId="0" applyFont="1" applyBorder="1" applyAlignment="1">
      <alignment horizontal="center"/>
    </xf>
    <xf numFmtId="0" fontId="0" fillId="0" borderId="0" xfId="0" applyBorder="1" applyAlignment="1">
      <alignment wrapText="1"/>
    </xf>
    <xf numFmtId="166" fontId="0" fillId="0" borderId="32" xfId="0" applyNumberFormat="1" applyBorder="1"/>
    <xf numFmtId="169" fontId="0" fillId="0" borderId="30" xfId="0" applyNumberFormat="1" applyBorder="1"/>
    <xf numFmtId="166" fontId="0" fillId="0" borderId="0" xfId="0" applyNumberFormat="1" applyBorder="1" applyAlignment="1">
      <alignment wrapText="1"/>
    </xf>
    <xf numFmtId="0" fontId="0" fillId="0" borderId="4" xfId="0" applyBorder="1" applyAlignment="1"/>
    <xf numFmtId="0" fontId="0" fillId="3" borderId="26" xfId="0" applyFill="1" applyBorder="1" applyAlignment="1"/>
    <xf numFmtId="0" fontId="2" fillId="0" borderId="4" xfId="0" applyFont="1" applyBorder="1" applyAlignment="1">
      <alignment horizontal="center" wrapText="1"/>
    </xf>
    <xf numFmtId="166" fontId="0" fillId="0" borderId="6" xfId="0" applyNumberFormat="1" applyBorder="1" applyAlignment="1">
      <alignment wrapText="1"/>
    </xf>
    <xf numFmtId="166" fontId="0" fillId="0" borderId="0" xfId="0" applyNumberFormat="1" applyFill="1" applyBorder="1" applyAlignment="1">
      <alignment wrapText="1"/>
    </xf>
    <xf numFmtId="0" fontId="2" fillId="0" borderId="34" xfId="0" applyFont="1" applyBorder="1"/>
    <xf numFmtId="166" fontId="2" fillId="0" borderId="35" xfId="0" applyNumberFormat="1" applyFont="1" applyFill="1" applyBorder="1" applyAlignment="1">
      <alignment horizontal="center" wrapText="1"/>
    </xf>
    <xf numFmtId="0" fontId="2" fillId="0" borderId="55" xfId="0" applyFont="1" applyBorder="1" applyAlignment="1">
      <alignment horizontal="center" wrapText="1"/>
    </xf>
    <xf numFmtId="0" fontId="2" fillId="0" borderId="41" xfId="0" applyFont="1" applyBorder="1" applyAlignment="1">
      <alignment horizontal="center"/>
    </xf>
    <xf numFmtId="0" fontId="18" fillId="0" borderId="3" xfId="0" applyFont="1" applyBorder="1"/>
    <xf numFmtId="0" fontId="18" fillId="0" borderId="32" xfId="0" applyFont="1" applyBorder="1" applyAlignment="1">
      <alignment wrapText="1"/>
    </xf>
    <xf numFmtId="166" fontId="0" fillId="0" borderId="56" xfId="0" applyNumberFormat="1" applyFill="1" applyBorder="1" applyAlignment="1">
      <alignment wrapText="1"/>
    </xf>
    <xf numFmtId="169" fontId="0" fillId="0" borderId="57" xfId="2" applyNumberFormat="1" applyFont="1" applyFill="1" applyBorder="1" applyAlignment="1">
      <alignment wrapText="1"/>
    </xf>
    <xf numFmtId="167" fontId="0" fillId="0" borderId="58" xfId="0" applyNumberFormat="1" applyFill="1" applyBorder="1" applyAlignment="1">
      <alignment wrapText="1"/>
    </xf>
    <xf numFmtId="166" fontId="0" fillId="0" borderId="15" xfId="0" applyNumberFormat="1" applyBorder="1" applyAlignment="1">
      <alignment wrapText="1"/>
    </xf>
    <xf numFmtId="169" fontId="0" fillId="0" borderId="59" xfId="2" applyNumberFormat="1" applyFont="1" applyFill="1" applyBorder="1" applyAlignment="1">
      <alignment wrapText="1"/>
    </xf>
    <xf numFmtId="167" fontId="0" fillId="0" borderId="60" xfId="0" applyNumberFormat="1" applyBorder="1" applyAlignment="1">
      <alignment wrapText="1"/>
    </xf>
    <xf numFmtId="0" fontId="18" fillId="0" borderId="3" xfId="0" applyFont="1" applyBorder="1" applyAlignment="1">
      <alignment wrapText="1"/>
    </xf>
    <xf numFmtId="169" fontId="0" fillId="0" borderId="59" xfId="0" applyNumberFormat="1" applyBorder="1" applyAlignment="1">
      <alignment wrapText="1"/>
    </xf>
    <xf numFmtId="0" fontId="0" fillId="0" borderId="0" xfId="0" applyAlignment="1"/>
    <xf numFmtId="166" fontId="0" fillId="0" borderId="61" xfId="1" applyNumberFormat="1" applyFont="1" applyBorder="1" applyAlignment="1">
      <alignment wrapText="1"/>
    </xf>
    <xf numFmtId="169" fontId="0" fillId="0" borderId="62" xfId="2" applyNumberFormat="1" applyFont="1" applyBorder="1" applyAlignment="1">
      <alignment wrapText="1"/>
    </xf>
    <xf numFmtId="167" fontId="0" fillId="0" borderId="63" xfId="0" applyNumberFormat="1" applyBorder="1" applyAlignment="1">
      <alignment wrapText="1"/>
    </xf>
    <xf numFmtId="0" fontId="0" fillId="0" borderId="3" xfId="0" applyBorder="1" applyAlignment="1">
      <alignment wrapText="1"/>
    </xf>
    <xf numFmtId="0" fontId="0" fillId="0" borderId="29" xfId="0" applyBorder="1" applyAlignment="1">
      <alignment horizontal="left"/>
    </xf>
    <xf numFmtId="0" fontId="0" fillId="0" borderId="29" xfId="0" applyBorder="1"/>
    <xf numFmtId="166" fontId="0" fillId="0" borderId="64" xfId="0" applyNumberFormat="1" applyFill="1" applyBorder="1"/>
    <xf numFmtId="0" fontId="0" fillId="0" borderId="5" xfId="0" applyBorder="1" applyAlignment="1"/>
    <xf numFmtId="0" fontId="2" fillId="0" borderId="6" xfId="0" applyFont="1" applyBorder="1" applyAlignment="1">
      <alignment horizontal="center" wrapText="1"/>
    </xf>
    <xf numFmtId="0" fontId="18" fillId="0" borderId="20" xfId="0" applyFont="1" applyBorder="1"/>
    <xf numFmtId="0" fontId="18" fillId="0" borderId="7" xfId="0" applyFont="1" applyBorder="1" applyAlignment="1">
      <alignment wrapText="1"/>
    </xf>
    <xf numFmtId="167" fontId="0" fillId="0" borderId="58" xfId="0" applyNumberFormat="1" applyBorder="1" applyAlignment="1">
      <alignment wrapText="1"/>
    </xf>
    <xf numFmtId="164" fontId="0" fillId="0" borderId="0" xfId="0" applyNumberFormat="1" applyAlignment="1">
      <alignment wrapText="1"/>
    </xf>
    <xf numFmtId="167" fontId="0" fillId="0" borderId="63" xfId="2" applyNumberFormat="1" applyFont="1" applyBorder="1" applyAlignment="1">
      <alignment wrapText="1"/>
    </xf>
    <xf numFmtId="164" fontId="0" fillId="0" borderId="0" xfId="0" applyNumberFormat="1" applyAlignment="1"/>
    <xf numFmtId="172" fontId="0" fillId="0" borderId="0" xfId="1" applyNumberFormat="1" applyFont="1"/>
    <xf numFmtId="0" fontId="2" fillId="0" borderId="0" xfId="0" applyFont="1" applyAlignment="1">
      <alignment horizontal="center"/>
    </xf>
    <xf numFmtId="0" fontId="0" fillId="0" borderId="0" xfId="0" applyFont="1" applyFill="1"/>
    <xf numFmtId="170" fontId="0" fillId="2" borderId="0" xfId="1" applyNumberFormat="1" applyFont="1" applyFill="1"/>
    <xf numFmtId="165" fontId="0" fillId="0" borderId="0" xfId="0" applyNumberFormat="1" applyFill="1"/>
    <xf numFmtId="174" fontId="0" fillId="0" borderId="0" xfId="2" applyNumberFormat="1" applyFont="1" applyFill="1" applyAlignment="1">
      <alignment horizontal="right"/>
    </xf>
    <xf numFmtId="167" fontId="0" fillId="2" borderId="0" xfId="2" applyNumberFormat="1" applyFont="1" applyFill="1"/>
    <xf numFmtId="176" fontId="0" fillId="2" borderId="0" xfId="2" applyNumberFormat="1" applyFont="1" applyFill="1"/>
    <xf numFmtId="173" fontId="0" fillId="0" borderId="5" xfId="0" applyNumberFormat="1" applyFill="1" applyBorder="1"/>
    <xf numFmtId="166" fontId="0" fillId="0" borderId="0" xfId="3" applyNumberFormat="1" applyFont="1" applyFill="1"/>
    <xf numFmtId="173" fontId="0" fillId="0" borderId="0" xfId="0" applyNumberFormat="1" applyFill="1" applyBorder="1"/>
    <xf numFmtId="173" fontId="0" fillId="0" borderId="8" xfId="0" applyNumberFormat="1" applyFill="1" applyBorder="1"/>
    <xf numFmtId="167" fontId="2" fillId="0" borderId="6" xfId="2" applyNumberFormat="1" applyFont="1" applyBorder="1" applyAlignment="1">
      <alignment horizontal="center"/>
    </xf>
    <xf numFmtId="167" fontId="0" fillId="0" borderId="27" xfId="2" applyNumberFormat="1" applyFont="1" applyBorder="1"/>
    <xf numFmtId="166" fontId="2" fillId="0" borderId="6" xfId="1" applyNumberFormat="1" applyFont="1" applyBorder="1" applyAlignment="1">
      <alignment horizontal="center"/>
    </xf>
    <xf numFmtId="167" fontId="2" fillId="0" borderId="27" xfId="2" applyNumberFormat="1" applyFont="1" applyBorder="1" applyAlignment="1">
      <alignment horizontal="center"/>
    </xf>
    <xf numFmtId="166" fontId="0" fillId="0" borderId="6" xfId="0" applyNumberFormat="1" applyFill="1" applyBorder="1"/>
    <xf numFmtId="167" fontId="0" fillId="0" borderId="27" xfId="2" applyNumberFormat="1" applyFont="1" applyFill="1" applyBorder="1"/>
    <xf numFmtId="166" fontId="0" fillId="0" borderId="7" xfId="1" applyNumberFormat="1" applyFont="1" applyFill="1" applyBorder="1"/>
    <xf numFmtId="167" fontId="0" fillId="0" borderId="65" xfId="0" applyNumberFormat="1" applyFill="1" applyBorder="1"/>
    <xf numFmtId="0" fontId="0" fillId="0" borderId="6" xfId="0" applyFill="1" applyBorder="1"/>
    <xf numFmtId="0" fontId="0" fillId="0" borderId="27" xfId="0" applyFill="1" applyBorder="1"/>
    <xf numFmtId="166" fontId="2" fillId="0" borderId="0" xfId="0" applyNumberFormat="1" applyFont="1" applyFill="1" applyBorder="1" applyAlignment="1">
      <alignment horizontal="center"/>
    </xf>
    <xf numFmtId="167" fontId="0" fillId="0" borderId="0" xfId="1" applyNumberFormat="1" applyFont="1" applyFill="1" applyBorder="1"/>
    <xf numFmtId="44" fontId="0" fillId="0" borderId="0" xfId="0" applyNumberFormat="1" applyFill="1" applyBorder="1"/>
    <xf numFmtId="43" fontId="0" fillId="0" borderId="0" xfId="0" applyNumberFormat="1" applyFill="1" applyBorder="1"/>
    <xf numFmtId="175" fontId="0" fillId="0" borderId="0" xfId="0" applyNumberFormat="1" applyFill="1" applyBorder="1"/>
    <xf numFmtId="178" fontId="0" fillId="0" borderId="0" xfId="0" applyNumberFormat="1" applyFill="1"/>
    <xf numFmtId="0" fontId="2" fillId="0" borderId="0" xfId="0" applyFont="1" applyFill="1"/>
    <xf numFmtId="167" fontId="0" fillId="0" borderId="1" xfId="0" applyNumberFormat="1" applyFill="1" applyBorder="1"/>
    <xf numFmtId="0" fontId="0" fillId="0" borderId="26" xfId="0" applyBorder="1"/>
    <xf numFmtId="0" fontId="0" fillId="0" borderId="7" xfId="0" applyBorder="1" applyAlignment="1">
      <alignment horizontal="center"/>
    </xf>
    <xf numFmtId="0" fontId="0" fillId="0" borderId="27" xfId="0" applyBorder="1"/>
    <xf numFmtId="167" fontId="0" fillId="0" borderId="6" xfId="0" applyNumberFormat="1" applyBorder="1"/>
    <xf numFmtId="167" fontId="0" fillId="0" borderId="6" xfId="0" applyNumberFormat="1" applyFill="1" applyBorder="1"/>
    <xf numFmtId="167" fontId="11" fillId="0" borderId="0" xfId="2" applyNumberFormat="1" applyFont="1" applyFill="1" applyBorder="1" applyAlignment="1">
      <alignment horizontal="right"/>
    </xf>
    <xf numFmtId="167" fontId="0" fillId="0" borderId="27" xfId="0" applyNumberFormat="1" applyFill="1" applyBorder="1"/>
    <xf numFmtId="167" fontId="0" fillId="0" borderId="32" xfId="0" applyNumberFormat="1" applyFill="1" applyBorder="1"/>
    <xf numFmtId="43" fontId="0" fillId="0" borderId="27" xfId="0" applyNumberFormat="1" applyFill="1" applyBorder="1"/>
    <xf numFmtId="167" fontId="0" fillId="0" borderId="28" xfId="0" applyNumberFormat="1" applyBorder="1"/>
    <xf numFmtId="0" fontId="0" fillId="0" borderId="28" xfId="0" applyFill="1" applyBorder="1"/>
    <xf numFmtId="44" fontId="0" fillId="0" borderId="28" xfId="0" applyNumberFormat="1" applyFill="1" applyBorder="1"/>
    <xf numFmtId="167" fontId="19" fillId="0" borderId="0" xfId="2" applyNumberFormat="1" applyFont="1" applyFill="1" applyAlignment="1">
      <alignment horizontal="left"/>
    </xf>
    <xf numFmtId="169" fontId="0" fillId="3" borderId="43" xfId="0" applyNumberFormat="1" applyFill="1" applyBorder="1"/>
    <xf numFmtId="0" fontId="22" fillId="0" borderId="0" xfId="0" applyFont="1"/>
    <xf numFmtId="0" fontId="21" fillId="4" borderId="0" xfId="0" applyFont="1" applyFill="1"/>
    <xf numFmtId="0" fontId="0" fillId="4" borderId="0" xfId="0" applyFill="1"/>
    <xf numFmtId="0" fontId="12" fillId="4" borderId="0" xfId="0" applyFont="1" applyFill="1"/>
    <xf numFmtId="0" fontId="0" fillId="4" borderId="0" xfId="0" applyFill="1" applyBorder="1"/>
    <xf numFmtId="0" fontId="0" fillId="4" borderId="0" xfId="0" applyFont="1" applyFill="1"/>
    <xf numFmtId="181" fontId="0" fillId="4" borderId="0" xfId="0" applyNumberFormat="1" applyFill="1" applyBorder="1"/>
    <xf numFmtId="0" fontId="15" fillId="4" borderId="0" xfId="4" applyNumberFormat="1" applyFont="1" applyFill="1" applyAlignment="1"/>
    <xf numFmtId="3" fontId="15" fillId="4" borderId="0" xfId="4" applyNumberFormat="1" applyFont="1" applyFill="1" applyAlignment="1"/>
    <xf numFmtId="4" fontId="15" fillId="4" borderId="0" xfId="4" applyNumberFormat="1" applyFont="1" applyFill="1" applyAlignment="1"/>
    <xf numFmtId="0" fontId="0" fillId="4" borderId="0" xfId="0" applyFill="1" applyAlignment="1">
      <alignment horizontal="center"/>
    </xf>
    <xf numFmtId="166" fontId="0" fillId="4" borderId="0" xfId="1" applyNumberFormat="1" applyFont="1" applyFill="1"/>
    <xf numFmtId="166" fontId="0" fillId="4" borderId="0" xfId="0" applyNumberFormat="1" applyFill="1" applyBorder="1"/>
    <xf numFmtId="166" fontId="0" fillId="4" borderId="0" xfId="0" applyNumberFormat="1" applyFill="1"/>
    <xf numFmtId="0" fontId="0" fillId="4" borderId="0" xfId="0" applyFill="1" applyBorder="1" applyAlignment="1">
      <alignment horizontal="center"/>
    </xf>
    <xf numFmtId="165" fontId="0" fillId="4" borderId="0" xfId="0" applyNumberFormat="1" applyFill="1"/>
    <xf numFmtId="166" fontId="0" fillId="4" borderId="0" xfId="1" applyNumberFormat="1" applyFont="1" applyFill="1" applyBorder="1"/>
    <xf numFmtId="166" fontId="0" fillId="4" borderId="9" xfId="1" applyNumberFormat="1" applyFont="1" applyFill="1" applyBorder="1"/>
    <xf numFmtId="165" fontId="0" fillId="4" borderId="0" xfId="1" applyFont="1" applyFill="1" applyBorder="1"/>
    <xf numFmtId="165" fontId="0" fillId="4" borderId="0" xfId="0" applyNumberFormat="1" applyFill="1" applyBorder="1"/>
    <xf numFmtId="0" fontId="0" fillId="4" borderId="21" xfId="0" applyFont="1" applyFill="1" applyBorder="1"/>
    <xf numFmtId="0" fontId="0" fillId="4" borderId="22" xfId="0" applyFont="1" applyFill="1" applyBorder="1"/>
    <xf numFmtId="166" fontId="0" fillId="4" borderId="22" xfId="1" applyNumberFormat="1" applyFont="1" applyFill="1" applyBorder="1"/>
    <xf numFmtId="166" fontId="0" fillId="4" borderId="23" xfId="1" applyNumberFormat="1" applyFont="1" applyFill="1" applyBorder="1"/>
    <xf numFmtId="181" fontId="0" fillId="4" borderId="0" xfId="0" applyNumberFormat="1" applyFill="1"/>
    <xf numFmtId="165" fontId="0" fillId="4" borderId="0" xfId="1" applyFont="1" applyFill="1"/>
    <xf numFmtId="166" fontId="0" fillId="4" borderId="8" xfId="1" applyNumberFormat="1" applyFont="1" applyFill="1" applyBorder="1" applyAlignment="1">
      <alignment horizontal="center"/>
    </xf>
    <xf numFmtId="166" fontId="0" fillId="4" borderId="8" xfId="1" applyNumberFormat="1" applyFont="1" applyFill="1" applyBorder="1"/>
    <xf numFmtId="0" fontId="0" fillId="4" borderId="0" xfId="0" applyFont="1" applyFill="1" applyBorder="1"/>
    <xf numFmtId="9" fontId="0" fillId="4" borderId="0" xfId="3" applyFont="1" applyFill="1"/>
    <xf numFmtId="0" fontId="0" fillId="4" borderId="0" xfId="0" quotePrefix="1" applyFill="1"/>
    <xf numFmtId="183" fontId="0" fillId="4" borderId="0" xfId="0" applyNumberFormat="1" applyFill="1"/>
    <xf numFmtId="0" fontId="0" fillId="4" borderId="0" xfId="0" quotePrefix="1" applyFont="1" applyFill="1" applyBorder="1"/>
    <xf numFmtId="0" fontId="0" fillId="4" borderId="8" xfId="0" applyFill="1" applyBorder="1" applyAlignment="1">
      <alignment horizontal="center"/>
    </xf>
    <xf numFmtId="179" fontId="0" fillId="4" borderId="0" xfId="1" applyNumberFormat="1" applyFont="1" applyFill="1"/>
    <xf numFmtId="179" fontId="0" fillId="4" borderId="9" xfId="1" applyNumberFormat="1" applyFont="1" applyFill="1" applyBorder="1"/>
    <xf numFmtId="179" fontId="0" fillId="4" borderId="0" xfId="1" applyNumberFormat="1" applyFont="1" applyFill="1" applyBorder="1"/>
    <xf numFmtId="182" fontId="0" fillId="4" borderId="0" xfId="0" applyNumberFormat="1" applyFill="1"/>
    <xf numFmtId="166" fontId="0" fillId="4" borderId="9" xfId="0" applyNumberFormat="1" applyFill="1" applyBorder="1"/>
    <xf numFmtId="0" fontId="0" fillId="4" borderId="17" xfId="0" quotePrefix="1" applyFill="1" applyBorder="1"/>
    <xf numFmtId="0" fontId="0" fillId="4" borderId="17" xfId="0" applyFill="1" applyBorder="1"/>
    <xf numFmtId="166" fontId="0" fillId="4" borderId="17" xfId="1" applyNumberFormat="1" applyFont="1" applyFill="1" applyBorder="1"/>
    <xf numFmtId="182" fontId="0" fillId="4" borderId="17" xfId="0" applyNumberFormat="1" applyFill="1" applyBorder="1"/>
    <xf numFmtId="0" fontId="12" fillId="4" borderId="0" xfId="0" applyFont="1" applyFill="1" applyBorder="1"/>
    <xf numFmtId="0" fontId="0" fillId="4" borderId="0" xfId="0" quotePrefix="1" applyFill="1" applyBorder="1"/>
    <xf numFmtId="180" fontId="0" fillId="4" borderId="0" xfId="0" applyNumberFormat="1" applyFill="1" applyBorder="1"/>
    <xf numFmtId="0" fontId="0" fillId="4" borderId="8" xfId="0" applyFill="1" applyBorder="1" applyAlignment="1">
      <alignment horizontal="center" wrapText="1"/>
    </xf>
    <xf numFmtId="0" fontId="18" fillId="4" borderId="0" xfId="0" applyFont="1" applyFill="1" applyBorder="1"/>
    <xf numFmtId="166" fontId="0" fillId="4" borderId="1" xfId="0" applyNumberFormat="1" applyFill="1" applyBorder="1"/>
    <xf numFmtId="0" fontId="18" fillId="4" borderId="0" xfId="0" applyFont="1" applyFill="1" applyBorder="1" applyAlignment="1">
      <alignment horizontal="center"/>
    </xf>
    <xf numFmtId="16" fontId="14" fillId="4" borderId="0" xfId="0" quotePrefix="1" applyNumberFormat="1" applyFont="1" applyFill="1" applyBorder="1"/>
    <xf numFmtId="38" fontId="14" fillId="4" borderId="0" xfId="0" applyNumberFormat="1" applyFont="1" applyFill="1" applyBorder="1" applyAlignment="1">
      <alignment horizontal="center"/>
    </xf>
    <xf numFmtId="0" fontId="14" fillId="4" borderId="0" xfId="0" applyFont="1" applyFill="1" applyBorder="1" applyAlignment="1">
      <alignment horizontal="center"/>
    </xf>
    <xf numFmtId="38" fontId="18" fillId="4" borderId="0" xfId="0" applyNumberFormat="1" applyFont="1" applyFill="1" applyBorder="1"/>
    <xf numFmtId="178" fontId="18" fillId="4" borderId="0" xfId="0" applyNumberFormat="1" applyFont="1" applyFill="1" applyBorder="1"/>
    <xf numFmtId="183" fontId="0" fillId="4" borderId="0" xfId="1" applyNumberFormat="1" applyFont="1" applyFill="1"/>
    <xf numFmtId="40" fontId="18" fillId="4" borderId="0" xfId="0" applyNumberFormat="1" applyFont="1" applyFill="1" applyBorder="1"/>
    <xf numFmtId="166" fontId="18" fillId="4" borderId="0" xfId="1" applyNumberFormat="1" applyFont="1" applyFill="1" applyBorder="1"/>
    <xf numFmtId="166" fontId="18" fillId="4" borderId="0" xfId="0" applyNumberFormat="1" applyFont="1" applyFill="1" applyBorder="1"/>
    <xf numFmtId="185" fontId="0" fillId="4" borderId="0" xfId="2" applyNumberFormat="1" applyFont="1" applyFill="1"/>
    <xf numFmtId="184" fontId="0" fillId="4" borderId="67" xfId="3" applyNumberFormat="1" applyFont="1" applyFill="1" applyBorder="1"/>
    <xf numFmtId="0" fontId="0" fillId="4" borderId="2" xfId="0" applyFill="1" applyBorder="1"/>
    <xf numFmtId="166" fontId="0" fillId="4" borderId="2" xfId="0" applyNumberFormat="1" applyFill="1" applyBorder="1"/>
    <xf numFmtId="166" fontId="0" fillId="4" borderId="24" xfId="0" applyNumberFormat="1" applyFill="1" applyBorder="1"/>
    <xf numFmtId="167" fontId="0" fillId="4" borderId="0" xfId="2" applyNumberFormat="1" applyFont="1" applyFill="1" applyBorder="1"/>
    <xf numFmtId="167" fontId="0" fillId="4" borderId="0" xfId="2" quotePrefix="1" applyNumberFormat="1" applyFont="1" applyFill="1" applyBorder="1"/>
    <xf numFmtId="166" fontId="0" fillId="4" borderId="0" xfId="0" applyNumberFormat="1" applyFill="1" applyBorder="1" applyAlignment="1">
      <alignment horizontal="left"/>
    </xf>
    <xf numFmtId="168" fontId="0" fillId="4" borderId="0" xfId="1" applyNumberFormat="1" applyFont="1" applyFill="1" applyBorder="1"/>
    <xf numFmtId="10" fontId="0" fillId="4" borderId="0" xfId="3" applyNumberFormat="1" applyFont="1" applyFill="1"/>
    <xf numFmtId="186" fontId="0" fillId="4" borderId="0" xfId="3" applyNumberFormat="1" applyFont="1" applyFill="1"/>
    <xf numFmtId="168" fontId="0" fillId="4" borderId="0" xfId="0" applyNumberFormat="1" applyFill="1"/>
    <xf numFmtId="186" fontId="0" fillId="4" borderId="0" xfId="0" applyNumberFormat="1" applyFill="1"/>
    <xf numFmtId="0" fontId="0" fillId="4" borderId="10" xfId="0" applyFill="1" applyBorder="1"/>
    <xf numFmtId="0" fontId="0" fillId="4" borderId="11" xfId="0" applyFill="1" applyBorder="1"/>
    <xf numFmtId="0" fontId="0" fillId="4" borderId="12" xfId="0" applyFill="1" applyBorder="1"/>
    <xf numFmtId="0" fontId="0" fillId="4" borderId="13" xfId="0" applyFill="1" applyBorder="1"/>
    <xf numFmtId="0" fontId="0" fillId="4" borderId="14" xfId="0" applyFill="1" applyBorder="1"/>
    <xf numFmtId="166" fontId="0" fillId="4" borderId="14" xfId="0" applyNumberFormat="1" applyFill="1" applyBorder="1"/>
    <xf numFmtId="0" fontId="0" fillId="4" borderId="16" xfId="0" applyFill="1" applyBorder="1"/>
    <xf numFmtId="0" fontId="0" fillId="4" borderId="18" xfId="0" applyFill="1" applyBorder="1"/>
    <xf numFmtId="178" fontId="0" fillId="4" borderId="0" xfId="0" applyNumberFormat="1" applyFill="1"/>
    <xf numFmtId="189" fontId="0" fillId="4" borderId="0" xfId="0" applyNumberFormat="1" applyFill="1"/>
    <xf numFmtId="38" fontId="0" fillId="4" borderId="0" xfId="0" applyNumberFormat="1" applyFill="1"/>
    <xf numFmtId="0" fontId="22" fillId="4" borderId="0" xfId="0" applyFont="1" applyFill="1"/>
    <xf numFmtId="166" fontId="0" fillId="5" borderId="40" xfId="0" applyNumberFormat="1" applyFill="1" applyBorder="1"/>
    <xf numFmtId="166" fontId="0" fillId="5" borderId="51" xfId="0" applyNumberFormat="1" applyFill="1" applyBorder="1"/>
    <xf numFmtId="166" fontId="0" fillId="5" borderId="52" xfId="0" applyNumberFormat="1" applyFill="1" applyBorder="1" applyAlignment="1">
      <alignment wrapText="1"/>
    </xf>
    <xf numFmtId="169" fontId="0" fillId="0" borderId="38" xfId="0" applyNumberFormat="1" applyFill="1" applyBorder="1"/>
    <xf numFmtId="0" fontId="2" fillId="6" borderId="3" xfId="0" applyFont="1" applyFill="1" applyBorder="1" applyAlignment="1">
      <alignment horizontal="center" wrapText="1"/>
    </xf>
    <xf numFmtId="0" fontId="0" fillId="0" borderId="0" xfId="0" quotePrefix="1"/>
    <xf numFmtId="174" fontId="0" fillId="2" borderId="0" xfId="2" applyNumberFormat="1" applyFont="1" applyFill="1" applyAlignment="1">
      <alignment horizontal="right"/>
    </xf>
    <xf numFmtId="169" fontId="0" fillId="0" borderId="17" xfId="2" applyNumberFormat="1" applyFont="1" applyBorder="1"/>
    <xf numFmtId="0" fontId="0" fillId="0" borderId="7" xfId="0" applyFill="1" applyBorder="1"/>
    <xf numFmtId="166" fontId="0" fillId="4" borderId="0" xfId="0" applyNumberFormat="1" applyFill="1" applyAlignment="1">
      <alignment horizontal="center"/>
    </xf>
    <xf numFmtId="166" fontId="0" fillId="0" borderId="19" xfId="0" applyNumberFormat="1" applyBorder="1"/>
    <xf numFmtId="169" fontId="0" fillId="0" borderId="19" xfId="0" applyNumberFormat="1" applyBorder="1"/>
    <xf numFmtId="0" fontId="3" fillId="0" borderId="0" xfId="0" applyFont="1" applyFill="1"/>
    <xf numFmtId="166" fontId="0" fillId="0" borderId="0" xfId="0" applyNumberFormat="1" applyFont="1" applyFill="1" applyBorder="1"/>
    <xf numFmtId="176" fontId="0" fillId="0" borderId="0" xfId="2" applyNumberFormat="1" applyFont="1" applyFill="1" applyBorder="1"/>
    <xf numFmtId="174" fontId="0" fillId="0" borderId="0" xfId="0" applyNumberFormat="1" applyFont="1" applyFill="1"/>
    <xf numFmtId="179" fontId="0" fillId="0" borderId="0" xfId="1" applyNumberFormat="1" applyFont="1" applyFill="1" applyBorder="1"/>
    <xf numFmtId="182" fontId="0" fillId="0" borderId="0" xfId="0" applyNumberFormat="1" applyFill="1" applyBorder="1"/>
    <xf numFmtId="0" fontId="0" fillId="0" borderId="25" xfId="0" applyFill="1" applyBorder="1" applyAlignment="1">
      <alignment horizontal="center"/>
    </xf>
    <xf numFmtId="184" fontId="0" fillId="0" borderId="67" xfId="3" applyNumberFormat="1" applyFont="1" applyFill="1" applyBorder="1"/>
    <xf numFmtId="166" fontId="0" fillId="0" borderId="24" xfId="0" applyNumberFormat="1" applyFill="1" applyBorder="1"/>
    <xf numFmtId="0" fontId="18" fillId="0" borderId="0" xfId="0" applyFont="1" applyFill="1" applyBorder="1"/>
    <xf numFmtId="0" fontId="18" fillId="0" borderId="0" xfId="0" applyFont="1" applyFill="1" applyBorder="1" applyAlignment="1">
      <alignment horizontal="center"/>
    </xf>
    <xf numFmtId="16" fontId="14" fillId="0" borderId="0" xfId="0" quotePrefix="1" applyNumberFormat="1" applyFont="1" applyFill="1" applyBorder="1"/>
    <xf numFmtId="38" fontId="14" fillId="0" borderId="0" xfId="0" applyNumberFormat="1" applyFont="1" applyFill="1" applyBorder="1" applyAlignment="1">
      <alignment horizontal="center"/>
    </xf>
    <xf numFmtId="0" fontId="14" fillId="0" borderId="0" xfId="0" applyFont="1" applyFill="1" applyBorder="1" applyAlignment="1">
      <alignment horizontal="center"/>
    </xf>
    <xf numFmtId="38" fontId="18" fillId="0" borderId="0" xfId="0" applyNumberFormat="1" applyFont="1" applyFill="1" applyBorder="1"/>
    <xf numFmtId="166" fontId="18" fillId="0" borderId="0" xfId="0" applyNumberFormat="1" applyFont="1" applyFill="1" applyBorder="1"/>
    <xf numFmtId="178" fontId="18" fillId="0" borderId="0" xfId="0" applyNumberFormat="1" applyFont="1" applyFill="1" applyBorder="1"/>
    <xf numFmtId="40" fontId="18" fillId="0" borderId="0" xfId="0" applyNumberFormat="1" applyFont="1" applyFill="1" applyBorder="1"/>
    <xf numFmtId="166" fontId="18" fillId="0" borderId="0" xfId="1" applyNumberFormat="1" applyFont="1" applyFill="1" applyBorder="1"/>
    <xf numFmtId="166" fontId="0" fillId="0" borderId="0" xfId="1" quotePrefix="1" applyNumberFormat="1" applyFont="1" applyFill="1" applyBorder="1"/>
    <xf numFmtId="179" fontId="0" fillId="0" borderId="0" xfId="0" applyNumberFormat="1" applyFill="1" applyBorder="1"/>
    <xf numFmtId="166" fontId="0" fillId="0" borderId="9" xfId="0" applyNumberFormat="1" applyFill="1" applyBorder="1"/>
    <xf numFmtId="0" fontId="0" fillId="0" borderId="0" xfId="0" applyFill="1" applyAlignment="1">
      <alignment wrapText="1"/>
    </xf>
    <xf numFmtId="166" fontId="0" fillId="0" borderId="56" xfId="1" applyNumberFormat="1" applyFont="1" applyFill="1" applyBorder="1" applyAlignment="1">
      <alignment wrapText="1"/>
    </xf>
    <xf numFmtId="166" fontId="0" fillId="0" borderId="61" xfId="0" applyNumberFormat="1" applyFill="1" applyBorder="1" applyAlignment="1">
      <alignment wrapText="1"/>
    </xf>
    <xf numFmtId="169" fontId="0" fillId="0" borderId="62" xfId="2" applyNumberFormat="1" applyFont="1" applyFill="1" applyBorder="1" applyAlignment="1">
      <alignment wrapText="1"/>
    </xf>
    <xf numFmtId="166" fontId="0" fillId="0" borderId="9" xfId="1" applyNumberFormat="1" applyFont="1" applyFill="1" applyBorder="1"/>
    <xf numFmtId="166" fontId="11" fillId="0" borderId="0" xfId="1" applyNumberFormat="1" applyFont="1" applyFill="1" applyAlignment="1">
      <alignment horizontal="center" vertical="center" wrapText="1"/>
    </xf>
    <xf numFmtId="0" fontId="11" fillId="0" borderId="0" xfId="0" applyFont="1" applyAlignment="1">
      <alignment horizontal="center" vertical="center" wrapText="1"/>
    </xf>
    <xf numFmtId="0" fontId="22" fillId="0" borderId="0" xfId="0" applyFont="1" applyAlignment="1">
      <alignment wrapText="1"/>
    </xf>
    <xf numFmtId="0" fontId="10" fillId="0" borderId="0" xfId="0" applyFont="1" applyAlignment="1">
      <alignment wrapText="1"/>
    </xf>
    <xf numFmtId="166" fontId="22" fillId="0" borderId="0" xfId="1" applyNumberFormat="1" applyFont="1" applyAlignment="1">
      <alignment wrapText="1"/>
    </xf>
    <xf numFmtId="0" fontId="0" fillId="0" borderId="0" xfId="0" applyAlignment="1">
      <alignment horizontal="left" vertical="top" wrapText="1"/>
    </xf>
    <xf numFmtId="0" fontId="0" fillId="0" borderId="0" xfId="0" applyFill="1" applyAlignment="1">
      <alignment horizontal="left" wrapText="1"/>
    </xf>
    <xf numFmtId="167" fontId="19" fillId="0" borderId="4" xfId="2" applyNumberFormat="1" applyFont="1" applyBorder="1" applyAlignment="1">
      <alignment horizontal="center"/>
    </xf>
    <xf numFmtId="0" fontId="19" fillId="0" borderId="26" xfId="0" applyFont="1" applyBorder="1" applyAlignment="1">
      <alignment horizontal="center"/>
    </xf>
    <xf numFmtId="0" fontId="10" fillId="0" borderId="32" xfId="0" applyFont="1" applyFill="1" applyBorder="1" applyAlignment="1">
      <alignment horizontal="center"/>
    </xf>
    <xf numFmtId="0" fontId="10" fillId="0" borderId="1" xfId="0" applyFont="1" applyBorder="1" applyAlignment="1">
      <alignment horizontal="center"/>
    </xf>
    <xf numFmtId="0" fontId="10" fillId="0" borderId="28" xfId="0" applyFont="1" applyBorder="1" applyAlignment="1">
      <alignment horizontal="center"/>
    </xf>
    <xf numFmtId="0" fontId="11" fillId="0" borderId="0" xfId="0" applyFont="1" applyAlignment="1">
      <alignment horizontal="left" wrapText="1"/>
    </xf>
    <xf numFmtId="0" fontId="11" fillId="0" borderId="27" xfId="0" applyFont="1" applyBorder="1" applyAlignment="1">
      <alignment horizontal="left" wrapText="1"/>
    </xf>
    <xf numFmtId="0" fontId="0" fillId="4" borderId="66" xfId="0" applyFill="1" applyBorder="1" applyAlignment="1">
      <alignment horizontal="center" wrapText="1"/>
    </xf>
    <xf numFmtId="0" fontId="0" fillId="4" borderId="24" xfId="0" applyFill="1" applyBorder="1" applyAlignment="1">
      <alignment horizontal="center" wrapText="1"/>
    </xf>
    <xf numFmtId="0" fontId="0" fillId="0" borderId="66" xfId="0" applyFill="1" applyBorder="1" applyAlignment="1">
      <alignment horizontal="center" wrapText="1"/>
    </xf>
    <xf numFmtId="0" fontId="0" fillId="0" borderId="24" xfId="0" applyFill="1" applyBorder="1" applyAlignment="1">
      <alignment horizontal="center" wrapText="1"/>
    </xf>
    <xf numFmtId="0" fontId="20" fillId="0" borderId="0" xfId="0" applyFont="1" applyFill="1" applyBorder="1" applyAlignment="1">
      <alignment horizontal="center" wrapText="1"/>
    </xf>
    <xf numFmtId="0" fontId="0" fillId="0" borderId="0" xfId="0" applyFill="1" applyBorder="1" applyAlignment="1">
      <alignment horizontal="center" wrapText="1"/>
    </xf>
    <xf numFmtId="0" fontId="2" fillId="0" borderId="21" xfId="0" applyFont="1" applyBorder="1" applyAlignment="1">
      <alignment horizontal="center"/>
    </xf>
    <xf numFmtId="0" fontId="2" fillId="0" borderId="22" xfId="0" applyFont="1" applyBorder="1" applyAlignment="1">
      <alignment horizontal="center"/>
    </xf>
    <xf numFmtId="0" fontId="2" fillId="0" borderId="41" xfId="0" applyFont="1" applyBorder="1" applyAlignment="1">
      <alignment horizontal="center"/>
    </xf>
    <xf numFmtId="0" fontId="2" fillId="0" borderId="35" xfId="0" applyFont="1" applyBorder="1" applyAlignment="1">
      <alignment horizontal="center" wrapText="1"/>
    </xf>
    <xf numFmtId="0" fontId="2" fillId="0" borderId="22" xfId="0" applyFont="1" applyBorder="1" applyAlignment="1">
      <alignment horizontal="center" wrapText="1"/>
    </xf>
    <xf numFmtId="0" fontId="2" fillId="0" borderId="41" xfId="0" applyFont="1" applyBorder="1" applyAlignment="1">
      <alignment horizontal="center" wrapText="1"/>
    </xf>
    <xf numFmtId="0" fontId="2" fillId="3" borderId="30" xfId="0" applyFont="1" applyFill="1" applyBorder="1" applyAlignment="1">
      <alignment horizontal="center"/>
    </xf>
    <xf numFmtId="0" fontId="2" fillId="3" borderId="9" xfId="0" applyFont="1" applyFill="1" applyBorder="1" applyAlignment="1">
      <alignment horizontal="center"/>
    </xf>
    <xf numFmtId="0" fontId="2" fillId="3" borderId="31" xfId="0" applyFont="1" applyFill="1" applyBorder="1" applyAlignment="1">
      <alignment horizontal="center"/>
    </xf>
    <xf numFmtId="0" fontId="17" fillId="3" borderId="32" xfId="0" applyFont="1" applyFill="1" applyBorder="1" applyAlignment="1">
      <alignment horizontal="center" wrapText="1"/>
    </xf>
    <xf numFmtId="0" fontId="17" fillId="3" borderId="28" xfId="0" applyFont="1" applyFill="1" applyBorder="1" applyAlignment="1">
      <alignment horizontal="center" wrapText="1"/>
    </xf>
    <xf numFmtId="0" fontId="17" fillId="3" borderId="32" xfId="0" applyFont="1" applyFill="1" applyBorder="1" applyAlignment="1">
      <alignment horizontal="center"/>
    </xf>
    <xf numFmtId="0" fontId="17" fillId="3" borderId="28" xfId="0" applyFont="1" applyFill="1" applyBorder="1" applyAlignment="1">
      <alignment horizontal="center"/>
    </xf>
    <xf numFmtId="0" fontId="17" fillId="3" borderId="35" xfId="0" applyFont="1" applyFill="1" applyBorder="1" applyAlignment="1">
      <alignment horizontal="center"/>
    </xf>
    <xf numFmtId="0" fontId="17" fillId="3" borderId="22" xfId="0" applyFont="1" applyFill="1" applyBorder="1" applyAlignment="1">
      <alignment horizontal="center"/>
    </xf>
    <xf numFmtId="0" fontId="17" fillId="3" borderId="23" xfId="0" applyFont="1" applyFill="1" applyBorder="1" applyAlignment="1">
      <alignment horizontal="center"/>
    </xf>
    <xf numFmtId="190" fontId="0" fillId="0" borderId="0" xfId="0" applyNumberFormat="1" applyFill="1" applyAlignment="1">
      <alignment horizontal="right" vertical="center"/>
    </xf>
    <xf numFmtId="0" fontId="0" fillId="0" borderId="32" xfId="0" applyBorder="1" applyAlignment="1">
      <alignment horizontal="left"/>
    </xf>
    <xf numFmtId="0" fontId="0" fillId="0" borderId="1" xfId="0" applyBorder="1" applyAlignment="1">
      <alignment horizontal="left"/>
    </xf>
    <xf numFmtId="0" fontId="0" fillId="0" borderId="28" xfId="0" applyBorder="1" applyAlignment="1">
      <alignment horizontal="left"/>
    </xf>
    <xf numFmtId="0" fontId="17" fillId="3" borderId="4" xfId="0" applyFont="1" applyFill="1" applyBorder="1" applyAlignment="1">
      <alignment horizontal="center"/>
    </xf>
    <xf numFmtId="0" fontId="17" fillId="3" borderId="26" xfId="0" applyFont="1" applyFill="1" applyBorder="1" applyAlignment="1">
      <alignment horizontal="center"/>
    </xf>
    <xf numFmtId="0" fontId="17" fillId="3" borderId="21" xfId="0" applyFont="1" applyFill="1" applyBorder="1" applyAlignment="1">
      <alignment horizontal="center"/>
    </xf>
    <xf numFmtId="0" fontId="0" fillId="0" borderId="4" xfId="0" applyBorder="1" applyAlignment="1">
      <alignment horizontal="center"/>
    </xf>
    <xf numFmtId="0" fontId="0" fillId="0" borderId="26" xfId="0" applyBorder="1" applyAlignment="1">
      <alignment horizontal="center"/>
    </xf>
    <xf numFmtId="0" fontId="0" fillId="0" borderId="6" xfId="0" applyBorder="1" applyAlignment="1">
      <alignment horizontal="center"/>
    </xf>
    <xf numFmtId="0" fontId="0" fillId="0" borderId="27" xfId="0" applyBorder="1" applyAlignment="1">
      <alignment horizontal="center"/>
    </xf>
    <xf numFmtId="0" fontId="0" fillId="0" borderId="53" xfId="0" applyBorder="1" applyAlignment="1">
      <alignment horizontal="center"/>
    </xf>
    <xf numFmtId="0" fontId="0" fillId="0" borderId="54" xfId="0" applyBorder="1" applyAlignment="1">
      <alignment horizontal="center"/>
    </xf>
    <xf numFmtId="164" fontId="0" fillId="0" borderId="4" xfId="0" applyNumberFormat="1" applyBorder="1" applyAlignment="1">
      <alignment horizontal="center" wrapText="1"/>
    </xf>
    <xf numFmtId="164" fontId="0" fillId="0" borderId="5" xfId="0" applyNumberFormat="1" applyBorder="1" applyAlignment="1">
      <alignment horizontal="center" wrapText="1"/>
    </xf>
    <xf numFmtId="164" fontId="0" fillId="0" borderId="26" xfId="0" applyNumberFormat="1" applyBorder="1" applyAlignment="1">
      <alignment horizontal="center" wrapText="1"/>
    </xf>
    <xf numFmtId="0" fontId="2" fillId="0" borderId="6" xfId="0" applyFont="1" applyBorder="1" applyAlignment="1">
      <alignment horizontal="center" wrapText="1"/>
    </xf>
    <xf numFmtId="0" fontId="2" fillId="0" borderId="0" xfId="0" applyFont="1" applyAlignment="1">
      <alignment horizontal="center" wrapText="1"/>
    </xf>
    <xf numFmtId="167" fontId="0" fillId="0" borderId="6" xfId="0" applyNumberFormat="1" applyBorder="1" applyAlignment="1">
      <alignment horizontal="center" wrapText="1"/>
    </xf>
    <xf numFmtId="167" fontId="0" fillId="0" borderId="0" xfId="0" applyNumberFormat="1" applyBorder="1" applyAlignment="1">
      <alignment horizontal="center" wrapText="1"/>
    </xf>
    <xf numFmtId="167" fontId="0" fillId="0" borderId="27" xfId="0" applyNumberFormat="1" applyBorder="1" applyAlignment="1">
      <alignment horizontal="center" wrapText="1"/>
    </xf>
    <xf numFmtId="164" fontId="0" fillId="0" borderId="8" xfId="0" applyNumberFormat="1" applyBorder="1" applyAlignment="1">
      <alignment horizontal="left"/>
    </xf>
    <xf numFmtId="164" fontId="0" fillId="0" borderId="29" xfId="0" applyNumberFormat="1" applyBorder="1" applyAlignment="1">
      <alignment horizontal="left"/>
    </xf>
    <xf numFmtId="164" fontId="0" fillId="0" borderId="1" xfId="0" applyNumberFormat="1" applyBorder="1" applyAlignment="1">
      <alignment horizontal="left"/>
    </xf>
    <xf numFmtId="164" fontId="0" fillId="0" borderId="28" xfId="0" applyNumberFormat="1" applyBorder="1" applyAlignment="1">
      <alignment horizontal="left"/>
    </xf>
    <xf numFmtId="0" fontId="0" fillId="0" borderId="32" xfId="0" applyBorder="1" applyAlignment="1">
      <alignment horizontal="center"/>
    </xf>
    <xf numFmtId="0" fontId="0" fillId="0" borderId="1" xfId="0" applyBorder="1" applyAlignment="1">
      <alignment horizontal="center"/>
    </xf>
    <xf numFmtId="0" fontId="0" fillId="0" borderId="28" xfId="0" applyBorder="1" applyAlignment="1">
      <alignment horizontal="center"/>
    </xf>
    <xf numFmtId="0" fontId="21" fillId="0" borderId="0" xfId="0" applyFont="1" applyAlignment="1">
      <alignment horizontal="center"/>
    </xf>
  </cellXfs>
  <cellStyles count="7">
    <cellStyle name="Comma" xfId="1" builtinId="3"/>
    <cellStyle name="Comma 2 12" xfId="6" xr:uid="{00000000-0005-0000-0000-000001000000}"/>
    <cellStyle name="Currency" xfId="2" builtinId="4"/>
    <cellStyle name="Normal" xfId="0" builtinId="0"/>
    <cellStyle name="Normal 21" xfId="4" xr:uid="{00000000-0005-0000-0000-000004000000}"/>
    <cellStyle name="Normal 5" xfId="5" xr:uid="{00000000-0005-0000-0000-000005000000}"/>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7</xdr:col>
      <xdr:colOff>857250</xdr:colOff>
      <xdr:row>6</xdr:row>
      <xdr:rowOff>190499</xdr:rowOff>
    </xdr:from>
    <xdr:to>
      <xdr:col>8</xdr:col>
      <xdr:colOff>95250</xdr:colOff>
      <xdr:row>8</xdr:row>
      <xdr:rowOff>147204</xdr:rowOff>
    </xdr:to>
    <xdr:sp macro="" textlink="">
      <xdr:nvSpPr>
        <xdr:cNvPr id="2" name="Right Brace 1">
          <a:extLst>
            <a:ext uri="{FF2B5EF4-FFF2-40B4-BE49-F238E27FC236}">
              <a16:creationId xmlns:a16="http://schemas.microsoft.com/office/drawing/2014/main" id="{00000000-0008-0000-0300-000002000000}"/>
            </a:ext>
          </a:extLst>
        </xdr:cNvPr>
        <xdr:cNvSpPr/>
      </xdr:nvSpPr>
      <xdr:spPr>
        <a:xfrm>
          <a:off x="7515225" y="2000249"/>
          <a:ext cx="123825" cy="337705"/>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Reg%20Acctg%20Guidance\Illustrative-Commodity-Model-20190221%20OEB%20Example%20S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for Settlement &amp; 1st TU"/>
      <sheetName val="RPP Settlement &amp; 1st TU"/>
      <sheetName val="Data for 2nd TU"/>
      <sheetName val="RPP 2nd TU"/>
      <sheetName val="RPP vs non-RPP TU JE"/>
      <sheetName val="Rate Application Related"/>
      <sheetName val="Final RSVA Balances"/>
      <sheetName val="JEs"/>
      <sheetName val="T-Accounts"/>
    </sheetNames>
    <sheetDataSet>
      <sheetData sheetId="0"/>
      <sheetData sheetId="1"/>
      <sheetData sheetId="2">
        <row r="16">
          <cell r="C16">
            <v>5002500</v>
          </cell>
        </row>
        <row r="17">
          <cell r="C17">
            <v>7003500</v>
          </cell>
        </row>
        <row r="18">
          <cell r="C18">
            <v>100050000</v>
          </cell>
        </row>
        <row r="19">
          <cell r="C19">
            <v>50025000</v>
          </cell>
        </row>
        <row r="20">
          <cell r="C20">
            <v>63031500.000000007</v>
          </cell>
        </row>
        <row r="33">
          <cell r="D33">
            <v>7.6999999999999999E-2</v>
          </cell>
        </row>
        <row r="34">
          <cell r="D34">
            <v>8.8999999999999996E-2</v>
          </cell>
        </row>
        <row r="35">
          <cell r="D35">
            <v>6.5000000000000002E-2</v>
          </cell>
        </row>
        <row r="36">
          <cell r="D36">
            <v>9.4E-2</v>
          </cell>
        </row>
        <row r="37">
          <cell r="D37">
            <v>0.13200000000000001</v>
          </cell>
        </row>
        <row r="43">
          <cell r="B43">
            <v>3.1848807346377295E-2</v>
          </cell>
        </row>
        <row r="48">
          <cell r="B48">
            <v>8.8359370314842575E-2</v>
          </cell>
        </row>
      </sheetData>
      <sheetData sheetId="3"/>
      <sheetData sheetId="4"/>
      <sheetData sheetId="5"/>
      <sheetData sheetId="6"/>
      <sheetData sheetId="7"/>
      <sheetData sheetId="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A92"/>
  <sheetViews>
    <sheetView showGridLines="0" tabSelected="1" zoomScaleNormal="100" workbookViewId="0">
      <selection activeCell="B41" sqref="B41"/>
    </sheetView>
  </sheetViews>
  <sheetFormatPr defaultRowHeight="14.4" x14ac:dyDescent="0.3"/>
  <cols>
    <col min="1" max="1" width="6.33203125" customWidth="1"/>
    <col min="2" max="2" width="69.33203125" customWidth="1"/>
    <col min="3" max="3" width="17.44140625" bestFit="1" customWidth="1"/>
    <col min="4" max="4" width="15" bestFit="1" customWidth="1"/>
    <col min="5" max="5" width="14.88671875" customWidth="1"/>
    <col min="6" max="6" width="6.109375" customWidth="1"/>
    <col min="7" max="7" width="14.44140625" customWidth="1"/>
    <col min="8" max="8" width="3.6640625" customWidth="1"/>
    <col min="9" max="9" width="14.33203125" bestFit="1" customWidth="1"/>
    <col min="10" max="10" width="14.6640625" customWidth="1"/>
    <col min="11" max="11" width="15.109375" bestFit="1" customWidth="1"/>
    <col min="12" max="12" width="14.33203125" bestFit="1" customWidth="1"/>
    <col min="13" max="16" width="14.88671875" customWidth="1"/>
    <col min="17" max="17" width="13.109375" customWidth="1"/>
    <col min="18" max="18" width="13.44140625" customWidth="1"/>
    <col min="19" max="19" width="12.44140625" customWidth="1"/>
    <col min="20" max="20" width="13.33203125" customWidth="1"/>
    <col min="21" max="21" width="12.6640625" customWidth="1"/>
    <col min="22" max="22" width="14.33203125" bestFit="1" customWidth="1"/>
    <col min="23" max="24" width="11.5546875" bestFit="1" customWidth="1"/>
    <col min="25" max="25" width="12.5546875" bestFit="1" customWidth="1"/>
  </cols>
  <sheetData>
    <row r="1" spans="1:22" ht="18" x14ac:dyDescent="0.35">
      <c r="B1" s="1" t="s">
        <v>203</v>
      </c>
      <c r="G1" s="1"/>
    </row>
    <row r="3" spans="1:22" x14ac:dyDescent="0.3">
      <c r="B3" s="2" t="s">
        <v>0</v>
      </c>
      <c r="G3" s="115"/>
      <c r="H3" s="3"/>
      <c r="I3" s="3"/>
      <c r="J3" s="3"/>
      <c r="K3" s="3"/>
      <c r="L3" s="3"/>
      <c r="M3" s="3"/>
      <c r="N3" s="3"/>
      <c r="O3" s="3"/>
    </row>
    <row r="4" spans="1:22" ht="28.8" x14ac:dyDescent="0.3">
      <c r="B4" s="2"/>
      <c r="C4" s="103" t="s">
        <v>1</v>
      </c>
      <c r="D4" s="102" t="s">
        <v>2</v>
      </c>
      <c r="E4" s="102" t="s">
        <v>3</v>
      </c>
      <c r="G4" s="144"/>
      <c r="H4" s="73"/>
      <c r="I4" s="115"/>
      <c r="J4" s="115"/>
      <c r="K4" s="115"/>
      <c r="L4" s="115"/>
      <c r="M4" s="115"/>
      <c r="N4" s="115"/>
      <c r="O4" s="115"/>
      <c r="P4" s="115"/>
      <c r="Q4" s="115"/>
      <c r="R4" s="115"/>
      <c r="S4" s="115"/>
      <c r="T4" s="115"/>
      <c r="U4" s="115"/>
    </row>
    <row r="5" spans="1:22" x14ac:dyDescent="0.3">
      <c r="A5" s="21"/>
      <c r="B5" s="213" t="s">
        <v>181</v>
      </c>
      <c r="D5" s="6">
        <f>E5</f>
        <v>194351297</v>
      </c>
      <c r="E5" s="110">
        <v>194351297</v>
      </c>
      <c r="G5" s="352"/>
      <c r="H5" s="73"/>
      <c r="I5" s="73"/>
      <c r="J5" s="75"/>
      <c r="K5" s="75"/>
      <c r="L5" s="75"/>
      <c r="M5" s="75"/>
      <c r="N5" s="5"/>
      <c r="O5" s="75"/>
      <c r="P5" s="5"/>
      <c r="Q5" s="5"/>
      <c r="R5" s="5"/>
      <c r="S5" s="5"/>
      <c r="T5" s="5"/>
      <c r="U5" s="5"/>
      <c r="V5" s="54"/>
    </row>
    <row r="6" spans="1:22" x14ac:dyDescent="0.3">
      <c r="A6" s="21"/>
      <c r="B6" s="213" t="s">
        <v>187</v>
      </c>
      <c r="D6" s="6">
        <f>E6</f>
        <v>10458100.219999999</v>
      </c>
      <c r="E6" s="110">
        <v>10458100.219999999</v>
      </c>
      <c r="G6" s="352"/>
      <c r="H6" s="73"/>
      <c r="I6" s="73"/>
      <c r="J6" s="75"/>
      <c r="K6" s="75"/>
      <c r="L6" s="75"/>
      <c r="M6" s="75"/>
      <c r="N6" s="5"/>
      <c r="O6" s="75"/>
      <c r="P6" s="5"/>
      <c r="Q6" s="5"/>
      <c r="R6" s="5"/>
      <c r="S6" s="5"/>
      <c r="T6" s="5"/>
      <c r="U6" s="5"/>
      <c r="V6" s="54"/>
    </row>
    <row r="7" spans="1:22" x14ac:dyDescent="0.3">
      <c r="A7" s="21"/>
      <c r="B7" s="213" t="s">
        <v>4</v>
      </c>
      <c r="D7" s="5">
        <f>E7</f>
        <v>6255618</v>
      </c>
      <c r="E7" s="110">
        <v>6255618</v>
      </c>
      <c r="G7" s="213"/>
      <c r="H7" s="73"/>
      <c r="I7" s="73"/>
      <c r="J7" s="75"/>
      <c r="K7" s="75"/>
      <c r="L7" s="75"/>
      <c r="M7" s="75"/>
      <c r="N7" s="5"/>
      <c r="O7" s="75"/>
      <c r="P7" s="5"/>
      <c r="Q7" s="5"/>
      <c r="R7" s="5"/>
      <c r="S7" s="5"/>
      <c r="T7" s="5"/>
      <c r="U7" s="5"/>
      <c r="V7" s="54"/>
    </row>
    <row r="8" spans="1:22" x14ac:dyDescent="0.3">
      <c r="A8" s="21"/>
      <c r="B8" s="213" t="s">
        <v>5</v>
      </c>
      <c r="D8" s="109">
        <v>-48737237</v>
      </c>
      <c r="G8" s="213"/>
      <c r="H8" s="73"/>
      <c r="I8" s="73"/>
      <c r="J8" s="5"/>
      <c r="K8" s="5"/>
      <c r="L8" s="5"/>
      <c r="M8" s="5"/>
      <c r="N8" s="5"/>
      <c r="O8" s="5"/>
      <c r="P8" s="5"/>
      <c r="Q8" s="5"/>
      <c r="R8" s="5"/>
      <c r="S8" s="5"/>
      <c r="T8" s="5"/>
      <c r="U8" s="5"/>
      <c r="V8" s="54"/>
    </row>
    <row r="9" spans="1:22" x14ac:dyDescent="0.3">
      <c r="B9" s="4"/>
      <c r="D9" s="10">
        <f>SUM(D5:D8)</f>
        <v>162327778.22</v>
      </c>
      <c r="E9" s="10">
        <f>SUM(E5:E8)</f>
        <v>211065015.22</v>
      </c>
      <c r="G9" s="213"/>
      <c r="H9" s="74"/>
      <c r="I9" s="74"/>
      <c r="J9" s="233"/>
      <c r="K9" s="233"/>
      <c r="L9" s="233"/>
      <c r="M9" s="233"/>
      <c r="N9" s="233"/>
      <c r="O9" s="233"/>
      <c r="P9" s="233"/>
      <c r="Q9" s="233"/>
      <c r="R9" s="233"/>
      <c r="S9" s="233"/>
      <c r="T9" s="233"/>
      <c r="U9" s="233"/>
      <c r="V9" s="116"/>
    </row>
    <row r="10" spans="1:22" x14ac:dyDescent="0.3">
      <c r="B10" s="4"/>
      <c r="D10" s="6"/>
      <c r="G10" s="4"/>
      <c r="H10" s="12"/>
      <c r="I10" s="11"/>
      <c r="J10" s="13"/>
      <c r="K10" s="12"/>
      <c r="L10" s="11"/>
      <c r="M10" s="13"/>
      <c r="N10" s="13"/>
      <c r="O10" s="3"/>
    </row>
    <row r="11" spans="1:22" x14ac:dyDescent="0.3">
      <c r="B11" t="s">
        <v>6</v>
      </c>
      <c r="C11" s="15">
        <f>+C28</f>
        <v>0.61892736952604765</v>
      </c>
      <c r="D11" s="6">
        <f>+D9*C11</f>
        <v>100469104.77471225</v>
      </c>
      <c r="E11" s="7">
        <f>+D11</f>
        <v>100469104.77471225</v>
      </c>
      <c r="G11" s="16"/>
      <c r="H11" s="18"/>
      <c r="I11" s="19"/>
      <c r="J11" s="89"/>
      <c r="K11" s="89"/>
      <c r="L11" s="89"/>
      <c r="M11" s="89"/>
      <c r="N11" s="89"/>
      <c r="O11" s="89"/>
      <c r="P11" s="89"/>
      <c r="Q11" s="89"/>
      <c r="R11" s="89"/>
      <c r="S11" s="89"/>
      <c r="T11" s="89"/>
      <c r="U11" s="89"/>
      <c r="V11" s="89"/>
    </row>
    <row r="12" spans="1:22" x14ac:dyDescent="0.3">
      <c r="B12" t="s">
        <v>7</v>
      </c>
      <c r="C12" s="15">
        <f>+C29</f>
        <v>0.38107263047395246</v>
      </c>
      <c r="D12" s="6">
        <f>+D9*C12</f>
        <v>61858673.445287764</v>
      </c>
      <c r="E12" s="7">
        <f>+D12-D8</f>
        <v>110595910.44528776</v>
      </c>
      <c r="F12" s="21"/>
      <c r="G12" s="16"/>
      <c r="H12" s="18"/>
      <c r="I12" s="19"/>
      <c r="J12" s="89"/>
      <c r="K12" s="89"/>
      <c r="L12" s="89"/>
      <c r="M12" s="89"/>
      <c r="N12" s="89"/>
      <c r="O12" s="89"/>
      <c r="P12" s="89"/>
      <c r="Q12" s="89"/>
      <c r="R12" s="89"/>
      <c r="S12" s="89"/>
      <c r="T12" s="89"/>
      <c r="U12" s="89"/>
    </row>
    <row r="13" spans="1:22" ht="15" thickBot="1" x14ac:dyDescent="0.35">
      <c r="B13" t="s">
        <v>8</v>
      </c>
      <c r="C13" s="22">
        <f>+C11+C12</f>
        <v>1</v>
      </c>
      <c r="D13" s="23">
        <f>+D11+D12</f>
        <v>162327778.22000003</v>
      </c>
      <c r="E13" s="23">
        <f>+E11+E12</f>
        <v>211065015.22000003</v>
      </c>
      <c r="G13" s="3"/>
      <c r="H13" s="18"/>
      <c r="I13" s="19"/>
      <c r="J13" s="20"/>
      <c r="K13" s="18"/>
      <c r="L13" s="20"/>
      <c r="M13" s="19"/>
      <c r="N13" s="19"/>
      <c r="O13" s="3"/>
    </row>
    <row r="14" spans="1:22" ht="15" thickTop="1" x14ac:dyDescent="0.3">
      <c r="G14" s="3"/>
      <c r="H14" s="3"/>
      <c r="I14" s="3"/>
      <c r="J14" s="3"/>
      <c r="K14" s="3"/>
      <c r="L14" s="3"/>
      <c r="M14" s="3"/>
      <c r="N14" s="3"/>
      <c r="O14" s="3"/>
    </row>
    <row r="15" spans="1:22" x14ac:dyDescent="0.3">
      <c r="B15" s="24" t="s">
        <v>9</v>
      </c>
      <c r="G15" s="3"/>
      <c r="H15" s="18"/>
      <c r="I15" s="19"/>
      <c r="J15" s="20"/>
      <c r="K15" s="18"/>
      <c r="L15" s="20"/>
      <c r="M15" s="19"/>
      <c r="N15" s="19"/>
      <c r="O15" s="3"/>
    </row>
    <row r="16" spans="1:22" x14ac:dyDescent="0.3">
      <c r="B16" s="24"/>
      <c r="C16" s="102" t="s">
        <v>11</v>
      </c>
      <c r="D16" s="102" t="s">
        <v>10</v>
      </c>
      <c r="E16" s="103"/>
      <c r="H16" s="7"/>
      <c r="I16" s="26"/>
      <c r="J16" s="14"/>
      <c r="K16" s="7"/>
      <c r="L16" s="14"/>
      <c r="M16" s="26"/>
      <c r="N16" s="26"/>
    </row>
    <row r="17" spans="1:22" x14ac:dyDescent="0.3">
      <c r="B17" t="s">
        <v>12</v>
      </c>
      <c r="C17" s="15">
        <f>C34</f>
        <v>6.1125469205189881E-2</v>
      </c>
      <c r="D17" s="27">
        <f>+C17*$D$11</f>
        <v>6141221.1699796692</v>
      </c>
      <c r="E17" s="29"/>
      <c r="H17" s="7"/>
      <c r="I17" s="26"/>
      <c r="J17" s="14"/>
      <c r="K17" s="7"/>
      <c r="L17" s="14"/>
      <c r="M17" s="26"/>
      <c r="N17" s="26"/>
    </row>
    <row r="18" spans="1:22" x14ac:dyDescent="0.3">
      <c r="B18" t="s">
        <v>13</v>
      </c>
      <c r="C18" s="15">
        <f t="shared" ref="C18:C21" si="0">C35</f>
        <v>4.0075638750422513E-2</v>
      </c>
      <c r="D18" s="27">
        <f t="shared" ref="D18:D21" si="1">+C18*$D$11</f>
        <v>4026363.5485297176</v>
      </c>
      <c r="E18" s="29"/>
      <c r="H18" s="7"/>
      <c r="I18" s="26"/>
      <c r="J18" s="14"/>
      <c r="K18" s="7"/>
      <c r="L18" s="14"/>
      <c r="M18" s="26"/>
      <c r="N18" s="26"/>
    </row>
    <row r="19" spans="1:22" x14ac:dyDescent="0.3">
      <c r="B19" t="s">
        <v>14</v>
      </c>
      <c r="C19" s="15">
        <f t="shared" si="0"/>
        <v>0.57960985487440209</v>
      </c>
      <c r="D19" s="27">
        <f t="shared" si="1"/>
        <v>58232883.237832062</v>
      </c>
      <c r="E19" s="29"/>
      <c r="H19" s="7"/>
      <c r="I19" s="26"/>
      <c r="J19" s="14"/>
      <c r="K19" s="7"/>
      <c r="L19" s="14"/>
      <c r="M19" s="26"/>
      <c r="N19" s="26"/>
    </row>
    <row r="20" spans="1:22" x14ac:dyDescent="0.3">
      <c r="B20" t="s">
        <v>15</v>
      </c>
      <c r="C20" s="15">
        <f t="shared" si="0"/>
        <v>0.15686460442908604</v>
      </c>
      <c r="D20" s="27">
        <f t="shared" si="1"/>
        <v>15760046.377829636</v>
      </c>
      <c r="E20" s="29"/>
      <c r="H20" s="7"/>
      <c r="I20" s="26"/>
      <c r="J20" s="14"/>
      <c r="K20" s="7"/>
      <c r="L20" s="14"/>
      <c r="M20" s="26"/>
      <c r="N20" s="26"/>
    </row>
    <row r="21" spans="1:22" x14ac:dyDescent="0.3">
      <c r="B21" t="s">
        <v>16</v>
      </c>
      <c r="C21" s="15">
        <f t="shared" si="0"/>
        <v>0.16232443274089947</v>
      </c>
      <c r="D21" s="27">
        <f t="shared" si="1"/>
        <v>16308590.440541161</v>
      </c>
      <c r="E21" s="29"/>
      <c r="H21" s="7"/>
      <c r="I21" s="26"/>
      <c r="J21" s="14"/>
      <c r="K21" s="7"/>
      <c r="L21" s="14"/>
      <c r="M21" s="26"/>
      <c r="N21" s="26"/>
    </row>
    <row r="22" spans="1:22" ht="15" thickBot="1" x14ac:dyDescent="0.35">
      <c r="C22" s="22">
        <f>SUM(C17:C21)</f>
        <v>1</v>
      </c>
      <c r="D22" s="23">
        <f>SUM(D17:D21)</f>
        <v>100469104.77471225</v>
      </c>
      <c r="H22" s="7"/>
      <c r="I22" s="26"/>
      <c r="J22" s="14"/>
      <c r="K22" s="7"/>
      <c r="L22" s="14"/>
      <c r="M22" s="26"/>
      <c r="N22" s="26"/>
    </row>
    <row r="23" spans="1:22" ht="15" thickTop="1" x14ac:dyDescent="0.3">
      <c r="H23" s="7"/>
      <c r="I23" s="26"/>
      <c r="J23" s="14"/>
      <c r="K23" s="7"/>
      <c r="L23" s="14"/>
      <c r="M23" s="26"/>
      <c r="N23" s="26"/>
    </row>
    <row r="24" spans="1:22" x14ac:dyDescent="0.3">
      <c r="B24" s="24" t="s">
        <v>17</v>
      </c>
    </row>
    <row r="25" spans="1:22" ht="30.75" customHeight="1" x14ac:dyDescent="0.3">
      <c r="B25" s="24"/>
      <c r="C25" s="103" t="s">
        <v>1</v>
      </c>
      <c r="D25" s="102" t="s">
        <v>2</v>
      </c>
      <c r="E25" s="102" t="s">
        <v>3</v>
      </c>
      <c r="G25" s="21"/>
      <c r="H25" s="104"/>
      <c r="I25" s="21"/>
      <c r="J25" s="21"/>
      <c r="K25" s="21"/>
      <c r="L25" s="21"/>
      <c r="M25" s="21"/>
      <c r="N25" s="21"/>
      <c r="O25" s="21"/>
      <c r="P25" s="21"/>
      <c r="Q25" s="21"/>
      <c r="R25" s="21"/>
      <c r="S25" s="21"/>
      <c r="T25" s="21"/>
      <c r="U25" s="21"/>
      <c r="V25" s="21"/>
    </row>
    <row r="26" spans="1:22" x14ac:dyDescent="0.3">
      <c r="B26" s="213" t="s">
        <v>18</v>
      </c>
      <c r="D26" s="30">
        <f>+D30</f>
        <v>162011128.66902775</v>
      </c>
      <c r="E26" s="7">
        <f>+E30</f>
        <v>210748365.66902775</v>
      </c>
      <c r="G26" s="21"/>
      <c r="H26" s="21"/>
      <c r="I26" s="21"/>
      <c r="J26" s="21"/>
      <c r="K26" s="21"/>
      <c r="L26" s="21"/>
      <c r="M26" s="21"/>
      <c r="N26" s="21"/>
      <c r="O26" s="21"/>
      <c r="P26" s="21"/>
      <c r="Q26" s="21"/>
      <c r="R26" s="21"/>
      <c r="S26" s="21"/>
      <c r="T26" s="21"/>
      <c r="U26" s="21"/>
      <c r="V26" s="21"/>
    </row>
    <row r="27" spans="1:22" x14ac:dyDescent="0.3">
      <c r="B27" s="213"/>
      <c r="G27" s="21"/>
      <c r="H27" s="21"/>
      <c r="I27" s="21"/>
      <c r="J27" s="115"/>
      <c r="K27" s="115"/>
      <c r="L27" s="115"/>
      <c r="M27" s="115"/>
      <c r="N27" s="115"/>
      <c r="O27" s="115"/>
      <c r="P27" s="115"/>
      <c r="Q27" s="115"/>
      <c r="R27" s="115"/>
      <c r="S27" s="115"/>
      <c r="T27" s="115"/>
      <c r="U27" s="115"/>
      <c r="V27" s="21"/>
    </row>
    <row r="28" spans="1:22" x14ac:dyDescent="0.3">
      <c r="B28" s="21" t="s">
        <v>19</v>
      </c>
      <c r="C28" s="15">
        <f>+D28/D30</f>
        <v>0.61892736952604765</v>
      </c>
      <c r="D28" s="5">
        <f>D39</f>
        <v>100273121.70106739</v>
      </c>
      <c r="E28" s="7">
        <f>+D28</f>
        <v>100273121.70106739</v>
      </c>
      <c r="G28" s="21"/>
      <c r="H28" s="21"/>
      <c r="I28" s="21"/>
      <c r="J28" s="5"/>
      <c r="K28" s="5"/>
      <c r="L28" s="5"/>
      <c r="M28" s="5"/>
      <c r="N28" s="21"/>
      <c r="O28" s="21"/>
      <c r="P28" s="21"/>
      <c r="Q28" s="21"/>
      <c r="R28" s="21"/>
      <c r="S28" s="21"/>
      <c r="T28" s="21"/>
      <c r="U28" s="21"/>
      <c r="V28" s="21"/>
    </row>
    <row r="29" spans="1:22" x14ac:dyDescent="0.3">
      <c r="A29" s="21"/>
      <c r="B29" s="21" t="s">
        <v>20</v>
      </c>
      <c r="C29" s="15">
        <f>+D29/D30</f>
        <v>0.38107263047395246</v>
      </c>
      <c r="D29" s="109">
        <v>61738006.967960373</v>
      </c>
      <c r="E29" s="7">
        <f>+D29-D8</f>
        <v>110475243.96796037</v>
      </c>
      <c r="F29" s="7"/>
      <c r="G29" s="21"/>
      <c r="H29" s="46"/>
      <c r="I29" s="46"/>
      <c r="J29" s="5"/>
      <c r="K29" s="5"/>
      <c r="L29" s="5"/>
      <c r="M29" s="5"/>
      <c r="N29" s="5"/>
      <c r="O29" s="5"/>
      <c r="P29" s="5"/>
      <c r="Q29" s="5"/>
      <c r="R29" s="5"/>
      <c r="S29" s="5"/>
      <c r="T29" s="5"/>
      <c r="U29" s="5"/>
      <c r="V29" s="46"/>
    </row>
    <row r="30" spans="1:22" ht="15" thickBot="1" x14ac:dyDescent="0.35">
      <c r="B30" s="21" t="s">
        <v>21</v>
      </c>
      <c r="C30" s="22">
        <f>+C28+C29</f>
        <v>1</v>
      </c>
      <c r="D30" s="23">
        <f>+D28+D29</f>
        <v>162011128.66902775</v>
      </c>
      <c r="E30" s="23">
        <f>+E28+E29</f>
        <v>210748365.66902775</v>
      </c>
      <c r="F30" s="6"/>
      <c r="G30" s="32"/>
    </row>
    <row r="31" spans="1:22" ht="15" thickTop="1" x14ac:dyDescent="0.3">
      <c r="G31" s="14"/>
    </row>
    <row r="32" spans="1:22" x14ac:dyDescent="0.3">
      <c r="D32" s="7">
        <f>D30-D13</f>
        <v>-316649.55097228289</v>
      </c>
      <c r="E32" s="7" t="s">
        <v>141</v>
      </c>
    </row>
    <row r="33" spans="1:26" ht="31.2" customHeight="1" x14ac:dyDescent="0.3">
      <c r="B33" s="24" t="s">
        <v>22</v>
      </c>
      <c r="C33" s="102" t="s">
        <v>11</v>
      </c>
      <c r="D33" s="102" t="s">
        <v>10</v>
      </c>
      <c r="E33" s="103" t="s">
        <v>23</v>
      </c>
      <c r="F33" s="33"/>
      <c r="G33" s="33"/>
      <c r="H33" s="33"/>
      <c r="I33" s="33" t="s">
        <v>117</v>
      </c>
      <c r="J33" s="115"/>
      <c r="K33" s="115"/>
      <c r="L33" s="115"/>
      <c r="M33" s="115"/>
    </row>
    <row r="34" spans="1:26" ht="15" customHeight="1" x14ac:dyDescent="0.3">
      <c r="A34" s="21"/>
      <c r="B34" s="21" t="s">
        <v>12</v>
      </c>
      <c r="C34" s="15">
        <f>D34/D$39</f>
        <v>6.1125469205189881E-2</v>
      </c>
      <c r="D34" s="214">
        <v>6129241.6126468517</v>
      </c>
      <c r="E34" s="29">
        <f>I34/D34</f>
        <v>7.6999999999999999E-2</v>
      </c>
      <c r="F34" s="29"/>
      <c r="G34" s="378"/>
      <c r="H34" s="28"/>
      <c r="I34" s="109">
        <v>471951.6041738076</v>
      </c>
      <c r="J34" s="21"/>
      <c r="K34" s="21"/>
      <c r="L34" s="21"/>
      <c r="M34" s="21"/>
      <c r="N34" s="7"/>
    </row>
    <row r="35" spans="1:26" x14ac:dyDescent="0.3">
      <c r="A35" s="21"/>
      <c r="B35" s="21" t="s">
        <v>13</v>
      </c>
      <c r="C35" s="15">
        <f>D35/D$39</f>
        <v>4.0075638750422513E-2</v>
      </c>
      <c r="D35" s="214">
        <v>4018509.4016691288</v>
      </c>
      <c r="E35" s="29">
        <f>I35/D35</f>
        <v>0.09</v>
      </c>
      <c r="F35" s="29"/>
      <c r="G35" s="379"/>
      <c r="H35" s="28"/>
      <c r="I35" s="109">
        <v>361665.84615022159</v>
      </c>
      <c r="J35" s="21"/>
      <c r="K35" s="21"/>
      <c r="L35" s="21"/>
      <c r="M35" s="21"/>
      <c r="N35" s="7"/>
    </row>
    <row r="36" spans="1:26" x14ac:dyDescent="0.3">
      <c r="A36" s="21"/>
      <c r="B36" s="21" t="s">
        <v>14</v>
      </c>
      <c r="C36" s="15">
        <f>D36/D$39</f>
        <v>0.57960985487440209</v>
      </c>
      <c r="D36" s="214">
        <v>58119289.516958922</v>
      </c>
      <c r="E36" s="29">
        <f>I36/D36</f>
        <v>6.5000000000000002E-2</v>
      </c>
      <c r="F36" s="29"/>
      <c r="G36" s="379"/>
      <c r="H36" s="28"/>
      <c r="I36" s="109">
        <v>3777753.8186023301</v>
      </c>
      <c r="J36" s="21"/>
      <c r="K36" s="21"/>
      <c r="L36" s="21"/>
      <c r="M36" s="21"/>
      <c r="N36" s="7"/>
    </row>
    <row r="37" spans="1:26" x14ac:dyDescent="0.3">
      <c r="A37" s="21"/>
      <c r="B37" s="21" t="s">
        <v>15</v>
      </c>
      <c r="C37" s="15">
        <f>D37/D$39</f>
        <v>0.15686460442908604</v>
      </c>
      <c r="D37" s="214">
        <v>15729303.570507538</v>
      </c>
      <c r="E37" s="29">
        <f>I37/D37</f>
        <v>9.5000000000000001E-2</v>
      </c>
      <c r="F37" s="29"/>
      <c r="G37" s="379"/>
      <c r="H37" s="28"/>
      <c r="I37" s="109">
        <v>1494283.8391982161</v>
      </c>
      <c r="J37" s="21"/>
      <c r="K37" s="21"/>
      <c r="L37" s="21"/>
      <c r="M37" s="21"/>
      <c r="N37" s="7"/>
    </row>
    <row r="38" spans="1:26" x14ac:dyDescent="0.3">
      <c r="A38" s="21"/>
      <c r="B38" s="21" t="s">
        <v>82</v>
      </c>
      <c r="C38" s="15">
        <f>D38/D$39</f>
        <v>0.16232443274089947</v>
      </c>
      <c r="D38" s="214">
        <v>16276777.599284941</v>
      </c>
      <c r="E38" s="29">
        <f>I38/D38</f>
        <v>0.13200000000000001</v>
      </c>
      <c r="F38" s="29"/>
      <c r="G38" s="379"/>
      <c r="H38" s="28"/>
      <c r="I38" s="109">
        <v>2148534.6431056121</v>
      </c>
      <c r="J38" s="21"/>
      <c r="K38" s="21"/>
      <c r="L38" s="21"/>
      <c r="M38" s="21"/>
      <c r="N38" s="7"/>
    </row>
    <row r="39" spans="1:26" ht="15" thickBot="1" x14ac:dyDescent="0.35">
      <c r="B39" s="21" t="s">
        <v>83</v>
      </c>
      <c r="C39" s="22">
        <f>SUM(C34:C38)</f>
        <v>1</v>
      </c>
      <c r="D39" s="23">
        <f>SUM(D34:D38)</f>
        <v>100273121.70106739</v>
      </c>
      <c r="G39" s="46"/>
      <c r="H39" s="21"/>
      <c r="I39" s="67">
        <f>SUM(I34:I38)</f>
        <v>8254189.7512301877</v>
      </c>
      <c r="J39" s="118"/>
      <c r="K39" s="118"/>
      <c r="L39" s="118"/>
      <c r="M39" s="118"/>
    </row>
    <row r="40" spans="1:26" ht="15" thickTop="1" x14ac:dyDescent="0.3"/>
    <row r="42" spans="1:26" x14ac:dyDescent="0.3">
      <c r="B42" s="24" t="s">
        <v>24</v>
      </c>
      <c r="M42" s="21"/>
      <c r="N42" s="21"/>
      <c r="O42" s="21"/>
      <c r="P42" s="21"/>
      <c r="Q42" s="21"/>
      <c r="R42" s="21"/>
      <c r="S42" s="21"/>
      <c r="T42" s="21"/>
      <c r="U42" s="21"/>
      <c r="V42" s="21"/>
      <c r="W42" s="21"/>
      <c r="X42" s="21"/>
      <c r="Y42" s="21"/>
      <c r="Z42" s="21"/>
    </row>
    <row r="43" spans="1:26" x14ac:dyDescent="0.3">
      <c r="B43" s="2"/>
      <c r="C43" s="102" t="s">
        <v>25</v>
      </c>
      <c r="M43" s="21"/>
      <c r="N43" s="21"/>
      <c r="O43" s="21"/>
      <c r="P43" s="21"/>
      <c r="Q43" s="21"/>
      <c r="R43" s="21"/>
      <c r="S43" s="21"/>
      <c r="T43" s="21"/>
      <c r="U43" s="21"/>
      <c r="V43" s="21"/>
      <c r="W43" s="21"/>
      <c r="X43" s="21"/>
      <c r="Y43" s="21"/>
      <c r="Z43" s="21"/>
    </row>
    <row r="44" spans="1:26" x14ac:dyDescent="0.3">
      <c r="B44" s="2" t="s">
        <v>26</v>
      </c>
      <c r="C44" s="102" t="s">
        <v>27</v>
      </c>
      <c r="M44" s="115"/>
      <c r="N44" s="115"/>
      <c r="O44" s="115"/>
      <c r="P44" s="115"/>
      <c r="Q44" s="115"/>
      <c r="R44" s="115"/>
      <c r="S44" s="115"/>
      <c r="T44" s="115"/>
      <c r="U44" s="115"/>
      <c r="V44" s="115"/>
      <c r="W44" s="115"/>
      <c r="X44" s="115"/>
      <c r="Y44" s="21"/>
      <c r="Z44" s="21"/>
    </row>
    <row r="45" spans="1:26" x14ac:dyDescent="0.3">
      <c r="B45" t="s">
        <v>28</v>
      </c>
      <c r="C45" s="25">
        <f>+C87</f>
        <v>2.9833625806321488E-2</v>
      </c>
      <c r="D45" s="215"/>
      <c r="G45" s="31"/>
      <c r="M45" s="5"/>
      <c r="N45" s="5"/>
      <c r="O45" s="5"/>
      <c r="P45" s="5"/>
      <c r="Q45" s="5"/>
      <c r="R45" s="5"/>
      <c r="S45" s="5"/>
      <c r="T45" s="5"/>
      <c r="U45" s="5"/>
      <c r="V45" s="5"/>
      <c r="W45" s="5"/>
      <c r="X45" s="5"/>
      <c r="Y45" s="5"/>
      <c r="Z45" s="21"/>
    </row>
    <row r="46" spans="1:26" x14ac:dyDescent="0.3">
      <c r="B46" t="s">
        <v>29</v>
      </c>
      <c r="C46" s="25">
        <f>+C88</f>
        <v>2.9080600269086716E-2</v>
      </c>
      <c r="D46" s="215"/>
      <c r="E46" s="31"/>
      <c r="G46" s="31"/>
      <c r="M46" s="5"/>
      <c r="N46" s="5"/>
      <c r="O46" s="5"/>
      <c r="P46" s="5"/>
      <c r="Q46" s="5"/>
      <c r="R46" s="5"/>
      <c r="S46" s="5"/>
      <c r="T46" s="5"/>
      <c r="U46" s="5"/>
      <c r="V46" s="5"/>
      <c r="W46" s="5"/>
      <c r="X46" s="5"/>
      <c r="Y46" s="5"/>
      <c r="Z46" s="21"/>
    </row>
    <row r="47" spans="1:26" x14ac:dyDescent="0.3">
      <c r="A47" s="21"/>
      <c r="B47" s="21" t="s">
        <v>30</v>
      </c>
      <c r="C47" s="345">
        <v>9.8100000000000007E-2</v>
      </c>
      <c r="D47" s="21"/>
      <c r="E47" s="36"/>
      <c r="M47" s="238"/>
      <c r="N47" s="238"/>
      <c r="O47" s="238"/>
      <c r="P47" s="238"/>
      <c r="Q47" s="238"/>
      <c r="R47" s="238"/>
      <c r="S47" s="238"/>
      <c r="T47" s="238"/>
      <c r="U47" s="238"/>
      <c r="V47" s="238"/>
      <c r="W47" s="238"/>
      <c r="X47" s="238"/>
      <c r="Y47" s="238"/>
      <c r="Z47" s="21"/>
    </row>
    <row r="48" spans="1:26" x14ac:dyDescent="0.3">
      <c r="B48" s="21" t="s">
        <v>31</v>
      </c>
      <c r="C48" s="216" t="s">
        <v>163</v>
      </c>
      <c r="D48" s="21"/>
      <c r="E48" s="31"/>
      <c r="M48" s="21"/>
      <c r="N48" s="21"/>
      <c r="O48" s="21"/>
      <c r="P48" s="21"/>
      <c r="Q48" s="21"/>
      <c r="R48" s="21"/>
      <c r="S48" s="21"/>
      <c r="T48" s="21"/>
      <c r="U48" s="21"/>
      <c r="V48" s="21"/>
      <c r="W48" s="21"/>
      <c r="X48" s="21"/>
      <c r="Y48" s="21"/>
      <c r="Z48" s="21"/>
    </row>
    <row r="49" spans="1:27" x14ac:dyDescent="0.3">
      <c r="B49" s="21" t="s">
        <v>32</v>
      </c>
      <c r="C49" s="345">
        <f>99.59/1000</f>
        <v>9.9589999999999998E-2</v>
      </c>
      <c r="D49" s="107" t="s">
        <v>188</v>
      </c>
      <c r="M49" s="5"/>
      <c r="N49" s="5"/>
      <c r="O49" s="5"/>
      <c r="P49" s="5"/>
      <c r="Q49" s="5"/>
      <c r="R49" s="5"/>
      <c r="S49" s="5"/>
      <c r="T49" s="5"/>
      <c r="U49" s="5"/>
      <c r="V49" s="5"/>
      <c r="W49" s="5"/>
      <c r="X49" s="5"/>
      <c r="Y49" s="5"/>
      <c r="Z49" s="21"/>
    </row>
    <row r="50" spans="1:27" x14ac:dyDescent="0.3">
      <c r="A50" s="21"/>
      <c r="B50" s="21" t="s">
        <v>33</v>
      </c>
      <c r="C50" s="345">
        <v>9.9593160920509766E-2</v>
      </c>
      <c r="D50" s="107" t="s">
        <v>164</v>
      </c>
      <c r="G50" s="255"/>
      <c r="M50" s="5"/>
      <c r="N50" s="5"/>
      <c r="O50" s="5"/>
      <c r="P50" s="5"/>
      <c r="Q50" s="5"/>
      <c r="R50" s="5"/>
      <c r="S50" s="5"/>
      <c r="T50" s="5"/>
      <c r="U50" s="5"/>
      <c r="V50" s="5"/>
      <c r="W50" s="5"/>
      <c r="X50" s="5"/>
      <c r="Y50" s="5"/>
      <c r="Z50" s="21"/>
    </row>
    <row r="51" spans="1:27" x14ac:dyDescent="0.3">
      <c r="C51" s="216">
        <f>+C50</f>
        <v>9.9593160920509766E-2</v>
      </c>
      <c r="D51" s="107" t="s">
        <v>165</v>
      </c>
      <c r="E51" s="21"/>
      <c r="G51" s="380"/>
      <c r="H51" s="381"/>
      <c r="I51" s="381"/>
      <c r="M51" s="238"/>
      <c r="N51" s="238"/>
      <c r="O51" s="238"/>
      <c r="P51" s="238"/>
      <c r="Q51" s="238"/>
      <c r="R51" s="238"/>
      <c r="S51" s="238"/>
      <c r="T51" s="238"/>
      <c r="U51" s="238"/>
      <c r="V51" s="238"/>
      <c r="W51" s="238"/>
      <c r="X51" s="238"/>
      <c r="Y51" s="238"/>
      <c r="Z51" s="21"/>
    </row>
    <row r="52" spans="1:27" x14ac:dyDescent="0.3">
      <c r="C52" s="216">
        <f>+C50</f>
        <v>9.9593160920509766E-2</v>
      </c>
      <c r="D52" s="107" t="s">
        <v>166</v>
      </c>
      <c r="E52" s="21"/>
      <c r="G52" s="381"/>
      <c r="H52" s="381"/>
      <c r="I52" s="381"/>
      <c r="M52" s="21"/>
      <c r="N52" s="21"/>
      <c r="O52" s="21"/>
      <c r="P52" s="21"/>
      <c r="Q52" s="21"/>
      <c r="R52" s="21"/>
      <c r="S52" s="21"/>
      <c r="T52" s="21"/>
      <c r="U52" s="21"/>
      <c r="V52" s="21"/>
      <c r="W52" s="21"/>
      <c r="X52" s="21"/>
      <c r="Y52" s="21"/>
      <c r="Z52" s="21"/>
    </row>
    <row r="53" spans="1:27" ht="18" x14ac:dyDescent="0.35">
      <c r="B53" s="351" t="s">
        <v>189</v>
      </c>
      <c r="C53" s="35"/>
      <c r="D53" s="37"/>
      <c r="M53" s="115"/>
      <c r="N53" s="115"/>
      <c r="O53" s="115"/>
      <c r="P53" s="115"/>
      <c r="Q53" s="115"/>
      <c r="R53" s="115"/>
      <c r="S53" s="115"/>
      <c r="T53" s="115"/>
      <c r="U53" s="115"/>
      <c r="V53" s="115"/>
      <c r="W53" s="115"/>
      <c r="X53" s="115"/>
      <c r="Y53" s="73"/>
      <c r="Z53" s="73"/>
      <c r="AA53" s="73"/>
    </row>
    <row r="54" spans="1:27" x14ac:dyDescent="0.3">
      <c r="B54" s="24" t="s">
        <v>34</v>
      </c>
      <c r="I54" s="387" t="s">
        <v>174</v>
      </c>
      <c r="J54" s="388"/>
      <c r="K54" s="241"/>
      <c r="M54" s="53"/>
      <c r="N54" s="53"/>
      <c r="O54" s="53"/>
      <c r="P54" s="53"/>
      <c r="Q54" s="53"/>
      <c r="R54" s="53"/>
      <c r="S54" s="53"/>
      <c r="T54" s="53"/>
      <c r="U54" s="53"/>
      <c r="V54" s="53"/>
      <c r="W54" s="53"/>
      <c r="X54" s="53"/>
      <c r="Y54" s="75"/>
      <c r="Z54" s="73"/>
      <c r="AA54" s="73"/>
    </row>
    <row r="55" spans="1:27" x14ac:dyDescent="0.3">
      <c r="B55" s="24"/>
      <c r="C55" s="102" t="s">
        <v>35</v>
      </c>
      <c r="D55" s="12" t="s">
        <v>10</v>
      </c>
      <c r="E55" s="38" t="s">
        <v>36</v>
      </c>
      <c r="F55" s="2"/>
      <c r="H55" s="239"/>
      <c r="I55" s="242" t="s">
        <v>175</v>
      </c>
      <c r="J55" s="108" t="s">
        <v>176</v>
      </c>
      <c r="K55" s="243"/>
      <c r="M55" s="53"/>
      <c r="N55" s="53"/>
      <c r="O55" s="53"/>
      <c r="P55" s="53"/>
      <c r="Q55" s="53"/>
      <c r="R55" s="53"/>
      <c r="S55" s="53"/>
      <c r="T55" s="53"/>
      <c r="U55" s="53"/>
      <c r="V55" s="53"/>
      <c r="W55" s="53"/>
      <c r="X55" s="53"/>
      <c r="Y55" s="75"/>
      <c r="Z55" s="73"/>
      <c r="AA55" s="73"/>
    </row>
    <row r="56" spans="1:27" x14ac:dyDescent="0.3">
      <c r="A56" s="21"/>
      <c r="B56" s="21" t="s">
        <v>37</v>
      </c>
      <c r="C56" s="35">
        <f>E56/D56</f>
        <v>0.19766690357371564</v>
      </c>
      <c r="D56" s="7">
        <f>+E7</f>
        <v>6255618</v>
      </c>
      <c r="E56" s="217">
        <v>1236528.6399999999</v>
      </c>
      <c r="F56" s="4"/>
      <c r="G56" s="5" t="s">
        <v>141</v>
      </c>
      <c r="H56" s="239"/>
      <c r="I56" s="244">
        <f>E56</f>
        <v>1236528.6399999999</v>
      </c>
      <c r="J56" s="3"/>
      <c r="K56" s="243"/>
      <c r="M56" s="75"/>
      <c r="N56" s="75"/>
      <c r="O56" s="75"/>
      <c r="P56" s="75"/>
      <c r="Q56" s="75"/>
      <c r="R56" s="75"/>
      <c r="S56" s="75"/>
      <c r="T56" s="75"/>
      <c r="U56" s="75"/>
      <c r="V56" s="75"/>
      <c r="W56" s="75"/>
      <c r="X56" s="75"/>
      <c r="Y56" s="75"/>
      <c r="Z56" s="73"/>
      <c r="AA56" s="73"/>
    </row>
    <row r="57" spans="1:27" x14ac:dyDescent="0.3">
      <c r="A57" s="21"/>
      <c r="B57" s="21" t="s">
        <v>38</v>
      </c>
      <c r="C57" s="35">
        <f>E57/D57</f>
        <v>3.1124792390760322E-2</v>
      </c>
      <c r="D57" s="46">
        <f>+E5</f>
        <v>194351297</v>
      </c>
      <c r="E57" s="217">
        <v>6049143.7699999996</v>
      </c>
      <c r="F57" s="26"/>
      <c r="G57" s="382"/>
      <c r="I57" s="244">
        <f>+E57</f>
        <v>6049143.7699999996</v>
      </c>
      <c r="J57" s="3"/>
      <c r="K57" s="243"/>
      <c r="M57" s="39"/>
      <c r="N57" s="39"/>
      <c r="O57" s="75"/>
      <c r="P57" s="75"/>
      <c r="Q57" s="75"/>
      <c r="R57" s="75"/>
      <c r="S57" s="75"/>
      <c r="T57" s="75"/>
      <c r="U57" s="75"/>
      <c r="V57" s="75"/>
      <c r="W57" s="75"/>
      <c r="X57" s="75"/>
      <c r="Y57" s="75"/>
      <c r="Z57" s="73"/>
      <c r="AA57" s="73"/>
    </row>
    <row r="58" spans="1:27" x14ac:dyDescent="0.3">
      <c r="A58" s="21"/>
      <c r="B58" s="21" t="s">
        <v>39</v>
      </c>
      <c r="C58" s="35"/>
      <c r="D58" s="7"/>
      <c r="E58" s="217">
        <v>2815469.44</v>
      </c>
      <c r="F58" s="26"/>
      <c r="G58" s="380"/>
      <c r="H58" s="21"/>
      <c r="I58" s="90"/>
      <c r="J58" s="76">
        <f>E58</f>
        <v>2815469.44</v>
      </c>
      <c r="K58" s="243"/>
      <c r="M58" s="75"/>
      <c r="N58" s="75"/>
      <c r="O58" s="75"/>
      <c r="P58" s="75"/>
      <c r="Q58" s="75"/>
      <c r="R58" s="75"/>
      <c r="S58" s="75"/>
      <c r="T58" s="75"/>
      <c r="U58" s="75"/>
      <c r="V58" s="75"/>
      <c r="W58" s="75"/>
      <c r="X58" s="75"/>
      <c r="Y58" s="75"/>
      <c r="Z58" s="73"/>
      <c r="AA58" s="73"/>
    </row>
    <row r="59" spans="1:27" ht="16.2" x14ac:dyDescent="0.3">
      <c r="B59" s="21" t="s">
        <v>40</v>
      </c>
      <c r="C59" s="41">
        <f>C51</f>
        <v>9.9593160920509766E-2</v>
      </c>
      <c r="D59" s="7">
        <f>+D11</f>
        <v>100469104.77471225</v>
      </c>
      <c r="E59" s="39">
        <f>+D59*C59</f>
        <v>10006035.719367472</v>
      </c>
      <c r="F59" s="39"/>
      <c r="G59" s="380"/>
      <c r="H59" s="21"/>
      <c r="I59" s="245">
        <f>+E59</f>
        <v>10006035.719367472</v>
      </c>
      <c r="J59" s="73"/>
      <c r="K59" s="243"/>
      <c r="M59" s="39"/>
      <c r="N59" s="39"/>
      <c r="O59" s="75"/>
      <c r="P59" s="75"/>
      <c r="Q59" s="75"/>
      <c r="R59" s="73"/>
      <c r="S59" s="73"/>
      <c r="T59" s="73"/>
      <c r="U59" s="73"/>
      <c r="V59" s="73"/>
      <c r="W59" s="73"/>
      <c r="X59" s="73"/>
      <c r="Y59" s="73"/>
      <c r="Z59" s="73"/>
      <c r="AA59" s="73"/>
    </row>
    <row r="60" spans="1:27" ht="16.2" x14ac:dyDescent="0.3">
      <c r="B60" s="21" t="s">
        <v>41</v>
      </c>
      <c r="C60" s="41">
        <f>C52</f>
        <v>9.9593160920509766E-2</v>
      </c>
      <c r="D60" s="7">
        <f>+D12</f>
        <v>61858673.445287764</v>
      </c>
      <c r="E60" s="39">
        <f>+D60*C60</f>
        <v>6160700.8187658088</v>
      </c>
      <c r="F60" s="39"/>
      <c r="G60" s="380"/>
      <c r="H60" s="21"/>
      <c r="I60" s="231"/>
      <c r="J60" s="76">
        <f>E60</f>
        <v>6160700.8187658088</v>
      </c>
      <c r="K60" s="243"/>
      <c r="M60" s="75"/>
      <c r="N60" s="75"/>
      <c r="O60" s="75"/>
      <c r="P60" s="75"/>
      <c r="Q60" s="75"/>
      <c r="R60" s="73"/>
      <c r="S60" s="73"/>
      <c r="T60" s="73"/>
      <c r="U60" s="73"/>
      <c r="V60" s="73"/>
      <c r="W60" s="73"/>
      <c r="X60" s="73"/>
      <c r="Y60" s="73"/>
      <c r="Z60" s="73"/>
      <c r="AA60" s="73"/>
    </row>
    <row r="61" spans="1:27" ht="16.2" x14ac:dyDescent="0.3">
      <c r="B61" t="s">
        <v>42</v>
      </c>
      <c r="C61" s="25"/>
      <c r="D61" s="7"/>
      <c r="E61" s="39">
        <f>'Veridian Apr 2018 RPP TU'!K23</f>
        <v>-4733070.892351904</v>
      </c>
      <c r="F61" s="253" t="s">
        <v>167</v>
      </c>
      <c r="I61" s="245">
        <f>E61</f>
        <v>-4733070.892351904</v>
      </c>
      <c r="J61" s="246"/>
      <c r="K61" s="247"/>
      <c r="L61" s="107"/>
      <c r="M61" s="75"/>
      <c r="N61" s="75"/>
      <c r="O61" s="75"/>
      <c r="P61" s="75"/>
      <c r="Q61" s="75"/>
      <c r="R61" s="73"/>
      <c r="S61" s="73"/>
      <c r="T61" s="73"/>
      <c r="U61" s="73"/>
      <c r="V61" s="73"/>
      <c r="W61" s="73"/>
      <c r="X61" s="73"/>
      <c r="Y61" s="73"/>
      <c r="Z61" s="73"/>
      <c r="AA61" s="73"/>
    </row>
    <row r="62" spans="1:27" x14ac:dyDescent="0.3">
      <c r="A62" s="21"/>
      <c r="B62" s="21" t="s">
        <v>43</v>
      </c>
      <c r="C62" s="25">
        <f>E62/D62</f>
        <v>-0.17138502862546914</v>
      </c>
      <c r="D62" s="7">
        <f>+E7</f>
        <v>6255618</v>
      </c>
      <c r="E62" s="217">
        <v>-1072119.27</v>
      </c>
      <c r="F62" s="39"/>
      <c r="G62" s="26"/>
      <c r="H62" s="21"/>
      <c r="I62" s="245">
        <f>+E62</f>
        <v>-1072119.27</v>
      </c>
      <c r="J62" s="73"/>
      <c r="K62" s="243"/>
      <c r="M62" s="75"/>
      <c r="N62" s="75"/>
      <c r="O62" s="75"/>
      <c r="P62" s="75"/>
      <c r="Q62" s="75"/>
      <c r="R62" s="75"/>
      <c r="S62" s="75"/>
      <c r="T62" s="75"/>
      <c r="U62" s="75"/>
      <c r="V62" s="75"/>
      <c r="W62" s="75"/>
      <c r="X62" s="75"/>
      <c r="Y62" s="75"/>
      <c r="Z62" s="73"/>
      <c r="AA62" s="73"/>
    </row>
    <row r="63" spans="1:27" ht="15" thickBot="1" x14ac:dyDescent="0.35">
      <c r="B63" t="s">
        <v>44</v>
      </c>
      <c r="C63" s="25"/>
      <c r="D63" s="7"/>
      <c r="E63" s="42">
        <f>SUM(E56:E62)</f>
        <v>20462688.225781377</v>
      </c>
      <c r="F63" s="43"/>
      <c r="G63" s="43"/>
      <c r="H63" s="44"/>
      <c r="I63" s="248">
        <f>SUM(I56:I62)</f>
        <v>11486517.967015568</v>
      </c>
      <c r="J63" s="240">
        <f>SUM(J56:J62)</f>
        <v>8976170.2587658092</v>
      </c>
      <c r="K63" s="250">
        <f>SUM(I63:J63)</f>
        <v>20462688.225781377</v>
      </c>
      <c r="M63" s="75"/>
      <c r="N63" s="75"/>
      <c r="O63" s="75"/>
      <c r="P63" s="75"/>
      <c r="Q63" s="75"/>
      <c r="R63" s="73"/>
      <c r="S63" s="73"/>
      <c r="T63" s="73"/>
      <c r="U63" s="73"/>
      <c r="V63" s="73"/>
      <c r="W63" s="73"/>
      <c r="X63" s="73"/>
      <c r="Y63" s="73"/>
      <c r="Z63" s="73"/>
      <c r="AA63" s="73"/>
    </row>
    <row r="64" spans="1:27" ht="15" thickTop="1" x14ac:dyDescent="0.3">
      <c r="H64" s="21"/>
      <c r="I64" s="21"/>
      <c r="J64" s="21"/>
      <c r="M64" s="75"/>
      <c r="N64" s="75"/>
      <c r="O64" s="75"/>
      <c r="P64" s="75"/>
      <c r="Q64" s="75"/>
      <c r="R64" s="73"/>
      <c r="S64" s="73"/>
      <c r="T64" s="73"/>
      <c r="U64" s="73"/>
      <c r="V64" s="73"/>
      <c r="W64" s="73"/>
      <c r="X64" s="73"/>
      <c r="Y64" s="73"/>
      <c r="Z64" s="73"/>
      <c r="AA64" s="73"/>
    </row>
    <row r="65" spans="2:27" ht="18" x14ac:dyDescent="0.35">
      <c r="B65" s="1" t="s">
        <v>45</v>
      </c>
      <c r="E65" s="45"/>
      <c r="H65" s="21"/>
      <c r="I65" s="21"/>
      <c r="J65" s="21"/>
      <c r="M65" s="53"/>
      <c r="N65" s="53"/>
      <c r="O65" s="53"/>
      <c r="P65" s="53"/>
      <c r="Q65" s="53"/>
      <c r="R65" s="53"/>
      <c r="S65" s="53"/>
      <c r="T65" s="53"/>
      <c r="U65" s="53"/>
      <c r="V65" s="53"/>
      <c r="W65" s="53"/>
      <c r="X65" s="53"/>
      <c r="Y65" s="75"/>
      <c r="Z65" s="73"/>
      <c r="AA65" s="73"/>
    </row>
    <row r="66" spans="2:27" ht="18" x14ac:dyDescent="0.35">
      <c r="B66" s="1"/>
      <c r="G66" s="21"/>
      <c r="H66" s="21"/>
      <c r="I66" s="21"/>
      <c r="J66" s="21"/>
      <c r="M66" s="234"/>
      <c r="N66" s="234"/>
      <c r="O66" s="234"/>
      <c r="P66" s="234"/>
      <c r="Q66" s="76"/>
      <c r="R66" s="76"/>
      <c r="S66" s="76"/>
      <c r="T66" s="76"/>
      <c r="U66" s="76"/>
      <c r="V66" s="76"/>
      <c r="W66" s="76"/>
      <c r="X66" s="76"/>
      <c r="Y66" s="75"/>
      <c r="Z66" s="73"/>
      <c r="AA66" s="73"/>
    </row>
    <row r="67" spans="2:27" x14ac:dyDescent="0.3">
      <c r="B67" s="24" t="s">
        <v>46</v>
      </c>
      <c r="C67" s="104"/>
      <c r="D67" s="104"/>
      <c r="E67" s="104"/>
      <c r="G67" s="104"/>
      <c r="H67" s="21"/>
      <c r="I67" s="21"/>
      <c r="J67" s="21"/>
      <c r="M67" s="75"/>
      <c r="N67" s="75"/>
      <c r="O67" s="75"/>
      <c r="P67" s="75"/>
      <c r="Q67" s="75"/>
      <c r="R67" s="75"/>
      <c r="S67" s="75"/>
      <c r="T67" s="75"/>
      <c r="U67" s="75"/>
      <c r="V67" s="75"/>
      <c r="W67" s="75"/>
      <c r="X67" s="75"/>
      <c r="Y67" s="75"/>
      <c r="Z67" s="73"/>
      <c r="AA67" s="73"/>
    </row>
    <row r="68" spans="2:27" x14ac:dyDescent="0.3">
      <c r="B68" s="24"/>
      <c r="C68" s="103" t="s">
        <v>23</v>
      </c>
      <c r="D68" s="102" t="s">
        <v>10</v>
      </c>
      <c r="E68" s="102" t="s">
        <v>36</v>
      </c>
      <c r="G68" s="47"/>
      <c r="H68" s="21"/>
      <c r="I68" s="21"/>
      <c r="J68" s="21"/>
      <c r="M68" s="73"/>
      <c r="N68" s="73"/>
      <c r="O68" s="73"/>
      <c r="P68" s="235"/>
      <c r="Q68" s="236"/>
      <c r="R68" s="73"/>
      <c r="S68" s="235"/>
      <c r="T68" s="73"/>
      <c r="U68" s="73"/>
      <c r="V68" s="73"/>
      <c r="W68" s="73"/>
      <c r="X68" s="73"/>
      <c r="Y68" s="73"/>
      <c r="Z68" s="73"/>
      <c r="AA68" s="73"/>
    </row>
    <row r="69" spans="2:27" x14ac:dyDescent="0.3">
      <c r="B69" s="21" t="s">
        <v>12</v>
      </c>
      <c r="C69" s="35">
        <f>E34</f>
        <v>7.6999999999999999E-2</v>
      </c>
      <c r="D69" s="6">
        <f>+D34</f>
        <v>6129241.6126468517</v>
      </c>
      <c r="E69" s="50">
        <f>+D69*C69</f>
        <v>471951.6041738076</v>
      </c>
      <c r="G69" s="39"/>
      <c r="H69" s="21"/>
      <c r="I69" s="21"/>
      <c r="J69" s="21"/>
      <c r="M69" s="73"/>
      <c r="N69" s="73"/>
      <c r="O69" s="73"/>
      <c r="P69" s="237"/>
      <c r="Q69" s="237"/>
      <c r="R69" s="237"/>
      <c r="S69" s="237"/>
      <c r="T69" s="73"/>
      <c r="U69" s="73"/>
      <c r="V69" s="73"/>
      <c r="W69" s="73"/>
      <c r="X69" s="73"/>
      <c r="Y69" s="73"/>
      <c r="Z69" s="73"/>
      <c r="AA69" s="73"/>
    </row>
    <row r="70" spans="2:27" x14ac:dyDescent="0.3">
      <c r="B70" s="21" t="s">
        <v>13</v>
      </c>
      <c r="C70" s="35">
        <f>E35</f>
        <v>0.09</v>
      </c>
      <c r="D70" s="6">
        <f>+D35</f>
        <v>4018509.4016691288</v>
      </c>
      <c r="E70" s="50">
        <f t="shared" ref="E70:E73" si="2">+D70*C70</f>
        <v>361665.84615022159</v>
      </c>
      <c r="G70" s="39"/>
      <c r="H70" s="21"/>
      <c r="I70" s="21"/>
      <c r="J70" s="21"/>
      <c r="M70" s="144"/>
      <c r="N70" s="144"/>
      <c r="O70" s="144"/>
      <c r="P70" s="144"/>
      <c r="Q70" s="144"/>
      <c r="R70" s="144"/>
      <c r="S70" s="144"/>
      <c r="T70" s="144"/>
      <c r="U70" s="144"/>
      <c r="V70" s="144"/>
      <c r="W70" s="144"/>
      <c r="X70" s="144"/>
      <c r="Y70" s="144"/>
      <c r="Z70" s="73"/>
      <c r="AA70" s="73"/>
    </row>
    <row r="71" spans="2:27" x14ac:dyDescent="0.3">
      <c r="B71" s="21" t="s">
        <v>14</v>
      </c>
      <c r="C71" s="35">
        <f>E36</f>
        <v>6.5000000000000002E-2</v>
      </c>
      <c r="D71" s="6">
        <f>+D36</f>
        <v>58119289.516958922</v>
      </c>
      <c r="E71" s="50">
        <f t="shared" si="2"/>
        <v>3777753.8186023301</v>
      </c>
      <c r="G71" s="39"/>
      <c r="H71" s="21"/>
      <c r="I71" s="21"/>
      <c r="J71" s="21"/>
      <c r="M71" s="144"/>
      <c r="N71" s="144"/>
      <c r="O71" s="144"/>
      <c r="P71" s="144"/>
      <c r="Q71" s="144"/>
      <c r="R71" s="144"/>
      <c r="S71" s="144"/>
      <c r="T71" s="144"/>
      <c r="U71" s="144"/>
      <c r="V71" s="144"/>
      <c r="W71" s="144"/>
      <c r="X71" s="144"/>
      <c r="Y71" s="144"/>
      <c r="Z71" s="73"/>
      <c r="AA71" s="73"/>
    </row>
    <row r="72" spans="2:27" x14ac:dyDescent="0.3">
      <c r="B72" s="21" t="s">
        <v>15</v>
      </c>
      <c r="C72" s="35">
        <f>E37</f>
        <v>9.5000000000000001E-2</v>
      </c>
      <c r="D72" s="6">
        <f>+D37</f>
        <v>15729303.570507538</v>
      </c>
      <c r="E72" s="50">
        <f t="shared" si="2"/>
        <v>1494283.8391982161</v>
      </c>
      <c r="G72" s="39"/>
      <c r="H72" s="21"/>
      <c r="I72" s="21"/>
      <c r="J72" s="21"/>
      <c r="M72" s="144"/>
      <c r="N72" s="144"/>
      <c r="O72" s="144"/>
      <c r="P72" s="144"/>
      <c r="Q72" s="144"/>
      <c r="R72" s="144"/>
      <c r="S72" s="144"/>
      <c r="T72" s="144"/>
      <c r="U72" s="144"/>
      <c r="V72" s="144"/>
      <c r="W72" s="144"/>
      <c r="X72" s="144"/>
      <c r="Y72" s="144"/>
      <c r="Z72" s="73"/>
      <c r="AA72" s="73"/>
    </row>
    <row r="73" spans="2:27" x14ac:dyDescent="0.3">
      <c r="B73" s="21" t="s">
        <v>16</v>
      </c>
      <c r="C73" s="35">
        <f>E38</f>
        <v>0.13200000000000001</v>
      </c>
      <c r="D73" s="6">
        <f>+D38</f>
        <v>16276777.599284941</v>
      </c>
      <c r="E73" s="50">
        <f t="shared" si="2"/>
        <v>2148534.6431056121</v>
      </c>
      <c r="G73" s="39"/>
      <c r="H73" s="21"/>
      <c r="I73" s="387" t="s">
        <v>174</v>
      </c>
      <c r="J73" s="389"/>
      <c r="P73" s="50"/>
      <c r="Q73" s="51"/>
      <c r="R73" s="51"/>
      <c r="S73" s="51"/>
      <c r="T73" s="21"/>
      <c r="U73" s="21"/>
      <c r="V73" s="21"/>
    </row>
    <row r="74" spans="2:27" ht="15" thickBot="1" x14ac:dyDescent="0.35">
      <c r="B74" s="21" t="s">
        <v>47</v>
      </c>
      <c r="C74" s="35">
        <f>E74/D74</f>
        <v>8.2317071725735685E-2</v>
      </c>
      <c r="D74" s="52">
        <f>SUM(D69:D73)</f>
        <v>100273121.70106739</v>
      </c>
      <c r="E74" s="42">
        <f>SUM(E69:E73)</f>
        <v>8254189.7512301877</v>
      </c>
      <c r="G74" s="75"/>
      <c r="H74" s="21"/>
      <c r="I74" s="245">
        <f>E74</f>
        <v>8254189.7512301877</v>
      </c>
      <c r="J74" s="232"/>
      <c r="P74" s="19"/>
      <c r="Q74" s="53"/>
      <c r="R74" s="53"/>
      <c r="S74" s="53"/>
      <c r="T74" s="21"/>
      <c r="U74" s="21"/>
      <c r="V74" s="21"/>
    </row>
    <row r="75" spans="2:27" ht="15" thickTop="1" x14ac:dyDescent="0.3">
      <c r="E75" s="21"/>
      <c r="G75" s="31"/>
      <c r="H75" s="21"/>
      <c r="I75" s="245">
        <f>E78</f>
        <v>3212686.4094620892</v>
      </c>
      <c r="J75" s="232"/>
      <c r="P75" s="45"/>
      <c r="Q75" s="40"/>
      <c r="R75" s="40"/>
      <c r="S75" s="55"/>
      <c r="T75" s="21"/>
      <c r="U75" s="21"/>
      <c r="V75" s="21"/>
    </row>
    <row r="76" spans="2:27" x14ac:dyDescent="0.3">
      <c r="B76" s="24" t="s">
        <v>48</v>
      </c>
      <c r="E76" s="21"/>
      <c r="G76" s="36"/>
      <c r="H76" s="21"/>
      <c r="I76" s="248">
        <f>SUM(I74:I75)</f>
        <v>11466876.160692276</v>
      </c>
      <c r="J76" s="251" t="s">
        <v>81</v>
      </c>
      <c r="P76" s="19"/>
      <c r="Q76" s="53"/>
      <c r="R76" s="53"/>
      <c r="S76" s="53"/>
      <c r="T76" s="21"/>
      <c r="U76" s="21"/>
      <c r="V76" s="21"/>
    </row>
    <row r="77" spans="2:27" x14ac:dyDescent="0.3">
      <c r="B77" s="24"/>
      <c r="C77" s="102" t="s">
        <v>35</v>
      </c>
      <c r="D77" s="12" t="s">
        <v>10</v>
      </c>
      <c r="E77" s="56" t="s">
        <v>36</v>
      </c>
      <c r="G77" s="99"/>
      <c r="H77" s="21"/>
      <c r="I77" s="231"/>
      <c r="J77" s="232"/>
      <c r="P77" s="19"/>
      <c r="Q77" s="53"/>
      <c r="R77" s="53"/>
      <c r="S77" s="53"/>
      <c r="T77" s="21"/>
      <c r="U77" s="21"/>
      <c r="V77" s="21"/>
    </row>
    <row r="78" spans="2:27" x14ac:dyDescent="0.3">
      <c r="B78" s="21" t="s">
        <v>49</v>
      </c>
      <c r="C78" s="354">
        <f>+C46</f>
        <v>2.9080600269086716E-2</v>
      </c>
      <c r="D78" s="58">
        <f>+E29</f>
        <v>110475243.96796037</v>
      </c>
      <c r="E78" s="59">
        <f>E88</f>
        <v>3212686.4094620892</v>
      </c>
      <c r="G78" s="76"/>
      <c r="H78" s="40"/>
      <c r="I78" s="231"/>
      <c r="J78" s="232"/>
      <c r="K78" s="21"/>
      <c r="L78" s="21"/>
      <c r="M78" s="21"/>
      <c r="P78" s="19"/>
      <c r="Q78" s="53"/>
      <c r="R78" s="53"/>
      <c r="S78" s="53"/>
      <c r="T78" s="21"/>
      <c r="U78" s="21"/>
      <c r="V78" s="21"/>
    </row>
    <row r="79" spans="2:27" x14ac:dyDescent="0.3">
      <c r="B79" s="21" t="s">
        <v>50</v>
      </c>
      <c r="C79" s="57"/>
      <c r="D79" s="58"/>
      <c r="E79" s="59">
        <f>+E58</f>
        <v>2815469.44</v>
      </c>
      <c r="G79" s="53"/>
      <c r="H79" s="40"/>
      <c r="I79" s="231"/>
      <c r="J79" s="249"/>
      <c r="P79" s="19"/>
      <c r="Q79" s="53"/>
      <c r="R79" s="53"/>
      <c r="S79" s="53"/>
      <c r="T79" s="21"/>
      <c r="U79" s="21"/>
      <c r="V79" s="21"/>
    </row>
    <row r="80" spans="2:27" x14ac:dyDescent="0.3">
      <c r="B80" s="21" t="s">
        <v>190</v>
      </c>
      <c r="C80" s="354">
        <f>+C49</f>
        <v>9.9589999999999998E-2</v>
      </c>
      <c r="D80" s="214">
        <v>2516015.21</v>
      </c>
      <c r="E80" s="59">
        <f>C80*D80</f>
        <v>250569.95476389999</v>
      </c>
      <c r="G80" s="53"/>
      <c r="H80" s="40"/>
      <c r="I80" s="231"/>
      <c r="J80" s="249"/>
      <c r="P80" s="19"/>
      <c r="Q80" s="53"/>
      <c r="R80" s="53"/>
      <c r="S80" s="53"/>
      <c r="T80" s="21"/>
      <c r="U80" s="21"/>
      <c r="V80" s="21"/>
    </row>
    <row r="81" spans="1:25" x14ac:dyDescent="0.3">
      <c r="B81" s="21" t="s">
        <v>51</v>
      </c>
      <c r="C81" s="111">
        <f>+C47</f>
        <v>9.8100000000000007E-2</v>
      </c>
      <c r="D81" s="54">
        <f>+D29-D80</f>
        <v>59221991.757960372</v>
      </c>
      <c r="E81" s="53">
        <f>+C81*D81</f>
        <v>5809677.391455913</v>
      </c>
      <c r="G81" s="76"/>
      <c r="H81" s="40"/>
      <c r="I81" s="248">
        <f>E79+E81+E80</f>
        <v>8875716.7862198129</v>
      </c>
      <c r="J81" s="252" t="s">
        <v>80</v>
      </c>
      <c r="P81" s="19"/>
      <c r="Q81" s="53"/>
      <c r="R81" s="53"/>
      <c r="S81" s="53"/>
      <c r="T81" s="21"/>
      <c r="U81" s="21"/>
      <c r="V81" s="21"/>
    </row>
    <row r="82" spans="1:25" ht="15" thickBot="1" x14ac:dyDescent="0.35">
      <c r="D82" s="54"/>
      <c r="E82" s="60">
        <f>SUM(E78:E81)</f>
        <v>12088403.195681902</v>
      </c>
      <c r="F82" s="19"/>
      <c r="G82" s="53"/>
      <c r="H82" s="61"/>
      <c r="I82" s="21"/>
      <c r="J82" s="21"/>
      <c r="Q82" s="21"/>
      <c r="R82" s="21"/>
      <c r="S82" s="21"/>
      <c r="T82" s="21"/>
      <c r="U82" s="21"/>
      <c r="V82" s="21"/>
    </row>
    <row r="83" spans="1:25" ht="15" thickTop="1" x14ac:dyDescent="0.3">
      <c r="D83" s="54"/>
      <c r="E83" s="19"/>
      <c r="F83" s="19"/>
      <c r="G83" s="19"/>
      <c r="H83" s="61"/>
      <c r="I83" s="21"/>
      <c r="J83" s="21"/>
      <c r="Q83" s="21"/>
      <c r="R83" s="21"/>
      <c r="S83" s="21"/>
      <c r="T83" s="21"/>
      <c r="U83" s="21"/>
      <c r="V83" s="21"/>
    </row>
    <row r="84" spans="1:25" x14ac:dyDescent="0.3">
      <c r="B84" s="24" t="s">
        <v>84</v>
      </c>
      <c r="C84" s="21"/>
      <c r="D84" s="21"/>
      <c r="E84" s="40"/>
      <c r="F84" s="19"/>
      <c r="H84" s="61"/>
      <c r="I84" s="385" t="s">
        <v>171</v>
      </c>
      <c r="J84" s="386"/>
      <c r="L84" s="73"/>
      <c r="M84" s="353"/>
    </row>
    <row r="85" spans="1:25" x14ac:dyDescent="0.3">
      <c r="D85" s="212" t="s">
        <v>170</v>
      </c>
      <c r="E85" s="45"/>
      <c r="F85" s="19"/>
      <c r="H85" s="54"/>
      <c r="I85" s="223" t="s">
        <v>161</v>
      </c>
      <c r="J85" s="224"/>
      <c r="K85" s="115"/>
      <c r="L85" s="73"/>
      <c r="M85" s="353"/>
      <c r="N85" s="115"/>
      <c r="O85" s="115"/>
      <c r="P85" s="115"/>
      <c r="Q85" s="115"/>
      <c r="R85" s="115"/>
      <c r="S85" s="115"/>
      <c r="T85" s="115"/>
      <c r="U85" s="115"/>
      <c r="V85" s="21"/>
      <c r="W85" s="21"/>
      <c r="X85" s="21"/>
      <c r="Y85" s="21"/>
    </row>
    <row r="86" spans="1:25" x14ac:dyDescent="0.3">
      <c r="B86" s="24"/>
      <c r="C86" s="102" t="s">
        <v>35</v>
      </c>
      <c r="D86" s="12" t="s">
        <v>10</v>
      </c>
      <c r="E86" s="38" t="s">
        <v>36</v>
      </c>
      <c r="F86" s="19"/>
      <c r="G86" s="390"/>
      <c r="H86" s="391"/>
      <c r="I86" s="225" t="s">
        <v>10</v>
      </c>
      <c r="J86" s="226" t="s">
        <v>36</v>
      </c>
      <c r="K86" s="5"/>
      <c r="L86" s="73"/>
      <c r="M86" s="353"/>
      <c r="N86" s="21"/>
      <c r="O86" s="21"/>
      <c r="P86" s="21"/>
      <c r="Q86" s="21"/>
      <c r="R86" s="21"/>
      <c r="S86" s="21"/>
      <c r="T86" s="21"/>
      <c r="U86" s="21"/>
      <c r="V86" s="21"/>
      <c r="W86" s="21"/>
      <c r="X86" s="21"/>
      <c r="Y86" s="21"/>
    </row>
    <row r="87" spans="1:25" x14ac:dyDescent="0.3">
      <c r="A87" s="21"/>
      <c r="B87" s="21" t="s">
        <v>52</v>
      </c>
      <c r="C87" s="25">
        <f>((+E56+E57+E62)-(E88/(E29/E12)))/E11</f>
        <v>2.9833625806321488E-2</v>
      </c>
      <c r="D87" s="6">
        <f>+E28</f>
        <v>100273121.70106739</v>
      </c>
      <c r="E87" s="218">
        <v>2991510.7912613791</v>
      </c>
      <c r="F87" s="63"/>
      <c r="G87" s="390"/>
      <c r="H87" s="391"/>
      <c r="I87" s="227">
        <f>E11</f>
        <v>100469104.77471225</v>
      </c>
      <c r="J87" s="228">
        <f>I87*C87</f>
        <v>2997357.6769448728</v>
      </c>
      <c r="K87" s="5"/>
      <c r="L87" s="73"/>
      <c r="M87" s="353"/>
      <c r="N87" s="5"/>
      <c r="O87" s="5"/>
      <c r="P87" s="5"/>
      <c r="Q87" s="5"/>
      <c r="R87" s="5"/>
      <c r="S87" s="5"/>
      <c r="T87" s="5"/>
      <c r="U87" s="5"/>
      <c r="V87" s="46"/>
      <c r="W87" s="21"/>
      <c r="X87" s="21"/>
      <c r="Y87" s="21"/>
    </row>
    <row r="88" spans="1:25" x14ac:dyDescent="0.3">
      <c r="B88" t="s">
        <v>53</v>
      </c>
      <c r="C88" s="25">
        <f>((+E56+E57+E62)-(E87/(E28/E11)))/E12</f>
        <v>2.9080600269086716E-2</v>
      </c>
      <c r="D88" s="6">
        <f>+E29</f>
        <v>110475243.96796037</v>
      </c>
      <c r="E88" s="39">
        <f>C88*D88</f>
        <v>3212686.4094620892</v>
      </c>
      <c r="F88" s="63"/>
      <c r="H88" s="64"/>
      <c r="I88" s="227">
        <f>E12</f>
        <v>110595910.44528776</v>
      </c>
      <c r="J88" s="228">
        <f>I88*C88</f>
        <v>3216195.4630551259</v>
      </c>
      <c r="K88" s="49"/>
      <c r="L88" s="73"/>
      <c r="M88" s="353"/>
      <c r="N88" s="21"/>
      <c r="O88" s="21"/>
      <c r="P88" s="21"/>
      <c r="Q88" s="21"/>
      <c r="R88" s="21"/>
      <c r="S88" s="21"/>
      <c r="T88" s="21"/>
      <c r="U88" s="21"/>
      <c r="V88" s="21"/>
      <c r="W88" s="21"/>
      <c r="X88" s="21"/>
      <c r="Y88" s="21"/>
    </row>
    <row r="89" spans="1:25" ht="15" thickBot="1" x14ac:dyDescent="0.35">
      <c r="C89" s="66">
        <f>+E89/D89</f>
        <v>2.9438886422810617E-2</v>
      </c>
      <c r="D89" s="67">
        <f>SUM(D87:D88)</f>
        <v>210748365.66902775</v>
      </c>
      <c r="E89" s="68">
        <f>+E87+E88</f>
        <v>6204197.2007234683</v>
      </c>
      <c r="F89" s="63"/>
      <c r="H89" s="69"/>
      <c r="I89" s="229"/>
      <c r="J89" s="230">
        <f>SUM(J87:J88)</f>
        <v>6213553.1399999987</v>
      </c>
      <c r="L89" s="73"/>
      <c r="M89" s="53"/>
    </row>
    <row r="90" spans="1:25" ht="15" thickTop="1" x14ac:dyDescent="0.3">
      <c r="C90" s="36"/>
      <c r="D90" s="70"/>
      <c r="E90" s="54"/>
      <c r="F90" s="19"/>
      <c r="G90" s="19"/>
      <c r="I90" s="54"/>
    </row>
    <row r="91" spans="1:25" ht="97.5" customHeight="1" x14ac:dyDescent="0.3">
      <c r="B91" s="383" t="s">
        <v>54</v>
      </c>
      <c r="C91" s="383"/>
      <c r="D91" s="383"/>
      <c r="E91" s="383"/>
      <c r="F91" s="19"/>
      <c r="G91" s="71"/>
      <c r="H91" s="72"/>
    </row>
    <row r="92" spans="1:25" x14ac:dyDescent="0.3">
      <c r="B92" s="384"/>
      <c r="C92" s="384"/>
      <c r="D92" s="384"/>
      <c r="E92" s="384"/>
    </row>
  </sheetData>
  <mergeCells count="9">
    <mergeCell ref="G34:G38"/>
    <mergeCell ref="G51:I52"/>
    <mergeCell ref="G57:G60"/>
    <mergeCell ref="B91:E91"/>
    <mergeCell ref="B92:E92"/>
    <mergeCell ref="I84:J84"/>
    <mergeCell ref="I54:J54"/>
    <mergeCell ref="I73:J73"/>
    <mergeCell ref="G86:H87"/>
  </mergeCells>
  <pageMargins left="0.70866141732283472" right="0.70866141732283472" top="0.23622047244094491" bottom="0.23622047244094491" header="0.31496062992125984" footer="0.31496062992125984"/>
  <pageSetup scale="75" orientation="landscape" r:id="rId1"/>
  <rowBreaks count="1" manualBreakCount="1">
    <brk id="40" min="1" max="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F49"/>
  <sheetViews>
    <sheetView showGridLines="0" zoomScaleNormal="100" workbookViewId="0">
      <selection activeCell="C24" sqref="C24"/>
    </sheetView>
  </sheetViews>
  <sheetFormatPr defaultRowHeight="14.4" x14ac:dyDescent="0.3"/>
  <cols>
    <col min="1" max="1" width="43.5546875" customWidth="1"/>
    <col min="2" max="2" width="11.33203125" customWidth="1"/>
    <col min="3" max="3" width="15.6640625" customWidth="1"/>
    <col min="4" max="4" width="14.88671875" customWidth="1"/>
    <col min="5" max="5" width="15" customWidth="1"/>
    <col min="6" max="6" width="12.6640625" customWidth="1"/>
    <col min="7" max="7" width="15.6640625" bestFit="1" customWidth="1"/>
    <col min="8" max="8" width="13.33203125" bestFit="1" customWidth="1"/>
    <col min="9" max="10" width="13.33203125" customWidth="1"/>
    <col min="11" max="11" width="15.109375" customWidth="1"/>
    <col min="12" max="13" width="19.33203125" hidden="1" customWidth="1"/>
    <col min="14" max="14" width="11.33203125" customWidth="1"/>
    <col min="15" max="15" width="15.6640625" customWidth="1"/>
    <col min="16" max="20" width="14.88671875" customWidth="1"/>
    <col min="22" max="22" width="43.5546875" customWidth="1"/>
    <col min="23" max="23" width="11.33203125" customWidth="1"/>
    <col min="24" max="24" width="15.6640625" customWidth="1"/>
    <col min="25" max="29" width="14.88671875" customWidth="1"/>
    <col min="30" max="30" width="12.33203125" bestFit="1" customWidth="1"/>
  </cols>
  <sheetData>
    <row r="1" spans="1:32" ht="25.8" x14ac:dyDescent="0.5">
      <c r="A1" s="77" t="s">
        <v>208</v>
      </c>
    </row>
    <row r="3" spans="1:32" ht="18" hidden="1" x14ac:dyDescent="0.35">
      <c r="A3" s="1" t="s">
        <v>55</v>
      </c>
      <c r="M3" s="8"/>
      <c r="N3" s="3"/>
      <c r="O3" s="3"/>
      <c r="P3" s="3"/>
      <c r="Q3" s="3"/>
      <c r="R3" s="3"/>
      <c r="S3" s="3"/>
      <c r="T3" s="3"/>
      <c r="U3" s="3"/>
      <c r="V3" s="8"/>
      <c r="W3" s="3"/>
      <c r="X3" s="3"/>
      <c r="Y3" s="3"/>
      <c r="Z3" s="3"/>
      <c r="AA3" s="3"/>
      <c r="AB3" s="3"/>
      <c r="AC3" s="3"/>
      <c r="AD3" s="3"/>
      <c r="AE3" s="3"/>
      <c r="AF3" s="3"/>
    </row>
    <row r="4" spans="1:32" x14ac:dyDescent="0.3">
      <c r="A4" s="2"/>
      <c r="M4" s="78"/>
      <c r="N4" s="3"/>
      <c r="O4" s="3"/>
      <c r="P4" s="3"/>
      <c r="Q4" s="3"/>
      <c r="R4" s="3"/>
      <c r="S4" s="3"/>
      <c r="T4" s="3"/>
      <c r="U4" s="3"/>
      <c r="V4" s="78"/>
      <c r="W4" s="3"/>
      <c r="X4" s="3"/>
      <c r="Y4" s="3"/>
      <c r="Z4" s="3"/>
      <c r="AA4" s="3"/>
      <c r="AB4" s="3"/>
      <c r="AC4" s="3"/>
      <c r="AD4" s="3"/>
      <c r="AE4" s="3"/>
      <c r="AF4" s="3"/>
    </row>
    <row r="5" spans="1:32" hidden="1" x14ac:dyDescent="0.3">
      <c r="A5" s="2" t="s">
        <v>56</v>
      </c>
      <c r="M5" s="78"/>
      <c r="N5" s="3"/>
      <c r="O5" s="3"/>
      <c r="P5" s="3"/>
      <c r="Q5" s="3"/>
      <c r="R5" s="3"/>
      <c r="S5" s="3"/>
      <c r="T5" s="3"/>
      <c r="U5" s="3"/>
      <c r="V5" s="78"/>
      <c r="W5" s="3"/>
      <c r="X5" s="3"/>
      <c r="Y5" s="3"/>
      <c r="Z5" s="3"/>
      <c r="AA5" s="3"/>
      <c r="AB5" s="3"/>
      <c r="AC5" s="3"/>
      <c r="AD5" s="3"/>
      <c r="AE5" s="3"/>
      <c r="AF5" s="3"/>
    </row>
    <row r="6" spans="1:32" ht="28.8" hidden="1" x14ac:dyDescent="0.3">
      <c r="A6" s="79" t="s">
        <v>57</v>
      </c>
      <c r="B6" s="80" t="s">
        <v>58</v>
      </c>
      <c r="C6" s="81" t="s">
        <v>59</v>
      </c>
      <c r="D6" s="80" t="s">
        <v>60</v>
      </c>
      <c r="E6" s="81" t="s">
        <v>61</v>
      </c>
      <c r="F6" s="80" t="s">
        <v>62</v>
      </c>
      <c r="G6" s="80" t="s">
        <v>10</v>
      </c>
      <c r="H6" s="81" t="s">
        <v>63</v>
      </c>
      <c r="I6" s="81" t="s">
        <v>64</v>
      </c>
      <c r="J6" s="81" t="s">
        <v>65</v>
      </c>
      <c r="K6" s="81" t="s">
        <v>66</v>
      </c>
      <c r="M6" s="78"/>
      <c r="N6" s="11"/>
      <c r="O6" s="11"/>
      <c r="P6" s="11"/>
      <c r="Q6" s="82"/>
      <c r="R6" s="78"/>
      <c r="S6" s="11"/>
      <c r="T6" s="13"/>
      <c r="U6" s="3"/>
      <c r="V6" s="78"/>
      <c r="W6" s="11"/>
      <c r="X6" s="11"/>
      <c r="Y6" s="11"/>
      <c r="Z6" s="82"/>
      <c r="AA6" s="78"/>
      <c r="AB6" s="11"/>
      <c r="AC6" s="13"/>
      <c r="AD6" s="3"/>
      <c r="AE6" s="3"/>
      <c r="AF6" s="3"/>
    </row>
    <row r="7" spans="1:32" hidden="1" x14ac:dyDescent="0.3">
      <c r="A7" s="83" t="s">
        <v>12</v>
      </c>
      <c r="B7" s="84">
        <f>+'[1]Data for 2nd TU'!D33</f>
        <v>7.6999999999999999E-2</v>
      </c>
      <c r="C7" s="84">
        <f>+'[1]Data for 2nd TU'!$B$43</f>
        <v>3.1848807346377295E-2</v>
      </c>
      <c r="D7" s="84">
        <f>+'[1]Data for 2nd TU'!$B$48</f>
        <v>8.8359370314842575E-2</v>
      </c>
      <c r="E7" s="84">
        <f>+C7+D7</f>
        <v>0.12020817766121987</v>
      </c>
      <c r="F7" s="85">
        <f>+B7-E7</f>
        <v>-4.3208177661219871E-2</v>
      </c>
      <c r="G7" s="32">
        <f>'[1]Data for 2nd TU'!C16</f>
        <v>5002500</v>
      </c>
      <c r="H7" s="26">
        <f>+G7*B7</f>
        <v>385192.5</v>
      </c>
      <c r="I7" s="26">
        <f>+G7*C7</f>
        <v>159323.65875025242</v>
      </c>
      <c r="J7" s="26">
        <f>+G7*D7</f>
        <v>442017.75</v>
      </c>
      <c r="K7" s="26">
        <f>+H7-I7-J7</f>
        <v>-216148.90875025242</v>
      </c>
      <c r="M7" s="3"/>
      <c r="N7" s="86"/>
      <c r="O7" s="87"/>
      <c r="P7" s="87"/>
      <c r="Q7" s="87"/>
      <c r="R7" s="88"/>
      <c r="S7" s="89"/>
      <c r="T7" s="19"/>
      <c r="U7" s="3"/>
      <c r="V7" s="3"/>
      <c r="W7" s="87"/>
      <c r="X7" s="87"/>
      <c r="Y7" s="87"/>
      <c r="Z7" s="87"/>
      <c r="AA7" s="88"/>
      <c r="AB7" s="89"/>
      <c r="AC7" s="19"/>
      <c r="AD7" s="9"/>
      <c r="AE7" s="3"/>
      <c r="AF7" s="3"/>
    </row>
    <row r="8" spans="1:32" hidden="1" x14ac:dyDescent="0.3">
      <c r="A8" s="90" t="s">
        <v>13</v>
      </c>
      <c r="B8" s="87">
        <f>+'[1]Data for 2nd TU'!D34</f>
        <v>8.8999999999999996E-2</v>
      </c>
      <c r="C8" s="87">
        <f>+'[1]Data for 2nd TU'!$B$43</f>
        <v>3.1848807346377295E-2</v>
      </c>
      <c r="D8" s="87">
        <f>+'[1]Data for 2nd TU'!$B$48</f>
        <v>8.8359370314842575E-2</v>
      </c>
      <c r="E8" s="87">
        <f t="shared" ref="E8:E11" si="0">+C8+D8</f>
        <v>0.12020817766121987</v>
      </c>
      <c r="F8" s="88">
        <f t="shared" ref="F8:F11" si="1">+B8-E8</f>
        <v>-3.1208177661219874E-2</v>
      </c>
      <c r="G8" s="32">
        <f>'[1]Data for 2nd TU'!C17</f>
        <v>7003500</v>
      </c>
      <c r="H8" s="26">
        <f t="shared" ref="H8:H11" si="2">+G8*B8</f>
        <v>623311.5</v>
      </c>
      <c r="I8" s="26">
        <f t="shared" ref="I8:I11" si="3">+G8*C8</f>
        <v>223053.12225035339</v>
      </c>
      <c r="J8" s="26">
        <f t="shared" ref="J8:J11" si="4">+G8*D8</f>
        <v>618824.85</v>
      </c>
      <c r="K8" s="26">
        <f t="shared" ref="K8:K11" si="5">+H8-I8-J8</f>
        <v>-218566.47225035337</v>
      </c>
      <c r="M8" s="3"/>
      <c r="N8" s="86"/>
      <c r="O8" s="87"/>
      <c r="P8" s="87"/>
      <c r="Q8" s="87"/>
      <c r="R8" s="88"/>
      <c r="S8" s="89"/>
      <c r="T8" s="19"/>
      <c r="U8" s="3"/>
      <c r="V8" s="3"/>
      <c r="W8" s="87"/>
      <c r="X8" s="87"/>
      <c r="Y8" s="87"/>
      <c r="Z8" s="87"/>
      <c r="AA8" s="88"/>
      <c r="AB8" s="89"/>
      <c r="AC8" s="19"/>
      <c r="AD8" s="9"/>
      <c r="AE8" s="3"/>
      <c r="AF8" s="3"/>
    </row>
    <row r="9" spans="1:32" hidden="1" x14ac:dyDescent="0.3">
      <c r="A9" s="90" t="s">
        <v>14</v>
      </c>
      <c r="B9" s="87">
        <f>+'[1]Data for 2nd TU'!D35</f>
        <v>6.5000000000000002E-2</v>
      </c>
      <c r="C9" s="87">
        <f>+'[1]Data for 2nd TU'!$B$43</f>
        <v>3.1848807346377295E-2</v>
      </c>
      <c r="D9" s="87">
        <f>+'[1]Data for 2nd TU'!$B$48</f>
        <v>8.8359370314842575E-2</v>
      </c>
      <c r="E9" s="87">
        <f t="shared" si="0"/>
        <v>0.12020817766121987</v>
      </c>
      <c r="F9" s="88">
        <f t="shared" si="1"/>
        <v>-5.5208177661219868E-2</v>
      </c>
      <c r="G9" s="32">
        <f>'[1]Data for 2nd TU'!C18</f>
        <v>100050000</v>
      </c>
      <c r="H9" s="26">
        <f t="shared" si="2"/>
        <v>6503250</v>
      </c>
      <c r="I9" s="26">
        <f t="shared" si="3"/>
        <v>3186473.1750050485</v>
      </c>
      <c r="J9" s="26">
        <f t="shared" si="4"/>
        <v>8840355</v>
      </c>
      <c r="K9" s="26">
        <f t="shared" si="5"/>
        <v>-5523578.1750050485</v>
      </c>
      <c r="M9" s="3"/>
      <c r="N9" s="86"/>
      <c r="O9" s="87"/>
      <c r="P9" s="87"/>
      <c r="Q9" s="87"/>
      <c r="R9" s="88"/>
      <c r="S9" s="89"/>
      <c r="T9" s="19"/>
      <c r="U9" s="3"/>
      <c r="V9" s="3"/>
      <c r="W9" s="87"/>
      <c r="X9" s="87"/>
      <c r="Y9" s="87"/>
      <c r="Z9" s="87"/>
      <c r="AA9" s="88"/>
      <c r="AB9" s="89"/>
      <c r="AC9" s="19"/>
      <c r="AD9" s="9"/>
      <c r="AE9" s="3"/>
      <c r="AF9" s="3"/>
    </row>
    <row r="10" spans="1:32" hidden="1" x14ac:dyDescent="0.3">
      <c r="A10" s="90" t="s">
        <v>15</v>
      </c>
      <c r="B10" s="87">
        <f>+'[1]Data for 2nd TU'!D36</f>
        <v>9.4E-2</v>
      </c>
      <c r="C10" s="87">
        <f>+'[1]Data for 2nd TU'!$B$43</f>
        <v>3.1848807346377295E-2</v>
      </c>
      <c r="D10" s="87">
        <f>+'[1]Data for 2nd TU'!$B$48</f>
        <v>8.8359370314842575E-2</v>
      </c>
      <c r="E10" s="87">
        <f t="shared" si="0"/>
        <v>0.12020817766121987</v>
      </c>
      <c r="F10" s="88">
        <f t="shared" si="1"/>
        <v>-2.620817766121987E-2</v>
      </c>
      <c r="G10" s="32">
        <f>'[1]Data for 2nd TU'!C19</f>
        <v>50025000</v>
      </c>
      <c r="H10" s="26">
        <f t="shared" si="2"/>
        <v>4702350</v>
      </c>
      <c r="I10" s="26">
        <f t="shared" si="3"/>
        <v>1593236.5875025243</v>
      </c>
      <c r="J10" s="26">
        <f t="shared" si="4"/>
        <v>4420177.5</v>
      </c>
      <c r="K10" s="26">
        <f t="shared" si="5"/>
        <v>-1311064.0875025243</v>
      </c>
      <c r="M10" s="3"/>
      <c r="N10" s="86"/>
      <c r="O10" s="87"/>
      <c r="P10" s="87"/>
      <c r="Q10" s="87"/>
      <c r="R10" s="88"/>
      <c r="S10" s="89"/>
      <c r="T10" s="19"/>
      <c r="U10" s="3"/>
      <c r="V10" s="3"/>
      <c r="W10" s="87"/>
      <c r="X10" s="87"/>
      <c r="Y10" s="87"/>
      <c r="Z10" s="87"/>
      <c r="AA10" s="88"/>
      <c r="AB10" s="89"/>
      <c r="AC10" s="19"/>
      <c r="AD10" s="9"/>
      <c r="AE10" s="3"/>
      <c r="AF10" s="3"/>
    </row>
    <row r="11" spans="1:32" hidden="1" x14ac:dyDescent="0.3">
      <c r="A11" s="91" t="s">
        <v>16</v>
      </c>
      <c r="B11" s="92">
        <f>+'[1]Data for 2nd TU'!D37</f>
        <v>0.13200000000000001</v>
      </c>
      <c r="C11" s="92">
        <f>+'[1]Data for 2nd TU'!$B$43</f>
        <v>3.1848807346377295E-2</v>
      </c>
      <c r="D11" s="92">
        <f>+'[1]Data for 2nd TU'!$B$48</f>
        <v>8.8359370314842575E-2</v>
      </c>
      <c r="E11" s="92">
        <f t="shared" si="0"/>
        <v>0.12020817766121987</v>
      </c>
      <c r="F11" s="93">
        <f t="shared" si="1"/>
        <v>1.1791822338780136E-2</v>
      </c>
      <c r="G11" s="32">
        <f>'[1]Data for 2nd TU'!C20</f>
        <v>63031500.000000007</v>
      </c>
      <c r="H11" s="26">
        <f t="shared" si="2"/>
        <v>8320158.0000000009</v>
      </c>
      <c r="I11" s="26">
        <f t="shared" si="3"/>
        <v>2007478.1002531806</v>
      </c>
      <c r="J11" s="26">
        <f t="shared" si="4"/>
        <v>5569423.6500000004</v>
      </c>
      <c r="K11" s="26">
        <f t="shared" si="5"/>
        <v>743256.24974681996</v>
      </c>
      <c r="M11" s="3"/>
      <c r="N11" s="86"/>
      <c r="O11" s="87"/>
      <c r="P11" s="87"/>
      <c r="Q11" s="87"/>
      <c r="R11" s="88"/>
      <c r="S11" s="89"/>
      <c r="T11" s="19"/>
      <c r="U11" s="3"/>
      <c r="V11" s="3"/>
      <c r="W11" s="87"/>
      <c r="X11" s="87"/>
      <c r="Y11" s="87"/>
      <c r="Z11" s="87"/>
      <c r="AA11" s="88"/>
      <c r="AB11" s="89"/>
      <c r="AC11" s="19"/>
      <c r="AD11" s="9"/>
      <c r="AE11" s="3"/>
      <c r="AF11" s="3"/>
    </row>
    <row r="12" spans="1:32" ht="15" hidden="1" thickBot="1" x14ac:dyDescent="0.35">
      <c r="B12" s="94">
        <f>+H12/G12</f>
        <v>9.1217777777777773E-2</v>
      </c>
      <c r="G12" s="23">
        <f>SUM(G7:G11)</f>
        <v>225112500</v>
      </c>
      <c r="H12" s="60">
        <f t="shared" ref="H12:J12" si="6">SUM(H7:H11)</f>
        <v>20534262</v>
      </c>
      <c r="I12" s="60">
        <f t="shared" si="6"/>
        <v>7169564.6437613592</v>
      </c>
      <c r="J12" s="60">
        <f t="shared" si="6"/>
        <v>19890798.75</v>
      </c>
      <c r="K12" s="42">
        <f>SUM(K7:K11)</f>
        <v>-6526101.3937613582</v>
      </c>
      <c r="M12" s="3"/>
      <c r="N12" s="3"/>
      <c r="O12" s="3"/>
      <c r="P12" s="3"/>
      <c r="Q12" s="19"/>
      <c r="R12" s="19"/>
      <c r="S12" s="18"/>
      <c r="T12" s="19"/>
      <c r="U12" s="3"/>
      <c r="V12" s="3"/>
      <c r="W12" s="3"/>
      <c r="X12" s="3"/>
      <c r="Y12" s="3"/>
      <c r="Z12" s="19"/>
      <c r="AA12" s="19"/>
      <c r="AB12" s="18"/>
      <c r="AC12" s="19"/>
      <c r="AD12" s="9"/>
      <c r="AE12" s="3"/>
      <c r="AF12" s="3"/>
    </row>
    <row r="13" spans="1:32" x14ac:dyDescent="0.3">
      <c r="I13" s="45"/>
      <c r="J13" s="45"/>
      <c r="M13" s="3"/>
      <c r="N13" s="3"/>
      <c r="O13" s="3"/>
      <c r="P13" s="3"/>
      <c r="Q13" s="3"/>
      <c r="R13" s="3"/>
      <c r="S13" s="3"/>
      <c r="T13" s="3"/>
      <c r="U13" s="3"/>
      <c r="V13" s="3"/>
      <c r="W13" s="3"/>
      <c r="X13" s="3"/>
      <c r="Y13" s="3"/>
      <c r="Z13" s="3"/>
      <c r="AA13" s="3"/>
      <c r="AB13" s="3"/>
      <c r="AC13" s="3"/>
      <c r="AD13" s="3"/>
      <c r="AE13" s="3"/>
      <c r="AF13" s="3"/>
    </row>
    <row r="14" spans="1:32" ht="18" x14ac:dyDescent="0.35">
      <c r="A14" s="1" t="s">
        <v>101</v>
      </c>
      <c r="M14" s="78"/>
      <c r="N14" s="3"/>
      <c r="O14" s="3"/>
      <c r="P14" s="3"/>
      <c r="Q14" s="3"/>
      <c r="R14" s="3"/>
      <c r="S14" s="3"/>
      <c r="T14" s="3"/>
      <c r="U14" s="3"/>
      <c r="V14" s="78"/>
      <c r="W14" s="3"/>
      <c r="X14" s="3"/>
      <c r="Y14" s="3"/>
      <c r="Z14" s="3"/>
      <c r="AA14" s="95"/>
      <c r="AB14" s="3"/>
      <c r="AC14" s="3"/>
      <c r="AD14" s="3"/>
      <c r="AE14" s="3"/>
      <c r="AF14" s="3"/>
    </row>
    <row r="15" spans="1:32" x14ac:dyDescent="0.3">
      <c r="A15" s="2"/>
      <c r="C15" s="104"/>
      <c r="G15" s="33" t="s">
        <v>89</v>
      </c>
      <c r="M15" s="78"/>
      <c r="N15" s="96"/>
      <c r="O15" s="96"/>
      <c r="P15" s="96"/>
      <c r="Q15" s="96"/>
      <c r="R15" s="96"/>
      <c r="S15" s="33"/>
      <c r="T15" s="33"/>
      <c r="V15" s="78"/>
      <c r="W15" s="96"/>
      <c r="X15" s="96"/>
      <c r="Y15" s="96"/>
      <c r="AA15" s="65"/>
    </row>
    <row r="16" spans="1:32" x14ac:dyDescent="0.3">
      <c r="A16" s="2" t="s">
        <v>67</v>
      </c>
      <c r="E16" s="104"/>
      <c r="H16" s="104"/>
      <c r="I16" s="104"/>
      <c r="J16" s="104"/>
      <c r="K16" s="104"/>
      <c r="M16" s="3"/>
      <c r="N16" s="17"/>
      <c r="O16" s="18"/>
      <c r="P16" s="19"/>
      <c r="Q16" s="19"/>
      <c r="R16" s="19"/>
      <c r="S16" s="26"/>
      <c r="T16" s="26"/>
      <c r="V16" s="3"/>
      <c r="W16" s="17"/>
      <c r="X16" s="18"/>
      <c r="Y16" s="19"/>
      <c r="AA16" s="65"/>
    </row>
    <row r="17" spans="1:27" ht="43.2" x14ac:dyDescent="0.3">
      <c r="A17" s="79" t="s">
        <v>57</v>
      </c>
      <c r="B17" s="80" t="s">
        <v>58</v>
      </c>
      <c r="C17" s="81" t="s">
        <v>68</v>
      </c>
      <c r="D17" s="80" t="s">
        <v>60</v>
      </c>
      <c r="E17" s="81" t="s">
        <v>61</v>
      </c>
      <c r="F17" s="80" t="s">
        <v>62</v>
      </c>
      <c r="G17" s="80" t="s">
        <v>10</v>
      </c>
      <c r="H17" s="81" t="s">
        <v>69</v>
      </c>
      <c r="I17" s="81" t="s">
        <v>70</v>
      </c>
      <c r="J17" s="81" t="s">
        <v>65</v>
      </c>
      <c r="K17" s="81" t="s">
        <v>85</v>
      </c>
      <c r="L17" s="343" t="s">
        <v>182</v>
      </c>
      <c r="M17" s="343" t="s">
        <v>183</v>
      </c>
      <c r="N17" s="17"/>
      <c r="O17" s="18"/>
      <c r="P17" s="19"/>
      <c r="Q17" s="19"/>
      <c r="R17" s="19"/>
      <c r="S17" s="26"/>
      <c r="T17" s="26"/>
      <c r="V17" s="3"/>
      <c r="W17" s="17"/>
      <c r="X17" s="18"/>
      <c r="Y17" s="19"/>
      <c r="AA17" s="65"/>
    </row>
    <row r="18" spans="1:27" x14ac:dyDescent="0.3">
      <c r="A18" s="83" t="s">
        <v>12</v>
      </c>
      <c r="B18" s="112">
        <f>'Veridian - 2018Apr'!C69</f>
        <v>7.6999999999999999E-2</v>
      </c>
      <c r="C18" s="84">
        <f>'Veridian - 2018Apr'!C45</f>
        <v>2.9833625806321488E-2</v>
      </c>
      <c r="D18" s="112">
        <f>'Veridian - 2018Apr'!C51</f>
        <v>9.9593160920509766E-2</v>
      </c>
      <c r="E18" s="112">
        <f>+C18+D18</f>
        <v>0.12942678672683125</v>
      </c>
      <c r="F18" s="219">
        <f>+B18-E18</f>
        <v>-5.2426786726831251E-2</v>
      </c>
      <c r="G18" s="220">
        <f>'Veridian - 2018Apr'!D17</f>
        <v>6141221.1699796692</v>
      </c>
      <c r="H18" s="26">
        <f>+G18*B18</f>
        <v>472874.03008843452</v>
      </c>
      <c r="I18" s="26">
        <f>+G18*C18</f>
        <v>183214.8943790333</v>
      </c>
      <c r="J18" s="26">
        <f>+G18*D18</f>
        <v>611623.62823022646</v>
      </c>
      <c r="K18" s="26">
        <f>+H18-I18-J18</f>
        <v>-321964.49252082524</v>
      </c>
      <c r="L18" s="217">
        <v>-337782.43159356801</v>
      </c>
      <c r="M18" s="39">
        <f>K18-L18</f>
        <v>15817.939072742767</v>
      </c>
      <c r="N18" s="9"/>
      <c r="O18" s="9"/>
      <c r="P18" s="19"/>
      <c r="Q18" s="19"/>
      <c r="R18" s="19"/>
      <c r="S18" s="19"/>
      <c r="T18" s="19"/>
      <c r="V18" s="3"/>
      <c r="W18" s="3"/>
      <c r="X18" s="3"/>
      <c r="Y18" s="19"/>
      <c r="AA18" s="65"/>
    </row>
    <row r="19" spans="1:27" x14ac:dyDescent="0.3">
      <c r="A19" s="90" t="s">
        <v>13</v>
      </c>
      <c r="B19" s="113">
        <f>'Veridian - 2018Apr'!C70</f>
        <v>0.09</v>
      </c>
      <c r="C19" s="87">
        <f>C18</f>
        <v>2.9833625806321488E-2</v>
      </c>
      <c r="D19" s="113">
        <f>D18</f>
        <v>9.9593160920509766E-2</v>
      </c>
      <c r="E19" s="113">
        <f t="shared" ref="E19:E22" si="7">+C19+D19</f>
        <v>0.12942678672683125</v>
      </c>
      <c r="F19" s="221">
        <f t="shared" ref="F19:F22" si="8">+B19-E19</f>
        <v>-3.9426786726831253E-2</v>
      </c>
      <c r="G19" s="220">
        <f>'Veridian - 2018Apr'!D18</f>
        <v>4026363.5485297176</v>
      </c>
      <c r="H19" s="26">
        <f t="shared" ref="H19:H22" si="9">+G19*B19</f>
        <v>362372.71936767455</v>
      </c>
      <c r="I19" s="26">
        <f>+G19*C19</f>
        <v>120121.02346704835</v>
      </c>
      <c r="J19" s="26">
        <f t="shared" ref="J19:J22" si="10">+G19*D19</f>
        <v>400998.2728131949</v>
      </c>
      <c r="K19" s="26">
        <f t="shared" ref="K19:K22" si="11">+H19-I19-J19</f>
        <v>-158746.57691256871</v>
      </c>
      <c r="L19" s="217">
        <v>-277734.14529984299</v>
      </c>
      <c r="M19" s="39">
        <f t="shared" ref="M19:M22" si="12">K19-L19</f>
        <v>118987.56838727428</v>
      </c>
      <c r="N19" s="3"/>
      <c r="O19" s="3"/>
      <c r="P19" s="3"/>
      <c r="Q19" s="3"/>
      <c r="R19" s="3"/>
      <c r="V19" s="3"/>
      <c r="W19" s="3"/>
      <c r="X19" s="3"/>
      <c r="Y19" s="3"/>
      <c r="AA19" s="65"/>
    </row>
    <row r="20" spans="1:27" x14ac:dyDescent="0.3">
      <c r="A20" s="90" t="s">
        <v>14</v>
      </c>
      <c r="B20" s="113">
        <f>'Veridian - 2018Apr'!C71</f>
        <v>6.5000000000000002E-2</v>
      </c>
      <c r="C20" s="87">
        <f>C19</f>
        <v>2.9833625806321488E-2</v>
      </c>
      <c r="D20" s="113">
        <f>D18</f>
        <v>9.9593160920509766E-2</v>
      </c>
      <c r="E20" s="113">
        <f t="shared" si="7"/>
        <v>0.12942678672683125</v>
      </c>
      <c r="F20" s="221">
        <f t="shared" si="8"/>
        <v>-6.4426786726831248E-2</v>
      </c>
      <c r="G20" s="220">
        <f>'Veridian - 2018Apr'!D19</f>
        <v>58232883.237832062</v>
      </c>
      <c r="H20" s="26">
        <f t="shared" si="9"/>
        <v>3785137.410459084</v>
      </c>
      <c r="I20" s="26">
        <f>+G20*C20</f>
        <v>1737298.0481406925</v>
      </c>
      <c r="J20" s="26">
        <f t="shared" si="10"/>
        <v>5799596.9111706642</v>
      </c>
      <c r="K20" s="26">
        <f t="shared" si="11"/>
        <v>-3751757.5488522728</v>
      </c>
      <c r="L20" s="217">
        <v>-4341398.8411409101</v>
      </c>
      <c r="M20" s="39">
        <f t="shared" si="12"/>
        <v>589641.29228863725</v>
      </c>
      <c r="N20" s="3"/>
      <c r="O20" s="3"/>
      <c r="P20" s="3"/>
      <c r="Q20" s="3"/>
      <c r="R20" s="3"/>
      <c r="V20" s="78"/>
      <c r="W20" s="3"/>
      <c r="X20" s="3"/>
      <c r="Y20" s="3"/>
    </row>
    <row r="21" spans="1:27" x14ac:dyDescent="0.3">
      <c r="A21" s="90" t="s">
        <v>15</v>
      </c>
      <c r="B21" s="113">
        <f>'Veridian - 2018Apr'!C72</f>
        <v>9.5000000000000001E-2</v>
      </c>
      <c r="C21" s="87">
        <f>C20</f>
        <v>2.9833625806321488E-2</v>
      </c>
      <c r="D21" s="113">
        <f>D18</f>
        <v>9.9593160920509766E-2</v>
      </c>
      <c r="E21" s="113">
        <f t="shared" si="7"/>
        <v>0.12942678672683125</v>
      </c>
      <c r="F21" s="221">
        <f t="shared" si="8"/>
        <v>-3.4426786726831249E-2</v>
      </c>
      <c r="G21" s="220">
        <f>'Veridian - 2018Apr'!D20</f>
        <v>15760046.377829636</v>
      </c>
      <c r="H21" s="26">
        <f t="shared" si="9"/>
        <v>1497204.4058938154</v>
      </c>
      <c r="I21" s="26">
        <f t="shared" ref="I21:I22" si="13">+G21*C21</f>
        <v>470179.32632644172</v>
      </c>
      <c r="J21" s="26">
        <f t="shared" si="10"/>
        <v>1569592.8350218839</v>
      </c>
      <c r="K21" s="26">
        <f t="shared" si="11"/>
        <v>-542567.75545451022</v>
      </c>
      <c r="L21" s="217">
        <v>-813477.47276306804</v>
      </c>
      <c r="M21" s="39">
        <f t="shared" si="12"/>
        <v>270909.71730855783</v>
      </c>
      <c r="N21" s="3"/>
      <c r="O21" s="3"/>
      <c r="P21" s="9"/>
      <c r="Q21" s="9"/>
      <c r="R21" s="9"/>
      <c r="S21" s="45"/>
      <c r="T21" s="45"/>
      <c r="V21" s="3"/>
      <c r="W21" s="3"/>
      <c r="X21" s="3"/>
      <c r="Y21" s="9"/>
    </row>
    <row r="22" spans="1:27" x14ac:dyDescent="0.3">
      <c r="A22" s="91" t="s">
        <v>16</v>
      </c>
      <c r="B22" s="114">
        <f>'Veridian - 2018Apr'!C73</f>
        <v>0.13200000000000001</v>
      </c>
      <c r="C22" s="92">
        <f>C21</f>
        <v>2.9833625806321488E-2</v>
      </c>
      <c r="D22" s="114">
        <f>D18</f>
        <v>9.9593160920509766E-2</v>
      </c>
      <c r="E22" s="114">
        <f t="shared" si="7"/>
        <v>0.12942678672683125</v>
      </c>
      <c r="F22" s="222">
        <f t="shared" si="8"/>
        <v>2.5732132731687563E-3</v>
      </c>
      <c r="G22" s="220">
        <f>'Veridian - 2018Apr'!D21</f>
        <v>16308590.440541161</v>
      </c>
      <c r="H22" s="26">
        <f t="shared" si="9"/>
        <v>2152733.9381514336</v>
      </c>
      <c r="I22" s="26">
        <f t="shared" si="13"/>
        <v>486544.38463165669</v>
      </c>
      <c r="J22" s="26">
        <f t="shared" si="10"/>
        <v>1624224.0721315031</v>
      </c>
      <c r="K22" s="26">
        <f t="shared" si="11"/>
        <v>41965.481388273882</v>
      </c>
      <c r="L22" s="217">
        <v>-177798.321151101</v>
      </c>
      <c r="M22" s="39">
        <f t="shared" si="12"/>
        <v>219763.80253937488</v>
      </c>
      <c r="N22" s="3"/>
      <c r="O22" s="3"/>
      <c r="P22" s="9"/>
      <c r="Q22" s="9"/>
      <c r="R22" s="9"/>
      <c r="S22" s="45"/>
      <c r="T22" s="45"/>
      <c r="V22" s="3"/>
      <c r="W22" s="3"/>
      <c r="X22" s="3"/>
      <c r="Y22" s="9"/>
    </row>
    <row r="23" spans="1:27" ht="15" thickBot="1" x14ac:dyDescent="0.35">
      <c r="B23" s="94">
        <f>+H23/G23</f>
        <v>8.2317071725735685E-2</v>
      </c>
      <c r="G23" s="23">
        <f>SUM(G18:G22)</f>
        <v>100469104.77471225</v>
      </c>
      <c r="H23" s="42">
        <f t="shared" ref="H23:J23" si="14">SUM(H18:H22)</f>
        <v>8270322.5039604418</v>
      </c>
      <c r="I23" s="60">
        <f t="shared" si="14"/>
        <v>2997357.6769448728</v>
      </c>
      <c r="J23" s="60">
        <f t="shared" si="14"/>
        <v>10006035.719367472</v>
      </c>
      <c r="K23" s="60">
        <f>SUM(K18:K22)</f>
        <v>-4733070.892351904</v>
      </c>
      <c r="L23" s="42">
        <f>SUM(L18:L22)</f>
        <v>-5948191.2119484898</v>
      </c>
      <c r="M23" s="42">
        <f>SUM(M18:M22)</f>
        <v>1215120.319596587</v>
      </c>
      <c r="N23" s="3"/>
      <c r="O23" s="3"/>
      <c r="P23" s="19"/>
      <c r="Q23" s="19"/>
      <c r="R23" s="19"/>
      <c r="S23" s="19"/>
      <c r="T23" s="19"/>
      <c r="V23" s="3"/>
      <c r="W23" s="3"/>
      <c r="X23" s="3"/>
      <c r="Y23" s="19"/>
    </row>
    <row r="24" spans="1:27" x14ac:dyDescent="0.3">
      <c r="A24" s="3"/>
      <c r="B24" s="3"/>
      <c r="C24" s="3"/>
      <c r="D24" s="3"/>
      <c r="E24" s="3"/>
      <c r="M24" s="18"/>
      <c r="N24" s="3"/>
      <c r="O24" s="3"/>
      <c r="P24" s="9"/>
      <c r="Q24" s="3"/>
      <c r="R24" s="3"/>
      <c r="V24" s="3"/>
      <c r="W24" s="3"/>
      <c r="X24" s="3"/>
      <c r="Y24" s="3"/>
    </row>
    <row r="25" spans="1:27" ht="18" hidden="1" x14ac:dyDescent="0.35">
      <c r="A25" s="1" t="s">
        <v>71</v>
      </c>
      <c r="M25" s="97"/>
      <c r="N25" s="3"/>
      <c r="O25" s="3"/>
      <c r="P25" s="3"/>
      <c r="Q25" s="3"/>
      <c r="R25" s="3"/>
      <c r="V25" s="3"/>
      <c r="W25" s="3"/>
      <c r="X25" s="3"/>
      <c r="Y25" s="3"/>
    </row>
    <row r="26" spans="1:27" ht="18" hidden="1" x14ac:dyDescent="0.35">
      <c r="A26" s="1"/>
      <c r="M26" s="97"/>
      <c r="N26" s="3"/>
      <c r="O26" s="3"/>
      <c r="P26" s="3"/>
      <c r="Q26" s="3"/>
      <c r="R26" s="3"/>
      <c r="V26" s="3"/>
      <c r="W26" s="3"/>
      <c r="X26" s="3"/>
      <c r="Y26" s="3"/>
    </row>
    <row r="27" spans="1:27" hidden="1" x14ac:dyDescent="0.3">
      <c r="A27" s="2" t="s">
        <v>72</v>
      </c>
      <c r="M27" s="97"/>
      <c r="N27" s="3"/>
      <c r="O27" s="3"/>
      <c r="P27" s="3"/>
      <c r="Q27" s="3"/>
      <c r="R27" s="3"/>
      <c r="V27" s="3"/>
      <c r="W27" s="3"/>
      <c r="X27" s="3"/>
      <c r="Y27" s="3"/>
    </row>
    <row r="28" spans="1:27" ht="43.2" hidden="1" x14ac:dyDescent="0.3">
      <c r="A28" s="98" t="s">
        <v>73</v>
      </c>
      <c r="B28" s="80" t="s">
        <v>58</v>
      </c>
      <c r="C28" s="81" t="s">
        <v>74</v>
      </c>
      <c r="D28" s="81" t="s">
        <v>75</v>
      </c>
      <c r="E28" s="81" t="s">
        <v>61</v>
      </c>
      <c r="F28" s="80" t="s">
        <v>62</v>
      </c>
      <c r="G28" s="80" t="s">
        <v>10</v>
      </c>
      <c r="H28" s="81" t="s">
        <v>76</v>
      </c>
      <c r="I28" s="81" t="s">
        <v>77</v>
      </c>
      <c r="J28" s="81" t="s">
        <v>78</v>
      </c>
      <c r="K28" s="81" t="s">
        <v>79</v>
      </c>
      <c r="M28" s="48"/>
      <c r="N28" s="99"/>
    </row>
    <row r="29" spans="1:27" hidden="1" x14ac:dyDescent="0.3">
      <c r="A29" s="83" t="s">
        <v>12</v>
      </c>
      <c r="B29" s="100">
        <f>+B7-B18</f>
        <v>0</v>
      </c>
      <c r="C29" s="84">
        <f t="shared" ref="C29:G33" si="15">+C7-C18</f>
        <v>2.0151815400558069E-3</v>
      </c>
      <c r="D29" s="84">
        <f t="shared" si="15"/>
        <v>-1.123379060566719E-2</v>
      </c>
      <c r="E29" s="84">
        <f t="shared" si="15"/>
        <v>-9.21860906561138E-3</v>
      </c>
      <c r="F29" s="85">
        <f t="shared" si="15"/>
        <v>9.21860906561138E-3</v>
      </c>
      <c r="G29" s="32">
        <f t="shared" si="15"/>
        <v>-1138721.1699796692</v>
      </c>
      <c r="H29" s="26">
        <f>+H18-H7</f>
        <v>87681.53008843452</v>
      </c>
      <c r="I29" s="26">
        <f t="shared" ref="I29:J33" si="16">+I18-I7</f>
        <v>23891.23562878088</v>
      </c>
      <c r="J29" s="26">
        <f t="shared" si="16"/>
        <v>169605.87823022646</v>
      </c>
      <c r="K29" s="26">
        <f>+H29-I29-J29</f>
        <v>-105815.58377057282</v>
      </c>
      <c r="M29" s="45"/>
      <c r="N29" s="62"/>
    </row>
    <row r="30" spans="1:27" hidden="1" x14ac:dyDescent="0.3">
      <c r="A30" s="90" t="s">
        <v>13</v>
      </c>
      <c r="B30" s="86">
        <f>+B8-B19</f>
        <v>-1.0000000000000009E-3</v>
      </c>
      <c r="C30" s="87">
        <f t="shared" si="15"/>
        <v>2.0151815400558069E-3</v>
      </c>
      <c r="D30" s="87">
        <f t="shared" si="15"/>
        <v>-1.123379060566719E-2</v>
      </c>
      <c r="E30" s="87">
        <f t="shared" si="15"/>
        <v>-9.21860906561138E-3</v>
      </c>
      <c r="F30" s="88">
        <f t="shared" si="15"/>
        <v>8.2186090656113792E-3</v>
      </c>
      <c r="G30" s="32">
        <f t="shared" si="15"/>
        <v>2977136.4514702824</v>
      </c>
      <c r="H30" s="26">
        <f>+H19-H8</f>
        <v>-260938.78063232545</v>
      </c>
      <c r="I30" s="26">
        <f t="shared" si="16"/>
        <v>-102932.09878330505</v>
      </c>
      <c r="J30" s="26">
        <f t="shared" si="16"/>
        <v>-217826.57718680508</v>
      </c>
      <c r="K30" s="26">
        <f t="shared" ref="K30:K33" si="17">+H30-I30-J30</f>
        <v>59819.895337784663</v>
      </c>
      <c r="M30" s="45"/>
      <c r="N30" s="62"/>
    </row>
    <row r="31" spans="1:27" hidden="1" x14ac:dyDescent="0.3">
      <c r="A31" s="90" t="s">
        <v>14</v>
      </c>
      <c r="B31" s="86">
        <f>+B9-B20</f>
        <v>0</v>
      </c>
      <c r="C31" s="87">
        <f t="shared" si="15"/>
        <v>2.0151815400558069E-3</v>
      </c>
      <c r="D31" s="87">
        <f t="shared" si="15"/>
        <v>-1.123379060566719E-2</v>
      </c>
      <c r="E31" s="87">
        <f t="shared" si="15"/>
        <v>-9.21860906561138E-3</v>
      </c>
      <c r="F31" s="88">
        <f t="shared" si="15"/>
        <v>9.21860906561138E-3</v>
      </c>
      <c r="G31" s="32">
        <f t="shared" si="15"/>
        <v>41817116.762167938</v>
      </c>
      <c r="H31" s="26">
        <f>+H20-H9</f>
        <v>-2718112.589540916</v>
      </c>
      <c r="I31" s="26">
        <f t="shared" si="16"/>
        <v>-1449175.126864356</v>
      </c>
      <c r="J31" s="26">
        <f t="shared" si="16"/>
        <v>-3040758.0888293358</v>
      </c>
      <c r="K31" s="26">
        <f t="shared" si="17"/>
        <v>1771820.6261527757</v>
      </c>
      <c r="M31" s="45"/>
      <c r="N31" s="62"/>
    </row>
    <row r="32" spans="1:27" hidden="1" x14ac:dyDescent="0.3">
      <c r="A32" s="90" t="s">
        <v>15</v>
      </c>
      <c r="B32" s="86">
        <f>+B10-B21</f>
        <v>-1.0000000000000009E-3</v>
      </c>
      <c r="C32" s="87">
        <f t="shared" si="15"/>
        <v>2.0151815400558069E-3</v>
      </c>
      <c r="D32" s="87">
        <f t="shared" si="15"/>
        <v>-1.123379060566719E-2</v>
      </c>
      <c r="E32" s="87">
        <f t="shared" si="15"/>
        <v>-9.21860906561138E-3</v>
      </c>
      <c r="F32" s="88">
        <f t="shared" si="15"/>
        <v>8.2186090656113792E-3</v>
      </c>
      <c r="G32" s="32">
        <f t="shared" si="15"/>
        <v>34264953.622170366</v>
      </c>
      <c r="H32" s="26">
        <f>+H21-H10</f>
        <v>-3205145.5941061843</v>
      </c>
      <c r="I32" s="26">
        <f t="shared" si="16"/>
        <v>-1123057.2611760825</v>
      </c>
      <c r="J32" s="26">
        <f t="shared" si="16"/>
        <v>-2850584.6649781158</v>
      </c>
      <c r="K32" s="26">
        <f t="shared" si="17"/>
        <v>768496.33204801404</v>
      </c>
      <c r="M32" s="45"/>
      <c r="N32" s="62"/>
    </row>
    <row r="33" spans="1:18" hidden="1" x14ac:dyDescent="0.3">
      <c r="A33" s="91" t="s">
        <v>16</v>
      </c>
      <c r="B33" s="101">
        <f>+B11-B22</f>
        <v>0</v>
      </c>
      <c r="C33" s="92">
        <f t="shared" si="15"/>
        <v>2.0151815400558069E-3</v>
      </c>
      <c r="D33" s="92">
        <f t="shared" si="15"/>
        <v>-1.123379060566719E-2</v>
      </c>
      <c r="E33" s="92">
        <f t="shared" si="15"/>
        <v>-9.21860906561138E-3</v>
      </c>
      <c r="F33" s="93">
        <f t="shared" si="15"/>
        <v>9.21860906561138E-3</v>
      </c>
      <c r="G33" s="32">
        <f t="shared" si="15"/>
        <v>46722909.559458844</v>
      </c>
      <c r="H33" s="26">
        <f>+H22-H11</f>
        <v>-6167424.0618485678</v>
      </c>
      <c r="I33" s="26">
        <f t="shared" si="16"/>
        <v>-1520933.715621524</v>
      </c>
      <c r="J33" s="26">
        <f t="shared" si="16"/>
        <v>-3945199.577868497</v>
      </c>
      <c r="K33" s="26">
        <f t="shared" si="17"/>
        <v>-701290.76835854724</v>
      </c>
      <c r="M33" s="45"/>
      <c r="N33" s="62"/>
    </row>
    <row r="34" spans="1:18" ht="15" hidden="1" thickBot="1" x14ac:dyDescent="0.35">
      <c r="G34" s="23">
        <f>SUM(G29:G33)</f>
        <v>124643395.22528777</v>
      </c>
      <c r="H34" s="60">
        <f t="shared" ref="H34:J34" si="18">SUM(H29:H33)</f>
        <v>-12263939.496039558</v>
      </c>
      <c r="I34" s="60">
        <f t="shared" si="18"/>
        <v>-4172206.9668164868</v>
      </c>
      <c r="J34" s="60">
        <f t="shared" si="18"/>
        <v>-9884763.0306325275</v>
      </c>
      <c r="K34" s="60">
        <f>SUM(K29:K33)</f>
        <v>1793030.5014094543</v>
      </c>
    </row>
    <row r="35" spans="1:18" x14ac:dyDescent="0.3">
      <c r="K35" s="25"/>
      <c r="M35" s="344" t="s">
        <v>184</v>
      </c>
    </row>
    <row r="36" spans="1:18" x14ac:dyDescent="0.3">
      <c r="J36" s="6"/>
      <c r="K36" s="45"/>
      <c r="M36" s="344" t="s">
        <v>185</v>
      </c>
    </row>
    <row r="37" spans="1:18" ht="18" x14ac:dyDescent="0.35">
      <c r="A37" s="1" t="s">
        <v>101</v>
      </c>
      <c r="M37" s="78"/>
    </row>
    <row r="38" spans="1:18" x14ac:dyDescent="0.3">
      <c r="A38" s="2"/>
      <c r="C38" s="104"/>
      <c r="G38" s="33" t="s">
        <v>180</v>
      </c>
      <c r="M38" s="78"/>
    </row>
    <row r="39" spans="1:18" x14ac:dyDescent="0.3">
      <c r="A39" s="239" t="s">
        <v>186</v>
      </c>
      <c r="B39" s="21"/>
      <c r="C39" s="21"/>
      <c r="D39" s="21"/>
      <c r="E39" s="104"/>
      <c r="F39" s="21"/>
      <c r="H39" s="104"/>
      <c r="I39" s="104"/>
      <c r="J39" s="104"/>
      <c r="K39" s="104"/>
      <c r="M39" s="3"/>
    </row>
    <row r="40" spans="1:18" ht="43.2" x14ac:dyDescent="0.3">
      <c r="A40" s="79" t="s">
        <v>57</v>
      </c>
      <c r="B40" s="80" t="s">
        <v>58</v>
      </c>
      <c r="C40" s="81" t="s">
        <v>68</v>
      </c>
      <c r="D40" s="80" t="s">
        <v>60</v>
      </c>
      <c r="E40" s="81" t="s">
        <v>61</v>
      </c>
      <c r="F40" s="80" t="s">
        <v>62</v>
      </c>
      <c r="G40" s="80" t="s">
        <v>10</v>
      </c>
      <c r="H40" s="81" t="s">
        <v>69</v>
      </c>
      <c r="I40" s="81" t="s">
        <v>70</v>
      </c>
      <c r="J40" s="81" t="s">
        <v>65</v>
      </c>
      <c r="K40" s="81" t="s">
        <v>85</v>
      </c>
      <c r="L40" s="343" t="s">
        <v>182</v>
      </c>
      <c r="M40" s="343" t="s">
        <v>183</v>
      </c>
    </row>
    <row r="41" spans="1:18" x14ac:dyDescent="0.3">
      <c r="A41" s="83" t="s">
        <v>12</v>
      </c>
      <c r="B41" s="112">
        <f>'Veridian - 2018Apr'!C69</f>
        <v>7.6999999999999999E-2</v>
      </c>
      <c r="C41" s="84">
        <f>'Veridian - 2018Apr'!C45</f>
        <v>2.9833625806321488E-2</v>
      </c>
      <c r="D41" s="112">
        <f>'Veridian - 2018Apr'!C51</f>
        <v>9.9593160920509766E-2</v>
      </c>
      <c r="E41" s="112">
        <f>+C41+D41</f>
        <v>0.12942678672683125</v>
      </c>
      <c r="F41" s="219">
        <f>+B41-E41</f>
        <v>-5.2426786726831251E-2</v>
      </c>
      <c r="G41" s="214">
        <v>6224267.1588106351</v>
      </c>
      <c r="H41" s="39">
        <f>+G41*B41</f>
        <v>479268.57122841891</v>
      </c>
      <c r="I41" s="39">
        <f>+G41*C41</f>
        <v>185692.45733453229</v>
      </c>
      <c r="J41" s="39">
        <f>+G41*D41</f>
        <v>619894.44075967174</v>
      </c>
      <c r="K41" s="26">
        <f>+H41-I41-J41</f>
        <v>-326318.32686578511</v>
      </c>
      <c r="L41" s="217">
        <v>-337782.43159356801</v>
      </c>
      <c r="M41" s="39">
        <f>K41-L41</f>
        <v>11464.104727782891</v>
      </c>
      <c r="O41" s="45"/>
      <c r="P41" s="45"/>
      <c r="Q41" s="45"/>
      <c r="R41" s="45"/>
    </row>
    <row r="42" spans="1:18" x14ac:dyDescent="0.3">
      <c r="A42" s="90" t="s">
        <v>13</v>
      </c>
      <c r="B42" s="113">
        <f>'Veridian - 2018Apr'!C70</f>
        <v>0.09</v>
      </c>
      <c r="C42" s="87">
        <f>C41</f>
        <v>2.9833625806321488E-2</v>
      </c>
      <c r="D42" s="113">
        <f>D41</f>
        <v>9.9593160920509766E-2</v>
      </c>
      <c r="E42" s="113">
        <f t="shared" ref="E42:E45" si="19">+C42+D42</f>
        <v>0.12942678672683125</v>
      </c>
      <c r="F42" s="221">
        <f t="shared" ref="F42:F45" si="20">+B42-E42</f>
        <v>-3.9426786726831253E-2</v>
      </c>
      <c r="G42" s="214">
        <v>4289697.6364775999</v>
      </c>
      <c r="H42" s="39">
        <f t="shared" ref="H42:H45" si="21">+G42*B42</f>
        <v>386072.78728298395</v>
      </c>
      <c r="I42" s="39">
        <f>+G42*C42</f>
        <v>127977.23410893441</v>
      </c>
      <c r="J42" s="39">
        <f t="shared" ref="J42:J45" si="22">+G42*D42</f>
        <v>427224.54701004399</v>
      </c>
      <c r="K42" s="26">
        <f t="shared" ref="K42:K45" si="23">+H42-I42-J42</f>
        <v>-169128.99383599445</v>
      </c>
      <c r="L42" s="217">
        <v>-277734.14529984299</v>
      </c>
      <c r="M42" s="39">
        <f t="shared" ref="M42:M45" si="24">K42-L42</f>
        <v>108605.15146384854</v>
      </c>
      <c r="O42" s="45"/>
      <c r="P42" s="45"/>
      <c r="Q42" s="45"/>
      <c r="R42" s="45"/>
    </row>
    <row r="43" spans="1:18" x14ac:dyDescent="0.3">
      <c r="A43" s="90" t="s">
        <v>14</v>
      </c>
      <c r="B43" s="113">
        <f>'Veridian - 2018Apr'!C71</f>
        <v>6.5000000000000002E-2</v>
      </c>
      <c r="C43" s="87">
        <f>C42</f>
        <v>2.9833625806321488E-2</v>
      </c>
      <c r="D43" s="113">
        <f>D41</f>
        <v>9.9593160920509766E-2</v>
      </c>
      <c r="E43" s="113">
        <f t="shared" si="19"/>
        <v>0.12942678672683125</v>
      </c>
      <c r="F43" s="221">
        <f t="shared" si="20"/>
        <v>-6.4426786726831248E-2</v>
      </c>
      <c r="G43" s="214">
        <v>58119289.516958922</v>
      </c>
      <c r="H43" s="39">
        <f>+G43*B43</f>
        <v>3777753.8186023301</v>
      </c>
      <c r="I43" s="39">
        <f>+G43*C43</f>
        <v>1733909.1355782156</v>
      </c>
      <c r="J43" s="39">
        <f>+G43*D43</f>
        <v>5788283.7534481864</v>
      </c>
      <c r="K43" s="26">
        <f t="shared" si="23"/>
        <v>-3744439.070424072</v>
      </c>
      <c r="L43" s="217">
        <v>-4341398.8411409101</v>
      </c>
      <c r="M43" s="39">
        <f t="shared" si="24"/>
        <v>596959.77071683807</v>
      </c>
      <c r="O43" s="45"/>
      <c r="P43" s="45"/>
    </row>
    <row r="44" spans="1:18" x14ac:dyDescent="0.3">
      <c r="A44" s="90" t="s">
        <v>15</v>
      </c>
      <c r="B44" s="113">
        <f>'Veridian - 2018Apr'!C72</f>
        <v>9.5000000000000001E-2</v>
      </c>
      <c r="C44" s="87">
        <f>C43</f>
        <v>2.9833625806321488E-2</v>
      </c>
      <c r="D44" s="113">
        <f>D41</f>
        <v>9.9593160920509766E-2</v>
      </c>
      <c r="E44" s="113">
        <f t="shared" si="19"/>
        <v>0.12942678672683125</v>
      </c>
      <c r="F44" s="221">
        <f t="shared" si="20"/>
        <v>-3.4426786726831249E-2</v>
      </c>
      <c r="G44" s="214">
        <v>15729303.570507538</v>
      </c>
      <c r="H44" s="26">
        <f t="shared" si="21"/>
        <v>1494283.8391982161</v>
      </c>
      <c r="I44" s="26">
        <f t="shared" ref="I44:I45" si="25">+G44*C44</f>
        <v>469262.15691655839</v>
      </c>
      <c r="J44" s="26">
        <f t="shared" si="22"/>
        <v>1566531.0616651061</v>
      </c>
      <c r="K44" s="26">
        <f t="shared" si="23"/>
        <v>-541509.37938344839</v>
      </c>
      <c r="L44" s="217">
        <v>-813477.47276306804</v>
      </c>
      <c r="M44" s="39">
        <f t="shared" si="24"/>
        <v>271968.09337961965</v>
      </c>
    </row>
    <row r="45" spans="1:18" x14ac:dyDescent="0.3">
      <c r="A45" s="3" t="s">
        <v>16</v>
      </c>
      <c r="B45" s="113">
        <f>'Veridian - 2018Apr'!C73</f>
        <v>0.13200000000000001</v>
      </c>
      <c r="C45" s="87">
        <f>C44</f>
        <v>2.9833625806321488E-2</v>
      </c>
      <c r="D45" s="113">
        <f>D41</f>
        <v>9.9593160920509766E-2</v>
      </c>
      <c r="E45" s="113">
        <f t="shared" si="19"/>
        <v>0.12942678672683125</v>
      </c>
      <c r="F45" s="221">
        <f t="shared" si="20"/>
        <v>2.5732132731687563E-3</v>
      </c>
      <c r="G45" s="214">
        <v>16276777.599284941</v>
      </c>
      <c r="H45" s="26">
        <f t="shared" si="21"/>
        <v>2148534.6431056121</v>
      </c>
      <c r="I45" s="26">
        <f t="shared" si="25"/>
        <v>485595.29222978273</v>
      </c>
      <c r="J45" s="26">
        <f t="shared" si="22"/>
        <v>1621055.7307129337</v>
      </c>
      <c r="K45" s="26">
        <f t="shared" si="23"/>
        <v>41883.620162895648</v>
      </c>
      <c r="L45" s="217">
        <v>-177798.321151101</v>
      </c>
      <c r="M45" s="39">
        <f t="shared" si="24"/>
        <v>219681.94131399665</v>
      </c>
    </row>
    <row r="46" spans="1:18" x14ac:dyDescent="0.3">
      <c r="A46" s="347" t="s">
        <v>141</v>
      </c>
      <c r="B46" s="114"/>
      <c r="C46" s="92"/>
      <c r="D46" s="114"/>
      <c r="E46" s="114"/>
      <c r="F46" s="222"/>
      <c r="G46" s="220"/>
      <c r="H46" s="26"/>
      <c r="I46" s="26"/>
      <c r="J46" s="26"/>
      <c r="K46" s="26"/>
      <c r="L46" s="217"/>
      <c r="M46" s="39"/>
      <c r="N46" s="14" t="s">
        <v>141</v>
      </c>
    </row>
    <row r="47" spans="1:18" ht="15" thickBot="1" x14ac:dyDescent="0.35">
      <c r="B47" s="346">
        <f>+H47/G47</f>
        <v>8.2332754083976306E-2</v>
      </c>
      <c r="G47" s="23">
        <f>SUM(G41:G45)</f>
        <v>100639335.48203965</v>
      </c>
      <c r="H47" s="42">
        <f>SUM(H41:H45)</f>
        <v>8285913.6594175613</v>
      </c>
      <c r="I47" s="60">
        <f>SUM(I41:I46)</f>
        <v>3002436.2761680232</v>
      </c>
      <c r="J47" s="60">
        <f>SUM(J41:J45)</f>
        <v>10022989.533595942</v>
      </c>
      <c r="K47" s="60">
        <f>SUM(K41:K46)</f>
        <v>-4739512.1503464039</v>
      </c>
      <c r="L47" s="42">
        <f>SUM(L41:L45)</f>
        <v>-5948191.2119484898</v>
      </c>
      <c r="M47" s="42">
        <f>SUM(M41:M45)</f>
        <v>1208679.0616020858</v>
      </c>
    </row>
    <row r="49" spans="10:11" x14ac:dyDescent="0.3">
      <c r="J49" t="s">
        <v>62</v>
      </c>
      <c r="K49" s="45">
        <f>+K23-K47</f>
        <v>6441.2579944999889</v>
      </c>
    </row>
  </sheetData>
  <pageMargins left="0.2" right="0.2" top="0.75" bottom="0.75" header="0.3" footer="0.3"/>
  <pageSetup scale="73"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S131"/>
  <sheetViews>
    <sheetView showGridLines="0" workbookViewId="0">
      <selection activeCell="A47" sqref="A47"/>
    </sheetView>
  </sheetViews>
  <sheetFormatPr defaultColWidth="9.109375" defaultRowHeight="14.4" x14ac:dyDescent="0.3"/>
  <cols>
    <col min="1" max="1" width="9.109375" style="257"/>
    <col min="2" max="2" width="3.6640625" style="257" customWidth="1"/>
    <col min="3" max="3" width="49.5546875" style="257" bestFit="1" customWidth="1"/>
    <col min="4" max="4" width="5.44140625" style="257" bestFit="1" customWidth="1"/>
    <col min="5" max="5" width="14.33203125" style="257" bestFit="1" customWidth="1"/>
    <col min="6" max="6" width="14" style="257" customWidth="1"/>
    <col min="7" max="7" width="12" style="257" bestFit="1" customWidth="1"/>
    <col min="8" max="8" width="7" style="257" bestFit="1" customWidth="1"/>
    <col min="9" max="9" width="14.33203125" style="257" customWidth="1"/>
    <col min="10" max="10" width="1.5546875" style="257" customWidth="1"/>
    <col min="11" max="11" width="1.6640625" style="257" customWidth="1"/>
    <col min="12" max="12" width="4.88671875" style="257" customWidth="1"/>
    <col min="13" max="13" width="12.88671875" style="257" customWidth="1"/>
    <col min="14" max="14" width="12.5546875" style="257" customWidth="1"/>
    <col min="15" max="15" width="12.6640625" style="257" customWidth="1"/>
    <col min="16" max="16" width="14.109375" style="257" bestFit="1" customWidth="1"/>
    <col min="17" max="17" width="14.44140625" style="257" bestFit="1" customWidth="1"/>
    <col min="18" max="20" width="14.33203125" style="257" bestFit="1" customWidth="1"/>
    <col min="21" max="21" width="15.33203125" style="257" bestFit="1" customWidth="1"/>
    <col min="22" max="22" width="14" style="257" bestFit="1" customWidth="1"/>
    <col min="23" max="23" width="15" style="257" bestFit="1" customWidth="1"/>
    <col min="24" max="24" width="13.33203125" style="257" bestFit="1" customWidth="1"/>
    <col min="25" max="25" width="12.33203125" style="257" bestFit="1" customWidth="1"/>
    <col min="26" max="26" width="13.109375" style="257" customWidth="1"/>
    <col min="27" max="27" width="11.44140625" style="257" customWidth="1"/>
    <col min="28" max="28" width="13.44140625" style="257" customWidth="1"/>
    <col min="29" max="29" width="12.5546875" style="257" bestFit="1" customWidth="1"/>
    <col min="30" max="30" width="20.109375" style="257" customWidth="1"/>
    <col min="31" max="31" width="15.33203125" style="257" bestFit="1" customWidth="1"/>
    <col min="32" max="33" width="14.33203125" style="257" bestFit="1" customWidth="1"/>
    <col min="34" max="35" width="14.109375" style="257" customWidth="1"/>
    <col min="36" max="37" width="14.33203125" style="257" bestFit="1" customWidth="1"/>
    <col min="38" max="38" width="14.109375" style="257" customWidth="1"/>
    <col min="39" max="40" width="14.33203125" style="257" bestFit="1" customWidth="1"/>
    <col min="41" max="41" width="14.44140625" style="257" bestFit="1" customWidth="1"/>
    <col min="42" max="42" width="14.33203125" style="257" customWidth="1"/>
    <col min="43" max="43" width="14.33203125" style="257" bestFit="1" customWidth="1"/>
    <col min="44" max="44" width="15.33203125" style="257" bestFit="1" customWidth="1"/>
    <col min="45" max="45" width="14.33203125" style="257" bestFit="1" customWidth="1"/>
    <col min="46" max="46" width="9.109375" style="257"/>
    <col min="47" max="47" width="15.33203125" style="257" bestFit="1" customWidth="1"/>
    <col min="48" max="16384" width="9.109375" style="257"/>
  </cols>
  <sheetData>
    <row r="1" spans="2:45" ht="21" x14ac:dyDescent="0.4">
      <c r="B1" s="256" t="s">
        <v>209</v>
      </c>
      <c r="L1" s="258"/>
      <c r="M1" s="259"/>
      <c r="N1" s="259"/>
      <c r="O1" s="259"/>
      <c r="P1" s="259"/>
      <c r="Q1" s="259"/>
      <c r="R1" s="259"/>
      <c r="S1" s="259"/>
      <c r="T1" s="259"/>
      <c r="U1" s="259"/>
      <c r="V1" s="259"/>
      <c r="W1" s="259"/>
      <c r="X1" s="259"/>
      <c r="Y1" s="259"/>
      <c r="Z1" s="259"/>
      <c r="AA1" s="259"/>
      <c r="AB1" s="259"/>
    </row>
    <row r="2" spans="2:45" ht="15.6" x14ac:dyDescent="0.35">
      <c r="B2" s="262"/>
      <c r="C2" s="262"/>
      <c r="D2" s="262"/>
      <c r="E2" s="263"/>
      <c r="F2" s="264"/>
      <c r="M2" s="259"/>
      <c r="N2" s="259"/>
      <c r="O2" s="259"/>
      <c r="P2" s="259"/>
      <c r="Q2" s="259"/>
      <c r="R2" s="259"/>
      <c r="S2" s="259"/>
      <c r="T2" s="259"/>
      <c r="U2" s="259"/>
      <c r="V2" s="259"/>
      <c r="W2" s="259"/>
      <c r="X2" s="259"/>
      <c r="Y2" s="259"/>
      <c r="Z2" s="259"/>
      <c r="AA2" s="259"/>
      <c r="AB2" s="259"/>
      <c r="AE2" s="265"/>
      <c r="AF2" s="265"/>
      <c r="AG2" s="265"/>
      <c r="AH2" s="265"/>
      <c r="AI2" s="265"/>
      <c r="AJ2" s="265"/>
      <c r="AK2" s="265"/>
      <c r="AL2" s="265"/>
      <c r="AM2" s="265"/>
      <c r="AN2" s="265"/>
      <c r="AO2" s="265"/>
      <c r="AP2" s="265"/>
      <c r="AQ2" s="265"/>
      <c r="AR2" s="265"/>
      <c r="AS2" s="265"/>
    </row>
    <row r="3" spans="2:45" ht="15.6" x14ac:dyDescent="0.35">
      <c r="B3" s="262"/>
      <c r="C3" s="262"/>
      <c r="D3" s="266"/>
      <c r="E3" s="266"/>
      <c r="F3" s="266"/>
      <c r="M3" s="267"/>
      <c r="N3" s="267"/>
      <c r="O3" s="267"/>
      <c r="P3" s="267"/>
      <c r="Q3" s="267"/>
      <c r="R3" s="267"/>
      <c r="S3" s="267"/>
      <c r="T3" s="267"/>
      <c r="U3" s="267"/>
      <c r="V3" s="267"/>
      <c r="W3" s="259"/>
      <c r="X3" s="259"/>
      <c r="Y3" s="259"/>
      <c r="Z3" s="259"/>
      <c r="AA3" s="259"/>
      <c r="AB3" s="259"/>
      <c r="AE3" s="268"/>
      <c r="AF3" s="268"/>
      <c r="AG3" s="268"/>
      <c r="AH3" s="268"/>
      <c r="AI3" s="268"/>
      <c r="AP3" s="268"/>
      <c r="AQ3" s="268"/>
      <c r="AR3" s="268"/>
      <c r="AS3" s="268"/>
    </row>
    <row r="4" spans="2:45" ht="15" thickBot="1" x14ac:dyDescent="0.35">
      <c r="B4" s="260"/>
      <c r="C4" s="260"/>
      <c r="D4" s="266"/>
      <c r="E4" s="266"/>
      <c r="F4" s="266"/>
      <c r="M4" s="261"/>
      <c r="N4" s="273"/>
      <c r="O4" s="273"/>
      <c r="P4" s="273"/>
      <c r="Q4" s="273"/>
      <c r="R4" s="273"/>
      <c r="S4" s="273"/>
      <c r="T4" s="273"/>
      <c r="U4" s="273"/>
      <c r="V4" s="274"/>
      <c r="W4" s="274"/>
      <c r="X4" s="259"/>
      <c r="Y4" s="259"/>
      <c r="Z4" s="259"/>
      <c r="AA4" s="259"/>
      <c r="AB4" s="259"/>
    </row>
    <row r="5" spans="2:45" ht="15" thickBot="1" x14ac:dyDescent="0.35">
      <c r="B5" s="275" t="s">
        <v>87</v>
      </c>
      <c r="C5" s="276"/>
      <c r="D5" s="277"/>
      <c r="E5" s="278">
        <f>+'Veridian Apr 2018 RPP TU'!K47</f>
        <v>-4739512.1503464039</v>
      </c>
      <c r="F5" s="266"/>
      <c r="M5" s="279"/>
      <c r="N5" s="280"/>
      <c r="O5" s="280"/>
      <c r="P5" s="280"/>
      <c r="Q5" s="280"/>
      <c r="R5" s="280"/>
      <c r="S5" s="280"/>
      <c r="T5" s="280"/>
      <c r="U5" s="280"/>
      <c r="V5" s="270"/>
      <c r="W5" s="270"/>
      <c r="AE5" s="268"/>
      <c r="AF5" s="268"/>
      <c r="AG5" s="268"/>
      <c r="AH5" s="268"/>
      <c r="AI5" s="268"/>
      <c r="AJ5" s="268"/>
      <c r="AK5" s="268"/>
      <c r="AL5" s="268"/>
      <c r="AM5" s="268"/>
      <c r="AN5" s="268"/>
      <c r="AO5" s="268"/>
      <c r="AP5" s="268"/>
      <c r="AQ5" s="268"/>
      <c r="AR5" s="268"/>
      <c r="AS5" s="268"/>
    </row>
    <row r="6" spans="2:45" x14ac:dyDescent="0.3">
      <c r="B6" s="260"/>
      <c r="C6" s="260"/>
      <c r="D6" s="260"/>
      <c r="E6" s="271"/>
      <c r="F6" s="271"/>
      <c r="G6" s="266"/>
      <c r="H6" s="266"/>
      <c r="M6" s="279"/>
      <c r="N6" s="280"/>
      <c r="O6" s="280"/>
      <c r="P6" s="280"/>
      <c r="Q6" s="280"/>
      <c r="R6" s="280"/>
      <c r="S6" s="280"/>
      <c r="T6" s="280"/>
      <c r="U6" s="280"/>
      <c r="V6" s="270"/>
      <c r="W6" s="270"/>
      <c r="AE6" s="268"/>
      <c r="AF6" s="268"/>
      <c r="AG6" s="268"/>
      <c r="AH6" s="268"/>
      <c r="AI6" s="268"/>
      <c r="AJ6" s="268"/>
      <c r="AK6" s="268"/>
      <c r="AL6" s="268"/>
      <c r="AM6" s="268"/>
      <c r="AN6" s="268"/>
      <c r="AO6" s="268"/>
      <c r="AP6" s="268"/>
      <c r="AQ6" s="268"/>
      <c r="AR6" s="268"/>
      <c r="AS6" s="268"/>
    </row>
    <row r="7" spans="2:45" x14ac:dyDescent="0.3">
      <c r="B7" s="258" t="s">
        <v>88</v>
      </c>
      <c r="C7" s="260"/>
      <c r="D7" s="260"/>
      <c r="E7" s="281" t="s">
        <v>180</v>
      </c>
      <c r="F7" s="282" t="s">
        <v>89</v>
      </c>
      <c r="G7" s="281" t="s">
        <v>92</v>
      </c>
      <c r="H7" s="266"/>
      <c r="M7" s="279"/>
      <c r="N7" s="280"/>
      <c r="O7" s="280"/>
      <c r="P7" s="280"/>
      <c r="Q7" s="280"/>
      <c r="R7" s="280"/>
      <c r="S7" s="280"/>
      <c r="T7" s="280"/>
      <c r="U7" s="280"/>
      <c r="V7" s="270"/>
      <c r="W7" s="270"/>
      <c r="AE7" s="268"/>
      <c r="AF7" s="268"/>
      <c r="AG7" s="268"/>
      <c r="AH7" s="268"/>
      <c r="AI7" s="268"/>
      <c r="AJ7" s="268"/>
      <c r="AK7" s="268"/>
      <c r="AL7" s="268"/>
      <c r="AM7" s="268"/>
      <c r="AN7" s="268"/>
      <c r="AO7" s="268"/>
      <c r="AP7" s="268"/>
      <c r="AQ7" s="268"/>
      <c r="AR7" s="268"/>
      <c r="AS7" s="268"/>
    </row>
    <row r="8" spans="2:45" x14ac:dyDescent="0.3">
      <c r="B8" s="283" t="s">
        <v>110</v>
      </c>
      <c r="C8" s="260" t="s">
        <v>90</v>
      </c>
      <c r="D8" s="260"/>
      <c r="E8" s="266">
        <f>+'Veridian Apr 2018 RPP TU'!H47</f>
        <v>8285913.6594175613</v>
      </c>
      <c r="F8" s="266">
        <f>'Veridian Apr 2018 RPP TU'!H23</f>
        <v>8270322.5039604418</v>
      </c>
      <c r="G8" s="266">
        <f>E8-F8</f>
        <v>15591.155457119457</v>
      </c>
      <c r="H8" s="284">
        <f>G8/F8</f>
        <v>1.8851931650371869E-3</v>
      </c>
      <c r="I8" s="285" t="s">
        <v>102</v>
      </c>
      <c r="M8" s="279"/>
      <c r="N8" s="280"/>
      <c r="O8" s="280"/>
      <c r="P8" s="280"/>
      <c r="Q8" s="280"/>
      <c r="R8" s="280"/>
      <c r="S8" s="280"/>
      <c r="T8" s="280"/>
      <c r="U8" s="280"/>
      <c r="V8" s="270"/>
      <c r="W8" s="270"/>
      <c r="AI8" s="270"/>
    </row>
    <row r="9" spans="2:45" x14ac:dyDescent="0.3">
      <c r="B9" s="283" t="s">
        <v>111</v>
      </c>
      <c r="C9" s="260" t="s">
        <v>94</v>
      </c>
      <c r="D9" s="260"/>
      <c r="E9" s="266">
        <f>+'Veridian Apr 2018 RPP TU'!I47</f>
        <v>3002436.2761680232</v>
      </c>
      <c r="F9" s="266">
        <f>'Veridian Apr 2018 RPP TU'!I23</f>
        <v>2997357.6769448728</v>
      </c>
      <c r="G9" s="266">
        <f>E9-F9</f>
        <v>5078.599223150406</v>
      </c>
      <c r="H9" s="284">
        <f>G9/F9</f>
        <v>1.694358755451197E-3</v>
      </c>
      <c r="I9" s="285" t="s">
        <v>105</v>
      </c>
      <c r="M9" s="279"/>
      <c r="N9" s="280"/>
      <c r="O9" s="280"/>
      <c r="P9" s="280"/>
      <c r="Q9" s="280"/>
      <c r="R9" s="280"/>
      <c r="S9" s="280"/>
      <c r="T9" s="280"/>
      <c r="U9" s="280"/>
      <c r="V9" s="270"/>
      <c r="W9" s="270"/>
      <c r="AE9" s="286"/>
      <c r="AF9" s="286"/>
      <c r="AG9" s="286"/>
      <c r="AH9" s="286"/>
      <c r="AI9" s="268"/>
      <c r="AJ9" s="286"/>
      <c r="AK9" s="286"/>
      <c r="AL9" s="286"/>
      <c r="AM9" s="286"/>
      <c r="AN9" s="286"/>
      <c r="AO9" s="286"/>
      <c r="AQ9" s="286"/>
      <c r="AR9" s="286"/>
    </row>
    <row r="10" spans="2:45" x14ac:dyDescent="0.3">
      <c r="B10" s="287" t="s">
        <v>112</v>
      </c>
      <c r="C10" s="260" t="s">
        <v>91</v>
      </c>
      <c r="D10" s="260"/>
      <c r="E10" s="266">
        <f>+'Veridian Apr 2018 RPP TU'!J47</f>
        <v>10022989.533595942</v>
      </c>
      <c r="F10" s="266">
        <f>'Veridian Apr 2018 RPP TU'!J23</f>
        <v>10006035.719367472</v>
      </c>
      <c r="G10" s="266">
        <f>E10-F10</f>
        <v>16953.814228469506</v>
      </c>
      <c r="H10" s="284">
        <f>G10/F10</f>
        <v>1.6943587554513781E-3</v>
      </c>
      <c r="I10" s="285" t="s">
        <v>108</v>
      </c>
      <c r="M10" s="279"/>
      <c r="N10" s="280"/>
      <c r="O10" s="280"/>
      <c r="P10" s="280"/>
      <c r="Q10" s="280"/>
      <c r="R10" s="280"/>
      <c r="S10" s="280"/>
      <c r="T10" s="280"/>
      <c r="U10" s="280"/>
      <c r="V10" s="270"/>
      <c r="W10" s="270"/>
    </row>
    <row r="11" spans="2:45" x14ac:dyDescent="0.3">
      <c r="B11" s="287"/>
      <c r="C11" s="260"/>
      <c r="D11" s="260"/>
      <c r="E11" s="266"/>
      <c r="F11" s="266"/>
      <c r="G11" s="266"/>
      <c r="H11" s="284"/>
      <c r="I11" s="285"/>
      <c r="M11" s="279"/>
      <c r="N11" s="280"/>
      <c r="O11" s="280"/>
      <c r="P11" s="280"/>
      <c r="Q11" s="280"/>
      <c r="R11" s="280"/>
      <c r="S11" s="280"/>
      <c r="T11" s="280"/>
      <c r="U11" s="280"/>
      <c r="V11" s="270"/>
      <c r="W11" s="270"/>
    </row>
    <row r="12" spans="2:45" x14ac:dyDescent="0.3">
      <c r="B12" s="287"/>
      <c r="C12" s="257" t="s">
        <v>177</v>
      </c>
      <c r="D12" s="260"/>
      <c r="E12" s="266">
        <f>-'Veridian Apr 2018 RPP TU'!K49</f>
        <v>-6441.2579944999889</v>
      </c>
      <c r="F12" s="266"/>
      <c r="G12" s="266">
        <f>E12-F12</f>
        <v>-6441.2579944999889</v>
      </c>
      <c r="H12" s="284"/>
      <c r="I12" s="285"/>
      <c r="M12" s="279"/>
      <c r="N12" s="280"/>
      <c r="O12" s="280"/>
      <c r="P12" s="280"/>
      <c r="Q12" s="280"/>
      <c r="R12" s="280"/>
      <c r="S12" s="280"/>
      <c r="T12" s="280"/>
      <c r="U12" s="280"/>
      <c r="V12" s="270"/>
      <c r="W12" s="270"/>
    </row>
    <row r="13" spans="2:45" ht="15" thickBot="1" x14ac:dyDescent="0.35">
      <c r="B13" s="260"/>
      <c r="C13" s="260" t="s">
        <v>172</v>
      </c>
      <c r="D13" s="260"/>
      <c r="E13" s="272">
        <f>E8-E9-E10-E12</f>
        <v>-4733070.892351904</v>
      </c>
      <c r="F13" s="272">
        <f>F8-F9-F10-F12</f>
        <v>-4733070.892351903</v>
      </c>
      <c r="G13" s="272">
        <f>G8-G9-G10-G12</f>
        <v>-4.6566128730773926E-10</v>
      </c>
      <c r="H13" s="284">
        <f>G13/F13</f>
        <v>9.8384600167344681E-17</v>
      </c>
      <c r="M13" s="279"/>
      <c r="N13" s="280"/>
      <c r="O13" s="280"/>
      <c r="P13" s="280"/>
      <c r="Q13" s="280"/>
      <c r="R13" s="280"/>
      <c r="S13" s="280"/>
      <c r="T13" s="280"/>
      <c r="U13" s="280"/>
      <c r="V13" s="270"/>
      <c r="W13" s="270"/>
      <c r="AE13" s="268"/>
      <c r="AF13" s="268"/>
      <c r="AG13" s="268"/>
      <c r="AH13" s="268"/>
      <c r="AI13" s="268"/>
      <c r="AJ13" s="268"/>
      <c r="AK13" s="268"/>
      <c r="AL13" s="268"/>
      <c r="AM13" s="268"/>
      <c r="AN13" s="268"/>
      <c r="AO13" s="268"/>
      <c r="AP13" s="268"/>
      <c r="AQ13" s="268"/>
      <c r="AR13" s="268"/>
      <c r="AS13" s="268"/>
    </row>
    <row r="14" spans="2:45" x14ac:dyDescent="0.3">
      <c r="B14" s="260"/>
      <c r="C14" s="260"/>
      <c r="D14" s="260"/>
      <c r="F14" s="268"/>
      <c r="G14" s="268"/>
      <c r="M14" s="279"/>
      <c r="N14" s="280"/>
      <c r="O14" s="280"/>
      <c r="P14" s="280"/>
      <c r="Q14" s="280"/>
      <c r="R14" s="280"/>
      <c r="S14" s="280"/>
      <c r="T14" s="280"/>
      <c r="U14" s="280"/>
      <c r="V14" s="270"/>
      <c r="W14" s="270"/>
      <c r="AE14" s="268"/>
      <c r="AF14" s="268"/>
      <c r="AG14" s="268"/>
      <c r="AH14" s="268"/>
      <c r="AI14" s="268"/>
      <c r="AJ14" s="268"/>
      <c r="AK14" s="268"/>
      <c r="AL14" s="268"/>
      <c r="AM14" s="268"/>
      <c r="AN14" s="268"/>
      <c r="AO14" s="268"/>
      <c r="AP14" s="268"/>
      <c r="AQ14" s="268"/>
      <c r="AR14" s="268"/>
      <c r="AS14" s="268"/>
    </row>
    <row r="15" spans="2:45" x14ac:dyDescent="0.3">
      <c r="B15" s="260"/>
      <c r="C15" s="260" t="s">
        <v>191</v>
      </c>
      <c r="D15" s="260"/>
      <c r="E15" s="265" t="s">
        <v>192</v>
      </c>
      <c r="F15" s="348" t="s">
        <v>193</v>
      </c>
      <c r="G15" s="268"/>
      <c r="M15" s="279"/>
      <c r="N15" s="280"/>
      <c r="O15" s="280"/>
      <c r="P15" s="280"/>
      <c r="Q15" s="280"/>
      <c r="R15" s="280"/>
      <c r="S15" s="280"/>
      <c r="T15" s="280"/>
      <c r="U15" s="280"/>
      <c r="V15" s="270"/>
      <c r="W15" s="270"/>
      <c r="AE15" s="268"/>
      <c r="AF15" s="268"/>
      <c r="AG15" s="268"/>
      <c r="AH15" s="268"/>
      <c r="AI15" s="268"/>
      <c r="AJ15" s="268"/>
      <c r="AK15" s="268"/>
      <c r="AL15" s="268"/>
      <c r="AM15" s="268"/>
      <c r="AN15" s="268"/>
      <c r="AO15" s="268"/>
      <c r="AP15" s="268"/>
      <c r="AQ15" s="268"/>
      <c r="AR15" s="268"/>
      <c r="AS15" s="268"/>
    </row>
    <row r="16" spans="2:45" x14ac:dyDescent="0.3">
      <c r="B16" s="260" t="s">
        <v>194</v>
      </c>
      <c r="E16" s="288" t="s">
        <v>106</v>
      </c>
      <c r="F16" s="288" t="s">
        <v>106</v>
      </c>
      <c r="G16" s="288" t="s">
        <v>62</v>
      </c>
      <c r="H16" s="288" t="s">
        <v>103</v>
      </c>
      <c r="I16" s="288" t="s">
        <v>104</v>
      </c>
      <c r="M16" s="279"/>
      <c r="N16" s="280"/>
      <c r="O16" s="280"/>
      <c r="P16" s="280"/>
      <c r="Q16" s="280"/>
      <c r="R16" s="280"/>
      <c r="S16" s="280"/>
      <c r="T16" s="280"/>
      <c r="U16" s="280"/>
      <c r="V16" s="270"/>
      <c r="W16" s="270"/>
      <c r="AE16" s="268"/>
      <c r="AF16" s="268"/>
      <c r="AG16" s="268"/>
      <c r="AH16" s="268"/>
    </row>
    <row r="17" spans="2:44" x14ac:dyDescent="0.3">
      <c r="C17" s="257" t="s">
        <v>12</v>
      </c>
      <c r="E17" s="266">
        <f>+'Veridian Apr 2018 RPP TU'!G41</f>
        <v>6224267.1588106351</v>
      </c>
      <c r="F17" s="266">
        <f>+'Veridian - 2018Apr'!D69</f>
        <v>6129241.6126468517</v>
      </c>
      <c r="G17" s="266">
        <f>E17-F17</f>
        <v>95025.546163783409</v>
      </c>
      <c r="H17" s="289">
        <f>'Veridian - 2018Apr'!E34</f>
        <v>7.6999999999999999E-2</v>
      </c>
      <c r="I17" s="266">
        <f>G17*H17</f>
        <v>7316.9670546113221</v>
      </c>
      <c r="N17" s="280"/>
      <c r="O17" s="280"/>
      <c r="P17" s="280"/>
      <c r="Q17" s="280"/>
      <c r="R17" s="280"/>
      <c r="S17" s="280"/>
      <c r="T17" s="280"/>
      <c r="U17" s="280"/>
      <c r="V17" s="270"/>
      <c r="W17" s="270"/>
      <c r="AI17" s="268"/>
      <c r="AP17" s="268"/>
      <c r="AQ17" s="268"/>
      <c r="AR17" s="268"/>
    </row>
    <row r="18" spans="2:44" x14ac:dyDescent="0.3">
      <c r="C18" s="257" t="s">
        <v>13</v>
      </c>
      <c r="E18" s="266">
        <f>+'Veridian Apr 2018 RPP TU'!G42</f>
        <v>4289697.6364775999</v>
      </c>
      <c r="F18" s="266">
        <f>+'Veridian - 2018Apr'!D70</f>
        <v>4018509.4016691288</v>
      </c>
      <c r="G18" s="266">
        <f t="shared" ref="G18:G21" si="0">E18-F18</f>
        <v>271188.23480847105</v>
      </c>
      <c r="H18" s="289">
        <f>'Veridian - 2018Apr'!E35</f>
        <v>0.09</v>
      </c>
      <c r="I18" s="266">
        <f t="shared" ref="I18:I21" si="1">G18*H18</f>
        <v>24406.941132762393</v>
      </c>
      <c r="M18" s="279"/>
      <c r="N18" s="280"/>
      <c r="O18" s="280"/>
      <c r="P18" s="280"/>
      <c r="Q18" s="280"/>
      <c r="R18" s="280"/>
      <c r="S18" s="280"/>
      <c r="T18" s="280"/>
      <c r="U18" s="280"/>
      <c r="V18" s="270"/>
      <c r="W18" s="270"/>
      <c r="AI18" s="268"/>
      <c r="AP18" s="268"/>
      <c r="AQ18" s="268"/>
      <c r="AR18" s="268"/>
    </row>
    <row r="19" spans="2:44" x14ac:dyDescent="0.3">
      <c r="C19" s="257" t="s">
        <v>14</v>
      </c>
      <c r="E19" s="266">
        <f>+'Veridian Apr 2018 RPP TU'!G43</f>
        <v>58119289.516958922</v>
      </c>
      <c r="F19" s="266">
        <f>+'Veridian - 2018Apr'!D71</f>
        <v>58119289.516958922</v>
      </c>
      <c r="G19" s="266">
        <f t="shared" si="0"/>
        <v>0</v>
      </c>
      <c r="H19" s="289">
        <f>'Veridian - 2018Apr'!E36</f>
        <v>6.5000000000000002E-2</v>
      </c>
      <c r="I19" s="266">
        <f t="shared" si="1"/>
        <v>0</v>
      </c>
      <c r="M19" s="279"/>
      <c r="N19" s="280"/>
      <c r="O19" s="280"/>
      <c r="P19" s="280"/>
      <c r="Q19" s="280"/>
      <c r="R19" s="280"/>
      <c r="S19" s="280"/>
      <c r="T19" s="280"/>
      <c r="U19" s="280"/>
      <c r="V19" s="270"/>
      <c r="W19" s="270"/>
    </row>
    <row r="20" spans="2:44" x14ac:dyDescent="0.3">
      <c r="C20" s="257" t="s">
        <v>15</v>
      </c>
      <c r="E20" s="266">
        <f>+'Veridian Apr 2018 RPP TU'!G44</f>
        <v>15729303.570507538</v>
      </c>
      <c r="F20" s="266">
        <f>+'Veridian - 2018Apr'!D72</f>
        <v>15729303.570507538</v>
      </c>
      <c r="G20" s="266">
        <f t="shared" si="0"/>
        <v>0</v>
      </c>
      <c r="H20" s="289">
        <f>'Veridian - 2018Apr'!E37</f>
        <v>9.5000000000000001E-2</v>
      </c>
      <c r="I20" s="266">
        <f t="shared" si="1"/>
        <v>0</v>
      </c>
      <c r="M20" s="279"/>
      <c r="N20" s="280"/>
      <c r="O20" s="280"/>
      <c r="P20" s="280"/>
      <c r="Q20" s="280"/>
      <c r="R20" s="280"/>
      <c r="S20" s="280"/>
      <c r="T20" s="280"/>
      <c r="U20" s="280"/>
      <c r="V20" s="270"/>
      <c r="W20" s="270"/>
    </row>
    <row r="21" spans="2:44" x14ac:dyDescent="0.3">
      <c r="C21" s="257" t="s">
        <v>16</v>
      </c>
      <c r="E21" s="266">
        <f>+'Veridian Apr 2018 RPP TU'!G45</f>
        <v>16276777.599284941</v>
      </c>
      <c r="F21" s="266">
        <f>+'Veridian - 2018Apr'!D73</f>
        <v>16276777.599284941</v>
      </c>
      <c r="G21" s="266">
        <f t="shared" si="0"/>
        <v>0</v>
      </c>
      <c r="H21" s="289">
        <f>'Veridian - 2018Apr'!E38</f>
        <v>0.13200000000000001</v>
      </c>
      <c r="I21" s="266">
        <f t="shared" si="1"/>
        <v>0</v>
      </c>
      <c r="M21" s="279"/>
      <c r="N21" s="280"/>
      <c r="O21" s="280"/>
      <c r="P21" s="280"/>
      <c r="Q21" s="280"/>
      <c r="R21" s="280"/>
      <c r="S21" s="280"/>
      <c r="T21" s="280"/>
      <c r="U21" s="280"/>
      <c r="V21" s="270"/>
      <c r="W21" s="270"/>
    </row>
    <row r="22" spans="2:44" ht="15" thickBot="1" x14ac:dyDescent="0.35">
      <c r="C22" s="257" t="s">
        <v>141</v>
      </c>
      <c r="E22" s="272">
        <f>SUM(E17:E21)</f>
        <v>100639335.48203965</v>
      </c>
      <c r="F22" s="377">
        <f>SUM(F17:F21)</f>
        <v>100273121.70106739</v>
      </c>
      <c r="G22" s="272">
        <f>SUM(G17:G21)</f>
        <v>366213.78097225446</v>
      </c>
      <c r="H22" s="290"/>
      <c r="I22" s="272">
        <f>SUM(I17:I21)</f>
        <v>31723.908187373716</v>
      </c>
      <c r="M22" s="279"/>
      <c r="N22" s="280"/>
      <c r="O22" s="280"/>
      <c r="P22" s="280"/>
      <c r="Q22" s="280"/>
      <c r="R22" s="280"/>
      <c r="S22" s="280"/>
      <c r="T22" s="280"/>
      <c r="U22" s="280"/>
      <c r="V22" s="270"/>
      <c r="W22" s="270"/>
    </row>
    <row r="23" spans="2:44" x14ac:dyDescent="0.3">
      <c r="E23" s="271"/>
      <c r="F23" s="271"/>
      <c r="G23" s="271"/>
      <c r="H23" s="291"/>
      <c r="I23" s="271"/>
      <c r="M23" s="279"/>
      <c r="N23" s="280"/>
      <c r="O23" s="280"/>
      <c r="P23" s="280"/>
      <c r="Q23" s="280"/>
      <c r="R23" s="280"/>
      <c r="S23" s="280"/>
      <c r="T23" s="280"/>
      <c r="U23" s="280"/>
      <c r="V23" s="270"/>
      <c r="W23" s="270"/>
    </row>
    <row r="24" spans="2:44" x14ac:dyDescent="0.3">
      <c r="C24" s="260" t="s">
        <v>195</v>
      </c>
      <c r="E24" s="348" t="s">
        <v>193</v>
      </c>
      <c r="M24" s="279"/>
      <c r="N24" s="280"/>
      <c r="O24" s="280"/>
      <c r="P24" s="280"/>
      <c r="Q24" s="280"/>
      <c r="R24" s="280"/>
      <c r="S24" s="280"/>
      <c r="T24" s="280"/>
      <c r="U24" s="280"/>
      <c r="V24" s="270"/>
      <c r="W24" s="270"/>
    </row>
    <row r="25" spans="2:44" x14ac:dyDescent="0.3">
      <c r="B25" s="285" t="s">
        <v>196</v>
      </c>
      <c r="E25" s="288" t="s">
        <v>106</v>
      </c>
      <c r="F25" s="288" t="s">
        <v>107</v>
      </c>
      <c r="G25" s="288" t="s">
        <v>168</v>
      </c>
      <c r="H25" s="288" t="s">
        <v>103</v>
      </c>
      <c r="I25" s="288" t="s">
        <v>104</v>
      </c>
      <c r="M25" s="279"/>
      <c r="N25" s="280"/>
      <c r="O25" s="280"/>
      <c r="P25" s="280"/>
      <c r="Q25" s="280"/>
      <c r="R25" s="280"/>
      <c r="S25" s="280"/>
      <c r="T25" s="280"/>
      <c r="U25" s="280"/>
      <c r="V25" s="270"/>
      <c r="W25" s="270"/>
    </row>
    <row r="26" spans="2:44" x14ac:dyDescent="0.3">
      <c r="C26" s="257" t="s">
        <v>12</v>
      </c>
      <c r="E26" s="266">
        <f>+F17</f>
        <v>6129241.6126468517</v>
      </c>
      <c r="F26" s="266">
        <f>+'Veridian - 2018Apr'!D17</f>
        <v>6141221.1699796692</v>
      </c>
      <c r="G26" s="266">
        <f>E26-F26</f>
        <v>-11979.557332817465</v>
      </c>
      <c r="H26" s="289">
        <f>+'Veridian - 2018Apr'!E34</f>
        <v>7.6999999999999999E-2</v>
      </c>
      <c r="I26" s="266">
        <f>G26*H26</f>
        <v>-922.42591462694475</v>
      </c>
      <c r="M26" s="279"/>
      <c r="N26" s="280"/>
      <c r="O26" s="280"/>
      <c r="P26" s="280"/>
      <c r="Q26" s="280"/>
      <c r="R26" s="280"/>
      <c r="S26" s="280"/>
      <c r="T26" s="280"/>
      <c r="U26" s="280"/>
      <c r="V26" s="270"/>
      <c r="W26" s="270"/>
    </row>
    <row r="27" spans="2:44" x14ac:dyDescent="0.3">
      <c r="C27" s="257" t="s">
        <v>13</v>
      </c>
      <c r="E27" s="266">
        <f>+F18</f>
        <v>4018509.4016691288</v>
      </c>
      <c r="F27" s="266">
        <f>+'Veridian - 2018Apr'!D18</f>
        <v>4026363.5485297176</v>
      </c>
      <c r="G27" s="266">
        <f t="shared" ref="G27:G30" si="2">E27-F27</f>
        <v>-7854.1468605888076</v>
      </c>
      <c r="H27" s="289">
        <f>+'Veridian - 2018Apr'!E35</f>
        <v>0.09</v>
      </c>
      <c r="I27" s="266">
        <f t="shared" ref="I27:I30" si="3">G27*H27</f>
        <v>-706.87321745299266</v>
      </c>
      <c r="M27" s="279"/>
      <c r="N27" s="280"/>
      <c r="O27" s="280"/>
      <c r="P27" s="280"/>
      <c r="Q27" s="280"/>
      <c r="R27" s="280"/>
      <c r="S27" s="280"/>
      <c r="T27" s="280"/>
      <c r="U27" s="280"/>
      <c r="V27" s="270"/>
      <c r="W27" s="270"/>
    </row>
    <row r="28" spans="2:44" x14ac:dyDescent="0.3">
      <c r="C28" s="257" t="s">
        <v>14</v>
      </c>
      <c r="E28" s="266">
        <f>+F19</f>
        <v>58119289.516958922</v>
      </c>
      <c r="F28" s="266">
        <f>+'Veridian - 2018Apr'!D19</f>
        <v>58232883.237832062</v>
      </c>
      <c r="G28" s="266">
        <f t="shared" si="2"/>
        <v>-113593.7208731398</v>
      </c>
      <c r="H28" s="289">
        <f>+'Veridian - 2018Apr'!E36</f>
        <v>6.5000000000000002E-2</v>
      </c>
      <c r="I28" s="266">
        <f t="shared" si="3"/>
        <v>-7383.5918567540875</v>
      </c>
      <c r="M28" s="279"/>
      <c r="N28" s="280"/>
      <c r="O28" s="280"/>
      <c r="P28" s="280"/>
      <c r="Q28" s="280"/>
      <c r="R28" s="280"/>
      <c r="S28" s="280"/>
      <c r="T28" s="280"/>
      <c r="U28" s="280"/>
      <c r="V28" s="270"/>
      <c r="W28" s="270"/>
    </row>
    <row r="29" spans="2:44" x14ac:dyDescent="0.3">
      <c r="C29" s="257" t="s">
        <v>15</v>
      </c>
      <c r="E29" s="266">
        <f>+F20</f>
        <v>15729303.570507538</v>
      </c>
      <c r="F29" s="266">
        <f>+'Veridian - 2018Apr'!D20</f>
        <v>15760046.377829636</v>
      </c>
      <c r="G29" s="266">
        <f t="shared" si="2"/>
        <v>-30742.807322097942</v>
      </c>
      <c r="H29" s="289">
        <f>+'Veridian - 2018Apr'!E37</f>
        <v>9.5000000000000001E-2</v>
      </c>
      <c r="I29" s="266">
        <f t="shared" si="3"/>
        <v>-2920.5666955993047</v>
      </c>
      <c r="M29" s="279"/>
      <c r="N29" s="280"/>
      <c r="O29" s="280"/>
      <c r="P29" s="280"/>
      <c r="Q29" s="280"/>
      <c r="R29" s="280"/>
      <c r="S29" s="280"/>
      <c r="T29" s="280"/>
      <c r="U29" s="280"/>
      <c r="V29" s="270"/>
      <c r="W29" s="270"/>
    </row>
    <row r="30" spans="2:44" x14ac:dyDescent="0.3">
      <c r="C30" s="257" t="s">
        <v>16</v>
      </c>
      <c r="E30" s="266">
        <f>+F21</f>
        <v>16276777.599284941</v>
      </c>
      <c r="F30" s="266">
        <f>+'Veridian - 2018Apr'!D21</f>
        <v>16308590.440541161</v>
      </c>
      <c r="G30" s="266">
        <f t="shared" si="2"/>
        <v>-31812.841256219894</v>
      </c>
      <c r="H30" s="289">
        <f>+'Veridian - 2018Apr'!E38</f>
        <v>0.13200000000000001</v>
      </c>
      <c r="I30" s="266">
        <f t="shared" si="3"/>
        <v>-4199.2950458210262</v>
      </c>
      <c r="M30" s="279"/>
      <c r="N30" s="280"/>
      <c r="O30" s="280"/>
      <c r="P30" s="280"/>
      <c r="Q30" s="280"/>
      <c r="R30" s="280"/>
      <c r="S30" s="280"/>
      <c r="T30" s="280"/>
      <c r="U30" s="280"/>
      <c r="V30" s="270"/>
      <c r="W30" s="270"/>
    </row>
    <row r="31" spans="2:44" ht="15" thickBot="1" x14ac:dyDescent="0.35">
      <c r="C31" s="257" t="s">
        <v>141</v>
      </c>
      <c r="E31" s="272">
        <f>SUM(E26:E30)</f>
        <v>100273121.70106739</v>
      </c>
      <c r="F31" s="272">
        <f>SUM(F26:F30)</f>
        <v>100469104.77471225</v>
      </c>
      <c r="G31" s="272">
        <f>SUM(G26:G30)</f>
        <v>-195983.07364486391</v>
      </c>
      <c r="H31" s="290"/>
      <c r="I31" s="272">
        <f>SUM(I26:I30)</f>
        <v>-16132.752730254353</v>
      </c>
      <c r="M31" s="279"/>
      <c r="N31" s="280"/>
      <c r="O31" s="280"/>
      <c r="P31" s="280"/>
      <c r="Q31" s="280"/>
      <c r="R31" s="280"/>
      <c r="S31" s="280"/>
      <c r="T31" s="280"/>
      <c r="U31" s="280"/>
      <c r="V31" s="270"/>
      <c r="W31" s="270"/>
    </row>
    <row r="32" spans="2:44" x14ac:dyDescent="0.3">
      <c r="E32" s="271"/>
      <c r="F32" s="271"/>
      <c r="G32" s="271"/>
      <c r="H32" s="291"/>
      <c r="I32" s="271"/>
      <c r="M32" s="279"/>
      <c r="N32" s="280"/>
      <c r="O32" s="280"/>
      <c r="P32" s="280"/>
      <c r="Q32" s="280"/>
      <c r="R32" s="280"/>
      <c r="S32" s="280"/>
      <c r="T32" s="280"/>
      <c r="U32" s="280"/>
      <c r="V32" s="270"/>
      <c r="W32" s="270"/>
    </row>
    <row r="33" spans="2:23" x14ac:dyDescent="0.3">
      <c r="C33" s="73" t="s">
        <v>177</v>
      </c>
      <c r="D33" s="73"/>
      <c r="E33" s="75"/>
      <c r="F33" s="75"/>
      <c r="G33" s="75"/>
      <c r="H33" s="355"/>
      <c r="I33" s="75">
        <f>-I22-I31</f>
        <v>-15591.155457119363</v>
      </c>
      <c r="M33" s="279"/>
      <c r="N33" s="280"/>
      <c r="O33" s="280"/>
      <c r="P33" s="280"/>
      <c r="Q33" s="280"/>
      <c r="R33" s="280"/>
      <c r="S33" s="280"/>
      <c r="T33" s="280"/>
      <c r="U33" s="280"/>
      <c r="V33" s="270"/>
      <c r="W33" s="270"/>
    </row>
    <row r="34" spans="2:23" ht="15" thickBot="1" x14ac:dyDescent="0.35">
      <c r="C34" s="73" t="s">
        <v>197</v>
      </c>
      <c r="D34" s="73"/>
      <c r="E34" s="75"/>
      <c r="F34" s="75"/>
      <c r="G34" s="75"/>
      <c r="H34" s="355"/>
      <c r="I34" s="372">
        <f>I22+I31+I33</f>
        <v>0</v>
      </c>
      <c r="M34" s="279"/>
      <c r="N34" s="280"/>
      <c r="O34" s="280"/>
      <c r="P34" s="280"/>
      <c r="Q34" s="280"/>
      <c r="R34" s="280"/>
      <c r="S34" s="280"/>
      <c r="T34" s="280"/>
      <c r="U34" s="280"/>
      <c r="V34" s="270"/>
      <c r="W34" s="270"/>
    </row>
    <row r="35" spans="2:23" x14ac:dyDescent="0.3">
      <c r="C35" s="73"/>
      <c r="D35" s="73"/>
      <c r="E35" s="75"/>
      <c r="F35" s="75"/>
      <c r="G35" s="75"/>
      <c r="H35" s="355"/>
      <c r="I35" s="75"/>
      <c r="M35" s="279"/>
      <c r="N35" s="280"/>
      <c r="O35" s="280"/>
      <c r="P35" s="280"/>
      <c r="Q35" s="280"/>
      <c r="R35" s="280"/>
      <c r="S35" s="280"/>
      <c r="T35" s="280"/>
      <c r="U35" s="280"/>
      <c r="V35" s="270"/>
      <c r="W35" s="270"/>
    </row>
    <row r="36" spans="2:23" x14ac:dyDescent="0.3">
      <c r="C36" s="73"/>
      <c r="D36" s="73"/>
      <c r="E36" s="73"/>
      <c r="F36" s="73"/>
      <c r="G36" s="73"/>
      <c r="H36" s="73"/>
      <c r="I36" s="21"/>
      <c r="M36" s="279"/>
      <c r="N36" s="280"/>
      <c r="O36" s="280"/>
      <c r="P36" s="280"/>
      <c r="Q36" s="280"/>
      <c r="R36" s="280"/>
      <c r="S36" s="280"/>
      <c r="T36" s="280"/>
      <c r="U36" s="280"/>
      <c r="V36" s="270"/>
      <c r="W36" s="270"/>
    </row>
    <row r="37" spans="2:23" x14ac:dyDescent="0.3">
      <c r="B37" s="285" t="s">
        <v>105</v>
      </c>
      <c r="C37" s="73" t="str">
        <f>C9</f>
        <v>Energy Revenue - RPP</v>
      </c>
      <c r="D37" s="73"/>
      <c r="E37" s="75"/>
      <c r="F37" s="75"/>
      <c r="G37" s="75">
        <f>(G22+G31)</f>
        <v>170230.70732739056</v>
      </c>
      <c r="H37" s="356">
        <f>+'Veridian - 2018Apr'!C87</f>
        <v>2.9833625806321488E-2</v>
      </c>
      <c r="I37" s="5">
        <f t="shared" ref="I37" si="4">G37*H37</f>
        <v>5078.5992231507989</v>
      </c>
      <c r="M37" s="279"/>
      <c r="N37" s="280"/>
      <c r="O37" s="280"/>
      <c r="P37" s="280"/>
      <c r="Q37" s="280"/>
      <c r="R37" s="280"/>
      <c r="S37" s="280"/>
      <c r="T37" s="280"/>
      <c r="U37" s="280"/>
      <c r="V37" s="270"/>
      <c r="W37" s="270"/>
    </row>
    <row r="38" spans="2:23" x14ac:dyDescent="0.3">
      <c r="B38" s="285"/>
      <c r="C38" s="73" t="s">
        <v>141</v>
      </c>
      <c r="D38" s="73"/>
      <c r="E38" s="75"/>
      <c r="F38" s="75"/>
      <c r="G38" s="75"/>
      <c r="H38" s="356"/>
      <c r="I38" s="5">
        <f>+'Veridian Apr 2018 RPP TU'!I46</f>
        <v>0</v>
      </c>
      <c r="M38" s="279"/>
      <c r="N38" s="280"/>
      <c r="O38" s="280"/>
      <c r="P38" s="280"/>
      <c r="Q38" s="280"/>
      <c r="R38" s="280"/>
      <c r="S38" s="280"/>
      <c r="T38" s="280"/>
      <c r="U38" s="280"/>
      <c r="V38" s="270"/>
      <c r="W38" s="270"/>
    </row>
    <row r="39" spans="2:23" x14ac:dyDescent="0.3">
      <c r="B39" s="285"/>
      <c r="C39" s="73" t="s">
        <v>198</v>
      </c>
      <c r="D39" s="73"/>
      <c r="E39" s="75"/>
      <c r="F39" s="75"/>
      <c r="G39" s="75"/>
      <c r="H39" s="356"/>
      <c r="I39" s="5">
        <f>-I37-I38</f>
        <v>-5078.5992231507989</v>
      </c>
      <c r="M39" s="279"/>
      <c r="N39" s="280"/>
      <c r="O39" s="280"/>
      <c r="P39" s="280"/>
      <c r="Q39" s="280"/>
      <c r="R39" s="280"/>
      <c r="S39" s="280"/>
      <c r="T39" s="280"/>
      <c r="U39" s="280"/>
      <c r="V39" s="270"/>
      <c r="W39" s="270"/>
    </row>
    <row r="40" spans="2:23" ht="15" thickBot="1" x14ac:dyDescent="0.35">
      <c r="B40" s="285"/>
      <c r="C40" s="73"/>
      <c r="D40" s="73"/>
      <c r="E40" s="75"/>
      <c r="F40" s="75"/>
      <c r="G40" s="75"/>
      <c r="H40" s="356"/>
      <c r="I40" s="372">
        <f>SUM(I37:I39)</f>
        <v>0</v>
      </c>
      <c r="M40" s="279"/>
      <c r="N40" s="280"/>
      <c r="O40" s="280"/>
      <c r="P40" s="280"/>
      <c r="Q40" s="280"/>
      <c r="R40" s="280"/>
      <c r="S40" s="280"/>
      <c r="T40" s="280"/>
      <c r="U40" s="280"/>
      <c r="V40" s="270"/>
      <c r="W40" s="270"/>
    </row>
    <row r="41" spans="2:23" x14ac:dyDescent="0.3">
      <c r="B41" s="285"/>
      <c r="C41" s="73"/>
      <c r="D41" s="73"/>
      <c r="E41" s="75"/>
      <c r="F41" s="75"/>
      <c r="G41" s="75"/>
      <c r="H41" s="356"/>
      <c r="I41" s="144"/>
      <c r="M41" s="279"/>
      <c r="N41" s="280"/>
      <c r="O41" s="280"/>
      <c r="P41" s="280"/>
      <c r="Q41" s="280"/>
      <c r="R41" s="280"/>
      <c r="S41" s="280"/>
      <c r="T41" s="280"/>
      <c r="U41" s="280"/>
      <c r="V41" s="270"/>
      <c r="W41" s="270"/>
    </row>
    <row r="42" spans="2:23" x14ac:dyDescent="0.3">
      <c r="B42" s="285" t="s">
        <v>108</v>
      </c>
      <c r="C42" s="73" t="s">
        <v>91</v>
      </c>
      <c r="D42" s="73"/>
      <c r="E42" s="75"/>
      <c r="F42" s="75"/>
      <c r="G42" s="75">
        <f>G37</f>
        <v>170230.70732739056</v>
      </c>
      <c r="H42" s="356">
        <f>+'Veridian - 2018Apr'!C50</f>
        <v>9.9593160920509766E-2</v>
      </c>
      <c r="I42" s="5">
        <f t="shared" ref="I42" si="5">G42*H42</f>
        <v>16953.814228469008</v>
      </c>
      <c r="M42" s="279"/>
      <c r="N42" s="280"/>
      <c r="O42" s="280"/>
      <c r="P42" s="280"/>
      <c r="Q42" s="280"/>
      <c r="R42" s="280"/>
      <c r="S42" s="280"/>
      <c r="T42" s="280"/>
      <c r="U42" s="280"/>
      <c r="V42" s="270"/>
      <c r="W42" s="270"/>
    </row>
    <row r="43" spans="2:23" x14ac:dyDescent="0.3">
      <c r="B43" s="285"/>
      <c r="C43" s="73" t="s">
        <v>177</v>
      </c>
      <c r="D43" s="73"/>
      <c r="E43" s="75"/>
      <c r="F43" s="75"/>
      <c r="G43" s="75"/>
      <c r="H43" s="356"/>
      <c r="I43" s="144">
        <f>-I42</f>
        <v>-16953.814228469008</v>
      </c>
      <c r="M43" s="279"/>
      <c r="N43" s="280"/>
      <c r="O43" s="280"/>
      <c r="P43" s="280"/>
      <c r="Q43" s="280"/>
      <c r="R43" s="280"/>
      <c r="S43" s="280"/>
      <c r="T43" s="280"/>
      <c r="U43" s="280"/>
      <c r="V43" s="270"/>
      <c r="W43" s="270"/>
    </row>
    <row r="44" spans="2:23" ht="15" thickBot="1" x14ac:dyDescent="0.35">
      <c r="B44" s="285"/>
      <c r="C44" s="73"/>
      <c r="D44" s="73"/>
      <c r="E44" s="75"/>
      <c r="F44" s="75"/>
      <c r="G44" s="75"/>
      <c r="H44" s="356"/>
      <c r="I44" s="372">
        <f>SUM(I41:I43)</f>
        <v>0</v>
      </c>
      <c r="M44" s="279"/>
      <c r="N44" s="280"/>
      <c r="O44" s="280"/>
      <c r="P44" s="280"/>
      <c r="Q44" s="280"/>
      <c r="R44" s="280"/>
      <c r="S44" s="280"/>
      <c r="T44" s="280"/>
      <c r="U44" s="280"/>
      <c r="V44" s="270"/>
      <c r="W44" s="270"/>
    </row>
    <row r="45" spans="2:23" x14ac:dyDescent="0.3">
      <c r="B45" s="285"/>
      <c r="C45" s="73"/>
      <c r="D45" s="73"/>
      <c r="E45" s="75"/>
      <c r="F45" s="75"/>
      <c r="G45" s="75"/>
      <c r="H45" s="356"/>
      <c r="I45" s="144"/>
      <c r="M45" s="279"/>
      <c r="N45" s="280"/>
      <c r="O45" s="280"/>
      <c r="P45" s="280"/>
      <c r="Q45" s="280"/>
      <c r="R45" s="280"/>
      <c r="S45" s="280"/>
      <c r="T45" s="280"/>
      <c r="U45" s="280"/>
      <c r="V45" s="270"/>
      <c r="W45" s="270"/>
    </row>
    <row r="46" spans="2:23" x14ac:dyDescent="0.3">
      <c r="B46" s="285"/>
      <c r="E46" s="266"/>
      <c r="F46" s="266"/>
      <c r="G46" s="266"/>
      <c r="H46" s="292"/>
      <c r="I46" s="267"/>
      <c r="M46" s="279"/>
      <c r="N46" s="280"/>
      <c r="O46" s="280"/>
      <c r="P46" s="280"/>
      <c r="Q46" s="280"/>
      <c r="R46" s="280"/>
      <c r="S46" s="280"/>
      <c r="T46" s="280"/>
      <c r="U46" s="280"/>
      <c r="V46" s="270"/>
      <c r="W46" s="270"/>
    </row>
    <row r="47" spans="2:23" x14ac:dyDescent="0.3">
      <c r="B47" s="285"/>
      <c r="E47" s="266"/>
      <c r="F47" s="266"/>
      <c r="G47" s="266"/>
      <c r="H47" s="292"/>
      <c r="I47" s="267"/>
      <c r="M47" s="279"/>
      <c r="N47" s="280"/>
      <c r="O47" s="280"/>
      <c r="P47" s="280"/>
      <c r="Q47" s="280"/>
      <c r="R47" s="280"/>
      <c r="S47" s="280"/>
      <c r="T47" s="280"/>
      <c r="U47" s="280"/>
      <c r="V47" s="270"/>
      <c r="W47" s="270"/>
    </row>
    <row r="48" spans="2:23" ht="15" thickBot="1" x14ac:dyDescent="0.35">
      <c r="B48" s="294"/>
      <c r="C48" s="295"/>
      <c r="D48" s="295"/>
      <c r="E48" s="296"/>
      <c r="F48" s="296"/>
      <c r="G48" s="296"/>
      <c r="H48" s="297"/>
      <c r="I48" s="296"/>
      <c r="M48" s="279"/>
      <c r="N48" s="280"/>
      <c r="O48" s="280"/>
      <c r="P48" s="280"/>
      <c r="Q48" s="280"/>
      <c r="R48" s="280"/>
      <c r="S48" s="280"/>
      <c r="T48" s="280"/>
      <c r="U48" s="280"/>
      <c r="V48" s="270"/>
      <c r="W48" s="270"/>
    </row>
    <row r="49" spans="2:29" ht="15" hidden="1" customHeight="1" x14ac:dyDescent="0.3">
      <c r="B49" s="259"/>
      <c r="C49" s="298"/>
      <c r="D49" s="259"/>
      <c r="E49" s="259"/>
      <c r="F49" s="259"/>
      <c r="G49" s="259"/>
      <c r="H49" s="259"/>
      <c r="I49" s="259"/>
      <c r="M49" s="279"/>
      <c r="N49" s="280"/>
      <c r="O49" s="280"/>
      <c r="P49" s="280"/>
      <c r="Q49" s="280"/>
      <c r="R49" s="280"/>
      <c r="S49" s="280"/>
      <c r="T49" s="280"/>
      <c r="U49" s="280"/>
      <c r="V49" s="270"/>
      <c r="W49" s="270"/>
    </row>
    <row r="50" spans="2:29" hidden="1" x14ac:dyDescent="0.3">
      <c r="B50" s="299"/>
      <c r="C50" s="259"/>
      <c r="D50" s="259"/>
      <c r="E50" s="267"/>
      <c r="F50" s="267"/>
      <c r="G50" s="271"/>
      <c r="H50" s="300"/>
      <c r="I50" s="271"/>
      <c r="M50" s="279"/>
      <c r="N50" s="280"/>
      <c r="O50" s="280"/>
      <c r="P50" s="280"/>
      <c r="Q50" s="280"/>
      <c r="R50" s="280"/>
      <c r="S50" s="280"/>
      <c r="T50" s="280"/>
      <c r="U50" s="280"/>
      <c r="V50" s="270"/>
      <c r="W50" s="270"/>
    </row>
    <row r="51" spans="2:29" hidden="1" x14ac:dyDescent="0.3">
      <c r="B51" s="259"/>
      <c r="C51" s="259"/>
      <c r="D51" s="259"/>
      <c r="E51" s="259"/>
      <c r="F51" s="267"/>
      <c r="G51" s="271"/>
      <c r="H51" s="300"/>
      <c r="I51" s="271"/>
      <c r="M51" s="279"/>
      <c r="N51" s="280"/>
      <c r="O51" s="280"/>
      <c r="P51" s="280"/>
      <c r="Q51" s="280"/>
      <c r="R51" s="280"/>
      <c r="S51" s="280"/>
      <c r="T51" s="280"/>
      <c r="U51" s="280"/>
      <c r="V51" s="270"/>
      <c r="W51" s="270"/>
    </row>
    <row r="52" spans="2:29" hidden="1" x14ac:dyDescent="0.3">
      <c r="B52" s="259"/>
      <c r="C52" s="259"/>
      <c r="D52" s="259"/>
      <c r="E52" s="259"/>
      <c r="F52" s="259"/>
      <c r="G52" s="259"/>
      <c r="H52" s="259"/>
      <c r="I52" s="267"/>
      <c r="M52" s="279"/>
      <c r="N52" s="280"/>
      <c r="O52" s="280"/>
      <c r="P52" s="280"/>
      <c r="Q52" s="280"/>
      <c r="R52" s="280"/>
      <c r="S52" s="280"/>
      <c r="T52" s="280"/>
      <c r="U52" s="280"/>
      <c r="V52" s="270"/>
      <c r="W52" s="270"/>
    </row>
    <row r="53" spans="2:29" hidden="1" x14ac:dyDescent="0.3">
      <c r="B53" s="259"/>
      <c r="C53" s="259"/>
      <c r="D53" s="259"/>
      <c r="E53" s="259"/>
      <c r="F53" s="259"/>
      <c r="G53" s="259"/>
      <c r="H53" s="259"/>
      <c r="I53" s="267"/>
      <c r="M53" s="279"/>
      <c r="N53" s="280"/>
      <c r="O53" s="280"/>
      <c r="P53" s="280"/>
      <c r="Q53" s="280"/>
      <c r="R53" s="280"/>
      <c r="S53" s="280"/>
      <c r="T53" s="280"/>
      <c r="U53" s="280"/>
      <c r="V53" s="270"/>
      <c r="W53" s="270"/>
    </row>
    <row r="54" spans="2:29" x14ac:dyDescent="0.3">
      <c r="I54" s="270"/>
      <c r="N54" s="280"/>
      <c r="O54" s="280"/>
      <c r="P54" s="280"/>
      <c r="Q54" s="280"/>
      <c r="R54" s="280"/>
      <c r="S54" s="280"/>
      <c r="T54" s="280"/>
      <c r="U54" s="280"/>
      <c r="V54" s="270"/>
      <c r="W54" s="270"/>
    </row>
    <row r="55" spans="2:29" x14ac:dyDescent="0.3">
      <c r="B55" s="258" t="s">
        <v>162</v>
      </c>
      <c r="E55" s="301" t="s">
        <v>180</v>
      </c>
      <c r="F55" s="301" t="s">
        <v>89</v>
      </c>
      <c r="G55" s="288" t="s">
        <v>62</v>
      </c>
      <c r="N55" s="280"/>
      <c r="O55" s="280"/>
      <c r="P55" s="280"/>
      <c r="Q55" s="280"/>
      <c r="R55" s="280"/>
      <c r="S55" s="280"/>
      <c r="T55" s="280"/>
      <c r="U55" s="280"/>
      <c r="V55" s="270"/>
      <c r="W55" s="270"/>
    </row>
    <row r="56" spans="2:29" x14ac:dyDescent="0.3">
      <c r="C56" s="257" t="s">
        <v>141</v>
      </c>
      <c r="E56" s="268"/>
      <c r="L56" s="259"/>
      <c r="M56" s="259"/>
      <c r="N56" s="259"/>
      <c r="O56" s="259"/>
      <c r="P56" s="259"/>
    </row>
    <row r="57" spans="2:29" x14ac:dyDescent="0.3">
      <c r="C57" s="257" t="s">
        <v>141</v>
      </c>
      <c r="E57" s="268"/>
      <c r="L57" s="302"/>
      <c r="M57" s="259"/>
      <c r="N57" s="259"/>
      <c r="O57" s="259"/>
      <c r="P57" s="259"/>
    </row>
    <row r="58" spans="2:29" x14ac:dyDescent="0.3">
      <c r="C58" s="257" t="s">
        <v>90</v>
      </c>
      <c r="E58" s="303">
        <f>+'Veridian - 2018Apr'!E74</f>
        <v>8254189.7512301877</v>
      </c>
      <c r="F58" s="303">
        <f>'Veridian - 2018Apr'!E74</f>
        <v>8254189.7512301877</v>
      </c>
      <c r="G58" s="303">
        <f>E58-F58</f>
        <v>0</v>
      </c>
      <c r="L58" s="302"/>
      <c r="M58" s="304"/>
      <c r="N58" s="304"/>
      <c r="O58" s="302"/>
      <c r="P58" s="259"/>
    </row>
    <row r="59" spans="2:29" x14ac:dyDescent="0.3">
      <c r="L59" s="305"/>
      <c r="M59" s="306"/>
      <c r="N59" s="307"/>
      <c r="O59" s="307"/>
      <c r="P59" s="259"/>
    </row>
    <row r="60" spans="2:29" x14ac:dyDescent="0.3">
      <c r="C60" s="257" t="s">
        <v>93</v>
      </c>
      <c r="E60" s="268">
        <f>'Veridian - 2018Apr'!E78</f>
        <v>3212686.4094620892</v>
      </c>
      <c r="F60" s="268">
        <f>'Veridian - 2018Apr'!E78</f>
        <v>3212686.4094620892</v>
      </c>
      <c r="G60" s="268">
        <f>E60-F60</f>
        <v>0</v>
      </c>
      <c r="L60" s="308"/>
      <c r="M60" s="308"/>
      <c r="N60" s="308"/>
      <c r="O60" s="308"/>
      <c r="P60" s="259"/>
      <c r="Q60" s="266"/>
      <c r="R60" s="266"/>
      <c r="S60" s="266"/>
      <c r="T60" s="266"/>
      <c r="U60" s="266"/>
      <c r="V60" s="266"/>
      <c r="W60" s="266"/>
      <c r="X60" s="266"/>
      <c r="Y60" s="266"/>
      <c r="Z60" s="266"/>
      <c r="AA60" s="266"/>
      <c r="AB60" s="266"/>
      <c r="AC60" s="266"/>
    </row>
    <row r="61" spans="2:29" ht="15" thickBot="1" x14ac:dyDescent="0.35">
      <c r="E61" s="293">
        <f>SUM(E58:E60)</f>
        <v>11466876.160692276</v>
      </c>
      <c r="F61" s="293">
        <f>SUM(F58:F60)</f>
        <v>11466876.160692276</v>
      </c>
      <c r="G61" s="293">
        <f>E61-F61</f>
        <v>0</v>
      </c>
      <c r="L61" s="302"/>
      <c r="M61" s="309"/>
      <c r="N61" s="309"/>
      <c r="O61" s="309"/>
      <c r="P61" s="259"/>
      <c r="Q61" s="310"/>
      <c r="R61" s="310"/>
      <c r="S61" s="310"/>
      <c r="T61" s="310"/>
      <c r="U61" s="310"/>
      <c r="V61" s="310"/>
      <c r="W61" s="310"/>
      <c r="X61" s="310"/>
      <c r="Y61" s="310"/>
      <c r="Z61" s="310"/>
      <c r="AA61" s="310"/>
      <c r="AB61" s="310"/>
      <c r="AC61" s="310"/>
    </row>
    <row r="62" spans="2:29" x14ac:dyDescent="0.3">
      <c r="L62" s="311"/>
      <c r="M62" s="312"/>
      <c r="N62" s="313"/>
      <c r="O62" s="308"/>
      <c r="P62" s="259"/>
      <c r="Q62" s="266"/>
      <c r="R62" s="266"/>
      <c r="S62" s="266"/>
      <c r="T62" s="266"/>
      <c r="U62" s="266"/>
      <c r="V62" s="266"/>
      <c r="W62" s="266"/>
      <c r="X62" s="266"/>
      <c r="Y62" s="266"/>
      <c r="Z62" s="266"/>
      <c r="AA62" s="266"/>
      <c r="AB62" s="266"/>
      <c r="AC62" s="266"/>
    </row>
    <row r="63" spans="2:29" x14ac:dyDescent="0.3">
      <c r="B63" s="258" t="s">
        <v>114</v>
      </c>
      <c r="L63" s="360"/>
      <c r="M63" s="360"/>
      <c r="N63" s="360"/>
      <c r="O63" s="360"/>
      <c r="P63" s="259"/>
    </row>
    <row r="64" spans="2:29" x14ac:dyDescent="0.3">
      <c r="C64" s="21" t="s">
        <v>199</v>
      </c>
      <c r="E64" s="268">
        <f>'Veridian - 2018Apr'!E57</f>
        <v>6049143.7699999996</v>
      </c>
      <c r="F64" s="268">
        <f>'Veridian - 2018Apr'!E57</f>
        <v>6049143.7699999996</v>
      </c>
      <c r="L64" s="396"/>
      <c r="M64" s="397"/>
      <c r="N64" s="397"/>
      <c r="O64" s="397"/>
      <c r="P64" s="259"/>
      <c r="Q64" s="266"/>
      <c r="R64" s="266"/>
      <c r="S64" s="266"/>
      <c r="T64" s="266"/>
      <c r="U64" s="266"/>
      <c r="V64" s="266"/>
      <c r="W64" s="266"/>
      <c r="X64" s="266"/>
      <c r="Y64" s="266"/>
      <c r="Z64" s="266"/>
      <c r="AA64" s="266"/>
      <c r="AB64" s="266"/>
      <c r="AC64" s="266"/>
    </row>
    <row r="65" spans="2:29" ht="15" customHeight="1" x14ac:dyDescent="0.3">
      <c r="C65" s="21" t="s">
        <v>173</v>
      </c>
      <c r="E65" s="268">
        <f>'Veridian - 2018Apr'!E56+'Veridian - 2018Apr'!E62</f>
        <v>164409.36999999988</v>
      </c>
      <c r="F65" s="268">
        <f>'Veridian - 2018Apr'!E56+'Veridian - 2018Apr'!E62</f>
        <v>164409.36999999988</v>
      </c>
      <c r="L65" s="397"/>
      <c r="M65" s="397"/>
      <c r="N65" s="397"/>
      <c r="O65" s="397"/>
      <c r="Q65" s="310"/>
      <c r="R65" s="310"/>
      <c r="S65" s="310"/>
      <c r="T65" s="310"/>
      <c r="U65" s="310"/>
      <c r="V65" s="310"/>
      <c r="W65" s="310"/>
      <c r="X65" s="310"/>
      <c r="Y65" s="310"/>
      <c r="Z65" s="310"/>
      <c r="AA65" s="310"/>
      <c r="AB65" s="310"/>
      <c r="AC65" s="310"/>
    </row>
    <row r="66" spans="2:29" x14ac:dyDescent="0.3">
      <c r="C66" s="21" t="s">
        <v>141</v>
      </c>
      <c r="E66" s="268">
        <f>E57</f>
        <v>0</v>
      </c>
      <c r="F66" s="268"/>
      <c r="L66" s="360"/>
      <c r="M66" s="361"/>
      <c r="N66" s="361"/>
      <c r="O66" s="361"/>
      <c r="Q66" s="266"/>
      <c r="R66" s="266"/>
      <c r="S66" s="266"/>
      <c r="T66" s="266"/>
      <c r="U66" s="266"/>
      <c r="V66" s="266"/>
      <c r="W66" s="266"/>
      <c r="X66" s="266"/>
      <c r="Y66" s="266"/>
      <c r="Z66" s="266"/>
      <c r="AA66" s="266"/>
      <c r="AB66" s="266"/>
      <c r="AC66" s="266"/>
    </row>
    <row r="67" spans="2:29" x14ac:dyDescent="0.3">
      <c r="C67" s="21" t="s">
        <v>95</v>
      </c>
      <c r="E67" s="268"/>
      <c r="F67" s="268">
        <f>'Veridian - 2018Apr'!E59</f>
        <v>10006035.719367472</v>
      </c>
      <c r="L67" s="362"/>
      <c r="M67" s="363"/>
      <c r="N67" s="364"/>
      <c r="O67" s="364"/>
    </row>
    <row r="68" spans="2:29" ht="15" thickBot="1" x14ac:dyDescent="0.35">
      <c r="C68" s="21" t="s">
        <v>201</v>
      </c>
      <c r="E68" s="268">
        <f>+'Veridian Apr 2018 RPP TU'!H47-'Veridian Apr 2018 RPP TU'!I47</f>
        <v>5283477.383249538</v>
      </c>
      <c r="F68" s="268">
        <f>'Veridian Apr 2018 RPP TU'!K23</f>
        <v>-4733070.892351904</v>
      </c>
      <c r="L68" s="365"/>
      <c r="M68" s="365"/>
      <c r="N68" s="366"/>
      <c r="O68" s="366"/>
    </row>
    <row r="69" spans="2:29" ht="15" customHeight="1" x14ac:dyDescent="0.3">
      <c r="C69" s="21" t="s">
        <v>198</v>
      </c>
      <c r="E69" s="268">
        <f>+I33-I39</f>
        <v>-10512.556233968564</v>
      </c>
      <c r="F69" s="268"/>
      <c r="I69" s="392" t="s">
        <v>178</v>
      </c>
      <c r="L69" s="360"/>
      <c r="M69" s="367"/>
      <c r="N69" s="367"/>
      <c r="O69" s="367"/>
      <c r="Q69" s="314"/>
    </row>
    <row r="70" spans="2:29" ht="15" thickBot="1" x14ac:dyDescent="0.35">
      <c r="E70" s="293">
        <f>SUM(E64:E69)</f>
        <v>11486517.967015568</v>
      </c>
      <c r="F70" s="293">
        <f>SUM(F64:F69)</f>
        <v>11486517.967015568</v>
      </c>
      <c r="G70" s="293">
        <f>E70-F70</f>
        <v>0</v>
      </c>
      <c r="H70" s="285"/>
      <c r="I70" s="393"/>
      <c r="L70" s="368"/>
      <c r="M70" s="369"/>
      <c r="N70" s="366"/>
      <c r="O70" s="366"/>
    </row>
    <row r="71" spans="2:29" x14ac:dyDescent="0.3">
      <c r="I71" s="315">
        <v>5.0000000000000001E-3</v>
      </c>
      <c r="L71" s="370"/>
      <c r="M71" s="73"/>
      <c r="N71" s="75"/>
      <c r="O71" s="73"/>
      <c r="P71" s="259"/>
      <c r="Q71" s="259"/>
      <c r="R71" s="259"/>
    </row>
    <row r="72" spans="2:29" ht="15" thickBot="1" x14ac:dyDescent="0.35">
      <c r="B72" s="316" t="s">
        <v>169</v>
      </c>
      <c r="C72" s="316"/>
      <c r="D72" s="316"/>
      <c r="E72" s="317">
        <f>E70-E61</f>
        <v>19641.806323291734</v>
      </c>
      <c r="F72" s="317">
        <f>F70-F61</f>
        <v>19641.806323291734</v>
      </c>
      <c r="G72" s="317">
        <f>ROUND(E72-F72,0)</f>
        <v>0</v>
      </c>
      <c r="I72" s="318">
        <f>I71*F70</f>
        <v>57432.589835077844</v>
      </c>
      <c r="J72" s="267"/>
      <c r="L72" s="144"/>
      <c r="M72" s="73"/>
      <c r="N72" s="371"/>
      <c r="O72" s="356"/>
      <c r="P72" s="259"/>
      <c r="Q72" s="259"/>
      <c r="R72" s="259"/>
    </row>
    <row r="73" spans="2:29" ht="15.6" thickTop="1" thickBot="1" x14ac:dyDescent="0.35">
      <c r="B73" s="338" t="s">
        <v>200</v>
      </c>
      <c r="I73" s="357" t="str">
        <f>IF(ABS(E69)&lt;ABS(I72),"Not Applicable","Review")</f>
        <v>Not Applicable</v>
      </c>
      <c r="J73" s="267"/>
      <c r="L73" s="144"/>
      <c r="M73" s="73"/>
      <c r="N73" s="144"/>
      <c r="O73" s="73"/>
      <c r="P73" s="259"/>
      <c r="Q73" s="259"/>
      <c r="R73" s="259"/>
    </row>
    <row r="74" spans="2:29" x14ac:dyDescent="0.3">
      <c r="B74" s="298"/>
      <c r="C74" s="259"/>
      <c r="D74" s="259"/>
      <c r="E74" s="259"/>
      <c r="F74" s="259"/>
      <c r="G74" s="267"/>
      <c r="I74" s="21"/>
      <c r="L74" s="271"/>
      <c r="M74" s="259"/>
      <c r="N74" s="271"/>
      <c r="O74" s="259"/>
      <c r="P74" s="267"/>
      <c r="Q74" s="259"/>
      <c r="R74" s="267"/>
    </row>
    <row r="75" spans="2:29" hidden="1" x14ac:dyDescent="0.3">
      <c r="B75" s="299"/>
      <c r="C75" s="259"/>
      <c r="D75" s="259"/>
      <c r="E75" s="259"/>
      <c r="F75" s="259"/>
      <c r="G75" s="267"/>
      <c r="I75" s="21"/>
      <c r="L75" s="267"/>
      <c r="M75" s="259"/>
      <c r="N75" s="271"/>
      <c r="O75" s="259"/>
      <c r="P75" s="259"/>
      <c r="Q75" s="259"/>
      <c r="R75" s="259"/>
    </row>
    <row r="76" spans="2:29" hidden="1" x14ac:dyDescent="0.3">
      <c r="B76" s="259"/>
      <c r="C76" s="259"/>
      <c r="D76" s="259"/>
      <c r="E76" s="259"/>
      <c r="F76" s="259"/>
      <c r="G76" s="267"/>
      <c r="I76" s="21"/>
      <c r="L76" s="259"/>
      <c r="M76" s="259"/>
      <c r="N76" s="267"/>
      <c r="O76" s="259"/>
      <c r="P76" s="259"/>
      <c r="Q76" s="259"/>
      <c r="R76" s="267"/>
    </row>
    <row r="77" spans="2:29" hidden="1" x14ac:dyDescent="0.3">
      <c r="B77" s="259"/>
      <c r="C77" s="259"/>
      <c r="D77" s="259"/>
      <c r="E77" s="259"/>
      <c r="F77" s="259"/>
      <c r="G77" s="267"/>
      <c r="I77" s="21"/>
    </row>
    <row r="78" spans="2:29" hidden="1" x14ac:dyDescent="0.3">
      <c r="I78" s="21"/>
    </row>
    <row r="79" spans="2:29" hidden="1" x14ac:dyDescent="0.3">
      <c r="F79" s="268"/>
      <c r="I79" s="21"/>
    </row>
    <row r="80" spans="2:29" hidden="1" x14ac:dyDescent="0.3">
      <c r="C80" s="258"/>
      <c r="I80" s="21"/>
    </row>
    <row r="81" spans="1:10" ht="18" customHeight="1" x14ac:dyDescent="0.3">
      <c r="B81" s="258" t="s">
        <v>80</v>
      </c>
      <c r="E81" s="301" t="str">
        <f>E55</f>
        <v>EV Method</v>
      </c>
      <c r="F81" s="301" t="s">
        <v>89</v>
      </c>
      <c r="G81" s="288" t="s">
        <v>62</v>
      </c>
      <c r="I81" s="21"/>
    </row>
    <row r="82" spans="1:10" x14ac:dyDescent="0.3">
      <c r="C82" s="257" t="s">
        <v>109</v>
      </c>
      <c r="E82" s="268">
        <f>'Veridian - 2018Apr'!E81+'Veridian - 2018Apr'!E80</f>
        <v>6060247.3462198125</v>
      </c>
      <c r="F82" s="268">
        <f>'Veridian - 2018Apr'!E81+'Veridian - 2018Apr'!E80</f>
        <v>6060247.3462198125</v>
      </c>
      <c r="G82" s="259"/>
      <c r="H82" s="259"/>
      <c r="I82" s="21"/>
    </row>
    <row r="83" spans="1:10" x14ac:dyDescent="0.3">
      <c r="C83" s="257" t="s">
        <v>99</v>
      </c>
      <c r="E83" s="268">
        <f>'Veridian - 2018Apr'!E79</f>
        <v>2815469.44</v>
      </c>
      <c r="F83" s="268">
        <f>'Veridian - 2018Apr'!E79</f>
        <v>2815469.44</v>
      </c>
      <c r="G83" s="259"/>
      <c r="H83" s="319"/>
      <c r="I83" s="21"/>
    </row>
    <row r="84" spans="1:10" ht="15" thickBot="1" x14ac:dyDescent="0.35">
      <c r="C84" s="257" t="s">
        <v>96</v>
      </c>
      <c r="E84" s="293">
        <f>SUM(E82:E83)</f>
        <v>8875716.7862198129</v>
      </c>
      <c r="F84" s="293">
        <f>SUM(F82:F83)</f>
        <v>8875716.7862198129</v>
      </c>
      <c r="G84" s="293">
        <f>E84-F84</f>
        <v>0</v>
      </c>
      <c r="H84" s="319"/>
      <c r="I84" s="46"/>
    </row>
    <row r="85" spans="1:10" x14ac:dyDescent="0.3">
      <c r="E85" s="267"/>
      <c r="F85" s="267"/>
      <c r="G85" s="268"/>
      <c r="H85" s="319"/>
      <c r="I85" s="46"/>
    </row>
    <row r="86" spans="1:10" x14ac:dyDescent="0.3">
      <c r="B86" s="257" t="s">
        <v>115</v>
      </c>
      <c r="E86" s="271"/>
      <c r="F86" s="269"/>
      <c r="G86" s="259"/>
      <c r="H86" s="319"/>
      <c r="I86" s="21"/>
    </row>
    <row r="87" spans="1:10" ht="15" thickBot="1" x14ac:dyDescent="0.35">
      <c r="C87" s="257" t="s">
        <v>97</v>
      </c>
      <c r="E87" s="271">
        <f>'Veridian - 2018Apr'!E58</f>
        <v>2815469.44</v>
      </c>
      <c r="F87" s="268">
        <f>'Veridian - 2018Apr'!E58</f>
        <v>2815469.44</v>
      </c>
      <c r="G87" s="259"/>
      <c r="H87" s="319"/>
      <c r="I87" s="21"/>
    </row>
    <row r="88" spans="1:10" x14ac:dyDescent="0.3">
      <c r="C88" s="257" t="s">
        <v>98</v>
      </c>
      <c r="E88" s="271">
        <f>+'Veridian - 2018Apr'!E59+'Veridian - 2018Apr'!E60</f>
        <v>16166736.538133282</v>
      </c>
      <c r="F88" s="268">
        <f>'Veridian - 2018Apr'!E60</f>
        <v>6160700.8187658088</v>
      </c>
      <c r="G88" s="259"/>
      <c r="H88" s="319"/>
      <c r="I88" s="394" t="s">
        <v>178</v>
      </c>
    </row>
    <row r="89" spans="1:10" x14ac:dyDescent="0.3">
      <c r="C89" s="21" t="s">
        <v>201</v>
      </c>
      <c r="E89" s="271">
        <f>-'Veridian Apr 2018 RPP TU'!J47</f>
        <v>-10022989.533595942</v>
      </c>
      <c r="F89" s="268"/>
      <c r="G89" s="259"/>
      <c r="H89" s="319"/>
      <c r="I89" s="395"/>
    </row>
    <row r="90" spans="1:10" x14ac:dyDescent="0.3">
      <c r="C90" s="21" t="s">
        <v>198</v>
      </c>
      <c r="E90" s="271">
        <f>-I43</f>
        <v>16953.814228469008</v>
      </c>
      <c r="F90" s="268"/>
      <c r="G90" s="259"/>
      <c r="H90" s="319"/>
      <c r="I90" s="395"/>
    </row>
    <row r="91" spans="1:10" ht="15" thickBot="1" x14ac:dyDescent="0.35">
      <c r="C91" s="257" t="s">
        <v>100</v>
      </c>
      <c r="E91" s="293">
        <f>SUM(E87:E90)</f>
        <v>8976170.2587658111</v>
      </c>
      <c r="F91" s="293">
        <f>SUM(F87:F88)</f>
        <v>8976170.2587658092</v>
      </c>
      <c r="G91" s="293">
        <f>E91-F91</f>
        <v>0</v>
      </c>
      <c r="H91" s="320"/>
      <c r="I91" s="395"/>
    </row>
    <row r="92" spans="1:10" x14ac:dyDescent="0.3">
      <c r="G92" s="259"/>
      <c r="H92" s="319"/>
      <c r="I92" s="358">
        <v>5.0000000000000001E-3</v>
      </c>
    </row>
    <row r="93" spans="1:10" ht="15" thickBot="1" x14ac:dyDescent="0.35">
      <c r="B93" s="316" t="s">
        <v>160</v>
      </c>
      <c r="C93" s="316"/>
      <c r="D93" s="316"/>
      <c r="E93" s="317">
        <f>E91-E84</f>
        <v>100453.47254599817</v>
      </c>
      <c r="F93" s="317">
        <f>F91-F84</f>
        <v>100453.47254599631</v>
      </c>
      <c r="G93" s="317">
        <f>E93-F93</f>
        <v>1.862645149230957E-9</v>
      </c>
      <c r="H93" s="319"/>
      <c r="I93" s="359">
        <f>I92*F91</f>
        <v>44880.851293829044</v>
      </c>
      <c r="J93" s="267"/>
    </row>
    <row r="94" spans="1:10" ht="15.6" thickTop="1" thickBot="1" x14ac:dyDescent="0.35">
      <c r="B94" s="338" t="s">
        <v>200</v>
      </c>
      <c r="E94" s="321"/>
      <c r="F94" s="321"/>
      <c r="G94" s="259"/>
      <c r="H94" s="319"/>
      <c r="I94" s="357" t="str">
        <f>IF(ABS(E90)&lt;ABS(I93),"Not Applicable","Review")</f>
        <v>Not Applicable</v>
      </c>
      <c r="J94" s="267"/>
    </row>
    <row r="95" spans="1:10" x14ac:dyDescent="0.3">
      <c r="A95" s="259"/>
      <c r="B95" s="299"/>
      <c r="C95" s="283"/>
      <c r="D95" s="259"/>
      <c r="E95" s="271"/>
      <c r="F95" s="269"/>
      <c r="G95" s="259"/>
      <c r="H95" s="319"/>
      <c r="I95" s="259"/>
    </row>
    <row r="96" spans="1:10" hidden="1" x14ac:dyDescent="0.3">
      <c r="A96" s="259"/>
      <c r="B96" s="259"/>
      <c r="C96" s="259"/>
      <c r="D96" s="259"/>
      <c r="E96" s="269"/>
      <c r="F96" s="269"/>
      <c r="G96" s="269"/>
      <c r="H96" s="269"/>
      <c r="I96" s="269"/>
    </row>
    <row r="97" spans="1:42" hidden="1" x14ac:dyDescent="0.3">
      <c r="A97" s="259"/>
      <c r="B97" s="259"/>
      <c r="C97" s="259"/>
      <c r="D97" s="259"/>
      <c r="E97" s="271"/>
      <c r="F97" s="271"/>
      <c r="G97" s="271"/>
      <c r="H97" s="322"/>
      <c r="I97" s="271"/>
    </row>
    <row r="98" spans="1:42" hidden="1" x14ac:dyDescent="0.3">
      <c r="A98" s="259"/>
      <c r="B98" s="259"/>
      <c r="C98" s="259"/>
      <c r="D98" s="259"/>
      <c r="E98" s="271"/>
      <c r="F98" s="271"/>
      <c r="G98" s="271"/>
      <c r="H98" s="322"/>
      <c r="I98" s="271"/>
    </row>
    <row r="99" spans="1:42" hidden="1" x14ac:dyDescent="0.3">
      <c r="A99" s="259"/>
      <c r="B99" s="259"/>
      <c r="C99" s="259"/>
      <c r="D99" s="259"/>
      <c r="E99" s="271"/>
      <c r="F99" s="271"/>
      <c r="G99" s="271"/>
      <c r="H99" s="291"/>
      <c r="I99" s="271"/>
    </row>
    <row r="100" spans="1:42" hidden="1" x14ac:dyDescent="0.3">
      <c r="B100" s="259"/>
      <c r="C100" s="259"/>
      <c r="D100" s="259"/>
      <c r="E100" s="259"/>
      <c r="F100" s="259"/>
      <c r="G100" s="323"/>
    </row>
    <row r="101" spans="1:42" hidden="1" x14ac:dyDescent="0.3">
      <c r="B101" s="259"/>
      <c r="C101" s="259"/>
      <c r="D101" s="259"/>
      <c r="E101" s="259"/>
      <c r="F101" s="259"/>
      <c r="I101" s="268"/>
    </row>
    <row r="102" spans="1:42" hidden="1" x14ac:dyDescent="0.3">
      <c r="B102" s="259"/>
      <c r="C102" s="259"/>
      <c r="D102" s="259"/>
      <c r="E102" s="259"/>
      <c r="F102" s="259"/>
      <c r="G102" s="324"/>
      <c r="H102" s="325"/>
    </row>
    <row r="103" spans="1:42" ht="15" thickBot="1" x14ac:dyDescent="0.35">
      <c r="B103" s="259"/>
      <c r="C103" s="259"/>
      <c r="D103" s="259"/>
      <c r="E103" s="267"/>
      <c r="F103" s="259"/>
      <c r="G103" s="326"/>
      <c r="N103" s="280"/>
      <c r="O103" s="280"/>
      <c r="P103" s="280"/>
      <c r="Q103" s="280"/>
      <c r="R103" s="280"/>
      <c r="S103" s="280"/>
      <c r="T103" s="280"/>
      <c r="V103" s="280"/>
      <c r="X103" s="280"/>
      <c r="Z103" s="280"/>
      <c r="AB103" s="280"/>
      <c r="AE103" s="280"/>
      <c r="AG103" s="280"/>
      <c r="AK103" s="280"/>
      <c r="AL103" s="280"/>
      <c r="AM103" s="280"/>
      <c r="AO103" s="280"/>
      <c r="AP103" s="280"/>
    </row>
    <row r="104" spans="1:42" x14ac:dyDescent="0.3">
      <c r="B104" s="327"/>
      <c r="C104" s="328"/>
      <c r="D104" s="328"/>
      <c r="E104" s="328"/>
      <c r="F104" s="329"/>
      <c r="AO104" s="257" t="s">
        <v>118</v>
      </c>
    </row>
    <row r="105" spans="1:42" x14ac:dyDescent="0.3">
      <c r="B105" s="330" t="s">
        <v>179</v>
      </c>
      <c r="C105" s="259"/>
      <c r="D105" s="259"/>
      <c r="E105" s="259"/>
      <c r="F105" s="331"/>
    </row>
    <row r="106" spans="1:42" x14ac:dyDescent="0.3">
      <c r="B106" s="330" t="str">
        <f>IF(E106&gt;0,"DR","CR")</f>
        <v>CR</v>
      </c>
      <c r="C106" s="259" t="s">
        <v>116</v>
      </c>
      <c r="D106" s="259"/>
      <c r="E106" s="267">
        <f>+E69</f>
        <v>-10512.556233968564</v>
      </c>
      <c r="F106" s="331"/>
    </row>
    <row r="107" spans="1:42" x14ac:dyDescent="0.3">
      <c r="B107" s="330" t="str">
        <f>IF(E107&gt;0,"DR","CR")</f>
        <v>DR</v>
      </c>
      <c r="C107" s="259" t="s">
        <v>113</v>
      </c>
      <c r="D107" s="259"/>
      <c r="E107" s="267">
        <f>+E90</f>
        <v>16953.814228469008</v>
      </c>
      <c r="F107" s="331"/>
    </row>
    <row r="108" spans="1:42" x14ac:dyDescent="0.3">
      <c r="B108" s="330" t="str">
        <f>IF(E108&gt;0,"DR","CR")</f>
        <v>CR</v>
      </c>
      <c r="C108" s="73" t="s">
        <v>202</v>
      </c>
      <c r="D108" s="259"/>
      <c r="E108" s="267">
        <f>+E12</f>
        <v>-6441.2579944999889</v>
      </c>
      <c r="F108" s="332"/>
    </row>
    <row r="109" spans="1:42" ht="15" thickBot="1" x14ac:dyDescent="0.35">
      <c r="B109" s="333"/>
      <c r="C109" s="295"/>
      <c r="D109" s="295"/>
      <c r="E109" s="295"/>
      <c r="F109" s="334"/>
      <c r="G109" s="266"/>
      <c r="I109" s="270"/>
    </row>
    <row r="112" spans="1:42" x14ac:dyDescent="0.3">
      <c r="E112" s="268"/>
      <c r="F112" s="268"/>
    </row>
    <row r="115" spans="5:7" x14ac:dyDescent="0.3">
      <c r="E115" s="268"/>
      <c r="F115" s="268"/>
      <c r="G115" s="268"/>
    </row>
    <row r="117" spans="5:7" x14ac:dyDescent="0.3">
      <c r="F117" s="266"/>
    </row>
    <row r="119" spans="5:7" x14ac:dyDescent="0.3">
      <c r="E119" s="266"/>
      <c r="F119" s="268"/>
    </row>
    <row r="121" spans="5:7" x14ac:dyDescent="0.3">
      <c r="E121" s="268"/>
      <c r="F121" s="268"/>
    </row>
    <row r="124" spans="5:7" x14ac:dyDescent="0.3">
      <c r="E124" s="268"/>
      <c r="F124" s="335"/>
      <c r="G124" s="268"/>
    </row>
    <row r="125" spans="5:7" x14ac:dyDescent="0.3">
      <c r="E125" s="268"/>
      <c r="F125" s="336"/>
      <c r="G125" s="268"/>
    </row>
    <row r="126" spans="5:7" x14ac:dyDescent="0.3">
      <c r="F126" s="337"/>
    </row>
    <row r="129" spans="5:7" x14ac:dyDescent="0.3">
      <c r="E129" s="268"/>
      <c r="F129" s="336"/>
      <c r="G129" s="268"/>
    </row>
    <row r="130" spans="5:7" x14ac:dyDescent="0.3">
      <c r="E130" s="268"/>
      <c r="F130" s="335"/>
      <c r="G130" s="268"/>
    </row>
    <row r="131" spans="5:7" x14ac:dyDescent="0.3">
      <c r="G131" s="268"/>
    </row>
  </sheetData>
  <mergeCells count="3">
    <mergeCell ref="I69:I70"/>
    <mergeCell ref="I88:I91"/>
    <mergeCell ref="L64:O65"/>
  </mergeCells>
  <pageMargins left="0.19685039370078741" right="0.19685039370078741" top="0.23622047244094491" bottom="0.23622047244094491" header="0.31496062992125984" footer="0.31496062992125984"/>
  <pageSetup scale="75" orientation="landscape" r:id="rId1"/>
  <rowBreaks count="1" manualBreakCount="1">
    <brk id="46" max="1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N61"/>
  <sheetViews>
    <sheetView showGridLines="0" zoomScaleNormal="100" workbookViewId="0">
      <selection sqref="A1:I1"/>
    </sheetView>
  </sheetViews>
  <sheetFormatPr defaultRowHeight="14.4" x14ac:dyDescent="0.3"/>
  <cols>
    <col min="1" max="1" width="16.44140625" customWidth="1"/>
    <col min="2" max="2" width="15.6640625" customWidth="1"/>
    <col min="3" max="5" width="13.6640625" customWidth="1"/>
    <col min="6" max="9" width="13.33203125" customWidth="1"/>
    <col min="10" max="10" width="25.44140625" customWidth="1"/>
    <col min="11" max="11" width="37.33203125" style="120" customWidth="1"/>
    <col min="12" max="12" width="18" style="120" bestFit="1" customWidth="1"/>
    <col min="13" max="14" width="12.6640625" style="120" customWidth="1"/>
  </cols>
  <sheetData>
    <row r="1" spans="1:14" ht="25.8" x14ac:dyDescent="0.5">
      <c r="A1" s="442" t="s">
        <v>210</v>
      </c>
      <c r="B1" s="442"/>
      <c r="C1" s="442"/>
      <c r="D1" s="442"/>
      <c r="E1" s="442"/>
      <c r="F1" s="442"/>
      <c r="G1" s="442"/>
      <c r="H1" s="442"/>
      <c r="I1" s="442"/>
      <c r="J1" s="119"/>
    </row>
    <row r="2" spans="1:14" ht="25.8" x14ac:dyDescent="0.5">
      <c r="A2" s="121"/>
      <c r="B2" s="121"/>
      <c r="C2" s="121"/>
      <c r="D2" s="121"/>
      <c r="E2" s="121"/>
      <c r="F2" s="121"/>
      <c r="G2" s="121"/>
      <c r="H2" s="121"/>
      <c r="I2" s="121"/>
      <c r="J2" s="119"/>
    </row>
    <row r="3" spans="1:14" x14ac:dyDescent="0.3">
      <c r="A3" s="2" t="s">
        <v>119</v>
      </c>
      <c r="I3" s="3"/>
    </row>
    <row r="4" spans="1:14" ht="29.4" customHeight="1" thickBot="1" x14ac:dyDescent="0.35">
      <c r="A4" s="404" t="s">
        <v>120</v>
      </c>
      <c r="B4" s="405"/>
      <c r="C4" s="406"/>
      <c r="D4" s="407" t="s">
        <v>121</v>
      </c>
      <c r="E4" s="408"/>
      <c r="F4" s="409" t="s">
        <v>122</v>
      </c>
      <c r="G4" s="410"/>
      <c r="I4" s="13"/>
    </row>
    <row r="5" spans="1:14" ht="29.4" thickBot="1" x14ac:dyDescent="0.35">
      <c r="A5" s="122" t="s">
        <v>123</v>
      </c>
      <c r="B5" s="123" t="s">
        <v>124</v>
      </c>
      <c r="C5" s="123" t="s">
        <v>125</v>
      </c>
      <c r="D5" s="124" t="s">
        <v>103</v>
      </c>
      <c r="E5" s="125" t="s">
        <v>36</v>
      </c>
      <c r="F5" s="126" t="s">
        <v>126</v>
      </c>
      <c r="G5" s="125" t="s">
        <v>36</v>
      </c>
      <c r="I5" s="13"/>
      <c r="K5" s="127"/>
      <c r="L5" s="128"/>
      <c r="M5" s="129"/>
    </row>
    <row r="6" spans="1:14" x14ac:dyDescent="0.3">
      <c r="A6" s="130" t="s">
        <v>127</v>
      </c>
      <c r="B6" s="131">
        <f>'Veridian - 2018Apr'!D28</f>
        <v>100273121.70106739</v>
      </c>
      <c r="C6" s="131">
        <f>'Veridian - 2018Apr'!E28</f>
        <v>100273121.70106739</v>
      </c>
      <c r="D6" s="132">
        <f>'Veridian Apr 2018 RPP TU'!B23</f>
        <v>8.2317071725735685E-2</v>
      </c>
      <c r="E6" s="131">
        <f>C6*D6</f>
        <v>8254189.7512301877</v>
      </c>
      <c r="F6" s="133"/>
      <c r="G6" s="133"/>
      <c r="I6" s="3"/>
      <c r="K6" s="127"/>
      <c r="L6" s="128"/>
      <c r="M6" s="129"/>
    </row>
    <row r="7" spans="1:14" s="120" customFormat="1" x14ac:dyDescent="0.3">
      <c r="A7" s="130" t="s">
        <v>128</v>
      </c>
      <c r="B7" s="134">
        <v>0</v>
      </c>
      <c r="C7" s="134">
        <f>-'Veridian - 2018Apr'!D8</f>
        <v>48737237</v>
      </c>
      <c r="D7" s="135">
        <f>'Veridian - 2018Apr'!C88</f>
        <v>2.9080600269086716E-2</v>
      </c>
      <c r="E7" s="134">
        <f>+C7*D7</f>
        <v>1417308.1074167432</v>
      </c>
      <c r="F7" s="136"/>
      <c r="G7" s="134">
        <f>'Veridian - 2018Apr'!E79</f>
        <v>2815469.44</v>
      </c>
      <c r="I7"/>
      <c r="J7"/>
      <c r="K7" s="127"/>
      <c r="L7" s="127"/>
      <c r="N7" s="127"/>
    </row>
    <row r="8" spans="1:14" s="120" customFormat="1" x14ac:dyDescent="0.3">
      <c r="A8" s="130" t="s">
        <v>129</v>
      </c>
      <c r="B8" s="349">
        <f>+'Veridian - 2018Apr'!D80</f>
        <v>2516015.21</v>
      </c>
      <c r="C8" s="349"/>
      <c r="D8" s="350"/>
      <c r="E8" s="349"/>
      <c r="F8" s="350">
        <f>+'Veridian - 2018Apr'!C50</f>
        <v>9.9593160920509766E-2</v>
      </c>
      <c r="G8" s="349">
        <f>+B8*F8</f>
        <v>250577.90768798016</v>
      </c>
      <c r="H8" s="373" t="s">
        <v>204</v>
      </c>
      <c r="I8" s="414">
        <f>(G8+G9)/(B8+B9)</f>
        <v>9.816085093723434E-2</v>
      </c>
      <c r="J8"/>
      <c r="K8" s="127"/>
      <c r="L8" s="127"/>
      <c r="N8" s="127"/>
    </row>
    <row r="9" spans="1:14" s="120" customFormat="1" ht="15" thickBot="1" x14ac:dyDescent="0.35">
      <c r="A9" s="130" t="s">
        <v>129</v>
      </c>
      <c r="B9" s="137">
        <f>'Veridian - 2018Apr'!D29-B8</f>
        <v>59221991.757960372</v>
      </c>
      <c r="C9" s="137">
        <f>'Veridian - 2018Apr'!D29</f>
        <v>61738006.967960373</v>
      </c>
      <c r="D9" s="138">
        <f>'Veridian - 2018Apr'!C88</f>
        <v>2.9080600269086716E-2</v>
      </c>
      <c r="E9" s="137">
        <f>+D9*C9</f>
        <v>1795378.302045346</v>
      </c>
      <c r="F9" s="138">
        <f>'Veridian - 2018Apr'!C47</f>
        <v>9.8100000000000007E-2</v>
      </c>
      <c r="G9" s="137">
        <f>B9*F9</f>
        <v>5809677.391455913</v>
      </c>
      <c r="H9" s="373" t="s">
        <v>205</v>
      </c>
      <c r="I9" s="414"/>
      <c r="J9"/>
      <c r="N9" s="139"/>
    </row>
    <row r="10" spans="1:14" s="120" customFormat="1" ht="15" thickBot="1" x14ac:dyDescent="0.35">
      <c r="A10" s="136"/>
      <c r="B10" s="140">
        <f>SUM(B6:B9)</f>
        <v>162011128.66902775</v>
      </c>
      <c r="C10" s="140">
        <f>SUM(C6:C9)</f>
        <v>210748365.66902775</v>
      </c>
      <c r="D10" s="141"/>
      <c r="E10" s="339">
        <f>SUM(E6:E9)</f>
        <v>11466876.160692276</v>
      </c>
      <c r="F10" s="141"/>
      <c r="G10" s="339">
        <f>SUM(G6:G9)</f>
        <v>8875724.7391438931</v>
      </c>
      <c r="I10"/>
      <c r="J10"/>
      <c r="K10" s="127"/>
      <c r="L10" s="142"/>
      <c r="M10" s="143"/>
    </row>
    <row r="11" spans="1:14" s="120" customFormat="1" ht="15" thickTop="1" x14ac:dyDescent="0.3">
      <c r="A11" s="3"/>
      <c r="B11" s="18"/>
      <c r="C11" s="18"/>
      <c r="D11" s="3"/>
      <c r="E11" s="144"/>
      <c r="F11" s="73"/>
      <c r="G11" s="144"/>
      <c r="I11"/>
      <c r="J11"/>
      <c r="K11" s="127"/>
      <c r="L11" s="142"/>
      <c r="M11" s="143"/>
    </row>
    <row r="12" spans="1:14" ht="15" thickBot="1" x14ac:dyDescent="0.35">
      <c r="A12" s="2" t="s">
        <v>130</v>
      </c>
      <c r="K12" s="127"/>
      <c r="L12" s="128"/>
      <c r="M12" s="143"/>
    </row>
    <row r="13" spans="1:14" s="120" customFormat="1" ht="16.2" thickBot="1" x14ac:dyDescent="0.35">
      <c r="A13" s="145"/>
      <c r="B13" s="146"/>
      <c r="C13" s="147"/>
      <c r="D13" s="411" t="s">
        <v>131</v>
      </c>
      <c r="E13" s="412"/>
      <c r="F13" s="412"/>
      <c r="G13" s="412"/>
      <c r="H13" s="412"/>
      <c r="I13" s="413"/>
      <c r="N13" s="139"/>
    </row>
    <row r="14" spans="1:14" s="120" customFormat="1" ht="29.4" customHeight="1" thickBot="1" x14ac:dyDescent="0.35">
      <c r="A14" s="398" t="s">
        <v>120</v>
      </c>
      <c r="B14" s="399"/>
      <c r="C14" s="400"/>
      <c r="D14" s="401" t="s">
        <v>132</v>
      </c>
      <c r="E14" s="402"/>
      <c r="F14" s="401" t="s">
        <v>133</v>
      </c>
      <c r="G14" s="403"/>
      <c r="H14" s="148" t="s">
        <v>134</v>
      </c>
      <c r="I14" s="149" t="s">
        <v>135</v>
      </c>
    </row>
    <row r="15" spans="1:14" s="120" customFormat="1" ht="48" customHeight="1" thickBot="1" x14ac:dyDescent="0.35">
      <c r="A15" s="122" t="s">
        <v>123</v>
      </c>
      <c r="B15" s="123" t="s">
        <v>136</v>
      </c>
      <c r="C15" s="123" t="s">
        <v>137</v>
      </c>
      <c r="D15" s="126" t="s">
        <v>138</v>
      </c>
      <c r="E15" s="125" t="s">
        <v>36</v>
      </c>
      <c r="F15" s="126" t="s">
        <v>139</v>
      </c>
      <c r="G15" s="125" t="s">
        <v>36</v>
      </c>
      <c r="H15" s="148" t="s">
        <v>36</v>
      </c>
      <c r="I15" s="150" t="s">
        <v>36</v>
      </c>
    </row>
    <row r="16" spans="1:14" s="120" customFormat="1" x14ac:dyDescent="0.3">
      <c r="A16" s="151" t="s">
        <v>140</v>
      </c>
      <c r="B16" s="152">
        <f>'Veridian - 2018Apr'!D11</f>
        <v>100469104.77471225</v>
      </c>
      <c r="C16" s="153">
        <f>'Veridian - 2018Apr'!E11</f>
        <v>100469104.77471225</v>
      </c>
      <c r="D16" s="154">
        <f>'Veridian - 2018Apr'!C45</f>
        <v>2.9833625806321488E-2</v>
      </c>
      <c r="E16" s="153">
        <f>C16*D16</f>
        <v>2997357.6769448728</v>
      </c>
      <c r="F16" s="254">
        <f>'Veridian - 2018Apr'!C51</f>
        <v>9.9593160920509766E-2</v>
      </c>
      <c r="G16" s="153">
        <f>B16*F16</f>
        <v>10006035.719367472</v>
      </c>
      <c r="H16" s="155">
        <f>'Veridian Apr 2018 RPP TU'!K23</f>
        <v>-4733070.892351904</v>
      </c>
      <c r="I16" s="156">
        <f>+E16+G16+H16</f>
        <v>8270322.5039604409</v>
      </c>
      <c r="J16" s="127"/>
      <c r="K16" s="127"/>
    </row>
    <row r="17" spans="1:12" s="120" customFormat="1" x14ac:dyDescent="0.3">
      <c r="A17" s="130" t="s">
        <v>128</v>
      </c>
      <c r="B17" s="157">
        <v>0</v>
      </c>
      <c r="C17" s="158">
        <f>-'Veridian - 2018Apr'!D8</f>
        <v>48737237</v>
      </c>
      <c r="D17" s="159">
        <f>'Veridian - 2018Apr'!C46</f>
        <v>2.9080600269086716E-2</v>
      </c>
      <c r="E17" s="158">
        <f>C17*D17</f>
        <v>1417308.1074167432</v>
      </c>
      <c r="F17" s="159"/>
      <c r="G17" s="158"/>
      <c r="H17" s="160"/>
      <c r="I17" s="161">
        <f>+E17+G17+H17</f>
        <v>1417308.1074167432</v>
      </c>
      <c r="J17" s="127"/>
      <c r="K17" s="162"/>
    </row>
    <row r="18" spans="1:12" s="120" customFormat="1" ht="15" thickBot="1" x14ac:dyDescent="0.35">
      <c r="A18" s="130" t="s">
        <v>129</v>
      </c>
      <c r="B18" s="163">
        <f>'Veridian - 2018Apr'!D12</f>
        <v>61858673.445287764</v>
      </c>
      <c r="C18" s="158">
        <f>'Veridian - 2018Apr'!D12</f>
        <v>61858673.445287764</v>
      </c>
      <c r="D18" s="164">
        <f>'Veridian - 2018Apr'!C46</f>
        <v>2.9080600269086716E-2</v>
      </c>
      <c r="E18" s="165">
        <f>C18*D18</f>
        <v>1798887.3556383827</v>
      </c>
      <c r="F18" s="138"/>
      <c r="G18" s="166"/>
      <c r="H18" s="160"/>
      <c r="I18" s="161">
        <f>+E18+G18+H18</f>
        <v>1798887.3556383827</v>
      </c>
      <c r="J18" s="127"/>
    </row>
    <row r="19" spans="1:12" s="120" customFormat="1" ht="15" thickBot="1" x14ac:dyDescent="0.35">
      <c r="A19" s="136"/>
      <c r="B19" s="140">
        <f>SUM(B16:B18)</f>
        <v>162327778.22000003</v>
      </c>
      <c r="C19" s="140">
        <f>SUM(C16:C18)</f>
        <v>211065015.22000003</v>
      </c>
      <c r="D19" s="140"/>
      <c r="E19" s="140">
        <f>SUM(E16:E18)</f>
        <v>6213553.1399999987</v>
      </c>
      <c r="F19" s="141"/>
      <c r="G19" s="140">
        <f>SUM(G16:G18)</f>
        <v>10006035.719367472</v>
      </c>
      <c r="H19" s="140">
        <f>SUM(H16:H18)</f>
        <v>-4733070.892351904</v>
      </c>
      <c r="I19" s="339">
        <f>SUM(I16:I18)</f>
        <v>11486517.967015566</v>
      </c>
      <c r="J19" s="127"/>
      <c r="K19" s="127"/>
      <c r="L19" s="127"/>
    </row>
    <row r="20" spans="1:12" s="120" customFormat="1" ht="15" thickTop="1" x14ac:dyDescent="0.3">
      <c r="A20"/>
      <c r="B20"/>
      <c r="C20"/>
      <c r="D20"/>
      <c r="E20" s="167"/>
      <c r="F20" s="168"/>
      <c r="G20" s="3"/>
      <c r="H20" s="3"/>
      <c r="I20" s="105"/>
      <c r="J20" s="7" t="s">
        <v>141</v>
      </c>
      <c r="K20" s="127"/>
    </row>
    <row r="21" spans="1:12" s="120" customFormat="1" x14ac:dyDescent="0.3">
      <c r="A21" s="2" t="s">
        <v>142</v>
      </c>
      <c r="B21"/>
      <c r="C21"/>
      <c r="D21"/>
      <c r="E21"/>
      <c r="F21"/>
      <c r="G21"/>
      <c r="H21"/>
      <c r="I21"/>
      <c r="J21"/>
      <c r="K21" s="128"/>
    </row>
    <row r="22" spans="1:12" s="120" customFormat="1" ht="16.2" customHeight="1" thickBot="1" x14ac:dyDescent="0.35">
      <c r="A22" s="404" t="s">
        <v>120</v>
      </c>
      <c r="B22" s="405"/>
      <c r="C22" s="406"/>
      <c r="D22" s="418" t="s">
        <v>143</v>
      </c>
      <c r="E22" s="419"/>
      <c r="F22" s="169"/>
      <c r="G22" s="170"/>
      <c r="H22" s="170"/>
      <c r="I22" s="170"/>
      <c r="J22" s="170"/>
      <c r="K22" s="139"/>
    </row>
    <row r="23" spans="1:12" s="120" customFormat="1" ht="45" customHeight="1" thickBot="1" x14ac:dyDescent="0.35">
      <c r="A23" s="122" t="s">
        <v>123</v>
      </c>
      <c r="B23" s="123" t="s">
        <v>136</v>
      </c>
      <c r="C23" s="123" t="s">
        <v>137</v>
      </c>
      <c r="D23" s="126" t="s">
        <v>139</v>
      </c>
      <c r="E23" s="171" t="s">
        <v>36</v>
      </c>
      <c r="F23" s="3"/>
      <c r="G23" s="172"/>
      <c r="H23" s="172"/>
      <c r="I23" s="3"/>
      <c r="J23" s="3"/>
    </row>
    <row r="24" spans="1:12" s="120" customFormat="1" x14ac:dyDescent="0.3">
      <c r="A24" s="130" t="s">
        <v>128</v>
      </c>
      <c r="B24" s="173"/>
      <c r="C24" s="158"/>
      <c r="D24" s="159"/>
      <c r="E24" s="158">
        <f>'Veridian - 2018Apr'!E79</f>
        <v>2815469.44</v>
      </c>
      <c r="F24" s="90"/>
      <c r="G24" s="172"/>
      <c r="H24" s="172"/>
      <c r="I24" s="3"/>
      <c r="J24" s="3"/>
    </row>
    <row r="25" spans="1:12" s="120" customFormat="1" ht="15" thickBot="1" x14ac:dyDescent="0.35">
      <c r="A25" s="130" t="s">
        <v>129</v>
      </c>
      <c r="B25" s="173">
        <f>B18</f>
        <v>61858673.445287764</v>
      </c>
      <c r="C25" s="158"/>
      <c r="D25" s="342">
        <f>'Veridian - 2018Apr'!C52</f>
        <v>9.9593160920509766E-2</v>
      </c>
      <c r="E25" s="165">
        <f>+D25*B25</f>
        <v>6160700.8187658088</v>
      </c>
      <c r="F25" s="90"/>
      <c r="G25" s="172"/>
      <c r="H25" s="172"/>
      <c r="I25" s="3"/>
      <c r="J25" s="3"/>
    </row>
    <row r="26" spans="1:12" s="120" customFormat="1" ht="15" thickBot="1" x14ac:dyDescent="0.35">
      <c r="A26" s="136"/>
      <c r="B26" s="137">
        <f>+B24+B25</f>
        <v>61858673.445287764</v>
      </c>
      <c r="C26" s="137">
        <f>+C24+C25</f>
        <v>0</v>
      </c>
      <c r="D26" s="174"/>
      <c r="E26" s="340">
        <f>+E24+E25</f>
        <v>8976170.2587658092</v>
      </c>
      <c r="F26" s="90"/>
      <c r="G26" s="172"/>
      <c r="H26" s="175"/>
      <c r="I26" s="3"/>
      <c r="J26" s="3"/>
      <c r="K26" s="139"/>
    </row>
    <row r="27" spans="1:12" s="120" customFormat="1" x14ac:dyDescent="0.3">
      <c r="A27" s="3"/>
      <c r="B27" s="18"/>
      <c r="C27" s="18"/>
      <c r="D27" s="17"/>
      <c r="E27" s="144"/>
      <c r="F27" s="3"/>
      <c r="G27" s="172"/>
      <c r="H27" s="175"/>
      <c r="I27" s="3"/>
      <c r="J27" s="3"/>
      <c r="K27" s="139"/>
    </row>
    <row r="28" spans="1:12" s="120" customFormat="1" ht="15" thickBot="1" x14ac:dyDescent="0.35">
      <c r="A28" s="2" t="s">
        <v>144</v>
      </c>
      <c r="B28" s="17"/>
      <c r="C28" s="18"/>
      <c r="D28" s="3"/>
      <c r="E28"/>
      <c r="F28"/>
      <c r="G28"/>
      <c r="H28" s="7" t="s">
        <v>141</v>
      </c>
      <c r="I28"/>
      <c r="J28"/>
    </row>
    <row r="29" spans="1:12" s="120" customFormat="1" ht="15" customHeight="1" thickBot="1" x14ac:dyDescent="0.35">
      <c r="A29" s="176"/>
      <c r="B29" s="177"/>
      <c r="C29" s="420" t="s">
        <v>145</v>
      </c>
      <c r="D29" s="412"/>
      <c r="E29" s="412"/>
      <c r="F29" s="412"/>
      <c r="G29" s="412"/>
      <c r="H29" s="412"/>
      <c r="I29" s="413"/>
    </row>
    <row r="30" spans="1:12" s="120" customFormat="1" ht="15" thickBot="1" x14ac:dyDescent="0.35">
      <c r="A30" s="421"/>
      <c r="B30" s="422"/>
      <c r="C30" s="178"/>
      <c r="D30" s="13"/>
      <c r="E30" s="172"/>
      <c r="F30" s="427"/>
      <c r="G30" s="428"/>
      <c r="H30" s="428"/>
      <c r="I30" s="429"/>
    </row>
    <row r="31" spans="1:12" s="120" customFormat="1" ht="15" customHeight="1" thickBot="1" x14ac:dyDescent="0.35">
      <c r="A31" s="423"/>
      <c r="B31" s="424"/>
      <c r="C31" s="430" t="s">
        <v>206</v>
      </c>
      <c r="D31" s="431"/>
      <c r="E31" s="341">
        <f>+I19-E10</f>
        <v>19641.806323289871</v>
      </c>
      <c r="F31" s="415" t="s">
        <v>146</v>
      </c>
      <c r="G31" s="416"/>
      <c r="H31" s="416"/>
      <c r="I31" s="417"/>
      <c r="J31" s="127"/>
    </row>
    <row r="32" spans="1:12" s="120" customFormat="1" ht="15.6" thickTop="1" thickBot="1" x14ac:dyDescent="0.35">
      <c r="A32" s="425"/>
      <c r="B32" s="426"/>
      <c r="C32" s="179"/>
      <c r="E32" s="180"/>
      <c r="F32" s="432"/>
      <c r="G32" s="433"/>
      <c r="H32" s="433"/>
      <c r="I32" s="434"/>
    </row>
    <row r="33" spans="1:10" s="120" customFormat="1" ht="16.2" thickBot="1" x14ac:dyDescent="0.35">
      <c r="A33" s="122" t="s">
        <v>123</v>
      </c>
      <c r="B33" s="181" t="s">
        <v>147</v>
      </c>
      <c r="C33" s="182" t="s">
        <v>148</v>
      </c>
      <c r="D33" s="183" t="s">
        <v>149</v>
      </c>
      <c r="E33" s="184" t="s">
        <v>86</v>
      </c>
      <c r="F33" s="411" t="s">
        <v>150</v>
      </c>
      <c r="G33" s="412"/>
      <c r="H33" s="412"/>
      <c r="I33" s="413"/>
    </row>
    <row r="34" spans="1:10" s="120" customFormat="1" x14ac:dyDescent="0.3">
      <c r="A34" s="185" t="s">
        <v>127</v>
      </c>
      <c r="B34" s="186" t="s">
        <v>151</v>
      </c>
      <c r="C34" s="187">
        <f>+C16</f>
        <v>100469104.77471225</v>
      </c>
      <c r="D34" s="188">
        <f>((+I16)/C16)-D6</f>
        <v>0</v>
      </c>
      <c r="E34" s="189">
        <f>+C34*D34</f>
        <v>0</v>
      </c>
      <c r="F34" s="416" t="s">
        <v>152</v>
      </c>
      <c r="G34" s="416"/>
      <c r="H34" s="416"/>
      <c r="I34" s="417"/>
    </row>
    <row r="35" spans="1:10" s="120" customFormat="1" x14ac:dyDescent="0.3">
      <c r="A35" s="185" t="s">
        <v>127</v>
      </c>
      <c r="B35" s="186" t="s">
        <v>153</v>
      </c>
      <c r="C35" s="190">
        <f>+C16-C6</f>
        <v>195983.07364486158</v>
      </c>
      <c r="D35" s="191">
        <f>D6</f>
        <v>8.2317071725735685E-2</v>
      </c>
      <c r="E35" s="192">
        <f>+C35*D35</f>
        <v>16132.752730254209</v>
      </c>
      <c r="F35" s="416" t="s">
        <v>154</v>
      </c>
      <c r="G35" s="416"/>
      <c r="H35" s="416"/>
      <c r="I35" s="417"/>
    </row>
    <row r="36" spans="1:10" s="120" customFormat="1" x14ac:dyDescent="0.3">
      <c r="A36" s="193" t="s">
        <v>129</v>
      </c>
      <c r="B36" s="186" t="s">
        <v>155</v>
      </c>
      <c r="C36" s="190">
        <f>+C17+C18</f>
        <v>110595910.44528776</v>
      </c>
      <c r="D36" s="194">
        <f>+D17-D7</f>
        <v>0</v>
      </c>
      <c r="E36" s="192">
        <f>+C36*D36</f>
        <v>0</v>
      </c>
      <c r="F36" s="416" t="s">
        <v>152</v>
      </c>
      <c r="G36" s="416"/>
      <c r="H36" s="416"/>
      <c r="I36" s="417"/>
      <c r="J36" s="195"/>
    </row>
    <row r="37" spans="1:10" s="120" customFormat="1" ht="15" thickBot="1" x14ac:dyDescent="0.35">
      <c r="A37" s="185" t="s">
        <v>129</v>
      </c>
      <c r="B37" s="186" t="s">
        <v>153</v>
      </c>
      <c r="C37" s="196">
        <f>(+C18+C17)-(C9+C7)</f>
        <v>120666.47732739151</v>
      </c>
      <c r="D37" s="197">
        <f>+D7</f>
        <v>2.9080600269086716E-2</v>
      </c>
      <c r="E37" s="198">
        <f>+C37*D37</f>
        <v>3509.0535930366877</v>
      </c>
      <c r="F37" s="416" t="s">
        <v>154</v>
      </c>
      <c r="G37" s="416"/>
      <c r="H37" s="416"/>
      <c r="I37" s="417"/>
      <c r="J37" s="195"/>
    </row>
    <row r="38" spans="1:10" s="120" customFormat="1" ht="15" thickBot="1" x14ac:dyDescent="0.35">
      <c r="A38" s="199"/>
      <c r="B38" s="136"/>
      <c r="C38" s="200" t="s">
        <v>156</v>
      </c>
      <c r="D38" s="201"/>
      <c r="E38" s="202">
        <f>SUM(E34:E37)</f>
        <v>19641.806323290897</v>
      </c>
      <c r="F38" s="415"/>
      <c r="G38" s="416"/>
      <c r="H38" s="416"/>
      <c r="I38" s="417"/>
    </row>
    <row r="39" spans="1:10" s="120" customFormat="1" ht="15" thickTop="1" x14ac:dyDescent="0.3">
      <c r="A39" s="172"/>
      <c r="B39" s="3"/>
      <c r="C39" s="106"/>
      <c r="D39" s="3"/>
      <c r="E39" s="144"/>
      <c r="F39" s="106"/>
      <c r="G39" s="106"/>
      <c r="H39" s="106"/>
      <c r="I39" s="106"/>
    </row>
    <row r="40" spans="1:10" s="120" customFormat="1" ht="15" thickBot="1" x14ac:dyDescent="0.35">
      <c r="A40" s="2" t="s">
        <v>157</v>
      </c>
      <c r="B40" s="18"/>
      <c r="C40" s="18"/>
      <c r="D40"/>
      <c r="E40"/>
      <c r="F40"/>
      <c r="G40" s="195"/>
      <c r="H40" s="195"/>
      <c r="I40" s="172"/>
      <c r="J40"/>
    </row>
    <row r="41" spans="1:10" s="120" customFormat="1" ht="16.2" thickBot="1" x14ac:dyDescent="0.35">
      <c r="A41" s="176"/>
      <c r="B41" s="203"/>
      <c r="C41" s="420" t="s">
        <v>158</v>
      </c>
      <c r="D41" s="412"/>
      <c r="E41" s="412"/>
      <c r="F41" s="412" t="s">
        <v>150</v>
      </c>
      <c r="G41" s="412"/>
      <c r="H41" s="412"/>
      <c r="I41" s="413"/>
    </row>
    <row r="42" spans="1:10" s="120" customFormat="1" ht="15" thickBot="1" x14ac:dyDescent="0.35">
      <c r="A42" s="421"/>
      <c r="B42" s="422"/>
      <c r="C42" s="204"/>
      <c r="D42" s="13"/>
      <c r="E42" s="3"/>
      <c r="F42" s="432"/>
      <c r="G42" s="433"/>
      <c r="H42" s="433"/>
      <c r="I42" s="434"/>
    </row>
    <row r="43" spans="1:10" s="120" customFormat="1" ht="15" customHeight="1" thickBot="1" x14ac:dyDescent="0.35">
      <c r="A43" s="423"/>
      <c r="B43" s="424"/>
      <c r="C43" s="430" t="s">
        <v>207</v>
      </c>
      <c r="D43" s="431"/>
      <c r="E43" s="341">
        <f>+E26-G10</f>
        <v>100445.51962191612</v>
      </c>
      <c r="F43" s="415" t="s">
        <v>146</v>
      </c>
      <c r="G43" s="416"/>
      <c r="H43" s="416"/>
      <c r="I43" s="417"/>
    </row>
    <row r="44" spans="1:10" s="120" customFormat="1" ht="15.6" thickTop="1" thickBot="1" x14ac:dyDescent="0.35">
      <c r="A44" s="425"/>
      <c r="B44" s="426"/>
      <c r="C44" s="179"/>
      <c r="E44" s="180"/>
      <c r="F44" s="432"/>
      <c r="G44" s="433"/>
      <c r="H44" s="433"/>
      <c r="I44" s="434"/>
    </row>
    <row r="45" spans="1:10" s="120" customFormat="1" ht="16.2" thickBot="1" x14ac:dyDescent="0.35">
      <c r="A45" s="122" t="s">
        <v>123</v>
      </c>
      <c r="B45" s="181" t="s">
        <v>147</v>
      </c>
      <c r="C45" s="182" t="s">
        <v>148</v>
      </c>
      <c r="D45" s="183" t="s">
        <v>149</v>
      </c>
      <c r="E45" s="184" t="s">
        <v>86</v>
      </c>
      <c r="F45" s="411" t="s">
        <v>150</v>
      </c>
      <c r="G45" s="412"/>
      <c r="H45" s="412"/>
      <c r="I45" s="413"/>
    </row>
    <row r="46" spans="1:10" s="120" customFormat="1" x14ac:dyDescent="0.3">
      <c r="A46" s="205" t="s">
        <v>129</v>
      </c>
      <c r="B46" s="206" t="s">
        <v>151</v>
      </c>
      <c r="C46" s="374">
        <f>+B25</f>
        <v>61858673.445287764</v>
      </c>
      <c r="D46" s="188">
        <f>+D25-I8</f>
        <v>1.432309983275426E-3</v>
      </c>
      <c r="E46" s="207">
        <f>+D46*C46</f>
        <v>88600.795527860158</v>
      </c>
      <c r="F46" s="435" t="s">
        <v>159</v>
      </c>
      <c r="G46" s="435"/>
      <c r="H46" s="435"/>
      <c r="I46" s="436"/>
      <c r="J46" s="208"/>
    </row>
    <row r="47" spans="1:10" s="120" customFormat="1" ht="15" thickBot="1" x14ac:dyDescent="0.35">
      <c r="A47" s="185" t="s">
        <v>129</v>
      </c>
      <c r="B47" s="186" t="s">
        <v>153</v>
      </c>
      <c r="C47" s="375">
        <f>(+B9+B8)-B25</f>
        <v>-120666.47732739151</v>
      </c>
      <c r="D47" s="376">
        <f>-I8</f>
        <v>-9.816085093723434E-2</v>
      </c>
      <c r="E47" s="209">
        <f>+C47*D47</f>
        <v>11844.724094055244</v>
      </c>
      <c r="F47" s="437" t="s">
        <v>154</v>
      </c>
      <c r="G47" s="437"/>
      <c r="H47" s="437"/>
      <c r="I47" s="438"/>
      <c r="J47" s="210"/>
    </row>
    <row r="48" spans="1:10" s="120" customFormat="1" ht="15" thickBot="1" x14ac:dyDescent="0.35">
      <c r="A48" s="199"/>
      <c r="B48" s="136"/>
      <c r="C48" s="200" t="s">
        <v>156</v>
      </c>
      <c r="D48" s="200"/>
      <c r="E48" s="202">
        <f>SUM(E46:E47)</f>
        <v>100445.5196219154</v>
      </c>
      <c r="F48" s="439"/>
      <c r="G48" s="440"/>
      <c r="H48" s="440"/>
      <c r="I48" s="441"/>
    </row>
    <row r="49" spans="1:11" s="120" customFormat="1" ht="15" thickTop="1" x14ac:dyDescent="0.3">
      <c r="A49"/>
      <c r="B49" s="73"/>
      <c r="C49"/>
    </row>
    <row r="59" spans="1:11" x14ac:dyDescent="0.3">
      <c r="I59" s="211"/>
      <c r="J59" s="117"/>
      <c r="K59" s="139"/>
    </row>
    <row r="60" spans="1:11" x14ac:dyDescent="0.3">
      <c r="I60" s="211"/>
      <c r="J60" s="117"/>
      <c r="K60" s="139"/>
    </row>
    <row r="61" spans="1:11" x14ac:dyDescent="0.3">
      <c r="I61" s="34"/>
      <c r="J61" s="31"/>
      <c r="K61" s="139"/>
    </row>
  </sheetData>
  <mergeCells count="33">
    <mergeCell ref="F45:I45"/>
    <mergeCell ref="F46:I46"/>
    <mergeCell ref="F47:I47"/>
    <mergeCell ref="F48:I48"/>
    <mergeCell ref="C41:I41"/>
    <mergeCell ref="A42:B44"/>
    <mergeCell ref="F42:I42"/>
    <mergeCell ref="C43:D43"/>
    <mergeCell ref="F43:I43"/>
    <mergeCell ref="F44:I44"/>
    <mergeCell ref="F38:I38"/>
    <mergeCell ref="A22:C22"/>
    <mergeCell ref="D22:E22"/>
    <mergeCell ref="C29:I29"/>
    <mergeCell ref="A30:B32"/>
    <mergeCell ref="F30:I30"/>
    <mergeCell ref="C31:D31"/>
    <mergeCell ref="F31:I31"/>
    <mergeCell ref="F32:I32"/>
    <mergeCell ref="F33:I33"/>
    <mergeCell ref="F34:I34"/>
    <mergeCell ref="F35:I35"/>
    <mergeCell ref="F36:I36"/>
    <mergeCell ref="F37:I37"/>
    <mergeCell ref="A14:C14"/>
    <mergeCell ref="D14:E14"/>
    <mergeCell ref="F14:G14"/>
    <mergeCell ref="A1:I1"/>
    <mergeCell ref="A4:C4"/>
    <mergeCell ref="D4:E4"/>
    <mergeCell ref="F4:G4"/>
    <mergeCell ref="D13:I13"/>
    <mergeCell ref="I8:I9"/>
  </mergeCells>
  <pageMargins left="0.70866141732283472" right="0.70866141732283472" top="0.35433070866141736" bottom="0.35433070866141736" header="0.31496062992125984" footer="0.31496062992125984"/>
  <pageSetup scale="6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5</vt:i4>
      </vt:variant>
    </vt:vector>
  </HeadingPairs>
  <TitlesOfParts>
    <vt:vector size="9" baseType="lpstr">
      <vt:lpstr>Veridian - 2018Apr</vt:lpstr>
      <vt:lpstr>Veridian Apr 2018 RPP TU</vt:lpstr>
      <vt:lpstr>Ver Settlement Comparison</vt:lpstr>
      <vt:lpstr>Final RSVA Balances</vt:lpstr>
      <vt:lpstr>'Ver Settlement Comparison'!Print_Area</vt:lpstr>
      <vt:lpstr>'Veridian - 2018Apr'!Print_Area</vt:lpstr>
      <vt:lpstr>'Veridian Apr 2018 RPP TU'!Print_Area</vt:lpstr>
      <vt:lpstr>'Ver Settlement Comparison'!Print_Titles</vt:lpstr>
      <vt:lpstr>'Veridian - 2018Apr'!Print_Titles</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Susan Reffle</dc:creator>
  <cp:lastModifiedBy>Susan Reffle</cp:lastModifiedBy>
  <cp:lastPrinted>2021-08-16T18:34:54Z</cp:lastPrinted>
  <dcterms:created xsi:type="dcterms:W3CDTF">2019-07-16T19:41:05Z</dcterms:created>
  <dcterms:modified xsi:type="dcterms:W3CDTF">2021-08-16T18:35:11Z</dcterms:modified>
</cp:coreProperties>
</file>