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F:\OEB\Rates\2022 Rate Application\Accounting Guidance\VRZ\To OEB\"/>
    </mc:Choice>
  </mc:AlternateContent>
  <xr:revisionPtr revIDLastSave="0" documentId="13_ncr:1_{EF6FA835-BB38-40EF-B8C7-7515AA5CD200}" xr6:coauthVersionLast="47" xr6:coauthVersionMax="47" xr10:uidLastSave="{00000000-0000-0000-0000-000000000000}"/>
  <bookViews>
    <workbookView xWindow="-108" yWindow="-108" windowWidth="20376" windowHeight="12216" tabRatio="800" xr2:uid="{00000000-000D-0000-FFFF-FFFF00000000}"/>
  </bookViews>
  <sheets>
    <sheet name="Veridian - 2019" sheetId="5" r:id="rId1"/>
    <sheet name="Veridian 2019 RPP Trued up" sheetId="6" r:id="rId2"/>
    <sheet name="Final RSVA Balances" sheetId="9" r:id="rId3"/>
  </sheets>
  <externalReferences>
    <externalReference r:id="rId4"/>
  </externalReferences>
  <definedNames>
    <definedName name="_xlnm.Print_Area" localSheetId="0">'Veridian - 2019'!$B$1:$E$87</definedName>
    <definedName name="_xlnm.Print_Area" localSheetId="1">'Veridian 2019 RPP Trued up'!$A$1:$K$24</definedName>
    <definedName name="_xlnm.Print_Titles" localSheetId="0">'Veridian - 2019'!$1:$2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9" l="1"/>
  <c r="F8" i="9" l="1"/>
  <c r="E29" i="5"/>
  <c r="J34" i="5"/>
  <c r="F9" i="9" l="1"/>
  <c r="B8" i="9"/>
  <c r="G8" i="9" s="1"/>
  <c r="B9" i="9" l="1"/>
  <c r="C79" i="5"/>
  <c r="J38" i="5" l="1"/>
  <c r="J37" i="5"/>
  <c r="J36" i="5"/>
  <c r="J35" i="5"/>
  <c r="C67" i="5"/>
  <c r="B18" i="6" s="1"/>
  <c r="J39" i="5" l="1"/>
  <c r="C9" i="9"/>
  <c r="C7" i="9"/>
  <c r="C78" i="5" l="1"/>
  <c r="E78" i="5" s="1"/>
  <c r="C57" i="5"/>
  <c r="D18" i="6" l="1"/>
  <c r="C58" i="5" l="1"/>
  <c r="D25" i="9"/>
  <c r="D19" i="6"/>
  <c r="D21" i="6" l="1"/>
  <c r="D20" i="6"/>
  <c r="D22" i="6"/>
  <c r="D6" i="5" l="1"/>
  <c r="D58" i="5" l="1"/>
  <c r="E58" i="5" s="1"/>
  <c r="D57" i="5"/>
  <c r="E57" i="5" s="1"/>
  <c r="E11" i="5" l="1"/>
  <c r="D5" i="5"/>
  <c r="G54" i="5" l="1"/>
  <c r="D7" i="5"/>
  <c r="D9" i="5" s="1"/>
  <c r="E9" i="5"/>
  <c r="E12" i="5"/>
  <c r="E64" i="5" l="1"/>
  <c r="D79" i="5" l="1"/>
  <c r="L24" i="6" l="1"/>
  <c r="D86" i="5" l="1"/>
  <c r="F16" i="9" l="1"/>
  <c r="C17" i="9" l="1"/>
  <c r="G9" i="9"/>
  <c r="I8" i="9" s="1"/>
  <c r="C26" i="9"/>
  <c r="D47" i="9" l="1"/>
  <c r="D46" i="9" l="1"/>
  <c r="G11" i="6" l="1"/>
  <c r="D11" i="6"/>
  <c r="C11" i="6"/>
  <c r="B11" i="6"/>
  <c r="G10" i="6"/>
  <c r="D10" i="6"/>
  <c r="C10" i="6"/>
  <c r="B10" i="6"/>
  <c r="G9" i="6"/>
  <c r="D9" i="6"/>
  <c r="C9" i="6"/>
  <c r="B9" i="6"/>
  <c r="G8" i="6"/>
  <c r="D8" i="6"/>
  <c r="C8" i="6"/>
  <c r="B8" i="6"/>
  <c r="G7" i="6"/>
  <c r="D7" i="6"/>
  <c r="C7" i="6"/>
  <c r="B7" i="6"/>
  <c r="H9" i="6" l="1"/>
  <c r="E9" i="6"/>
  <c r="F9" i="6" s="1"/>
  <c r="G12" i="6"/>
  <c r="I7" i="6"/>
  <c r="J10" i="6"/>
  <c r="I11" i="6"/>
  <c r="J8" i="6"/>
  <c r="H11" i="6"/>
  <c r="H7" i="6"/>
  <c r="I9" i="6"/>
  <c r="E11" i="6"/>
  <c r="F11" i="6" s="1"/>
  <c r="E7" i="6"/>
  <c r="J7" i="6"/>
  <c r="H8" i="6"/>
  <c r="J9" i="6"/>
  <c r="H10" i="6"/>
  <c r="J11" i="6"/>
  <c r="E8" i="6"/>
  <c r="I8" i="6"/>
  <c r="E10" i="6"/>
  <c r="I10" i="6"/>
  <c r="H12" i="6" l="1"/>
  <c r="B12" i="6" s="1"/>
  <c r="I12" i="6"/>
  <c r="K11" i="6"/>
  <c r="F7" i="6"/>
  <c r="F10" i="6"/>
  <c r="K8" i="6"/>
  <c r="J12" i="6"/>
  <c r="K7" i="6"/>
  <c r="K10" i="6"/>
  <c r="F8" i="6"/>
  <c r="K9" i="6"/>
  <c r="C69" i="5" l="1"/>
  <c r="B20" i="6" s="1"/>
  <c r="C70" i="5"/>
  <c r="B21" i="6" s="1"/>
  <c r="C71" i="5"/>
  <c r="B22" i="6" s="1"/>
  <c r="C68" i="5"/>
  <c r="B19" i="6" s="1"/>
  <c r="K12" i="6"/>
  <c r="B34" i="6" l="1"/>
  <c r="B31" i="6"/>
  <c r="B30" i="6"/>
  <c r="D39" i="5"/>
  <c r="C36" i="5" l="1"/>
  <c r="C19" i="5" s="1"/>
  <c r="D19" i="5" s="1"/>
  <c r="C35" i="5"/>
  <c r="C18" i="5" s="1"/>
  <c r="D18" i="5" s="1"/>
  <c r="C38" i="5"/>
  <c r="C21" i="5" s="1"/>
  <c r="D21" i="5" s="1"/>
  <c r="C34" i="5"/>
  <c r="C17" i="5" s="1"/>
  <c r="D17" i="5" s="1"/>
  <c r="C37" i="5"/>
  <c r="C20" i="5" s="1"/>
  <c r="D20" i="5" s="1"/>
  <c r="D28" i="5"/>
  <c r="B33" i="6"/>
  <c r="B32" i="6"/>
  <c r="G18" i="6" l="1"/>
  <c r="D22" i="5"/>
  <c r="E28" i="5"/>
  <c r="D30" i="5"/>
  <c r="B6" i="9"/>
  <c r="B10" i="9" s="1"/>
  <c r="C39" i="5"/>
  <c r="E30" i="5" l="1"/>
  <c r="E26" i="5" s="1"/>
  <c r="C86" i="5"/>
  <c r="C6" i="9"/>
  <c r="H18" i="6"/>
  <c r="C28" i="5"/>
  <c r="D26" i="5"/>
  <c r="C29" i="5"/>
  <c r="C12" i="5" s="1"/>
  <c r="D71" i="5"/>
  <c r="D70" i="5"/>
  <c r="D69" i="5"/>
  <c r="D68" i="5"/>
  <c r="D67" i="5"/>
  <c r="E77" i="5"/>
  <c r="D85" i="5"/>
  <c r="G7" i="9" l="1"/>
  <c r="G10" i="9" s="1"/>
  <c r="E24" i="9"/>
  <c r="E71" i="5"/>
  <c r="E70" i="5"/>
  <c r="E69" i="5"/>
  <c r="E68" i="5"/>
  <c r="D9" i="9"/>
  <c r="E9" i="9" s="1"/>
  <c r="D7" i="9"/>
  <c r="E7" i="9" s="1"/>
  <c r="E67" i="5"/>
  <c r="C11" i="5"/>
  <c r="C30" i="5"/>
  <c r="D87" i="5"/>
  <c r="C22" i="5"/>
  <c r="K56" i="5"/>
  <c r="D76" i="5"/>
  <c r="D72" i="5"/>
  <c r="E72" i="5" l="1"/>
  <c r="C72" i="5" s="1"/>
  <c r="C10" i="9"/>
  <c r="C13" i="5"/>
  <c r="E79" i="5"/>
  <c r="J79" i="5" s="1"/>
  <c r="D60" i="5"/>
  <c r="C60" i="5" s="1"/>
  <c r="D54" i="5"/>
  <c r="C54" i="5" s="1"/>
  <c r="J60" i="5" l="1"/>
  <c r="J54" i="5"/>
  <c r="J72" i="5"/>
  <c r="J55" i="5" l="1"/>
  <c r="D30" i="6" l="1"/>
  <c r="D34" i="6" l="1"/>
  <c r="D32" i="6"/>
  <c r="D33" i="6"/>
  <c r="D31" i="6"/>
  <c r="D55" i="5" l="1"/>
  <c r="C55" i="5" s="1"/>
  <c r="B18" i="9" l="1"/>
  <c r="B25" i="9" s="1"/>
  <c r="B16" i="9"/>
  <c r="C18" i="9"/>
  <c r="C47" i="9" l="1"/>
  <c r="E47" i="9" s="1"/>
  <c r="E25" i="9"/>
  <c r="E26" i="9" s="1"/>
  <c r="J86" i="5"/>
  <c r="G20" i="6"/>
  <c r="D13" i="5"/>
  <c r="D32" i="5" s="1"/>
  <c r="E32" i="5" s="1"/>
  <c r="B19" i="9"/>
  <c r="C37" i="9"/>
  <c r="C36" i="9"/>
  <c r="C46" i="9"/>
  <c r="E46" i="9" s="1"/>
  <c r="B26" i="9"/>
  <c r="K58" i="5"/>
  <c r="K61" i="5" s="1"/>
  <c r="E43" i="9" l="1"/>
  <c r="H20" i="6"/>
  <c r="H32" i="6" s="1"/>
  <c r="G30" i="6"/>
  <c r="E13" i="5"/>
  <c r="G21" i="6"/>
  <c r="J20" i="6"/>
  <c r="J32" i="6" s="1"/>
  <c r="G22" i="6"/>
  <c r="G19" i="6"/>
  <c r="G32" i="6"/>
  <c r="J57" i="5"/>
  <c r="G16" i="9"/>
  <c r="G19" i="9" s="1"/>
  <c r="C45" i="5"/>
  <c r="C16" i="9"/>
  <c r="J85" i="5"/>
  <c r="E48" i="9"/>
  <c r="G34" i="6" l="1"/>
  <c r="J21" i="6"/>
  <c r="J33" i="6" s="1"/>
  <c r="H19" i="6"/>
  <c r="H31" i="6" s="1"/>
  <c r="H21" i="6"/>
  <c r="H33" i="6" s="1"/>
  <c r="H30" i="6"/>
  <c r="J18" i="6"/>
  <c r="J30" i="6" s="1"/>
  <c r="G33" i="6"/>
  <c r="E86" i="5"/>
  <c r="J19" i="6"/>
  <c r="J31" i="6" s="1"/>
  <c r="G31" i="6"/>
  <c r="G24" i="6"/>
  <c r="J22" i="6"/>
  <c r="J34" i="6" s="1"/>
  <c r="H22" i="6"/>
  <c r="H34" i="6" s="1"/>
  <c r="C76" i="5"/>
  <c r="K86" i="5"/>
  <c r="C19" i="9"/>
  <c r="C34" i="9"/>
  <c r="C35" i="9"/>
  <c r="E87" i="5" l="1"/>
  <c r="C87" i="5" s="1"/>
  <c r="C85" i="5"/>
  <c r="C44" i="5" s="1"/>
  <c r="C18" i="6" s="1"/>
  <c r="C19" i="6" s="1"/>
  <c r="C20" i="6" s="1"/>
  <c r="C21" i="6" s="1"/>
  <c r="C22" i="6" s="1"/>
  <c r="E76" i="5"/>
  <c r="G35" i="6"/>
  <c r="H35" i="6"/>
  <c r="J35" i="6"/>
  <c r="H24" i="6"/>
  <c r="B24" i="6" s="1"/>
  <c r="D6" i="9" s="1"/>
  <c r="E6" i="9" s="1"/>
  <c r="J24" i="6"/>
  <c r="D17" i="9"/>
  <c r="D18" i="9"/>
  <c r="E18" i="9" s="1"/>
  <c r="I18" i="9" s="1"/>
  <c r="J73" i="5" l="1"/>
  <c r="J74" i="5" s="1"/>
  <c r="E80" i="5"/>
  <c r="K85" i="5"/>
  <c r="K87" i="5" s="1"/>
  <c r="D16" i="9"/>
  <c r="E16" i="9" s="1"/>
  <c r="E17" i="9"/>
  <c r="I17" i="9" s="1"/>
  <c r="E18" i="6" l="1"/>
  <c r="E30" i="6" s="1"/>
  <c r="C30" i="6"/>
  <c r="I18" i="6"/>
  <c r="K18" i="6" s="1"/>
  <c r="D35" i="9"/>
  <c r="E35" i="9" s="1"/>
  <c r="E19" i="9"/>
  <c r="F18" i="6" l="1"/>
  <c r="F30" i="6" s="1"/>
  <c r="E19" i="6"/>
  <c r="E31" i="6" s="1"/>
  <c r="I19" i="6"/>
  <c r="C31" i="6"/>
  <c r="I30" i="6"/>
  <c r="K30" i="6" s="1"/>
  <c r="M18" i="6"/>
  <c r="C32" i="6"/>
  <c r="I20" i="6"/>
  <c r="K20" i="6" s="1"/>
  <c r="K19" i="6" l="1"/>
  <c r="E20" i="6"/>
  <c r="F20" i="6" s="1"/>
  <c r="F32" i="6" s="1"/>
  <c r="I31" i="6"/>
  <c r="K31" i="6" s="1"/>
  <c r="F19" i="6"/>
  <c r="F31" i="6" s="1"/>
  <c r="C33" i="6"/>
  <c r="I32" i="6"/>
  <c r="K32" i="6" s="1"/>
  <c r="M20" i="6"/>
  <c r="D36" i="9" l="1"/>
  <c r="E36" i="9" s="1"/>
  <c r="D37" i="9"/>
  <c r="E37" i="9" s="1"/>
  <c r="E10" i="9"/>
  <c r="M19" i="6"/>
  <c r="E32" i="6"/>
  <c r="E22" i="6"/>
  <c r="E21" i="6"/>
  <c r="F21" i="6" s="1"/>
  <c r="F33" i="6" s="1"/>
  <c r="I21" i="6"/>
  <c r="I33" i="6" l="1"/>
  <c r="K33" i="6" s="1"/>
  <c r="K21" i="6"/>
  <c r="E33" i="6"/>
  <c r="I22" i="6"/>
  <c r="I34" i="6" s="1"/>
  <c r="C34" i="6"/>
  <c r="F22" i="6"/>
  <c r="F34" i="6" s="1"/>
  <c r="E34" i="6"/>
  <c r="M21" i="6" l="1"/>
  <c r="I24" i="6"/>
  <c r="K22" i="6"/>
  <c r="M22" i="6" s="1"/>
  <c r="K34" i="6"/>
  <c r="K35" i="6" s="1"/>
  <c r="I35" i="6"/>
  <c r="M24" i="6" l="1"/>
  <c r="K24" i="6"/>
  <c r="E59" i="5" l="1"/>
  <c r="E61" i="5" s="1"/>
  <c r="H16" i="9"/>
  <c r="H19" i="9" s="1"/>
  <c r="I16" i="9" l="1"/>
  <c r="D34" i="9" s="1"/>
  <c r="E34" i="9" s="1"/>
  <c r="E38" i="9" s="1"/>
  <c r="J59" i="5"/>
  <c r="J61" i="5" s="1"/>
  <c r="L61" i="5" s="1"/>
  <c r="I19" i="9" l="1"/>
  <c r="E31" i="9" l="1"/>
</calcChain>
</file>

<file path=xl/sharedStrings.xml><?xml version="1.0" encoding="utf-8"?>
<sst xmlns="http://schemas.openxmlformats.org/spreadsheetml/2006/main" count="258" uniqueCount="158">
  <si>
    <t>Table 22: Wholesale Volume data per IESO Power Bill</t>
  </si>
  <si>
    <t>GA RPP/non-RPP Ratios</t>
  </si>
  <si>
    <t>GA Volumes</t>
  </si>
  <si>
    <t>Energy Volumes</t>
  </si>
  <si>
    <t>Embedded Generation</t>
  </si>
  <si>
    <t>Class A customer Volumes for GA  (TLF included)</t>
  </si>
  <si>
    <t>Actual RPP Quantity Proportion</t>
  </si>
  <si>
    <t>Actual non-RPP Quantity Proportion</t>
  </si>
  <si>
    <t xml:space="preserve">Wholesale kWh Volumes </t>
  </si>
  <si>
    <t>Table 23: Actual Volumes purchased for RPP Customers (TLF Included)</t>
  </si>
  <si>
    <t>kWh Volumes</t>
  </si>
  <si>
    <t>Actual %</t>
  </si>
  <si>
    <t>Tier 1</t>
  </si>
  <si>
    <t>Tier 2</t>
  </si>
  <si>
    <t>TOU Off-peak</t>
  </si>
  <si>
    <t>TOU Mid-peak</t>
  </si>
  <si>
    <t>TOU On-peak</t>
  </si>
  <si>
    <t>Table 24: Actual Retail Volume Revenue Data (TLF included)</t>
  </si>
  <si>
    <t>Billed/Unbilled Retail Volumes</t>
  </si>
  <si>
    <t>Actual RPP Sales Quantities</t>
  </si>
  <si>
    <t>Actual non-RPP Sales Quantities</t>
  </si>
  <si>
    <t xml:space="preserve">Actual Retail Revenue kWh Volumes </t>
  </si>
  <si>
    <r>
      <t>Table 25: Actual RPP Revenue Volume and Price Data</t>
    </r>
    <r>
      <rPr>
        <b/>
        <vertAlign val="superscript"/>
        <sz val="10"/>
        <color theme="1"/>
        <rFont val="Calibri"/>
        <family val="2"/>
        <scheme val="minor"/>
      </rPr>
      <t>14</t>
    </r>
  </si>
  <si>
    <t>RPP Price/kWh</t>
  </si>
  <si>
    <t>Table 26: Commodity Price Data</t>
  </si>
  <si>
    <t>Wholesale Prices</t>
  </si>
  <si>
    <t>Commodity Price</t>
  </si>
  <si>
    <t>per kWh</t>
  </si>
  <si>
    <t>Actual Average Energy Price for RPP Customers</t>
  </si>
  <si>
    <t>Actual Average Energy Price for non-RPP customers</t>
  </si>
  <si>
    <t>GA 1st estimate</t>
  </si>
  <si>
    <t>GA 2nd estimate</t>
  </si>
  <si>
    <t>Class B - GA actual</t>
  </si>
  <si>
    <t>Class B - GA actual IESO billed</t>
  </si>
  <si>
    <t>Table 27: Commodity Cost of Power Billed by IESO</t>
  </si>
  <si>
    <t>Cost/kWh</t>
  </si>
  <si>
    <t>Amount</t>
  </si>
  <si>
    <t>Actual Payments to Embedded Generators - 4705</t>
  </si>
  <si>
    <t>Charge Type 101 - 4705</t>
  </si>
  <si>
    <t>Charge Type 147 - non-RPP Class A - 4707</t>
  </si>
  <si>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</si>
  <si>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</si>
  <si>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</si>
  <si>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t>Charge Type 1412 - FIT Program Settlement Amount - 4705</t>
  </si>
  <si>
    <t>Actual cost of power</t>
  </si>
  <si>
    <t>Actual Net Accrued &amp; Billed Revenue from RPP &amp; non-RPP Customers:</t>
  </si>
  <si>
    <t>Table 28: RPP Commodity Revenue</t>
  </si>
  <si>
    <t>Total Actual Revenue</t>
  </si>
  <si>
    <t>Table 29: non-RPP Actual Revenue</t>
  </si>
  <si>
    <t>Actual non-RPP Energy Revenue</t>
  </si>
  <si>
    <t>Actual Class A non-RPP GA Revenue at PDF</t>
  </si>
  <si>
    <t>Class B non-RPP GA Revenue at 1st estimate</t>
  </si>
  <si>
    <t>Actual RPP power sales volumes and revenues</t>
  </si>
  <si>
    <t>Actual Non-RPP power sales volumes and revenues</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</si>
  <si>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 for February or March on day four of February or March.</t>
    </r>
  </si>
  <si>
    <t>RPP Settlement Calculation based on Actual GA Price on Business Day 4 of February 2018</t>
  </si>
  <si>
    <t>Table 31: Estimated RPP Revenue &amp; Actual GA price</t>
  </si>
  <si>
    <t>RPP Revenue Prices</t>
  </si>
  <si>
    <t>RPP Price</t>
  </si>
  <si>
    <t>Estimated RPP Energy Price</t>
  </si>
  <si>
    <t>GA Actual</t>
  </si>
  <si>
    <t>Total Commodity</t>
  </si>
  <si>
    <t>Difference</t>
  </si>
  <si>
    <t>$ Estimated RPP Revenue</t>
  </si>
  <si>
    <t>$ Estimated RPP Energy</t>
  </si>
  <si>
    <t>$ Actual GA</t>
  </si>
  <si>
    <t>$ Estimated RPP Settlement</t>
  </si>
  <si>
    <t>Table 32 Final Revised RPP Settlement based on Actual RPP Revenue and Actual GA Price</t>
  </si>
  <si>
    <t>Actual RPP Energy Price</t>
  </si>
  <si>
    <t>$ Actual RPP Revenue</t>
  </si>
  <si>
    <t>$ Actual RPP Energy</t>
  </si>
  <si>
    <t>2nd RPP Settlement True-up</t>
  </si>
  <si>
    <t>Table 33: True-up of RPP Volumes and Revenue and GA price to actual</t>
  </si>
  <si>
    <t>True-Up elements</t>
  </si>
  <si>
    <t>RPP Energy Price Difference</t>
  </si>
  <si>
    <t>GA Price Difference</t>
  </si>
  <si>
    <t>$ True-Up RPP Revenue</t>
  </si>
  <si>
    <t>$ True-up RPP Energy</t>
  </si>
  <si>
    <t>$ True-up GA</t>
  </si>
  <si>
    <t>$ RPP Settlement True-UP</t>
  </si>
  <si>
    <t>GA Revenue</t>
  </si>
  <si>
    <t>Energy Revenue</t>
  </si>
  <si>
    <t>TOU On-peak (total)</t>
  </si>
  <si>
    <t>Total for all RPP</t>
  </si>
  <si>
    <t xml:space="preserve">Table 30: Actual Average unit cost of power sold for RPP &amp; non-RPP for 2nd True-up </t>
  </si>
  <si>
    <t>$ Final RPP Settlement</t>
  </si>
  <si>
    <t>Total</t>
  </si>
  <si>
    <t xml:space="preserve">Final RPP Settlement Calculation </t>
  </si>
  <si>
    <t>Rate</t>
  </si>
  <si>
    <t>Total $</t>
  </si>
  <si>
    <t>Table 37 - Total Energy and GA Revenue</t>
  </si>
  <si>
    <t>Volume Data by Customer Group</t>
  </si>
  <si>
    <t>Revenue - Energy Sales (Tables 28 &amp; 29)</t>
  </si>
  <si>
    <t>Revenue - GA (Table 29)</t>
  </si>
  <si>
    <t>Customer Group</t>
  </si>
  <si>
    <t>GA Retail
kWh Volumes</t>
  </si>
  <si>
    <t>Energy Retail kWh Volumes</t>
  </si>
  <si>
    <t>Class B - RPP</t>
  </si>
  <si>
    <t xml:space="preserve">Class A - Non-RPP </t>
  </si>
  <si>
    <t>Class B - Non-RPP</t>
  </si>
  <si>
    <t>Table 38 - Account 4705 Total Commodity Costs</t>
  </si>
  <si>
    <t>Costs - 4705 (Table 27)</t>
  </si>
  <si>
    <t>Commodity  (Wholesale)</t>
  </si>
  <si>
    <t>GA (Wholesale)</t>
  </si>
  <si>
    <t>Final IESO RPP Settlement</t>
  </si>
  <si>
    <t>Total Wholesale Cost</t>
  </si>
  <si>
    <t>GA Wholesale kWh Volumes</t>
  </si>
  <si>
    <t>Energy Wholesale kWh Volumes</t>
  </si>
  <si>
    <t>Final Purchased Price</t>
  </si>
  <si>
    <t>Actual GA IESO Bill Price</t>
  </si>
  <si>
    <t>Class B  - RPP</t>
  </si>
  <si>
    <t xml:space="preserve"> </t>
  </si>
  <si>
    <t>Table 39 - Account 4705 Total GA Costs</t>
  </si>
  <si>
    <t>GA Costs - 4707 (Table 27)</t>
  </si>
  <si>
    <t>Table 40 - Account 1588 Balance Explanation</t>
  </si>
  <si>
    <t>1588 - RSVA Power - Balance Explanation</t>
  </si>
  <si>
    <t>Balance Per DVA Continuity</t>
  </si>
  <si>
    <t>Variance - Type</t>
  </si>
  <si>
    <t>Quantity</t>
  </si>
  <si>
    <t>Price</t>
  </si>
  <si>
    <t>Explanation</t>
  </si>
  <si>
    <t>Price Variance</t>
  </si>
  <si>
    <t>Retail vs Wholesale Price Variances</t>
  </si>
  <si>
    <t>Volume Variance</t>
  </si>
  <si>
    <t>Retail vs Wholesale Volume Variance - (UFE differences)</t>
  </si>
  <si>
    <t>Price Difference</t>
  </si>
  <si>
    <t>Balance Explained</t>
  </si>
  <si>
    <t>Table 41 - Account 1589 Balance Explanation</t>
  </si>
  <si>
    <t>1589 - RSVA GA - Balance Explanation</t>
  </si>
  <si>
    <t>Retail GA Price Billed vs Wholesale GA Actual Price paid to IESO</t>
  </si>
  <si>
    <t>Wholesale</t>
  </si>
  <si>
    <t>not required</t>
  </si>
  <si>
    <t>RPP - Class B GA actual</t>
  </si>
  <si>
    <t>Non RPP - Class B GA actual</t>
  </si>
  <si>
    <t>linked  to final 2nd true-up</t>
  </si>
  <si>
    <t>Retail</t>
  </si>
  <si>
    <t>For Informational Purposes Only:</t>
  </si>
  <si>
    <t>Summary:</t>
  </si>
  <si>
    <t>Energy  Cost</t>
  </si>
  <si>
    <t>GA Cost</t>
  </si>
  <si>
    <t>IESO AQEW</t>
  </si>
  <si>
    <t>Recalculated $
1st True-UP Submitted 20190404</t>
  </si>
  <si>
    <t>Difference = $ Final RPP Settlement</t>
  </si>
  <si>
    <t>+ve = payment to IESO</t>
  </si>
  <si>
    <t>-ve = payment from IESO</t>
  </si>
  <si>
    <t>HO/Powerstream</t>
  </si>
  <si>
    <t>Commodity Cost of Power per IESO/Hydro One Invoice:</t>
  </si>
  <si>
    <t>Additional Supply - Hydro One</t>
  </si>
  <si>
    <t>Class B non-RPP GA Revenue at actual (embedded)</t>
  </si>
  <si>
    <t>Data for Final RPP Settlement based on Actual Revenue Volumes 2019:</t>
  </si>
  <si>
    <t>Class B - Non-RPP Actual</t>
  </si>
  <si>
    <t xml:space="preserve">Billed GA Rate </t>
  </si>
  <si>
    <t>1st estimate</t>
  </si>
  <si>
    <t xml:space="preserve">Actual </t>
  </si>
  <si>
    <t>Adjusted for UFE</t>
  </si>
  <si>
    <t>Account Balance</t>
  </si>
  <si>
    <t>2019 Summary and Explanation of Final Balances of RSVA 1588 and 1589 -OEB Guidance</t>
  </si>
  <si>
    <t>2019 RPP Settlement - Trued-Up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</si>
</sst>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_(* #,##0.00000_);_(* \(#,##0.00000\);_(* &quot;-&quot;??_);_(@_)"/>
    <numFmt numFmtId="169" formatCode="_(&quot;$&quot;* #,##0.0000_);_(&quot;$&quot;* \(#,##0.0000\);_(&quot;$&quot;* &quot;-&quot;??_);_(@_)"/>
    <numFmt numFmtId="170" formatCode="_-* #,##0_-;\-* #,##0_-;_-* &quot;-&quot;??_-;_-@_-"/>
    <numFmt numFmtId="171" formatCode="_(&quot;$&quot;* #,##0.000_);_(&quot;$&quot;* \(#,##0.000\);_(&quot;$&quot;* &quot;-&quot;??_);_(@_)"/>
    <numFmt numFmtId="172" formatCode="_(* #,##0.0000_);_(* \(#,##0.0000\);_(* &quot;-&quot;??_);_(@_)"/>
    <numFmt numFmtId="173" formatCode="_-&quot;$&quot;* #,##0.0000_-;\-&quot;$&quot;* #,##0.0000_-;_-&quot;$&quot;* &quot;-&quot;??_-;_-@_-"/>
    <numFmt numFmtId="174" formatCode="_-* #,##0.00000000_-;\-* #,##0.00000000_-;_-* &quot;-&quot;??_-;_-@_-"/>
    <numFmt numFmtId="175" formatCode="_(&quot;$&quot;* #,##0.00000_);_(&quot;$&quot;* \(#,##0.00000\);_(&quot;$&quot;* &quot;-&quot;??_);_(@_)"/>
    <numFmt numFmtId="176" formatCode="_-&quot;$&quot;* #,##0_-;\-&quot;$&quot;* #,##0_-;_-&quot;$&quot;* &quot;-&quot;????_-;_-@_-"/>
    <numFmt numFmtId="177" formatCode="_(&quot;$&quot;* #,##0.00000000_);_(&quot;$&quot;* \(#,##0.00000000\);_(&quot;$&quot;* &quot;-&quot;??_);_(@_)"/>
    <numFmt numFmtId="178" formatCode="_-&quot;$&quot;* #,##0_-;\-&quot;$&quot;* #,##0_-;_-&quot;$&quot;* &quot;-&quot;??_-;_-@_-"/>
    <numFmt numFmtId="179" formatCode="_-&quot;$&quot;* #,##0.00000_-;\-&quot;$&quot;* #,##0.00000_-;_-&quot;$&quot;* &quot;-&quot;??_-;_-@_-"/>
    <numFmt numFmtId="180" formatCode="0.000000"/>
    <numFmt numFmtId="181" formatCode="_(* #,##0.000_);_(* \(#,##0.000\);_(* &quot;-&quot;??_);_(@_)"/>
    <numFmt numFmtId="182" formatCode="0.0%"/>
    <numFmt numFmtId="183" formatCode="0.000%"/>
    <numFmt numFmtId="184" formatCode="_(* #,##0.0000000_);_(* \(#,##0.0000000\);_(* &quot;-&quot;??_);_(@_)"/>
    <numFmt numFmtId="185" formatCode="_-* #,##0.000000_-;\-* #,##0.000000_-;_-* &quot;-&quot;??_-;_-@_-"/>
    <numFmt numFmtId="186" formatCode="_(&quot;$&quot;* #,##0.0000_);_(&quot;$&quot;* \(#,##0.0000\);_(&quot;$&quot;* &quot;-&quot;????_);_(@_)"/>
    <numFmt numFmtId="18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vertAlign val="superscript"/>
      <sz val="10"/>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20"/>
      <color theme="1"/>
      <name val="Calibri"/>
      <family val="2"/>
      <scheme val="minor"/>
    </font>
    <font>
      <i/>
      <sz val="11"/>
      <color theme="1"/>
      <name val="Calibri"/>
      <family val="2"/>
      <scheme val="minor"/>
    </font>
    <font>
      <sz val="9"/>
      <color theme="1"/>
      <name val="Calibri"/>
      <family val="2"/>
      <scheme val="minor"/>
    </font>
    <font>
      <b/>
      <sz val="8"/>
      <color theme="1"/>
      <name val="Calibri"/>
      <family val="2"/>
      <scheme val="minor"/>
    </font>
    <font>
      <sz val="12"/>
      <name val="Arial"/>
      <family val="2"/>
    </font>
    <font>
      <b/>
      <u/>
      <sz val="20"/>
      <color theme="1"/>
      <name val="Calibri"/>
      <family val="2"/>
      <scheme val="minor"/>
    </font>
    <font>
      <b/>
      <sz val="12"/>
      <color theme="1"/>
      <name val="Calibri"/>
      <family val="2"/>
      <scheme val="minor"/>
    </font>
    <font>
      <sz val="10"/>
      <color theme="1"/>
      <name val="Calibri"/>
      <family val="2"/>
      <scheme val="minor"/>
    </font>
    <font>
      <i/>
      <sz val="10"/>
      <color theme="1"/>
      <name val="Calibri"/>
      <family val="2"/>
      <scheme val="minor"/>
    </font>
    <font>
      <b/>
      <u/>
      <sz val="18"/>
      <color theme="1"/>
      <name val="Calibri"/>
      <family val="2"/>
      <scheme val="minor"/>
    </font>
    <font>
      <i/>
      <sz val="9"/>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s>
  <borders count="58">
    <border>
      <left/>
      <right/>
      <top/>
      <bottom/>
      <diagonal/>
    </border>
    <border>
      <left/>
      <right/>
      <top style="thin">
        <color indexed="64"/>
      </top>
      <bottom style="thin">
        <color auto="1"/>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medium">
        <color auto="1"/>
      </bottom>
      <diagonal/>
    </border>
    <border>
      <left/>
      <right/>
      <top style="medium">
        <color indexed="64"/>
      </top>
      <bottom/>
      <diagonal/>
    </border>
    <border>
      <left style="medium">
        <color indexed="64"/>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auto="1"/>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dashed">
        <color indexed="64"/>
      </left>
      <right style="thin">
        <color auto="1"/>
      </right>
      <top style="thin">
        <color indexed="64"/>
      </top>
      <bottom style="thin">
        <color indexed="64"/>
      </bottom>
      <diagonal/>
    </border>
    <border>
      <left/>
      <right style="hair">
        <color auto="1"/>
      </right>
      <top style="thin">
        <color auto="1"/>
      </top>
      <bottom style="thin">
        <color auto="1"/>
      </bottom>
      <diagonal/>
    </border>
    <border>
      <left style="thin">
        <color auto="1"/>
      </left>
      <right style="dashed">
        <color indexed="64"/>
      </right>
      <top style="thin">
        <color auto="1"/>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thin">
        <color indexed="64"/>
      </top>
      <bottom style="medium">
        <color auto="1"/>
      </bottom>
      <diagonal/>
    </border>
    <border>
      <left/>
      <right style="thin">
        <color indexed="64"/>
      </right>
      <top style="medium">
        <color auto="1"/>
      </top>
      <bottom style="double">
        <color auto="1"/>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dashed">
        <color indexed="64"/>
      </right>
      <top style="medium">
        <color auto="1"/>
      </top>
      <bottom style="medium">
        <color auto="1"/>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dashed">
        <color indexed="64"/>
      </left>
      <right style="dashed">
        <color indexed="64"/>
      </right>
      <top style="thin">
        <color indexed="64"/>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dashed">
        <color indexed="64"/>
      </left>
      <right style="dashed">
        <color indexed="64"/>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bottom style="medium">
        <color auto="1"/>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3" fillId="0" borderId="0"/>
    <xf numFmtId="165" fontId="1" fillId="0" borderId="0" applyFont="0" applyFill="0" applyBorder="0" applyAlignment="0" applyProtection="0"/>
    <xf numFmtId="164" fontId="1" fillId="0" borderId="0" applyFont="0" applyFill="0" applyBorder="0" applyAlignment="0" applyProtection="0"/>
  </cellStyleXfs>
  <cellXfs count="357">
    <xf numFmtId="0" fontId="0" fillId="0" borderId="0" xfId="0"/>
    <xf numFmtId="0" fontId="3" fillId="0" borderId="0" xfId="0" applyFont="1"/>
    <xf numFmtId="0" fontId="2" fillId="0" borderId="0" xfId="0" applyFont="1"/>
    <xf numFmtId="0" fontId="0" fillId="0" borderId="0" xfId="0" applyBorder="1"/>
    <xf numFmtId="0" fontId="0" fillId="0" borderId="0" xfId="0" applyFont="1"/>
    <xf numFmtId="166" fontId="0" fillId="0" borderId="0" xfId="1" applyNumberFormat="1" applyFont="1" applyFill="1"/>
    <xf numFmtId="166" fontId="0" fillId="0" borderId="0" xfId="1" applyNumberFormat="1" applyFont="1"/>
    <xf numFmtId="166" fontId="0" fillId="0" borderId="0" xfId="0" applyNumberFormat="1"/>
    <xf numFmtId="0" fontId="3" fillId="0" borderId="0" xfId="0" applyFont="1" applyBorder="1"/>
    <xf numFmtId="167" fontId="0" fillId="0" borderId="0" xfId="0" applyNumberFormat="1" applyBorder="1"/>
    <xf numFmtId="166" fontId="0" fillId="0" borderId="1" xfId="1" applyNumberFormat="1" applyFont="1" applyFill="1" applyBorder="1"/>
    <xf numFmtId="0" fontId="2" fillId="0" borderId="0" xfId="0" applyFont="1" applyBorder="1" applyAlignment="1">
      <alignment horizontal="center"/>
    </xf>
    <xf numFmtId="166" fontId="2" fillId="0" borderId="0" xfId="1" applyNumberFormat="1" applyFont="1" applyBorder="1" applyAlignment="1">
      <alignment horizontal="center"/>
    </xf>
    <xf numFmtId="0" fontId="2" fillId="0" borderId="0" xfId="0" applyFont="1" applyBorder="1" applyAlignment="1">
      <alignment horizontal="center" wrapText="1"/>
    </xf>
    <xf numFmtId="10" fontId="0" fillId="0" borderId="0" xfId="3" applyNumberFormat="1" applyFont="1"/>
    <xf numFmtId="10" fontId="0" fillId="0" borderId="0" xfId="3" applyNumberFormat="1" applyFont="1" applyFill="1"/>
    <xf numFmtId="168" fontId="0" fillId="0" borderId="0" xfId="0" applyNumberFormat="1" applyBorder="1"/>
    <xf numFmtId="169" fontId="0" fillId="0" borderId="0" xfId="0" applyNumberFormat="1" applyBorder="1"/>
    <xf numFmtId="166" fontId="0" fillId="0" borderId="0" xfId="0" applyNumberFormat="1" applyBorder="1"/>
    <xf numFmtId="167" fontId="0" fillId="0" borderId="0" xfId="2" applyNumberFormat="1" applyFont="1" applyBorder="1"/>
    <xf numFmtId="0" fontId="0" fillId="0" borderId="0" xfId="0" applyFill="1"/>
    <xf numFmtId="10" fontId="0" fillId="0" borderId="2" xfId="0" applyNumberFormat="1" applyBorder="1"/>
    <xf numFmtId="166" fontId="0" fillId="0" borderId="2" xfId="0" applyNumberFormat="1" applyBorder="1"/>
    <xf numFmtId="0" fontId="4" fillId="0" borderId="0" xfId="0" applyFont="1"/>
    <xf numFmtId="169" fontId="0" fillId="0" borderId="0" xfId="0" applyNumberFormat="1"/>
    <xf numFmtId="167" fontId="0" fillId="0" borderId="0" xfId="2" applyNumberFormat="1" applyFont="1"/>
    <xf numFmtId="170" fontId="0" fillId="0" borderId="0" xfId="1" applyNumberFormat="1" applyFont="1"/>
    <xf numFmtId="171" fontId="0" fillId="0" borderId="0" xfId="2" applyNumberFormat="1" applyFont="1" applyFill="1"/>
    <xf numFmtId="171" fontId="0" fillId="0" borderId="0" xfId="2" applyNumberFormat="1" applyFont="1"/>
    <xf numFmtId="166" fontId="5" fillId="0" borderId="0" xfId="1" applyNumberFormat="1" applyFont="1" applyFill="1"/>
    <xf numFmtId="165" fontId="0" fillId="0" borderId="0" xfId="0" applyNumberFormat="1"/>
    <xf numFmtId="166" fontId="0" fillId="0" borderId="0" xfId="3" applyNumberFormat="1" applyFont="1"/>
    <xf numFmtId="0" fontId="0" fillId="0" borderId="0" xfId="0" applyAlignment="1">
      <alignment horizontal="center"/>
    </xf>
    <xf numFmtId="169" fontId="0" fillId="0" borderId="0" xfId="0" applyNumberFormat="1" applyFill="1"/>
    <xf numFmtId="172" fontId="0" fillId="0" borderId="0" xfId="0" applyNumberFormat="1"/>
    <xf numFmtId="169" fontId="0" fillId="0" borderId="0" xfId="2" applyNumberFormat="1" applyFont="1"/>
    <xf numFmtId="164" fontId="0" fillId="0" borderId="0" xfId="0" applyNumberFormat="1"/>
    <xf numFmtId="173" fontId="0" fillId="0" borderId="0" xfId="0" applyNumberFormat="1"/>
    <xf numFmtId="167" fontId="2" fillId="0" borderId="0" xfId="2" applyNumberFormat="1" applyFont="1" applyBorder="1" applyAlignment="1">
      <alignment horizontal="center"/>
    </xf>
    <xf numFmtId="167" fontId="0" fillId="0" borderId="0" xfId="2" applyNumberFormat="1" applyFont="1" applyFill="1"/>
    <xf numFmtId="167" fontId="0" fillId="0" borderId="0" xfId="0" applyNumberFormat="1" applyFill="1"/>
    <xf numFmtId="175" fontId="0" fillId="0" borderId="0" xfId="0" applyNumberFormat="1" applyFill="1"/>
    <xf numFmtId="167" fontId="0" fillId="0" borderId="2" xfId="2" applyNumberFormat="1" applyFont="1" applyFill="1" applyBorder="1"/>
    <xf numFmtId="164" fontId="0" fillId="0" borderId="0" xfId="2" applyFont="1"/>
    <xf numFmtId="164" fontId="0" fillId="0" borderId="0" xfId="2" applyFont="1" applyFill="1"/>
    <xf numFmtId="167" fontId="0" fillId="0" borderId="0" xfId="0" applyNumberFormat="1"/>
    <xf numFmtId="166" fontId="0" fillId="0" borderId="0" xfId="0" applyNumberFormat="1" applyFill="1"/>
    <xf numFmtId="0" fontId="2" fillId="0" borderId="0" xfId="0" applyFont="1" applyFill="1" applyAlignment="1">
      <alignment horizontal="center" wrapText="1"/>
    </xf>
    <xf numFmtId="44" fontId="0" fillId="0" borderId="0" xfId="0" applyNumberFormat="1"/>
    <xf numFmtId="43" fontId="0" fillId="0" borderId="0" xfId="0" applyNumberFormat="1" applyFill="1"/>
    <xf numFmtId="176" fontId="0" fillId="0" borderId="0" xfId="0" applyNumberFormat="1"/>
    <xf numFmtId="176" fontId="0" fillId="0" borderId="0" xfId="0" applyNumberFormat="1" applyFill="1"/>
    <xf numFmtId="166" fontId="0" fillId="0" borderId="2" xfId="1" applyNumberFormat="1" applyFont="1" applyBorder="1"/>
    <xf numFmtId="167" fontId="0" fillId="0" borderId="0" xfId="2" applyNumberFormat="1" applyFont="1" applyFill="1" applyBorder="1"/>
    <xf numFmtId="166" fontId="0" fillId="0" borderId="0" xfId="1" applyNumberFormat="1" applyFont="1" applyBorder="1"/>
    <xf numFmtId="164" fontId="0" fillId="0" borderId="0" xfId="0" applyNumberFormat="1" applyFill="1"/>
    <xf numFmtId="167" fontId="2" fillId="0" borderId="0" xfId="2" applyNumberFormat="1" applyFont="1" applyFill="1" applyBorder="1" applyAlignment="1">
      <alignment horizontal="center"/>
    </xf>
    <xf numFmtId="169" fontId="0" fillId="0" borderId="0" xfId="0" applyNumberFormat="1" applyFont="1" applyFill="1"/>
    <xf numFmtId="166" fontId="1" fillId="0" borderId="0" xfId="1" applyNumberFormat="1" applyFont="1" applyBorder="1"/>
    <xf numFmtId="167" fontId="1" fillId="0" borderId="0" xfId="2" applyNumberFormat="1" applyFont="1" applyFill="1" applyBorder="1"/>
    <xf numFmtId="167" fontId="0" fillId="0" borderId="2" xfId="2" applyNumberFormat="1" applyFont="1" applyBorder="1"/>
    <xf numFmtId="10" fontId="0" fillId="0" borderId="0" xfId="3" applyNumberFormat="1" applyFont="1" applyFill="1" applyBorder="1"/>
    <xf numFmtId="177" fontId="0" fillId="0" borderId="0" xfId="2" applyNumberFormat="1" applyFont="1" applyBorder="1"/>
    <xf numFmtId="43" fontId="0" fillId="0" borderId="0" xfId="0" applyNumberFormat="1"/>
    <xf numFmtId="9" fontId="0" fillId="0" borderId="0" xfId="3" applyFont="1" applyBorder="1"/>
    <xf numFmtId="168" fontId="0" fillId="0" borderId="0" xfId="1" applyNumberFormat="1" applyFont="1" applyBorder="1"/>
    <xf numFmtId="179" fontId="0" fillId="0" borderId="0" xfId="0" applyNumberFormat="1"/>
    <xf numFmtId="169" fontId="0" fillId="0" borderId="1" xfId="0" applyNumberFormat="1" applyBorder="1"/>
    <xf numFmtId="166" fontId="0" fillId="0" borderId="1" xfId="1" applyNumberFormat="1" applyFont="1" applyBorder="1"/>
    <xf numFmtId="167" fontId="0" fillId="0" borderId="2" xfId="0" applyNumberFormat="1" applyBorder="1"/>
    <xf numFmtId="175" fontId="0" fillId="0" borderId="0" xfId="3" applyNumberFormat="1" applyFont="1" applyBorder="1"/>
    <xf numFmtId="43" fontId="0" fillId="0" borderId="0" xfId="1" applyNumberFormat="1" applyFont="1" applyBorder="1"/>
    <xf numFmtId="170" fontId="0" fillId="0" borderId="0" xfId="0" applyNumberFormat="1" applyBorder="1"/>
    <xf numFmtId="175" fontId="0" fillId="0" borderId="0" xfId="2" applyNumberFormat="1" applyFont="1" applyBorder="1"/>
    <xf numFmtId="165" fontId="0" fillId="0" borderId="0" xfId="1" applyFont="1" applyBorder="1"/>
    <xf numFmtId="174" fontId="0" fillId="0" borderId="0" xfId="0" applyNumberFormat="1"/>
    <xf numFmtId="0" fontId="0" fillId="0" borderId="0" xfId="0" applyFill="1" applyBorder="1"/>
    <xf numFmtId="166" fontId="0" fillId="0" borderId="0" xfId="1" applyNumberFormat="1" applyFont="1" applyFill="1" applyBorder="1"/>
    <xf numFmtId="167" fontId="0" fillId="0" borderId="0" xfId="0" applyNumberFormat="1" applyFill="1" applyBorder="1"/>
    <xf numFmtId="0" fontId="9" fillId="0" borderId="0" xfId="0" applyFont="1"/>
    <xf numFmtId="0" fontId="2" fillId="0" borderId="0" xfId="0" applyFont="1" applyBorder="1"/>
    <xf numFmtId="0" fontId="2" fillId="0" borderId="3" xfId="0" applyFont="1" applyBorder="1"/>
    <xf numFmtId="0" fontId="2" fillId="0" borderId="3" xfId="0" applyFont="1" applyBorder="1" applyAlignment="1">
      <alignment horizontal="center"/>
    </xf>
    <xf numFmtId="0" fontId="2" fillId="0" borderId="3" xfId="0" applyFont="1" applyBorder="1" applyAlignment="1">
      <alignment horizontal="center" wrapText="1"/>
    </xf>
    <xf numFmtId="0" fontId="2" fillId="0" borderId="0" xfId="0" applyFont="1" applyBorder="1" applyAlignment="1">
      <alignment wrapText="1"/>
    </xf>
    <xf numFmtId="0" fontId="0" fillId="0" borderId="4" xfId="0" applyBorder="1"/>
    <xf numFmtId="169" fontId="0" fillId="0" borderId="5" xfId="2" applyNumberFormat="1" applyFont="1" applyBorder="1"/>
    <xf numFmtId="173" fontId="0" fillId="0" borderId="5" xfId="0" applyNumberFormat="1" applyBorder="1"/>
    <xf numFmtId="171" fontId="0" fillId="0" borderId="0" xfId="0" applyNumberFormat="1" applyBorder="1"/>
    <xf numFmtId="169" fontId="0" fillId="0" borderId="0" xfId="2" applyNumberFormat="1" applyFont="1" applyBorder="1"/>
    <xf numFmtId="173" fontId="0" fillId="0" borderId="0" xfId="0" applyNumberFormat="1" applyBorder="1"/>
    <xf numFmtId="166" fontId="0" fillId="0" borderId="0" xfId="3" applyNumberFormat="1" applyFont="1" applyBorder="1"/>
    <xf numFmtId="0" fontId="0" fillId="0" borderId="6" xfId="0" applyBorder="1"/>
    <xf numFmtId="0" fontId="0" fillId="0" borderId="7" xfId="0" applyBorder="1"/>
    <xf numFmtId="169" fontId="0" fillId="0" borderId="8" xfId="2" applyNumberFormat="1" applyFont="1" applyBorder="1"/>
    <xf numFmtId="173" fontId="0" fillId="0" borderId="8" xfId="0" applyNumberFormat="1" applyBorder="1"/>
    <xf numFmtId="169" fontId="0" fillId="0" borderId="9" xfId="2" applyNumberFormat="1" applyFont="1" applyBorder="1"/>
    <xf numFmtId="179" fontId="0" fillId="0" borderId="0" xfId="0" applyNumberFormat="1" applyBorder="1"/>
    <xf numFmtId="0" fontId="0" fillId="0" borderId="0" xfId="0" applyBorder="1" applyAlignment="1">
      <alignment horizontal="center"/>
    </xf>
    <xf numFmtId="44" fontId="0" fillId="0" borderId="0" xfId="0" applyNumberFormat="1" applyBorder="1"/>
    <xf numFmtId="0" fontId="2" fillId="0" borderId="3" xfId="0" applyFont="1" applyBorder="1" applyAlignment="1">
      <alignment wrapText="1"/>
    </xf>
    <xf numFmtId="0" fontId="2" fillId="0" borderId="0" xfId="0" applyFont="1" applyFill="1" applyBorder="1" applyAlignment="1">
      <alignment horizontal="center" wrapText="1"/>
    </xf>
    <xf numFmtId="171" fontId="0" fillId="0" borderId="5" xfId="0" applyNumberFormat="1" applyBorder="1"/>
    <xf numFmtId="171" fontId="0" fillId="0" borderId="8" xfId="0" applyNumberFormat="1" applyBorder="1"/>
    <xf numFmtId="0" fontId="2" fillId="0" borderId="0" xfId="0" applyFont="1" applyAlignment="1">
      <alignment horizontal="center"/>
    </xf>
    <xf numFmtId="0" fontId="2" fillId="0" borderId="0" xfId="0" applyFont="1" applyAlignment="1">
      <alignment horizontal="center" wrapText="1"/>
    </xf>
    <xf numFmtId="0" fontId="0" fillId="0" borderId="0" xfId="0" applyFill="1" applyAlignment="1">
      <alignment horizontal="center"/>
    </xf>
    <xf numFmtId="0" fontId="0" fillId="0" borderId="0" xfId="0" applyBorder="1" applyAlignment="1">
      <alignment horizontal="left"/>
    </xf>
    <xf numFmtId="0" fontId="11" fillId="0" borderId="0" xfId="0" applyFont="1" applyFill="1"/>
    <xf numFmtId="0" fontId="0" fillId="0" borderId="8" xfId="0" applyBorder="1" applyAlignment="1">
      <alignment horizontal="center"/>
    </xf>
    <xf numFmtId="175" fontId="0" fillId="0" borderId="0" xfId="0" applyNumberFormat="1"/>
    <xf numFmtId="169" fontId="0" fillId="0" borderId="5" xfId="2" applyNumberFormat="1" applyFont="1" applyFill="1" applyBorder="1"/>
    <xf numFmtId="169" fontId="0" fillId="0" borderId="0" xfId="2" applyNumberFormat="1" applyFont="1" applyFill="1" applyBorder="1"/>
    <xf numFmtId="169" fontId="0" fillId="0" borderId="8" xfId="2" applyNumberFormat="1" applyFont="1" applyFill="1" applyBorder="1"/>
    <xf numFmtId="0" fontId="0" fillId="0" borderId="0" xfId="0" applyFill="1" applyBorder="1" applyAlignment="1">
      <alignment horizontal="center"/>
    </xf>
    <xf numFmtId="166" fontId="2" fillId="0" borderId="0" xfId="0" applyNumberFormat="1" applyFont="1" applyBorder="1" applyAlignment="1">
      <alignment horizontal="center"/>
    </xf>
    <xf numFmtId="165" fontId="0" fillId="0" borderId="0" xfId="1" applyFont="1"/>
    <xf numFmtId="165" fontId="0" fillId="0" borderId="0" xfId="1" applyNumberFormat="1" applyFont="1" applyFill="1" applyBorder="1"/>
    <xf numFmtId="0" fontId="14" fillId="0" borderId="0" xfId="0" applyFont="1" applyAlignment="1"/>
    <xf numFmtId="0" fontId="0" fillId="0" borderId="0" xfId="0" applyAlignment="1">
      <alignment wrapText="1"/>
    </xf>
    <xf numFmtId="0" fontId="14" fillId="0" borderId="0" xfId="0" applyFont="1" applyAlignment="1">
      <alignment horizontal="center"/>
    </xf>
    <xf numFmtId="0" fontId="2" fillId="0" borderId="24" xfId="0" applyFont="1" applyBorder="1"/>
    <xf numFmtId="0" fontId="2" fillId="0" borderId="25" xfId="0" applyFont="1" applyBorder="1" applyAlignment="1">
      <alignment horizontal="center" wrapText="1"/>
    </xf>
    <xf numFmtId="0" fontId="2" fillId="0" borderId="26" xfId="0" applyFont="1" applyBorder="1" applyAlignment="1">
      <alignment horizontal="center"/>
    </xf>
    <xf numFmtId="0" fontId="2" fillId="0" borderId="27" xfId="0" applyFont="1" applyBorder="1" applyAlignment="1">
      <alignment horizontal="center"/>
    </xf>
    <xf numFmtId="0" fontId="2" fillId="0" borderId="26" xfId="0" applyFont="1" applyBorder="1" applyAlignment="1">
      <alignment horizontal="center" wrapText="1"/>
    </xf>
    <xf numFmtId="166" fontId="0" fillId="0" borderId="0" xfId="0" applyNumberFormat="1" applyAlignment="1">
      <alignment wrapText="1"/>
    </xf>
    <xf numFmtId="166" fontId="0" fillId="0" borderId="0" xfId="1" applyNumberFormat="1" applyFont="1" applyAlignment="1">
      <alignment wrapText="1"/>
    </xf>
    <xf numFmtId="184" fontId="0" fillId="0" borderId="0" xfId="0" applyNumberFormat="1" applyAlignment="1">
      <alignment wrapText="1"/>
    </xf>
    <xf numFmtId="0" fontId="0" fillId="0" borderId="3" xfId="0" applyFont="1" applyBorder="1"/>
    <xf numFmtId="166" fontId="0" fillId="0" borderId="28" xfId="0" applyNumberFormat="1" applyBorder="1"/>
    <xf numFmtId="169" fontId="0" fillId="0" borderId="28" xfId="0" applyNumberFormat="1" applyBorder="1"/>
    <xf numFmtId="0" fontId="0" fillId="0" borderId="28" xfId="0" applyBorder="1"/>
    <xf numFmtId="166" fontId="0" fillId="0" borderId="3" xfId="0" applyNumberFormat="1" applyBorder="1"/>
    <xf numFmtId="169" fontId="0" fillId="0" borderId="3" xfId="0" applyNumberFormat="1" applyBorder="1"/>
    <xf numFmtId="0" fontId="0" fillId="0" borderId="3" xfId="0" applyBorder="1"/>
    <xf numFmtId="166" fontId="0" fillId="0" borderId="29" xfId="0" applyNumberFormat="1" applyBorder="1"/>
    <xf numFmtId="169" fontId="0" fillId="0" borderId="29" xfId="0" applyNumberFormat="1" applyBorder="1"/>
    <xf numFmtId="165" fontId="0" fillId="0" borderId="0" xfId="0" applyNumberFormat="1" applyAlignment="1">
      <alignment wrapText="1"/>
    </xf>
    <xf numFmtId="166" fontId="0" fillId="0" borderId="30" xfId="0" applyNumberFormat="1" applyBorder="1"/>
    <xf numFmtId="0" fontId="0" fillId="0" borderId="21" xfId="0" applyBorder="1"/>
    <xf numFmtId="167" fontId="0" fillId="0" borderId="0" xfId="0" applyNumberFormat="1" applyAlignment="1">
      <alignment wrapText="1"/>
    </xf>
    <xf numFmtId="168" fontId="0" fillId="0" borderId="0" xfId="0" applyNumberFormat="1" applyAlignment="1">
      <alignment wrapText="1"/>
    </xf>
    <xf numFmtId="166" fontId="0" fillId="0" borderId="0" xfId="0" applyNumberFormat="1" applyFill="1" applyBorder="1"/>
    <xf numFmtId="0" fontId="0" fillId="3" borderId="4" xfId="0" applyFill="1" applyBorder="1"/>
    <xf numFmtId="0" fontId="0" fillId="3" borderId="5" xfId="0" applyFill="1" applyBorder="1"/>
    <xf numFmtId="0" fontId="0" fillId="3" borderId="22" xfId="0" applyFill="1" applyBorder="1"/>
    <xf numFmtId="0" fontId="2" fillId="0" borderId="33" xfId="0" applyFont="1" applyBorder="1" applyAlignment="1">
      <alignment horizontal="center" wrapText="1"/>
    </xf>
    <xf numFmtId="0" fontId="2" fillId="0" borderId="16" xfId="0" applyFont="1" applyBorder="1" applyAlignment="1">
      <alignment horizontal="center" wrapText="1"/>
    </xf>
    <xf numFmtId="0" fontId="2" fillId="0" borderId="16" xfId="0" applyFont="1" applyBorder="1" applyAlignment="1">
      <alignment horizontal="center"/>
    </xf>
    <xf numFmtId="0" fontId="0" fillId="0" borderId="13" xfId="0" applyFont="1" applyBorder="1"/>
    <xf numFmtId="166" fontId="0" fillId="0" borderId="35" xfId="0" applyNumberFormat="1" applyBorder="1"/>
    <xf numFmtId="169" fontId="0" fillId="0" borderId="34" xfId="0" applyNumberFormat="1" applyBorder="1"/>
    <xf numFmtId="166" fontId="0" fillId="0" borderId="36" xfId="1" applyNumberFormat="1" applyFont="1" applyBorder="1"/>
    <xf numFmtId="166" fontId="0" fillId="0" borderId="37" xfId="0" applyNumberFormat="1" applyBorder="1"/>
    <xf numFmtId="166" fontId="0" fillId="0" borderId="4" xfId="0" applyNumberFormat="1" applyBorder="1"/>
    <xf numFmtId="166" fontId="0" fillId="0" borderId="38" xfId="0" applyNumberFormat="1" applyBorder="1"/>
    <xf numFmtId="169" fontId="0" fillId="0" borderId="23" xfId="0" applyNumberFormat="1" applyBorder="1"/>
    <xf numFmtId="0" fontId="0" fillId="0" borderId="39" xfId="0" applyBorder="1"/>
    <xf numFmtId="166" fontId="0" fillId="0" borderId="19" xfId="0" applyNumberFormat="1" applyBorder="1"/>
    <xf numFmtId="172" fontId="0" fillId="0" borderId="0" xfId="0" applyNumberFormat="1" applyAlignment="1">
      <alignment wrapText="1"/>
    </xf>
    <xf numFmtId="169" fontId="0" fillId="0" borderId="40" xfId="0" applyNumberFormat="1" applyBorder="1"/>
    <xf numFmtId="166" fontId="0" fillId="0" borderId="38" xfId="0" applyNumberFormat="1" applyFill="1" applyBorder="1"/>
    <xf numFmtId="165" fontId="0" fillId="0" borderId="38" xfId="0" applyNumberFormat="1" applyBorder="1"/>
    <xf numFmtId="185" fontId="0" fillId="0" borderId="0" xfId="0" applyNumberFormat="1"/>
    <xf numFmtId="0" fontId="0" fillId="0" borderId="5" xfId="0" applyBorder="1"/>
    <xf numFmtId="0" fontId="0" fillId="0" borderId="6" xfId="0" applyFill="1" applyBorder="1" applyAlignment="1"/>
    <xf numFmtId="0" fontId="0" fillId="0" borderId="0" xfId="0" applyFill="1" applyBorder="1" applyAlignment="1"/>
    <xf numFmtId="0" fontId="2" fillId="0" borderId="41" xfId="0" applyFont="1" applyBorder="1" applyAlignment="1">
      <alignment horizontal="center"/>
    </xf>
    <xf numFmtId="0" fontId="0" fillId="0" borderId="0" xfId="0" applyBorder="1" applyAlignment="1">
      <alignment wrapText="1"/>
    </xf>
    <xf numFmtId="166" fontId="0" fillId="0" borderId="23" xfId="0" applyNumberFormat="1" applyBorder="1"/>
    <xf numFmtId="169" fontId="0" fillId="0" borderId="21" xfId="0" applyNumberFormat="1" applyBorder="1"/>
    <xf numFmtId="166" fontId="0" fillId="0" borderId="0" xfId="0" applyNumberFormat="1" applyBorder="1" applyAlignment="1">
      <alignment wrapText="1"/>
    </xf>
    <xf numFmtId="0" fontId="0" fillId="0" borderId="4" xfId="0" applyBorder="1" applyAlignment="1"/>
    <xf numFmtId="0" fontId="0" fillId="3" borderId="17" xfId="0" applyFill="1" applyBorder="1" applyAlignment="1"/>
    <xf numFmtId="0" fontId="2" fillId="0" borderId="4" xfId="0" applyFont="1" applyBorder="1" applyAlignment="1">
      <alignment horizontal="center" wrapText="1"/>
    </xf>
    <xf numFmtId="166" fontId="0" fillId="0" borderId="6" xfId="0" applyNumberFormat="1" applyBorder="1" applyAlignment="1">
      <alignment wrapText="1"/>
    </xf>
    <xf numFmtId="166" fontId="0" fillId="0" borderId="0" xfId="0" applyNumberFormat="1" applyFill="1" applyBorder="1" applyAlignment="1">
      <alignment wrapText="1"/>
    </xf>
    <xf numFmtId="0" fontId="2" fillId="0" borderId="25" xfId="0" applyFont="1" applyBorder="1"/>
    <xf numFmtId="166" fontId="2" fillId="0" borderId="26" xfId="0" applyNumberFormat="1" applyFont="1" applyFill="1" applyBorder="1" applyAlignment="1">
      <alignment horizontal="center" wrapText="1"/>
    </xf>
    <xf numFmtId="0" fontId="2" fillId="0" borderId="46" xfId="0" applyFont="1" applyBorder="1" applyAlignment="1">
      <alignment horizontal="center" wrapText="1"/>
    </xf>
    <xf numFmtId="0" fontId="2" fillId="0" borderId="32" xfId="0" applyFont="1" applyBorder="1" applyAlignment="1">
      <alignment horizontal="center"/>
    </xf>
    <xf numFmtId="0" fontId="16" fillId="0" borderId="3" xfId="0" applyFont="1" applyBorder="1"/>
    <xf numFmtId="0" fontId="16" fillId="0" borderId="23" xfId="0" applyFont="1" applyBorder="1" applyAlignment="1">
      <alignment wrapText="1"/>
    </xf>
    <xf numFmtId="166" fontId="0" fillId="0" borderId="47" xfId="0" applyNumberFormat="1" applyFill="1" applyBorder="1" applyAlignment="1">
      <alignment wrapText="1"/>
    </xf>
    <xf numFmtId="169" fontId="0" fillId="0" borderId="48" xfId="2" applyNumberFormat="1" applyFont="1" applyFill="1" applyBorder="1" applyAlignment="1">
      <alignment wrapText="1"/>
    </xf>
    <xf numFmtId="167" fontId="0" fillId="0" borderId="49" xfId="0" applyNumberFormat="1" applyFill="1" applyBorder="1" applyAlignment="1">
      <alignment wrapText="1"/>
    </xf>
    <xf numFmtId="166" fontId="0" fillId="0" borderId="11" xfId="0" applyNumberFormat="1" applyBorder="1" applyAlignment="1">
      <alignment wrapText="1"/>
    </xf>
    <xf numFmtId="169" fontId="0" fillId="0" borderId="50" xfId="2" applyNumberFormat="1" applyFont="1" applyFill="1" applyBorder="1" applyAlignment="1">
      <alignment wrapText="1"/>
    </xf>
    <xf numFmtId="167" fontId="0" fillId="0" borderId="51" xfId="0" applyNumberFormat="1" applyBorder="1" applyAlignment="1">
      <alignment wrapText="1"/>
    </xf>
    <xf numFmtId="0" fontId="16" fillId="0" borderId="3" xfId="0" applyFont="1" applyBorder="1" applyAlignment="1">
      <alignment wrapText="1"/>
    </xf>
    <xf numFmtId="169" fontId="0" fillId="0" borderId="50" xfId="0" applyNumberFormat="1" applyBorder="1" applyAlignment="1">
      <alignment wrapText="1"/>
    </xf>
    <xf numFmtId="0" fontId="0" fillId="0" borderId="0" xfId="0" applyAlignment="1"/>
    <xf numFmtId="166" fontId="0" fillId="0" borderId="52" xfId="1" applyNumberFormat="1" applyFont="1" applyBorder="1" applyAlignment="1">
      <alignment wrapText="1"/>
    </xf>
    <xf numFmtId="169" fontId="0" fillId="0" borderId="53" xfId="2" applyNumberFormat="1" applyFont="1" applyBorder="1" applyAlignment="1">
      <alignment wrapText="1"/>
    </xf>
    <xf numFmtId="167" fontId="0" fillId="0" borderId="54" xfId="0" applyNumberFormat="1" applyBorder="1" applyAlignment="1">
      <alignment wrapText="1"/>
    </xf>
    <xf numFmtId="0" fontId="0" fillId="0" borderId="3" xfId="0" applyBorder="1" applyAlignment="1">
      <alignment wrapText="1"/>
    </xf>
    <xf numFmtId="0" fontId="0" fillId="0" borderId="20" xfId="0" applyBorder="1" applyAlignment="1">
      <alignment horizontal="left"/>
    </xf>
    <xf numFmtId="0" fontId="0" fillId="0" borderId="20" xfId="0" applyBorder="1"/>
    <xf numFmtId="166" fontId="0" fillId="0" borderId="55" xfId="0" applyNumberFormat="1" applyFill="1" applyBorder="1"/>
    <xf numFmtId="0" fontId="0" fillId="0" borderId="5" xfId="0" applyBorder="1" applyAlignment="1"/>
    <xf numFmtId="0" fontId="2" fillId="0" borderId="6" xfId="0" applyFont="1" applyBorder="1" applyAlignment="1">
      <alignment horizontal="center" wrapText="1"/>
    </xf>
    <xf numFmtId="0" fontId="16" fillId="0" borderId="13" xfId="0" applyFont="1" applyBorder="1"/>
    <xf numFmtId="0" fontId="16" fillId="0" borderId="7" xfId="0" applyFont="1" applyBorder="1" applyAlignment="1">
      <alignment wrapText="1"/>
    </xf>
    <xf numFmtId="167" fontId="0" fillId="0" borderId="49" xfId="0" applyNumberFormat="1" applyBorder="1" applyAlignment="1">
      <alignment wrapText="1"/>
    </xf>
    <xf numFmtId="164" fontId="0" fillId="0" borderId="0" xfId="0" applyNumberFormat="1" applyAlignment="1">
      <alignment wrapText="1"/>
    </xf>
    <xf numFmtId="167" fontId="0" fillId="0" borderId="54" xfId="2" applyNumberFormat="1" applyFont="1" applyBorder="1" applyAlignment="1">
      <alignment wrapText="1"/>
    </xf>
    <xf numFmtId="164" fontId="0" fillId="0" borderId="0" xfId="0" applyNumberFormat="1" applyAlignment="1"/>
    <xf numFmtId="172" fontId="0" fillId="0" borderId="0" xfId="1" applyNumberFormat="1" applyFont="1"/>
    <xf numFmtId="0" fontId="2" fillId="0" borderId="0" xfId="0" applyFont="1" applyAlignment="1">
      <alignment horizontal="center"/>
    </xf>
    <xf numFmtId="0" fontId="0" fillId="0" borderId="0" xfId="0" applyFont="1" applyFill="1"/>
    <xf numFmtId="165" fontId="0" fillId="0" borderId="0" xfId="0" applyNumberFormat="1" applyFill="1"/>
    <xf numFmtId="175" fontId="0" fillId="0" borderId="0" xfId="2" applyNumberFormat="1" applyFont="1" applyFill="1" applyAlignment="1">
      <alignment horizontal="right"/>
    </xf>
    <xf numFmtId="167" fontId="0" fillId="2" borderId="0" xfId="2" applyNumberFormat="1" applyFont="1" applyFill="1"/>
    <xf numFmtId="173" fontId="0" fillId="0" borderId="5" xfId="0" applyNumberFormat="1" applyFill="1" applyBorder="1"/>
    <xf numFmtId="166" fontId="0" fillId="0" borderId="0" xfId="3" applyNumberFormat="1" applyFont="1" applyFill="1"/>
    <xf numFmtId="173" fontId="0" fillId="0" borderId="0" xfId="0" applyNumberFormat="1" applyFill="1" applyBorder="1"/>
    <xf numFmtId="173" fontId="0" fillId="0" borderId="8" xfId="0" applyNumberFormat="1" applyFill="1" applyBorder="1"/>
    <xf numFmtId="167" fontId="2" fillId="0" borderId="6" xfId="2" applyNumberFormat="1" applyFont="1" applyBorder="1" applyAlignment="1">
      <alignment horizontal="center"/>
    </xf>
    <xf numFmtId="167" fontId="0" fillId="0" borderId="18" xfId="2" applyNumberFormat="1" applyFont="1" applyBorder="1"/>
    <xf numFmtId="166" fontId="2" fillId="0" borderId="6" xfId="1" applyNumberFormat="1" applyFont="1" applyBorder="1" applyAlignment="1">
      <alignment horizontal="center"/>
    </xf>
    <xf numFmtId="167" fontId="2" fillId="0" borderId="18" xfId="2" applyNumberFormat="1" applyFont="1" applyBorder="1" applyAlignment="1">
      <alignment horizontal="center"/>
    </xf>
    <xf numFmtId="166" fontId="0" fillId="0" borderId="6" xfId="0" applyNumberFormat="1" applyFill="1" applyBorder="1"/>
    <xf numFmtId="167" fontId="0" fillId="0" borderId="18" xfId="2" applyNumberFormat="1" applyFont="1" applyFill="1" applyBorder="1"/>
    <xf numFmtId="166" fontId="0" fillId="0" borderId="7" xfId="1" applyNumberFormat="1" applyFont="1" applyFill="1" applyBorder="1"/>
    <xf numFmtId="167" fontId="0" fillId="0" borderId="56" xfId="0" applyNumberFormat="1" applyFill="1" applyBorder="1"/>
    <xf numFmtId="0" fontId="0" fillId="0" borderId="6" xfId="0" applyFill="1" applyBorder="1"/>
    <xf numFmtId="0" fontId="0" fillId="0" borderId="18" xfId="0" applyFill="1" applyBorder="1"/>
    <xf numFmtId="166" fontId="2" fillId="0" borderId="0" xfId="0" applyNumberFormat="1" applyFont="1" applyFill="1" applyBorder="1" applyAlignment="1">
      <alignment horizontal="center"/>
    </xf>
    <xf numFmtId="167" fontId="0" fillId="0" borderId="0" xfId="1" applyNumberFormat="1" applyFont="1" applyFill="1" applyBorder="1"/>
    <xf numFmtId="44" fontId="0" fillId="0" borderId="0" xfId="0" applyNumberFormat="1" applyFill="1" applyBorder="1"/>
    <xf numFmtId="43" fontId="0" fillId="0" borderId="0" xfId="0" applyNumberFormat="1" applyFill="1" applyBorder="1"/>
    <xf numFmtId="176" fontId="0" fillId="0" borderId="0" xfId="0" applyNumberFormat="1" applyFill="1" applyBorder="1"/>
    <xf numFmtId="180" fontId="0" fillId="0" borderId="0" xfId="0" applyNumberFormat="1" applyFill="1"/>
    <xf numFmtId="0" fontId="12" fillId="0" borderId="0" xfId="0" applyFont="1" applyFill="1"/>
    <xf numFmtId="0" fontId="2" fillId="0" borderId="0" xfId="0" applyFont="1" applyFill="1"/>
    <xf numFmtId="167" fontId="0" fillId="0" borderId="1" xfId="0" applyNumberFormat="1" applyFill="1" applyBorder="1"/>
    <xf numFmtId="0" fontId="0" fillId="0" borderId="17" xfId="0" applyBorder="1"/>
    <xf numFmtId="0" fontId="0" fillId="0" borderId="7" xfId="0" applyBorder="1" applyAlignment="1">
      <alignment horizontal="center"/>
    </xf>
    <xf numFmtId="0" fontId="0" fillId="0" borderId="18" xfId="0" applyBorder="1"/>
    <xf numFmtId="167" fontId="0" fillId="0" borderId="6" xfId="0" applyNumberFormat="1" applyBorder="1"/>
    <xf numFmtId="167" fontId="0" fillId="0" borderId="6" xfId="0" applyNumberFormat="1" applyFill="1" applyBorder="1"/>
    <xf numFmtId="167" fontId="11" fillId="0" borderId="0" xfId="2" applyNumberFormat="1" applyFont="1" applyFill="1" applyBorder="1" applyAlignment="1">
      <alignment horizontal="right"/>
    </xf>
    <xf numFmtId="167" fontId="0" fillId="0" borderId="18" xfId="0" applyNumberFormat="1" applyFill="1" applyBorder="1"/>
    <xf numFmtId="167" fontId="0" fillId="0" borderId="23" xfId="0" applyNumberFormat="1" applyFill="1" applyBorder="1"/>
    <xf numFmtId="43" fontId="0" fillId="0" borderId="18" xfId="0" applyNumberFormat="1" applyFill="1" applyBorder="1"/>
    <xf numFmtId="167" fontId="0" fillId="0" borderId="19" xfId="0" applyNumberFormat="1" applyBorder="1"/>
    <xf numFmtId="0" fontId="0" fillId="0" borderId="19" xfId="0" applyFill="1" applyBorder="1"/>
    <xf numFmtId="44" fontId="0" fillId="0" borderId="19" xfId="0" applyNumberFormat="1" applyFill="1" applyBorder="1"/>
    <xf numFmtId="167" fontId="17" fillId="0" borderId="0" xfId="2" applyNumberFormat="1" applyFont="1" applyFill="1" applyAlignment="1">
      <alignment horizontal="left"/>
    </xf>
    <xf numFmtId="169" fontId="0" fillId="3" borderId="34" xfId="0" applyNumberFormat="1" applyFill="1" applyBorder="1"/>
    <xf numFmtId="169" fontId="0" fillId="0" borderId="29" xfId="0" applyNumberFormat="1" applyFill="1" applyBorder="1"/>
    <xf numFmtId="0" fontId="2" fillId="4" borderId="3" xfId="0" applyFont="1" applyFill="1" applyBorder="1" applyAlignment="1">
      <alignment horizontal="center" wrapText="1"/>
    </xf>
    <xf numFmtId="0" fontId="0" fillId="0" borderId="0" xfId="0" quotePrefix="1"/>
    <xf numFmtId="0" fontId="3" fillId="0" borderId="0" xfId="0" applyFont="1" applyFill="1"/>
    <xf numFmtId="0" fontId="0" fillId="0" borderId="3" xfId="0" applyFont="1" applyFill="1" applyBorder="1"/>
    <xf numFmtId="166" fontId="0" fillId="0" borderId="12" xfId="0" applyNumberFormat="1" applyFill="1" applyBorder="1"/>
    <xf numFmtId="169" fontId="0" fillId="0" borderId="12" xfId="0" applyNumberFormat="1" applyFill="1" applyBorder="1"/>
    <xf numFmtId="169" fontId="0" fillId="0" borderId="57" xfId="0" applyNumberFormat="1" applyBorder="1"/>
    <xf numFmtId="178" fontId="0" fillId="0" borderId="0" xfId="2" applyNumberFormat="1" applyFont="1" applyFill="1" applyBorder="1"/>
    <xf numFmtId="166" fontId="0" fillId="0" borderId="34" xfId="0" applyNumberFormat="1" applyFill="1" applyBorder="1"/>
    <xf numFmtId="166" fontId="0" fillId="0" borderId="40" xfId="0" applyNumberFormat="1" applyFill="1" applyBorder="1"/>
    <xf numFmtId="166" fontId="1" fillId="5" borderId="0" xfId="1" applyNumberFormat="1" applyFont="1" applyFill="1" applyBorder="1"/>
    <xf numFmtId="183" fontId="0" fillId="0" borderId="0" xfId="3" applyNumberFormat="1" applyFont="1" applyFill="1"/>
    <xf numFmtId="10" fontId="2" fillId="0" borderId="0" xfId="3" applyNumberFormat="1" applyFont="1" applyFill="1" applyBorder="1" applyAlignment="1">
      <alignment horizontal="center"/>
    </xf>
    <xf numFmtId="166" fontId="0" fillId="5" borderId="0" xfId="1" applyNumberFormat="1" applyFont="1" applyFill="1"/>
    <xf numFmtId="166" fontId="0" fillId="0" borderId="28" xfId="0" applyNumberFormat="1" applyFill="1" applyBorder="1"/>
    <xf numFmtId="9" fontId="0" fillId="0" borderId="0" xfId="3" applyFont="1" applyFill="1" applyBorder="1"/>
    <xf numFmtId="175" fontId="0" fillId="5" borderId="0" xfId="2" applyNumberFormat="1" applyFont="1" applyFill="1" applyAlignment="1">
      <alignment horizontal="right"/>
    </xf>
    <xf numFmtId="166" fontId="0" fillId="5" borderId="0" xfId="0" applyNumberFormat="1" applyFill="1"/>
    <xf numFmtId="170" fontId="0" fillId="5" borderId="0" xfId="1" applyNumberFormat="1" applyFont="1" applyFill="1"/>
    <xf numFmtId="167" fontId="0" fillId="5" borderId="0" xfId="2" applyNumberFormat="1" applyFont="1" applyFill="1"/>
    <xf numFmtId="178" fontId="0" fillId="5" borderId="0" xfId="2" applyNumberFormat="1" applyFont="1" applyFill="1"/>
    <xf numFmtId="165" fontId="0" fillId="5" borderId="0" xfId="1" applyFont="1" applyFill="1"/>
    <xf numFmtId="167" fontId="0" fillId="0" borderId="0" xfId="2" applyNumberFormat="1" applyFont="1" applyFill="1" applyBorder="1" applyAlignment="1">
      <alignment horizontal="center"/>
    </xf>
    <xf numFmtId="166" fontId="0" fillId="0" borderId="0" xfId="0" applyNumberFormat="1" applyFont="1" applyFill="1" applyBorder="1"/>
    <xf numFmtId="166" fontId="0" fillId="0" borderId="8" xfId="3" applyNumberFormat="1" applyFont="1" applyFill="1" applyBorder="1"/>
    <xf numFmtId="167" fontId="0" fillId="0" borderId="8" xfId="2" applyNumberFormat="1" applyFont="1" applyBorder="1"/>
    <xf numFmtId="165" fontId="0" fillId="0" borderId="38" xfId="0" applyNumberFormat="1" applyFill="1" applyBorder="1"/>
    <xf numFmtId="166" fontId="0" fillId="0" borderId="0" xfId="0" applyNumberFormat="1" applyFill="1" applyBorder="1" applyAlignment="1"/>
    <xf numFmtId="166" fontId="0" fillId="0" borderId="10" xfId="1" applyNumberFormat="1" applyFont="1" applyBorder="1"/>
    <xf numFmtId="37" fontId="0" fillId="0" borderId="2" xfId="2" applyNumberFormat="1" applyFont="1" applyBorder="1"/>
    <xf numFmtId="166" fontId="0" fillId="0" borderId="29" xfId="0" applyNumberFormat="1" applyFill="1" applyBorder="1"/>
    <xf numFmtId="182" fontId="0" fillId="0" borderId="0" xfId="3" applyNumberFormat="1" applyFont="1" applyAlignment="1">
      <alignment horizontal="left"/>
    </xf>
    <xf numFmtId="187" fontId="0" fillId="0" borderId="0" xfId="0" applyNumberFormat="1"/>
    <xf numFmtId="0" fontId="19" fillId="0" borderId="0" xfId="0" applyFont="1" applyAlignment="1">
      <alignment wrapText="1"/>
    </xf>
    <xf numFmtId="0" fontId="10" fillId="0" borderId="0" xfId="0" applyFont="1" applyAlignment="1">
      <alignment wrapText="1"/>
    </xf>
    <xf numFmtId="181" fontId="0" fillId="5" borderId="0" xfId="0" applyNumberFormat="1" applyFill="1"/>
    <xf numFmtId="0" fontId="2" fillId="0" borderId="26" xfId="0" applyFont="1" applyFill="1" applyBorder="1" applyAlignment="1">
      <alignment horizontal="center" wrapText="1"/>
    </xf>
    <xf numFmtId="169" fontId="0" fillId="0" borderId="3" xfId="0" applyNumberFormat="1" applyFill="1" applyBorder="1"/>
    <xf numFmtId="0" fontId="0" fillId="0" borderId="0" xfId="0" applyFill="1" applyAlignment="1">
      <alignment wrapText="1"/>
    </xf>
    <xf numFmtId="166" fontId="0" fillId="2" borderId="31" xfId="0" applyNumberFormat="1" applyFill="1" applyBorder="1"/>
    <xf numFmtId="166" fontId="0" fillId="2" borderId="42" xfId="0" applyNumberFormat="1" applyFill="1" applyBorder="1"/>
    <xf numFmtId="166" fontId="0" fillId="2" borderId="43" xfId="0" applyNumberFormat="1" applyFill="1" applyBorder="1" applyAlignment="1">
      <alignment wrapText="1"/>
    </xf>
    <xf numFmtId="166" fontId="0" fillId="0" borderId="47" xfId="1" applyNumberFormat="1" applyFont="1" applyFill="1" applyBorder="1" applyAlignment="1">
      <alignment wrapText="1"/>
    </xf>
    <xf numFmtId="166" fontId="0" fillId="0" borderId="52" xfId="0" applyNumberFormat="1" applyFill="1" applyBorder="1" applyAlignment="1">
      <alignment wrapText="1"/>
    </xf>
    <xf numFmtId="169" fontId="0" fillId="0" borderId="53" xfId="2" applyNumberFormat="1" applyFont="1" applyFill="1" applyBorder="1" applyAlignment="1">
      <alignment wrapText="1"/>
    </xf>
    <xf numFmtId="0" fontId="0" fillId="0" borderId="0" xfId="0" applyFill="1" applyBorder="1" applyAlignment="1">
      <alignment wrapText="1"/>
    </xf>
    <xf numFmtId="0" fontId="0" fillId="0" borderId="0" xfId="0" applyFill="1" applyBorder="1" applyAlignment="1">
      <alignment horizontal="center" wrapText="1"/>
    </xf>
    <xf numFmtId="166" fontId="11" fillId="0" borderId="0" xfId="1" applyNumberFormat="1" applyFont="1" applyFill="1" applyAlignment="1">
      <alignment horizontal="center" vertical="center" wrapText="1"/>
    </xf>
    <xf numFmtId="0" fontId="11" fillId="0" borderId="0" xfId="0" applyFont="1" applyAlignment="1">
      <alignment horizontal="center" vertical="center" wrapText="1"/>
    </xf>
    <xf numFmtId="0" fontId="19" fillId="0" borderId="0" xfId="0" applyFont="1" applyAlignment="1">
      <alignment wrapText="1"/>
    </xf>
    <xf numFmtId="166" fontId="19" fillId="0" borderId="0" xfId="1" applyNumberFormat="1" applyFont="1" applyAlignment="1">
      <alignment wrapText="1"/>
    </xf>
    <xf numFmtId="0" fontId="0" fillId="0" borderId="0" xfId="0" applyAlignment="1">
      <alignment horizontal="left" vertical="top" wrapText="1"/>
    </xf>
    <xf numFmtId="0" fontId="0" fillId="0" borderId="0" xfId="0" applyFill="1" applyAlignment="1">
      <alignment horizontal="left" wrapText="1"/>
    </xf>
    <xf numFmtId="167" fontId="17" fillId="0" borderId="4" xfId="2" applyNumberFormat="1" applyFont="1" applyBorder="1" applyAlignment="1">
      <alignment horizontal="center"/>
    </xf>
    <xf numFmtId="0" fontId="17" fillId="0" borderId="17" xfId="0" applyFont="1" applyBorder="1" applyAlignment="1">
      <alignment horizontal="center"/>
    </xf>
    <xf numFmtId="0" fontId="10" fillId="0" borderId="23" xfId="0" applyFont="1" applyFill="1" applyBorder="1" applyAlignment="1">
      <alignment horizontal="center"/>
    </xf>
    <xf numFmtId="0" fontId="10" fillId="0" borderId="1" xfId="0" applyFont="1" applyBorder="1" applyAlignment="1">
      <alignment horizontal="center"/>
    </xf>
    <xf numFmtId="0" fontId="10" fillId="0" borderId="19" xfId="0" applyFont="1" applyBorder="1" applyAlignment="1">
      <alignment horizontal="center"/>
    </xf>
    <xf numFmtId="0" fontId="11" fillId="0" borderId="0" xfId="0" applyFont="1" applyAlignment="1">
      <alignment horizontal="left" wrapText="1"/>
    </xf>
    <xf numFmtId="0" fontId="11" fillId="0" borderId="18" xfId="0" applyFont="1" applyBorder="1" applyAlignment="1">
      <alignment horizontal="lef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center"/>
    </xf>
    <xf numFmtId="0" fontId="2" fillId="0" borderId="26" xfId="0" applyFont="1" applyBorder="1" applyAlignment="1">
      <alignment horizontal="center" wrapText="1"/>
    </xf>
    <xf numFmtId="0" fontId="2" fillId="0" borderId="15" xfId="0" applyFont="1" applyBorder="1" applyAlignment="1">
      <alignment horizontal="center" wrapText="1"/>
    </xf>
    <xf numFmtId="0" fontId="2" fillId="0" borderId="32" xfId="0" applyFont="1" applyBorder="1" applyAlignment="1">
      <alignment horizontal="center" wrapText="1"/>
    </xf>
    <xf numFmtId="0" fontId="18" fillId="0" borderId="0" xfId="0" applyFont="1" applyAlignment="1">
      <alignment horizontal="center"/>
    </xf>
    <xf numFmtId="0" fontId="2" fillId="3" borderId="21" xfId="0" applyFont="1" applyFill="1" applyBorder="1" applyAlignment="1">
      <alignment horizontal="center"/>
    </xf>
    <xf numFmtId="0" fontId="2" fillId="3" borderId="9" xfId="0" applyFont="1" applyFill="1" applyBorder="1" applyAlignment="1">
      <alignment horizontal="center"/>
    </xf>
    <xf numFmtId="0" fontId="2" fillId="3" borderId="22" xfId="0" applyFont="1" applyFill="1" applyBorder="1" applyAlignment="1">
      <alignment horizontal="center"/>
    </xf>
    <xf numFmtId="0" fontId="15" fillId="3" borderId="23" xfId="0" applyFont="1" applyFill="1" applyBorder="1" applyAlignment="1">
      <alignment horizontal="center" wrapText="1"/>
    </xf>
    <xf numFmtId="0" fontId="15" fillId="3" borderId="19" xfId="0" applyFont="1" applyFill="1" applyBorder="1" applyAlignment="1">
      <alignment horizontal="center" wrapText="1"/>
    </xf>
    <xf numFmtId="0" fontId="15" fillId="3" borderId="23" xfId="0" applyFont="1" applyFill="1" applyBorder="1" applyAlignment="1">
      <alignment horizontal="center"/>
    </xf>
    <xf numFmtId="0" fontId="15" fillId="3" borderId="19" xfId="0" applyFont="1" applyFill="1" applyBorder="1" applyAlignment="1">
      <alignment horizontal="center"/>
    </xf>
    <xf numFmtId="0" fontId="15" fillId="3" borderId="26" xfId="0" applyFont="1" applyFill="1" applyBorder="1" applyAlignment="1">
      <alignment horizontal="center"/>
    </xf>
    <xf numFmtId="0" fontId="15" fillId="3" borderId="15" xfId="0" applyFont="1" applyFill="1" applyBorder="1" applyAlignment="1">
      <alignment horizontal="center"/>
    </xf>
    <xf numFmtId="0" fontId="15" fillId="3" borderId="16" xfId="0" applyFont="1" applyFill="1" applyBorder="1" applyAlignment="1">
      <alignment horizontal="center"/>
    </xf>
    <xf numFmtId="186" fontId="0" fillId="0" borderId="0" xfId="0" applyNumberFormat="1" applyAlignment="1">
      <alignment horizontal="right" vertical="center"/>
    </xf>
    <xf numFmtId="0" fontId="0" fillId="0" borderId="23" xfId="0" applyBorder="1" applyAlignment="1">
      <alignment horizontal="left"/>
    </xf>
    <xf numFmtId="0" fontId="0" fillId="0" borderId="1" xfId="0" applyBorder="1" applyAlignment="1">
      <alignment horizontal="left"/>
    </xf>
    <xf numFmtId="0" fontId="0" fillId="0" borderId="19" xfId="0" applyBorder="1" applyAlignment="1">
      <alignment horizontal="left"/>
    </xf>
    <xf numFmtId="0" fontId="15" fillId="3" borderId="4" xfId="0" applyFont="1" applyFill="1" applyBorder="1" applyAlignment="1">
      <alignment horizontal="center"/>
    </xf>
    <xf numFmtId="0" fontId="15" fillId="3" borderId="17" xfId="0" applyFont="1" applyFill="1" applyBorder="1" applyAlignment="1">
      <alignment horizontal="center"/>
    </xf>
    <xf numFmtId="0" fontId="15" fillId="3" borderId="14" xfId="0" applyFont="1" applyFill="1" applyBorder="1" applyAlignment="1">
      <alignment horizontal="center"/>
    </xf>
    <xf numFmtId="0" fontId="0" fillId="0" borderId="4" xfId="0" applyBorder="1" applyAlignment="1">
      <alignment horizontal="center"/>
    </xf>
    <xf numFmtId="0" fontId="0" fillId="0" borderId="17" xfId="0" applyBorder="1" applyAlignment="1">
      <alignment horizontal="center"/>
    </xf>
    <xf numFmtId="0" fontId="0" fillId="0" borderId="6" xfId="0" applyBorder="1" applyAlignment="1">
      <alignment horizontal="center"/>
    </xf>
    <xf numFmtId="0" fontId="0" fillId="0" borderId="18"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164" fontId="0" fillId="0" borderId="4" xfId="0" applyNumberFormat="1" applyBorder="1" applyAlignment="1">
      <alignment horizontal="center" wrapText="1"/>
    </xf>
    <xf numFmtId="164" fontId="0" fillId="0" borderId="5" xfId="0" applyNumberFormat="1" applyBorder="1" applyAlignment="1">
      <alignment horizontal="center" wrapText="1"/>
    </xf>
    <xf numFmtId="164" fontId="0" fillId="0" borderId="17" xfId="0" applyNumberFormat="1" applyBorder="1" applyAlignment="1">
      <alignment horizontal="center" wrapText="1"/>
    </xf>
    <xf numFmtId="0" fontId="2" fillId="0" borderId="6" xfId="0" applyFont="1" applyBorder="1" applyAlignment="1">
      <alignment horizontal="center" wrapText="1"/>
    </xf>
    <xf numFmtId="0" fontId="2" fillId="0" borderId="0" xfId="0" applyFont="1" applyAlignment="1">
      <alignment horizontal="center" wrapText="1"/>
    </xf>
    <xf numFmtId="167" fontId="0" fillId="0" borderId="6" xfId="0" applyNumberFormat="1" applyBorder="1" applyAlignment="1">
      <alignment horizontal="center" wrapText="1"/>
    </xf>
    <xf numFmtId="167" fontId="0" fillId="0" borderId="0" xfId="0" applyNumberFormat="1" applyBorder="1" applyAlignment="1">
      <alignment horizontal="center" wrapText="1"/>
    </xf>
    <xf numFmtId="167" fontId="0" fillId="0" borderId="18" xfId="0" applyNumberFormat="1" applyBorder="1" applyAlignment="1">
      <alignment horizontal="center" wrapText="1"/>
    </xf>
    <xf numFmtId="164" fontId="0" fillId="0" borderId="8" xfId="0" applyNumberFormat="1" applyBorder="1" applyAlignment="1">
      <alignment horizontal="left"/>
    </xf>
    <xf numFmtId="164" fontId="0" fillId="0" borderId="20" xfId="0" applyNumberFormat="1" applyBorder="1" applyAlignment="1">
      <alignment horizontal="left"/>
    </xf>
    <xf numFmtId="164" fontId="0" fillId="0" borderId="1" xfId="0" applyNumberFormat="1" applyBorder="1" applyAlignment="1">
      <alignment horizontal="left"/>
    </xf>
    <xf numFmtId="164" fontId="0" fillId="0" borderId="19" xfId="0" applyNumberFormat="1" applyBorder="1" applyAlignment="1">
      <alignment horizontal="left"/>
    </xf>
    <xf numFmtId="0" fontId="0" fillId="0" borderId="23" xfId="0" applyBorder="1" applyAlignment="1">
      <alignment horizontal="center"/>
    </xf>
    <xf numFmtId="0" fontId="0" fillId="0" borderId="1" xfId="0" applyBorder="1" applyAlignment="1">
      <alignment horizontal="center"/>
    </xf>
    <xf numFmtId="0" fontId="0" fillId="0" borderId="19" xfId="0" applyBorder="1" applyAlignment="1">
      <alignment horizontal="center"/>
    </xf>
  </cellXfs>
  <cellStyles count="7">
    <cellStyle name="Comma" xfId="1" builtinId="3"/>
    <cellStyle name="Comma 2 12" xfId="5" xr:uid="{00000000-0005-0000-0000-000001000000}"/>
    <cellStyle name="Currency" xfId="2" builtinId="4"/>
    <cellStyle name="Currency 4" xfId="6" xr:uid="{00000000-0005-0000-0000-000003000000}"/>
    <cellStyle name="Normal" xfId="0" builtinId="0"/>
    <cellStyle name="Normal 21" xfId="4" xr:uid="{00000000-0005-0000-0000-000005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238125</xdr:colOff>
      <xdr:row>52</xdr:row>
      <xdr:rowOff>161925</xdr:rowOff>
    </xdr:from>
    <xdr:to>
      <xdr:col>5</xdr:col>
      <xdr:colOff>323850</xdr:colOff>
      <xdr:row>59</xdr:row>
      <xdr:rowOff>142875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429625" y="10839450"/>
          <a:ext cx="85725" cy="1400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857250</xdr:colOff>
      <xdr:row>6</xdr:row>
      <xdr:rowOff>190499</xdr:rowOff>
    </xdr:from>
    <xdr:to>
      <xdr:col>8</xdr:col>
      <xdr:colOff>95250</xdr:colOff>
      <xdr:row>8</xdr:row>
      <xdr:rowOff>147204</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a:off x="7758545" y="2008908"/>
          <a:ext cx="121228" cy="3377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g%20Acctg%20Guidance\Illustrative-Commodity-Model-20190221%20OEB%20Example%20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Settlement &amp; 1st TU"/>
      <sheetName val="RPP Settlement &amp; 1st TU"/>
      <sheetName val="Data for 2nd TU"/>
      <sheetName val="RPP 2nd TU"/>
      <sheetName val="RPP vs non-RPP TU JE"/>
      <sheetName val="Rate Application Related"/>
      <sheetName val="Final RSVA Balances"/>
      <sheetName val="JEs"/>
      <sheetName val="T-Accounts"/>
    </sheetNames>
    <sheetDataSet>
      <sheetData sheetId="0"/>
      <sheetData sheetId="1"/>
      <sheetData sheetId="2">
        <row r="16">
          <cell r="C16">
            <v>5002500</v>
          </cell>
        </row>
        <row r="17">
          <cell r="C17">
            <v>7003500</v>
          </cell>
        </row>
        <row r="18">
          <cell r="C18">
            <v>100050000</v>
          </cell>
        </row>
        <row r="19">
          <cell r="C19">
            <v>50025000</v>
          </cell>
        </row>
        <row r="20">
          <cell r="C20">
            <v>63031500.000000007</v>
          </cell>
        </row>
        <row r="33">
          <cell r="D33">
            <v>7.6999999999999999E-2</v>
          </cell>
        </row>
        <row r="34">
          <cell r="D34">
            <v>8.8999999999999996E-2</v>
          </cell>
        </row>
        <row r="35">
          <cell r="D35">
            <v>6.5000000000000002E-2</v>
          </cell>
        </row>
        <row r="36">
          <cell r="D36">
            <v>9.4E-2</v>
          </cell>
        </row>
        <row r="37">
          <cell r="D37">
            <v>0.13200000000000001</v>
          </cell>
        </row>
        <row r="43">
          <cell r="B43">
            <v>3.1848807346377295E-2</v>
          </cell>
        </row>
        <row r="48">
          <cell r="B48">
            <v>8.8359370314842575E-2</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0"/>
  <sheetViews>
    <sheetView showGridLines="0" tabSelected="1" topLeftCell="B1" zoomScaleNormal="100" workbookViewId="0">
      <selection activeCell="B40" sqref="B40"/>
    </sheetView>
  </sheetViews>
  <sheetFormatPr defaultRowHeight="14.4" x14ac:dyDescent="0.3"/>
  <cols>
    <col min="1" max="1" width="6.33203125" customWidth="1"/>
    <col min="2" max="2" width="69.33203125" customWidth="1"/>
    <col min="3" max="3" width="17.44140625" bestFit="1" customWidth="1"/>
    <col min="4" max="4" width="15" bestFit="1" customWidth="1"/>
    <col min="5" max="5" width="14.88671875" customWidth="1"/>
    <col min="6" max="6" width="6.109375" customWidth="1"/>
    <col min="7" max="7" width="14.44140625" customWidth="1"/>
    <col min="8" max="8" width="13.33203125" customWidth="1"/>
    <col min="9" max="9" width="14.88671875" customWidth="1"/>
    <col min="10" max="10" width="14.33203125" bestFit="1" customWidth="1"/>
    <col min="11" max="11" width="14.6640625" customWidth="1"/>
    <col min="12" max="12" width="15.109375" bestFit="1" customWidth="1"/>
    <col min="13" max="13" width="14.33203125" bestFit="1" customWidth="1"/>
    <col min="14" max="17" width="14.88671875" customWidth="1"/>
    <col min="18" max="18" width="13.109375" customWidth="1"/>
    <col min="19" max="19" width="13.44140625" customWidth="1"/>
    <col min="20" max="20" width="12.44140625" customWidth="1"/>
    <col min="21" max="21" width="13.33203125" customWidth="1"/>
    <col min="22" max="22" width="12.6640625" customWidth="1"/>
    <col min="23" max="23" width="14.33203125" bestFit="1" customWidth="1"/>
    <col min="24" max="25" width="11.5546875" bestFit="1" customWidth="1"/>
    <col min="26" max="26" width="12.5546875" bestFit="1" customWidth="1"/>
  </cols>
  <sheetData>
    <row r="1" spans="1:23" ht="18" x14ac:dyDescent="0.35">
      <c r="B1" s="1" t="s">
        <v>149</v>
      </c>
      <c r="G1" s="1"/>
    </row>
    <row r="3" spans="1:23" x14ac:dyDescent="0.3">
      <c r="B3" s="2" t="s">
        <v>0</v>
      </c>
      <c r="G3" s="98"/>
      <c r="H3" s="98"/>
      <c r="I3" s="3"/>
      <c r="J3" s="3"/>
      <c r="K3" s="3"/>
      <c r="L3" s="3"/>
      <c r="M3" s="3"/>
      <c r="N3" s="3"/>
      <c r="O3" s="3"/>
      <c r="P3" s="3"/>
    </row>
    <row r="4" spans="1:23" ht="30.75" customHeight="1" x14ac:dyDescent="0.3">
      <c r="B4" s="2"/>
      <c r="C4" s="105" t="s">
        <v>1</v>
      </c>
      <c r="D4" s="104" t="s">
        <v>2</v>
      </c>
      <c r="E4" s="104" t="s">
        <v>3</v>
      </c>
      <c r="G4" s="46"/>
      <c r="H4" s="46"/>
      <c r="I4" s="76"/>
      <c r="J4" s="114"/>
      <c r="K4" s="114"/>
      <c r="L4" s="114"/>
      <c r="M4" s="114"/>
      <c r="N4" s="114"/>
      <c r="O4" s="114"/>
      <c r="P4" s="114"/>
      <c r="Q4" s="114"/>
      <c r="R4" s="114"/>
      <c r="S4" s="114"/>
      <c r="T4" s="114"/>
      <c r="U4" s="114"/>
      <c r="V4" s="114"/>
    </row>
    <row r="5" spans="1:23" x14ac:dyDescent="0.3">
      <c r="A5" s="20"/>
      <c r="B5" s="210" t="s">
        <v>140</v>
      </c>
      <c r="D5" s="6">
        <f>E5</f>
        <v>2554518835</v>
      </c>
      <c r="E5" s="269">
        <v>2554518835</v>
      </c>
      <c r="F5" s="20"/>
      <c r="G5" s="275"/>
      <c r="H5" s="143"/>
      <c r="I5" s="76"/>
      <c r="J5" s="76"/>
      <c r="K5" s="77"/>
      <c r="L5" s="77"/>
      <c r="M5" s="77"/>
      <c r="N5" s="77"/>
      <c r="O5" s="5"/>
      <c r="P5" s="77"/>
      <c r="Q5" s="5"/>
      <c r="R5" s="5"/>
      <c r="S5" s="5"/>
      <c r="T5" s="5"/>
      <c r="U5" s="5"/>
      <c r="V5" s="5"/>
      <c r="W5" s="54"/>
    </row>
    <row r="6" spans="1:23" x14ac:dyDescent="0.3">
      <c r="A6" s="20"/>
      <c r="B6" s="210" t="s">
        <v>147</v>
      </c>
      <c r="D6" s="6">
        <f>E6</f>
        <v>96325958.609559998</v>
      </c>
      <c r="E6" s="269">
        <v>96325958.609559998</v>
      </c>
      <c r="F6" s="20"/>
      <c r="G6" s="275"/>
      <c r="H6" s="275"/>
      <c r="I6" s="76"/>
      <c r="J6" s="76"/>
      <c r="K6" s="77"/>
      <c r="L6" s="77"/>
      <c r="M6" s="77"/>
      <c r="N6" s="77"/>
      <c r="O6" s="5"/>
      <c r="P6" s="77"/>
      <c r="Q6" s="5"/>
      <c r="R6" s="5"/>
      <c r="S6" s="5"/>
      <c r="T6" s="5"/>
      <c r="U6" s="5"/>
      <c r="V6" s="5"/>
      <c r="W6" s="54"/>
    </row>
    <row r="7" spans="1:23" x14ac:dyDescent="0.3">
      <c r="A7" s="20"/>
      <c r="B7" s="210" t="s">
        <v>4</v>
      </c>
      <c r="D7" s="5">
        <f>E7</f>
        <v>24111497</v>
      </c>
      <c r="E7" s="269">
        <v>24111497</v>
      </c>
      <c r="F7" s="20"/>
      <c r="G7" s="3"/>
      <c r="H7" s="76"/>
      <c r="I7" s="76"/>
      <c r="J7" s="76"/>
      <c r="K7" s="77"/>
      <c r="L7" s="77"/>
      <c r="M7" s="77"/>
      <c r="N7" s="77"/>
      <c r="O7" s="5"/>
      <c r="P7" s="77"/>
      <c r="Q7" s="5"/>
      <c r="R7" s="5"/>
      <c r="S7" s="5"/>
      <c r="T7" s="5"/>
      <c r="U7" s="5"/>
      <c r="V7" s="5"/>
      <c r="W7" s="54"/>
    </row>
    <row r="8" spans="1:23" x14ac:dyDescent="0.3">
      <c r="A8" s="20"/>
      <c r="B8" s="210" t="s">
        <v>5</v>
      </c>
      <c r="D8" s="265">
        <v>-604007355</v>
      </c>
      <c r="F8" s="20"/>
      <c r="G8" s="3"/>
      <c r="H8" s="76"/>
      <c r="I8" s="76"/>
      <c r="J8" s="76"/>
      <c r="K8" s="5"/>
      <c r="L8" s="5"/>
      <c r="M8" s="5"/>
      <c r="N8" s="5"/>
      <c r="O8" s="5"/>
      <c r="P8" s="5"/>
      <c r="Q8" s="5"/>
      <c r="R8" s="5"/>
      <c r="S8" s="5"/>
      <c r="T8" s="5"/>
      <c r="U8" s="5"/>
      <c r="V8" s="5"/>
      <c r="W8" s="54"/>
    </row>
    <row r="9" spans="1:23" x14ac:dyDescent="0.3">
      <c r="B9" s="4"/>
      <c r="D9" s="10">
        <f>SUM(D5:D8)</f>
        <v>2070948935.60956</v>
      </c>
      <c r="E9" s="10">
        <f>SUM(E5:E8)</f>
        <v>2674956290.60956</v>
      </c>
      <c r="F9" s="20"/>
      <c r="G9" s="210"/>
      <c r="H9" s="77"/>
      <c r="I9" s="77"/>
      <c r="J9" s="77"/>
      <c r="K9" s="77"/>
      <c r="L9" s="77"/>
      <c r="M9" s="264"/>
      <c r="N9" s="264"/>
      <c r="O9" s="264"/>
      <c r="P9" s="264"/>
      <c r="Q9" s="228"/>
      <c r="R9" s="228"/>
      <c r="S9" s="228"/>
      <c r="T9" s="228"/>
      <c r="U9" s="228"/>
      <c r="V9" s="228"/>
      <c r="W9" s="115"/>
    </row>
    <row r="10" spans="1:23" x14ac:dyDescent="0.3">
      <c r="B10" s="4"/>
      <c r="D10" s="6"/>
      <c r="G10" s="4"/>
      <c r="H10" s="77"/>
      <c r="I10" s="77"/>
      <c r="J10" s="77"/>
      <c r="K10" s="77"/>
      <c r="L10" s="77"/>
      <c r="M10" s="264"/>
      <c r="N10" s="264"/>
      <c r="O10" s="264"/>
      <c r="P10" s="264"/>
    </row>
    <row r="11" spans="1:23" x14ac:dyDescent="0.3">
      <c r="B11" t="s">
        <v>6</v>
      </c>
      <c r="C11" s="15">
        <f>+C28</f>
        <v>0.64487493825753384</v>
      </c>
      <c r="D11" s="265">
        <v>1335665065.2162497</v>
      </c>
      <c r="E11" s="7">
        <f>+D11</f>
        <v>1335665065.2162497</v>
      </c>
      <c r="G11" s="16"/>
      <c r="H11" s="77"/>
      <c r="I11" s="77"/>
      <c r="J11" s="77"/>
      <c r="K11" s="77"/>
      <c r="L11" s="77"/>
      <c r="M11" s="264"/>
      <c r="N11" s="264"/>
      <c r="O11" s="264"/>
      <c r="P11" s="264"/>
      <c r="Q11" s="91"/>
      <c r="R11" s="91"/>
      <c r="S11" s="91"/>
      <c r="T11" s="91"/>
      <c r="U11" s="91"/>
      <c r="V11" s="91"/>
      <c r="W11" s="91"/>
    </row>
    <row r="12" spans="1:23" x14ac:dyDescent="0.3">
      <c r="B12" t="s">
        <v>7</v>
      </c>
      <c r="C12" s="263">
        <f>+C29</f>
        <v>0.35512506174246616</v>
      </c>
      <c r="D12" s="265">
        <v>735283870.39331043</v>
      </c>
      <c r="E12" s="7">
        <f>+D12-D8</f>
        <v>1339291225.3933105</v>
      </c>
      <c r="F12" s="20"/>
      <c r="G12" s="16"/>
      <c r="H12" s="77"/>
      <c r="I12" s="77"/>
      <c r="J12" s="77"/>
      <c r="K12" s="77"/>
      <c r="L12" s="77"/>
      <c r="M12" s="91"/>
      <c r="N12" s="91"/>
      <c r="O12" s="91"/>
      <c r="P12" s="91"/>
      <c r="Q12" s="91"/>
      <c r="R12" s="91"/>
      <c r="S12" s="91"/>
      <c r="T12" s="91"/>
      <c r="U12" s="91"/>
      <c r="V12" s="91"/>
    </row>
    <row r="13" spans="1:23" ht="15" thickBot="1" x14ac:dyDescent="0.35">
      <c r="B13" t="s">
        <v>8</v>
      </c>
      <c r="C13" s="21">
        <f>+C11+C12</f>
        <v>1</v>
      </c>
      <c r="D13" s="22">
        <f>+D11+D12</f>
        <v>2070948935.60956</v>
      </c>
      <c r="E13" s="22">
        <f>+E11+E12</f>
        <v>2674956290.60956</v>
      </c>
      <c r="G13" s="3"/>
      <c r="H13" s="11"/>
      <c r="I13" s="18"/>
      <c r="J13" s="19"/>
      <c r="K13" s="77"/>
      <c r="L13" s="18"/>
      <c r="M13" s="77"/>
      <c r="N13" s="77"/>
      <c r="O13" s="77"/>
      <c r="P13" s="77"/>
    </row>
    <row r="14" spans="1:23" ht="15" thickTop="1" x14ac:dyDescent="0.3">
      <c r="G14" s="3"/>
      <c r="H14" s="3"/>
      <c r="I14" s="3"/>
      <c r="J14" s="3"/>
      <c r="K14" s="77"/>
      <c r="L14" s="3"/>
      <c r="M14" s="77"/>
      <c r="N14" s="77"/>
      <c r="O14" s="77"/>
      <c r="P14" s="77"/>
    </row>
    <row r="15" spans="1:23" x14ac:dyDescent="0.3">
      <c r="B15" s="23" t="s">
        <v>9</v>
      </c>
      <c r="G15" s="3"/>
      <c r="H15" s="17"/>
      <c r="I15" s="18"/>
      <c r="J15" s="19"/>
      <c r="K15" s="77"/>
      <c r="L15" s="18"/>
      <c r="M15" s="77"/>
      <c r="N15" s="77"/>
      <c r="O15" s="77"/>
      <c r="P15" s="77"/>
    </row>
    <row r="16" spans="1:23" x14ac:dyDescent="0.3">
      <c r="B16" s="23"/>
      <c r="C16" s="104" t="s">
        <v>11</v>
      </c>
      <c r="D16" s="104" t="s">
        <v>10</v>
      </c>
      <c r="E16" s="105"/>
      <c r="H16" s="24"/>
      <c r="I16" s="7"/>
      <c r="J16" s="25"/>
      <c r="K16" s="14"/>
      <c r="L16" s="7"/>
      <c r="M16" s="77"/>
      <c r="N16" s="77"/>
      <c r="O16" s="77"/>
      <c r="P16" s="77"/>
    </row>
    <row r="17" spans="1:23" x14ac:dyDescent="0.3">
      <c r="B17" t="s">
        <v>12</v>
      </c>
      <c r="C17" s="15">
        <f>C34</f>
        <v>5.5704113356548179E-2</v>
      </c>
      <c r="D17" s="26">
        <f>+C17*$D$11</f>
        <v>74402038.199187294</v>
      </c>
      <c r="E17" s="28"/>
      <c r="H17" s="24"/>
      <c r="I17" s="7"/>
      <c r="J17" s="25"/>
      <c r="K17" s="14"/>
      <c r="L17" s="7"/>
      <c r="M17" s="77"/>
      <c r="N17" s="77"/>
      <c r="O17" s="77"/>
      <c r="P17" s="77"/>
    </row>
    <row r="18" spans="1:23" x14ac:dyDescent="0.3">
      <c r="B18" t="s">
        <v>13</v>
      </c>
      <c r="C18" s="15">
        <f>C35</f>
        <v>4.4866396297786666E-2</v>
      </c>
      <c r="D18" s="26">
        <f>+C18*$D$11</f>
        <v>59926478.13710133</v>
      </c>
      <c r="E18" s="28"/>
      <c r="H18" s="24"/>
      <c r="I18" s="7"/>
      <c r="J18" s="25"/>
      <c r="K18" s="14"/>
      <c r="L18" s="7"/>
      <c r="M18" s="77"/>
      <c r="N18" s="77"/>
      <c r="O18" s="77"/>
      <c r="P18" s="77"/>
    </row>
    <row r="19" spans="1:23" x14ac:dyDescent="0.3">
      <c r="B19" t="s">
        <v>14</v>
      </c>
      <c r="C19" s="15">
        <f>C36</f>
        <v>0.57539278692139351</v>
      </c>
      <c r="D19" s="26">
        <f>+C19*$D$11</f>
        <v>768532044.26832271</v>
      </c>
      <c r="E19" s="28"/>
      <c r="H19" s="24"/>
      <c r="I19" s="7"/>
      <c r="J19" s="25"/>
      <c r="K19" s="14"/>
      <c r="L19" s="7"/>
      <c r="M19" s="77"/>
      <c r="N19" s="77"/>
      <c r="O19" s="77"/>
      <c r="P19" s="77"/>
    </row>
    <row r="20" spans="1:23" x14ac:dyDescent="0.3">
      <c r="B20" t="s">
        <v>15</v>
      </c>
      <c r="C20" s="15">
        <f>C37</f>
        <v>0.15748111910806745</v>
      </c>
      <c r="D20" s="26">
        <f>+C20*$D$11</f>
        <v>210342029.22380489</v>
      </c>
      <c r="E20" s="28"/>
      <c r="H20" s="24"/>
      <c r="I20" s="7"/>
      <c r="J20" s="25"/>
      <c r="K20" s="14"/>
      <c r="L20" s="7"/>
      <c r="M20" s="14"/>
      <c r="N20" s="25"/>
      <c r="O20" s="25"/>
    </row>
    <row r="21" spans="1:23" x14ac:dyDescent="0.3">
      <c r="B21" t="s">
        <v>16</v>
      </c>
      <c r="C21" s="15">
        <f>C38</f>
        <v>0.16655558431620415</v>
      </c>
      <c r="D21" s="26">
        <f>+C21*$D$11</f>
        <v>222462475.38783339</v>
      </c>
      <c r="E21" s="28"/>
      <c r="H21" s="24"/>
      <c r="I21" s="7"/>
      <c r="J21" s="25"/>
      <c r="K21" s="14"/>
      <c r="L21" s="7"/>
      <c r="M21" s="14"/>
      <c r="N21" s="25"/>
      <c r="O21" s="25"/>
    </row>
    <row r="22" spans="1:23" ht="15" thickBot="1" x14ac:dyDescent="0.35">
      <c r="C22" s="21">
        <f>SUM(C17:C21)</f>
        <v>0.99999999999999978</v>
      </c>
      <c r="D22" s="22">
        <f>SUM(D17:D21)</f>
        <v>1335665065.2162497</v>
      </c>
      <c r="H22" s="24"/>
      <c r="I22" s="7"/>
      <c r="J22" s="25"/>
      <c r="K22" s="14"/>
      <c r="L22" s="7"/>
      <c r="M22" s="14"/>
      <c r="N22" s="25"/>
      <c r="O22" s="25"/>
    </row>
    <row r="23" spans="1:23" ht="15" thickTop="1" x14ac:dyDescent="0.3">
      <c r="H23" s="24"/>
      <c r="I23" s="7"/>
      <c r="J23" s="25"/>
      <c r="K23" s="14"/>
      <c r="L23" s="7"/>
      <c r="M23" s="14"/>
      <c r="N23" s="25"/>
      <c r="O23" s="25"/>
    </row>
    <row r="24" spans="1:23" x14ac:dyDescent="0.3">
      <c r="B24" s="23" t="s">
        <v>17</v>
      </c>
    </row>
    <row r="25" spans="1:23" ht="30.75" customHeight="1" x14ac:dyDescent="0.3">
      <c r="B25" s="23"/>
      <c r="C25" s="105" t="s">
        <v>1</v>
      </c>
      <c r="D25" s="104" t="s">
        <v>2</v>
      </c>
      <c r="E25" s="104" t="s">
        <v>3</v>
      </c>
      <c r="G25" s="20"/>
      <c r="H25" s="106"/>
      <c r="I25" s="106"/>
      <c r="J25" s="20"/>
      <c r="K25" s="20"/>
      <c r="L25" s="20"/>
      <c r="M25" s="20"/>
      <c r="N25" s="20"/>
      <c r="O25" s="20"/>
      <c r="P25" s="20"/>
      <c r="Q25" s="20"/>
      <c r="R25" s="20"/>
      <c r="S25" s="20"/>
      <c r="T25" s="20"/>
      <c r="U25" s="20"/>
      <c r="V25" s="20"/>
      <c r="W25" s="20"/>
    </row>
    <row r="26" spans="1:23" x14ac:dyDescent="0.3">
      <c r="B26" s="210" t="s">
        <v>18</v>
      </c>
      <c r="D26" s="29">
        <f>+D30</f>
        <v>2071341498.2619309</v>
      </c>
      <c r="E26" s="7">
        <f>+E30</f>
        <v>2675348853.2619309</v>
      </c>
      <c r="F26" s="20"/>
      <c r="G26" s="20"/>
      <c r="H26" s="46"/>
      <c r="I26" s="20"/>
      <c r="J26" s="20"/>
      <c r="K26" s="20"/>
      <c r="L26" s="20"/>
      <c r="M26" s="20"/>
      <c r="N26" s="20"/>
      <c r="O26" s="20"/>
      <c r="P26" s="20"/>
      <c r="Q26" s="20"/>
      <c r="R26" s="20"/>
      <c r="S26" s="20"/>
      <c r="T26" s="20"/>
      <c r="U26" s="20"/>
      <c r="V26" s="20"/>
      <c r="W26" s="20"/>
    </row>
    <row r="27" spans="1:23" x14ac:dyDescent="0.3">
      <c r="B27" s="210"/>
      <c r="F27" s="20"/>
      <c r="G27" s="20"/>
      <c r="H27" s="20"/>
      <c r="I27" s="20"/>
      <c r="J27" s="20"/>
      <c r="K27" s="114"/>
      <c r="L27" s="114"/>
      <c r="M27" s="114"/>
      <c r="N27" s="114"/>
      <c r="O27" s="114"/>
      <c r="P27" s="114"/>
      <c r="Q27" s="114"/>
      <c r="R27" s="114"/>
      <c r="S27" s="114"/>
      <c r="T27" s="114"/>
      <c r="U27" s="114"/>
      <c r="V27" s="114"/>
      <c r="W27" s="20"/>
    </row>
    <row r="28" spans="1:23" x14ac:dyDescent="0.3">
      <c r="B28" s="20" t="s">
        <v>19</v>
      </c>
      <c r="C28" s="15">
        <f>+D28/D30</f>
        <v>0.64487493825753384</v>
      </c>
      <c r="D28" s="5">
        <f>D39</f>
        <v>1335756220.8019304</v>
      </c>
      <c r="E28" s="7">
        <f>+D28</f>
        <v>1335756220.8019304</v>
      </c>
      <c r="F28" s="20"/>
      <c r="G28" s="20"/>
      <c r="H28" s="20"/>
      <c r="I28" s="20"/>
      <c r="J28" s="20"/>
      <c r="K28" s="5"/>
      <c r="L28" s="5"/>
      <c r="M28" s="5"/>
      <c r="N28" s="5"/>
      <c r="O28" s="20"/>
      <c r="P28" s="20"/>
      <c r="Q28" s="20"/>
      <c r="R28" s="20"/>
      <c r="S28" s="20"/>
      <c r="T28" s="20"/>
      <c r="U28" s="20"/>
      <c r="V28" s="20"/>
      <c r="W28" s="20"/>
    </row>
    <row r="29" spans="1:23" x14ac:dyDescent="0.3">
      <c r="A29" s="20"/>
      <c r="B29" s="20" t="s">
        <v>20</v>
      </c>
      <c r="C29" s="15">
        <f>+D29/D30</f>
        <v>0.35512506174246616</v>
      </c>
      <c r="D29" s="265">
        <v>735585277.46000063</v>
      </c>
      <c r="E29" s="7">
        <f>+D29-D8</f>
        <v>1339592632.4600005</v>
      </c>
      <c r="F29" s="46"/>
      <c r="G29" s="20"/>
      <c r="H29" s="5"/>
      <c r="I29" s="46"/>
      <c r="J29" s="46"/>
      <c r="K29" s="5"/>
      <c r="L29" s="5"/>
      <c r="M29" s="5"/>
      <c r="N29" s="5"/>
      <c r="O29" s="5"/>
      <c r="P29" s="5"/>
      <c r="Q29" s="5"/>
      <c r="R29" s="5"/>
      <c r="S29" s="5"/>
      <c r="T29" s="5"/>
      <c r="U29" s="5"/>
      <c r="V29" s="5"/>
      <c r="W29" s="46"/>
    </row>
    <row r="30" spans="1:23" ht="15" thickBot="1" x14ac:dyDescent="0.35">
      <c r="B30" s="20" t="s">
        <v>21</v>
      </c>
      <c r="C30" s="21">
        <f>+C28+C29</f>
        <v>1</v>
      </c>
      <c r="D30" s="22">
        <f>+D28+D29</f>
        <v>2071341498.2619309</v>
      </c>
      <c r="E30" s="22">
        <f>+E28+E29</f>
        <v>2675348853.2619309</v>
      </c>
      <c r="F30" s="5"/>
      <c r="G30" s="31"/>
    </row>
    <row r="31" spans="1:23" ht="15" thickTop="1" x14ac:dyDescent="0.3">
      <c r="G31" s="14"/>
    </row>
    <row r="32" spans="1:23" ht="15" x14ac:dyDescent="0.3">
      <c r="B32" s="23" t="s">
        <v>22</v>
      </c>
      <c r="D32" s="7">
        <f>D30-D13</f>
        <v>392562.65237092972</v>
      </c>
      <c r="E32" s="7">
        <f>D32*0.09</f>
        <v>35330.638713383676</v>
      </c>
    </row>
    <row r="33" spans="1:27" ht="31.2" customHeight="1" x14ac:dyDescent="0.3">
      <c r="B33" s="23"/>
      <c r="C33" s="104" t="s">
        <v>11</v>
      </c>
      <c r="D33" s="104" t="s">
        <v>10</v>
      </c>
      <c r="E33" s="105" t="s">
        <v>23</v>
      </c>
      <c r="F33" s="32"/>
      <c r="G33" s="32"/>
      <c r="H33" s="32"/>
      <c r="I33" s="32"/>
      <c r="J33" s="32" t="s">
        <v>89</v>
      </c>
      <c r="K33" s="114"/>
      <c r="L33" s="114"/>
      <c r="M33" s="114"/>
      <c r="N33" s="114"/>
    </row>
    <row r="34" spans="1:27" ht="15" customHeight="1" x14ac:dyDescent="0.3">
      <c r="A34" s="20"/>
      <c r="B34" s="20" t="s">
        <v>12</v>
      </c>
      <c r="C34" s="15">
        <f>D34/D$39</f>
        <v>5.5704113356548179E-2</v>
      </c>
      <c r="D34" s="270">
        <v>74407115.940265134</v>
      </c>
      <c r="E34" s="287">
        <v>8.5487332240493222E-2</v>
      </c>
      <c r="F34" s="27"/>
      <c r="G34" s="299"/>
      <c r="H34" s="300"/>
      <c r="I34" s="27"/>
      <c r="J34" s="273">
        <f>+D34*E34</f>
        <v>6360865.8414423447</v>
      </c>
      <c r="K34" s="20"/>
      <c r="L34" s="20"/>
      <c r="M34" s="20"/>
      <c r="N34" s="20"/>
      <c r="O34" s="7"/>
    </row>
    <row r="35" spans="1:27" x14ac:dyDescent="0.3">
      <c r="A35" s="20"/>
      <c r="B35" s="20" t="s">
        <v>13</v>
      </c>
      <c r="C35" s="15">
        <f>D35/D$39</f>
        <v>4.4866396297786666E-2</v>
      </c>
      <c r="D35" s="270">
        <v>59930567.95973324</v>
      </c>
      <c r="E35" s="287">
        <v>9.7112107398894906E-2</v>
      </c>
      <c r="F35" s="27"/>
      <c r="G35" s="300"/>
      <c r="H35" s="300"/>
      <c r="I35" s="27"/>
      <c r="J35" s="273">
        <f t="shared" ref="J35:J38" si="0">+D35*E35</f>
        <v>5819983.752182384</v>
      </c>
      <c r="K35" s="20"/>
      <c r="L35" s="20"/>
      <c r="M35" s="20"/>
      <c r="N35" s="20"/>
      <c r="O35" s="7"/>
    </row>
    <row r="36" spans="1:27" x14ac:dyDescent="0.3">
      <c r="A36" s="20"/>
      <c r="B36" s="20" t="s">
        <v>14</v>
      </c>
      <c r="C36" s="15">
        <f>D36/D$39</f>
        <v>0.57539278692139351</v>
      </c>
      <c r="D36" s="270">
        <v>768584494.53481102</v>
      </c>
      <c r="E36" s="287">
        <v>7.1384053140691878E-2</v>
      </c>
      <c r="F36" s="27"/>
      <c r="G36" s="300"/>
      <c r="H36" s="300"/>
      <c r="I36" s="27"/>
      <c r="J36" s="273">
        <f t="shared" si="0"/>
        <v>54864676.400984757</v>
      </c>
      <c r="K36" s="20"/>
      <c r="L36" s="20"/>
      <c r="M36" s="20"/>
      <c r="N36" s="20"/>
      <c r="O36" s="7"/>
    </row>
    <row r="37" spans="1:27" x14ac:dyDescent="0.3">
      <c r="A37" s="20"/>
      <c r="B37" s="20" t="s">
        <v>15</v>
      </c>
      <c r="C37" s="15">
        <f>D37/D$39</f>
        <v>0.15748111910806745</v>
      </c>
      <c r="D37" s="270">
        <v>210356384.50745085</v>
      </c>
      <c r="E37" s="287">
        <v>0.10241336173173934</v>
      </c>
      <c r="F37" s="27"/>
      <c r="G37" s="300"/>
      <c r="H37" s="300"/>
      <c r="I37" s="27"/>
      <c r="J37" s="273">
        <f t="shared" si="0"/>
        <v>21543304.499142412</v>
      </c>
      <c r="K37" s="20"/>
      <c r="L37" s="20"/>
      <c r="M37" s="20"/>
      <c r="N37" s="20"/>
      <c r="O37" s="7"/>
    </row>
    <row r="38" spans="1:27" x14ac:dyDescent="0.3">
      <c r="A38" s="20"/>
      <c r="B38" s="20" t="s">
        <v>82</v>
      </c>
      <c r="C38" s="15">
        <f>D38/D$39</f>
        <v>0.16655558431620415</v>
      </c>
      <c r="D38" s="270">
        <v>222477657.85967013</v>
      </c>
      <c r="E38" s="287">
        <v>0.14571129619507203</v>
      </c>
      <c r="F38" s="27"/>
      <c r="G38" s="300"/>
      <c r="H38" s="300"/>
      <c r="I38" s="27"/>
      <c r="J38" s="273">
        <f t="shared" si="0"/>
        <v>32417507.901176289</v>
      </c>
      <c r="K38" s="20"/>
      <c r="L38" s="20"/>
      <c r="M38" s="20"/>
      <c r="N38" s="20"/>
      <c r="O38" s="7"/>
    </row>
    <row r="39" spans="1:27" ht="15" thickBot="1" x14ac:dyDescent="0.35">
      <c r="B39" s="20" t="s">
        <v>83</v>
      </c>
      <c r="C39" s="21">
        <f>SUM(C34:C38)</f>
        <v>0.99999999999999978</v>
      </c>
      <c r="D39" s="22">
        <f>SUM(D34:D38)</f>
        <v>1335756220.8019304</v>
      </c>
      <c r="G39" s="46"/>
      <c r="H39" s="20"/>
      <c r="I39" s="20"/>
      <c r="J39" s="68">
        <f>SUM(J34:J38)</f>
        <v>121006338.39492819</v>
      </c>
      <c r="K39" s="117"/>
      <c r="L39" s="117"/>
      <c r="M39" s="117"/>
      <c r="N39" s="117"/>
    </row>
    <row r="40" spans="1:27" ht="15" thickTop="1" x14ac:dyDescent="0.3"/>
    <row r="41" spans="1:27" x14ac:dyDescent="0.3">
      <c r="B41" s="23" t="s">
        <v>24</v>
      </c>
      <c r="N41" s="20"/>
      <c r="O41" s="20"/>
      <c r="P41" s="20"/>
      <c r="Q41" s="20"/>
      <c r="R41" s="20"/>
      <c r="S41" s="20"/>
      <c r="T41" s="20"/>
      <c r="U41" s="20"/>
      <c r="V41" s="20"/>
      <c r="W41" s="20"/>
      <c r="X41" s="20"/>
      <c r="Y41" s="20"/>
      <c r="Z41" s="20"/>
      <c r="AA41" s="20"/>
    </row>
    <row r="42" spans="1:27" x14ac:dyDescent="0.3">
      <c r="B42" s="2"/>
      <c r="C42" s="104" t="s">
        <v>25</v>
      </c>
      <c r="N42" s="20"/>
      <c r="O42" s="20"/>
      <c r="P42" s="20"/>
      <c r="Q42" s="20"/>
      <c r="R42" s="20"/>
      <c r="S42" s="20"/>
      <c r="T42" s="20"/>
      <c r="U42" s="20"/>
      <c r="V42" s="20"/>
      <c r="W42" s="20"/>
      <c r="X42" s="20"/>
      <c r="Y42" s="20"/>
      <c r="Z42" s="20"/>
      <c r="AA42" s="20"/>
    </row>
    <row r="43" spans="1:27" x14ac:dyDescent="0.3">
      <c r="B43" s="2" t="s">
        <v>26</v>
      </c>
      <c r="C43" s="104" t="s">
        <v>27</v>
      </c>
      <c r="N43" s="114"/>
      <c r="O43" s="114"/>
      <c r="P43" s="114"/>
      <c r="Q43" s="114"/>
      <c r="R43" s="114"/>
      <c r="S43" s="114"/>
      <c r="T43" s="114"/>
      <c r="U43" s="114"/>
      <c r="V43" s="114"/>
      <c r="W43" s="114"/>
      <c r="X43" s="114"/>
      <c r="Y43" s="114"/>
      <c r="Z43" s="20"/>
      <c r="AA43" s="20"/>
    </row>
    <row r="44" spans="1:27" x14ac:dyDescent="0.3">
      <c r="B44" t="s">
        <v>28</v>
      </c>
      <c r="C44" s="24">
        <f>+C85</f>
        <v>1.8887824141964809E-2</v>
      </c>
      <c r="D44" s="211"/>
      <c r="G44" s="30"/>
      <c r="H44" s="34"/>
      <c r="N44" s="5"/>
      <c r="O44" s="5"/>
      <c r="P44" s="5"/>
      <c r="Q44" s="5"/>
      <c r="R44" s="5"/>
      <c r="S44" s="5"/>
      <c r="T44" s="5"/>
      <c r="U44" s="5"/>
      <c r="V44" s="5"/>
      <c r="W44" s="5"/>
      <c r="X44" s="5"/>
      <c r="Y44" s="5"/>
      <c r="Z44" s="5"/>
      <c r="AA44" s="20"/>
    </row>
    <row r="45" spans="1:27" x14ac:dyDescent="0.3">
      <c r="B45" t="s">
        <v>29</v>
      </c>
      <c r="C45" s="24">
        <f>+C86</f>
        <v>1.7633575298499068E-2</v>
      </c>
      <c r="D45" s="211"/>
      <c r="E45" s="30"/>
      <c r="G45" s="30"/>
      <c r="H45" s="34"/>
      <c r="N45" s="5"/>
      <c r="O45" s="5"/>
      <c r="P45" s="5"/>
      <c r="Q45" s="5"/>
      <c r="R45" s="5"/>
      <c r="S45" s="5"/>
      <c r="T45" s="5"/>
      <c r="U45" s="5"/>
      <c r="V45" s="5"/>
      <c r="W45" s="5"/>
      <c r="X45" s="5"/>
      <c r="Y45" s="5"/>
      <c r="Z45" s="5"/>
      <c r="AA45" s="20"/>
    </row>
    <row r="46" spans="1:27" x14ac:dyDescent="0.3">
      <c r="A46" s="20"/>
      <c r="B46" s="20" t="s">
        <v>30</v>
      </c>
      <c r="C46" s="268">
        <v>0.10624727959362108</v>
      </c>
      <c r="D46" s="20"/>
      <c r="E46" s="55"/>
      <c r="N46" s="233"/>
      <c r="O46" s="233"/>
      <c r="P46" s="233"/>
      <c r="Q46" s="233"/>
      <c r="R46" s="233"/>
      <c r="S46" s="233"/>
      <c r="T46" s="233"/>
      <c r="U46" s="233"/>
      <c r="V46" s="233"/>
      <c r="W46" s="233"/>
      <c r="X46" s="233"/>
      <c r="Y46" s="233"/>
      <c r="Z46" s="233"/>
      <c r="AA46" s="20"/>
    </row>
    <row r="47" spans="1:27" x14ac:dyDescent="0.3">
      <c r="B47" s="20" t="s">
        <v>31</v>
      </c>
      <c r="C47" s="212" t="s">
        <v>131</v>
      </c>
      <c r="D47" s="20"/>
      <c r="E47" s="211"/>
      <c r="N47" s="20"/>
      <c r="O47" s="20"/>
      <c r="P47" s="20"/>
      <c r="Q47" s="20"/>
      <c r="R47" s="20"/>
      <c r="S47" s="20"/>
      <c r="T47" s="20"/>
      <c r="U47" s="20"/>
      <c r="V47" s="20"/>
      <c r="W47" s="20"/>
      <c r="X47" s="20"/>
      <c r="Y47" s="20"/>
      <c r="Z47" s="20"/>
      <c r="AA47" s="20"/>
    </row>
    <row r="48" spans="1:27" x14ac:dyDescent="0.3">
      <c r="B48" s="20" t="s">
        <v>32</v>
      </c>
      <c r="C48" s="268">
        <v>0.10736002057593672</v>
      </c>
      <c r="D48" s="108" t="s">
        <v>145</v>
      </c>
      <c r="E48" s="20"/>
      <c r="N48" s="5"/>
      <c r="O48" s="5"/>
      <c r="P48" s="5"/>
      <c r="Q48" s="5"/>
      <c r="R48" s="5"/>
      <c r="S48" s="5"/>
      <c r="T48" s="5"/>
      <c r="U48" s="5"/>
      <c r="V48" s="5"/>
      <c r="W48" s="5"/>
      <c r="X48" s="5"/>
      <c r="Y48" s="5"/>
      <c r="Z48" s="5"/>
      <c r="AA48" s="20"/>
    </row>
    <row r="49" spans="1:28" x14ac:dyDescent="0.3">
      <c r="B49" s="20" t="s">
        <v>33</v>
      </c>
      <c r="C49" s="268">
        <v>0.10711082234672577</v>
      </c>
      <c r="D49" s="108" t="s">
        <v>132</v>
      </c>
      <c r="E49" s="20"/>
      <c r="G49" s="285"/>
      <c r="H49" s="286"/>
      <c r="I49" s="286"/>
      <c r="J49" s="286"/>
      <c r="N49" s="233"/>
      <c r="O49" s="233"/>
      <c r="P49" s="233"/>
      <c r="Q49" s="233"/>
      <c r="R49" s="233"/>
      <c r="S49" s="233"/>
      <c r="T49" s="233"/>
      <c r="U49" s="233"/>
      <c r="V49" s="233"/>
      <c r="W49" s="233"/>
      <c r="X49" s="233"/>
      <c r="Y49" s="233"/>
      <c r="Z49" s="233"/>
      <c r="AA49" s="20"/>
    </row>
    <row r="50" spans="1:28" x14ac:dyDescent="0.3">
      <c r="C50" s="268">
        <v>0.10831812217470538</v>
      </c>
      <c r="D50" s="108" t="s">
        <v>133</v>
      </c>
      <c r="E50" s="20"/>
      <c r="G50" s="286"/>
      <c r="H50" s="286"/>
      <c r="I50" s="286"/>
      <c r="J50" s="286"/>
      <c r="N50" s="20"/>
      <c r="O50" s="20"/>
      <c r="P50" s="20"/>
      <c r="Q50" s="20"/>
      <c r="R50" s="20"/>
      <c r="S50" s="20"/>
      <c r="T50" s="20"/>
      <c r="U50" s="20"/>
      <c r="V50" s="20"/>
      <c r="W50" s="20"/>
      <c r="X50" s="20"/>
      <c r="Y50" s="20"/>
      <c r="Z50" s="20"/>
      <c r="AA50" s="20"/>
    </row>
    <row r="51" spans="1:28" ht="18" x14ac:dyDescent="0.35">
      <c r="B51" s="254" t="s">
        <v>146</v>
      </c>
      <c r="C51" s="35"/>
      <c r="D51" s="37"/>
      <c r="N51" s="114"/>
      <c r="O51" s="114"/>
      <c r="P51" s="114"/>
      <c r="Q51" s="114"/>
      <c r="R51" s="114"/>
      <c r="S51" s="114"/>
      <c r="T51" s="114"/>
      <c r="U51" s="114"/>
      <c r="V51" s="114"/>
      <c r="W51" s="114"/>
      <c r="X51" s="114"/>
      <c r="Y51" s="114"/>
      <c r="Z51" s="76"/>
      <c r="AA51" s="76"/>
      <c r="AB51" s="76"/>
    </row>
    <row r="52" spans="1:28" x14ac:dyDescent="0.3">
      <c r="B52" s="23" t="s">
        <v>34</v>
      </c>
      <c r="J52" s="307" t="s">
        <v>137</v>
      </c>
      <c r="K52" s="308"/>
      <c r="L52" s="237"/>
      <c r="N52" s="274"/>
      <c r="O52" s="274"/>
      <c r="P52" s="53"/>
      <c r="Q52" s="53"/>
      <c r="R52" s="53"/>
      <c r="S52" s="53"/>
      <c r="T52" s="53"/>
      <c r="U52" s="53"/>
      <c r="V52" s="53"/>
      <c r="W52" s="53"/>
      <c r="X52" s="53"/>
      <c r="Y52" s="53"/>
      <c r="Z52" s="77"/>
      <c r="AA52" s="76"/>
      <c r="AB52" s="76"/>
    </row>
    <row r="53" spans="1:28" x14ac:dyDescent="0.3">
      <c r="B53" s="23"/>
      <c r="C53" s="104" t="s">
        <v>35</v>
      </c>
      <c r="D53" s="12" t="s">
        <v>10</v>
      </c>
      <c r="E53" s="38" t="s">
        <v>36</v>
      </c>
      <c r="F53" s="2"/>
      <c r="H53" s="234"/>
      <c r="I53" s="235"/>
      <c r="J53" s="238" t="s">
        <v>138</v>
      </c>
      <c r="K53" s="109" t="s">
        <v>139</v>
      </c>
      <c r="L53" s="239"/>
      <c r="N53" s="53"/>
      <c r="O53" s="53"/>
      <c r="P53" s="53"/>
      <c r="Q53" s="53"/>
      <c r="R53" s="53"/>
      <c r="S53" s="53"/>
      <c r="T53" s="53"/>
      <c r="U53" s="53"/>
      <c r="V53" s="53"/>
      <c r="W53" s="53"/>
      <c r="X53" s="53"/>
      <c r="Y53" s="53"/>
      <c r="Z53" s="77"/>
      <c r="AA53" s="76"/>
      <c r="AB53" s="76"/>
    </row>
    <row r="54" spans="1:28" x14ac:dyDescent="0.3">
      <c r="A54" s="20"/>
      <c r="B54" s="20" t="s">
        <v>37</v>
      </c>
      <c r="C54" s="35">
        <f>E54/D54</f>
        <v>0.31014213012157643</v>
      </c>
      <c r="D54" s="7">
        <f>+E7</f>
        <v>24111497</v>
      </c>
      <c r="E54" s="271">
        <v>7477991.04</v>
      </c>
      <c r="F54" s="210"/>
      <c r="G54" s="5">
        <f>E54+E55+E60</f>
        <v>48844299.533962511</v>
      </c>
      <c r="H54" s="234"/>
      <c r="I54" s="235"/>
      <c r="J54" s="240">
        <f>E54</f>
        <v>7477991.04</v>
      </c>
      <c r="K54" s="3"/>
      <c r="L54" s="239"/>
      <c r="N54" s="77"/>
      <c r="O54" s="77"/>
      <c r="P54" s="77"/>
      <c r="Q54" s="77"/>
      <c r="R54" s="77"/>
      <c r="S54" s="77"/>
      <c r="T54" s="77"/>
      <c r="U54" s="77"/>
      <c r="V54" s="77"/>
      <c r="W54" s="77"/>
      <c r="X54" s="77"/>
      <c r="Y54" s="77"/>
      <c r="Z54" s="77"/>
      <c r="AA54" s="76"/>
      <c r="AB54" s="76"/>
    </row>
    <row r="55" spans="1:28" x14ac:dyDescent="0.3">
      <c r="A55" s="20"/>
      <c r="B55" s="20" t="s">
        <v>38</v>
      </c>
      <c r="C55" s="35">
        <f>E55/D55</f>
        <v>1.8258478531312818E-2</v>
      </c>
      <c r="D55" s="46">
        <f>+E5+E6</f>
        <v>2650844793.60956</v>
      </c>
      <c r="E55" s="271">
        <v>48400392.753962509</v>
      </c>
      <c r="F55" s="39"/>
      <c r="G55" s="302"/>
      <c r="H55" s="301"/>
      <c r="J55" s="240">
        <f>+E55</f>
        <v>48400392.753962509</v>
      </c>
      <c r="K55" s="3"/>
      <c r="L55" s="239"/>
      <c r="N55" s="77"/>
      <c r="O55" s="77"/>
      <c r="P55" s="77"/>
      <c r="Q55" s="77"/>
      <c r="R55" s="77"/>
      <c r="S55" s="77"/>
      <c r="T55" s="77"/>
      <c r="U55" s="77"/>
      <c r="V55" s="77"/>
      <c r="W55" s="77"/>
      <c r="X55" s="77"/>
      <c r="Y55" s="77"/>
      <c r="Z55" s="77"/>
      <c r="AA55" s="76"/>
      <c r="AB55" s="76"/>
    </row>
    <row r="56" spans="1:28" x14ac:dyDescent="0.3">
      <c r="A56" s="20"/>
      <c r="B56" s="20" t="s">
        <v>39</v>
      </c>
      <c r="C56" s="35"/>
      <c r="D56" s="7"/>
      <c r="E56" s="271">
        <v>39528805.650000006</v>
      </c>
      <c r="F56" s="39"/>
      <c r="G56" s="301"/>
      <c r="H56" s="301"/>
      <c r="I56" s="20"/>
      <c r="J56" s="92"/>
      <c r="K56" s="78">
        <f>E56</f>
        <v>39528805.650000006</v>
      </c>
      <c r="L56" s="239"/>
      <c r="N56" s="77"/>
      <c r="O56" s="77"/>
      <c r="P56" s="77"/>
      <c r="Q56" s="77"/>
      <c r="R56" s="77"/>
      <c r="S56" s="77"/>
      <c r="T56" s="77"/>
      <c r="U56" s="77"/>
      <c r="V56" s="77"/>
      <c r="W56" s="77"/>
      <c r="X56" s="77"/>
      <c r="Y56" s="77"/>
      <c r="Z56" s="77"/>
      <c r="AA56" s="76"/>
      <c r="AB56" s="76"/>
    </row>
    <row r="57" spans="1:28" ht="16.2" x14ac:dyDescent="0.3">
      <c r="B57" s="20" t="s">
        <v>40</v>
      </c>
      <c r="C57" s="41">
        <f>C49</f>
        <v>0.10711082234672577</v>
      </c>
      <c r="D57" s="7">
        <f>+D11</f>
        <v>1335665065.2162497</v>
      </c>
      <c r="E57" s="39">
        <f>+D57*C57</f>
        <v>143064183.51510561</v>
      </c>
      <c r="F57" s="39"/>
      <c r="G57" s="301"/>
      <c r="H57" s="301"/>
      <c r="I57" s="20"/>
      <c r="J57" s="241">
        <f>+E57</f>
        <v>143064183.51510561</v>
      </c>
      <c r="K57" s="76"/>
      <c r="L57" s="239"/>
      <c r="N57" s="77"/>
      <c r="O57" s="77"/>
      <c r="P57" s="77"/>
      <c r="Q57" s="77"/>
      <c r="R57" s="77"/>
      <c r="S57" s="76"/>
      <c r="T57" s="76"/>
      <c r="U57" s="76"/>
      <c r="V57" s="76"/>
      <c r="W57" s="76"/>
      <c r="X57" s="76"/>
      <c r="Y57" s="76"/>
      <c r="Z57" s="76"/>
      <c r="AA57" s="76"/>
      <c r="AB57" s="76"/>
    </row>
    <row r="58" spans="1:28" ht="16.2" x14ac:dyDescent="0.3">
      <c r="B58" s="20" t="s">
        <v>41</v>
      </c>
      <c r="C58" s="41">
        <f>C50</f>
        <v>0.10831812217470538</v>
      </c>
      <c r="D58" s="7">
        <f>+D12</f>
        <v>735283870.39331043</v>
      </c>
      <c r="E58" s="39">
        <f>+D58*C58</f>
        <v>79644568.106352836</v>
      </c>
      <c r="F58" s="39"/>
      <c r="G58" s="301"/>
      <c r="H58" s="301"/>
      <c r="I58" s="20"/>
      <c r="J58" s="226"/>
      <c r="K58" s="78">
        <f>E58</f>
        <v>79644568.106352836</v>
      </c>
      <c r="L58" s="239"/>
      <c r="N58" s="77"/>
      <c r="O58" s="77"/>
      <c r="P58" s="77"/>
      <c r="Q58" s="77"/>
      <c r="R58" s="77"/>
      <c r="S58" s="76"/>
      <c r="T58" s="76"/>
      <c r="U58" s="76"/>
      <c r="V58" s="76"/>
      <c r="W58" s="76"/>
      <c r="X58" s="76"/>
      <c r="Y58" s="76"/>
      <c r="Z58" s="76"/>
      <c r="AA58" s="76"/>
      <c r="AB58" s="76"/>
    </row>
    <row r="59" spans="1:28" ht="16.2" x14ac:dyDescent="0.3">
      <c r="B59" t="s">
        <v>42</v>
      </c>
      <c r="C59" s="24"/>
      <c r="D59" s="7"/>
      <c r="E59" s="39">
        <f>'Veridian 2019 RPP Trued up'!K24</f>
        <v>-47293909.781498939</v>
      </c>
      <c r="F59" s="249" t="s">
        <v>134</v>
      </c>
      <c r="J59" s="241">
        <f>E59</f>
        <v>-47293909.781498939</v>
      </c>
      <c r="K59" s="242"/>
      <c r="L59" s="243"/>
      <c r="M59" s="108"/>
      <c r="N59" s="77"/>
      <c r="O59" s="77"/>
      <c r="P59" s="77"/>
      <c r="Q59" s="77"/>
      <c r="R59" s="77"/>
      <c r="S59" s="76"/>
      <c r="T59" s="76"/>
      <c r="U59" s="76"/>
      <c r="V59" s="76"/>
      <c r="W59" s="76"/>
      <c r="X59" s="76"/>
      <c r="Y59" s="76"/>
      <c r="Z59" s="76"/>
      <c r="AA59" s="76"/>
      <c r="AB59" s="76"/>
    </row>
    <row r="60" spans="1:28" x14ac:dyDescent="0.3">
      <c r="A60" s="20"/>
      <c r="B60" s="20" t="s">
        <v>43</v>
      </c>
      <c r="C60" s="24">
        <f>E60/D60</f>
        <v>-0.29173154449929012</v>
      </c>
      <c r="D60" s="7">
        <f>+E7</f>
        <v>24111497</v>
      </c>
      <c r="E60" s="271">
        <v>-7034084.2600000007</v>
      </c>
      <c r="F60" s="39"/>
      <c r="G60" s="25"/>
      <c r="H60" s="41"/>
      <c r="I60" s="20"/>
      <c r="J60" s="241">
        <f>+E60</f>
        <v>-7034084.2600000007</v>
      </c>
      <c r="K60" s="76"/>
      <c r="L60" s="239"/>
      <c r="N60" s="77"/>
      <c r="O60" s="77"/>
      <c r="P60" s="77"/>
      <c r="Q60" s="77"/>
      <c r="R60" s="77"/>
      <c r="S60" s="77"/>
      <c r="T60" s="77"/>
      <c r="U60" s="77"/>
      <c r="V60" s="77"/>
      <c r="W60" s="77"/>
      <c r="X60" s="77"/>
      <c r="Y60" s="77"/>
      <c r="Z60" s="77"/>
      <c r="AA60" s="76"/>
      <c r="AB60" s="76"/>
    </row>
    <row r="61" spans="1:28" ht="15" thickBot="1" x14ac:dyDescent="0.35">
      <c r="B61" t="s">
        <v>44</v>
      </c>
      <c r="C61" s="24"/>
      <c r="D61" s="7"/>
      <c r="E61" s="42">
        <f>SUM(E54:E60)</f>
        <v>263787947.02392209</v>
      </c>
      <c r="F61" s="43"/>
      <c r="G61" s="43"/>
      <c r="H61" s="44"/>
      <c r="I61" s="44"/>
      <c r="J61" s="244">
        <f>SUM(J54:J60)</f>
        <v>144614573.26756918</v>
      </c>
      <c r="K61" s="236">
        <f>SUM(K54:K60)</f>
        <v>119173373.75635284</v>
      </c>
      <c r="L61" s="246">
        <f>SUM(J61:K61)</f>
        <v>263787947.02392203</v>
      </c>
      <c r="N61" s="77"/>
      <c r="O61" s="77"/>
      <c r="P61" s="77"/>
      <c r="Q61" s="77"/>
      <c r="R61" s="77"/>
      <c r="S61" s="76"/>
      <c r="T61" s="76"/>
      <c r="U61" s="76"/>
      <c r="V61" s="76"/>
      <c r="W61" s="76"/>
      <c r="X61" s="76"/>
      <c r="Y61" s="76"/>
      <c r="Z61" s="76"/>
      <c r="AA61" s="76"/>
      <c r="AB61" s="76"/>
    </row>
    <row r="62" spans="1:28" ht="15" thickTop="1" x14ac:dyDescent="0.3">
      <c r="H62" s="20"/>
      <c r="I62" s="20"/>
      <c r="J62" s="20"/>
      <c r="K62" s="20"/>
      <c r="N62" s="77"/>
      <c r="O62" s="77"/>
      <c r="P62" s="77"/>
      <c r="Q62" s="77"/>
      <c r="R62" s="77"/>
      <c r="S62" s="76"/>
      <c r="T62" s="76"/>
      <c r="U62" s="76"/>
      <c r="V62" s="76"/>
      <c r="W62" s="76"/>
      <c r="X62" s="76"/>
      <c r="Y62" s="76"/>
      <c r="Z62" s="76"/>
      <c r="AA62" s="76"/>
      <c r="AB62" s="76"/>
    </row>
    <row r="63" spans="1:28" ht="18" x14ac:dyDescent="0.35">
      <c r="B63" s="1" t="s">
        <v>45</v>
      </c>
      <c r="E63" s="45"/>
      <c r="G63" s="45"/>
      <c r="H63" s="40"/>
      <c r="I63" s="20"/>
      <c r="J63" s="20"/>
      <c r="K63" s="20"/>
      <c r="N63" s="53"/>
      <c r="O63" s="53"/>
      <c r="P63" s="53"/>
      <c r="Q63" s="53"/>
      <c r="R63" s="53"/>
      <c r="S63" s="53"/>
      <c r="T63" s="53"/>
      <c r="U63" s="53"/>
      <c r="V63" s="53"/>
      <c r="W63" s="53"/>
      <c r="X63" s="53"/>
      <c r="Y63" s="53"/>
      <c r="Z63" s="77"/>
      <c r="AA63" s="76"/>
      <c r="AB63" s="76"/>
    </row>
    <row r="64" spans="1:28" ht="18" x14ac:dyDescent="0.35">
      <c r="B64" s="1"/>
      <c r="E64" s="45">
        <f>E54+E60</f>
        <v>443906.77999999933</v>
      </c>
      <c r="G64" s="20"/>
      <c r="H64" s="20"/>
      <c r="I64" s="20"/>
      <c r="J64" s="20"/>
      <c r="K64" s="20"/>
      <c r="N64" s="229"/>
      <c r="O64" s="229"/>
      <c r="P64" s="229"/>
      <c r="Q64" s="229"/>
      <c r="R64" s="78"/>
      <c r="S64" s="78"/>
      <c r="T64" s="78"/>
      <c r="U64" s="78"/>
      <c r="V64" s="78"/>
      <c r="W64" s="78"/>
      <c r="X64" s="78"/>
      <c r="Y64" s="78"/>
      <c r="Z64" s="77"/>
      <c r="AA64" s="76"/>
      <c r="AB64" s="76"/>
    </row>
    <row r="65" spans="2:28" x14ac:dyDescent="0.3">
      <c r="B65" s="23" t="s">
        <v>46</v>
      </c>
      <c r="C65" s="106"/>
      <c r="D65" s="106"/>
      <c r="E65" s="106"/>
      <c r="G65" s="106"/>
      <c r="H65" s="106"/>
      <c r="I65" s="20"/>
      <c r="J65" s="20"/>
      <c r="K65" s="20"/>
      <c r="N65" s="77"/>
      <c r="O65" s="77"/>
      <c r="P65" s="77"/>
      <c r="Q65" s="77"/>
      <c r="R65" s="77"/>
      <c r="S65" s="77"/>
      <c r="T65" s="77"/>
      <c r="U65" s="77"/>
      <c r="V65" s="77"/>
      <c r="W65" s="77"/>
      <c r="X65" s="77"/>
      <c r="Y65" s="77"/>
      <c r="Z65" s="77"/>
      <c r="AA65" s="76"/>
      <c r="AB65" s="76"/>
    </row>
    <row r="66" spans="2:28" x14ac:dyDescent="0.3">
      <c r="B66" s="23"/>
      <c r="C66" s="105" t="s">
        <v>23</v>
      </c>
      <c r="D66" s="104" t="s">
        <v>10</v>
      </c>
      <c r="E66" s="104" t="s">
        <v>36</v>
      </c>
      <c r="F66" s="20"/>
      <c r="G66" s="47"/>
      <c r="H66" s="47"/>
      <c r="I66" s="20"/>
      <c r="J66" s="20"/>
      <c r="K66" s="20"/>
      <c r="N66" s="76"/>
      <c r="O66" s="76"/>
      <c r="P66" s="76"/>
      <c r="Q66" s="230"/>
      <c r="R66" s="231"/>
      <c r="S66" s="76"/>
      <c r="T66" s="230"/>
      <c r="U66" s="76"/>
      <c r="V66" s="76"/>
      <c r="W66" s="76"/>
      <c r="X66" s="76"/>
      <c r="Y66" s="76"/>
      <c r="Z66" s="76"/>
      <c r="AA66" s="76"/>
      <c r="AB66" s="76"/>
    </row>
    <row r="67" spans="2:28" x14ac:dyDescent="0.3">
      <c r="B67" s="20" t="s">
        <v>12</v>
      </c>
      <c r="C67" s="35">
        <f>E34</f>
        <v>8.5487332240493222E-2</v>
      </c>
      <c r="D67" s="6">
        <f>+D34</f>
        <v>74407115.940265134</v>
      </c>
      <c r="E67" s="50">
        <f>+D67*C67</f>
        <v>6360865.8414423447</v>
      </c>
      <c r="F67" s="20"/>
      <c r="G67" s="39"/>
      <c r="H67" s="39"/>
      <c r="I67" s="20"/>
      <c r="J67" s="20"/>
      <c r="K67" s="20"/>
      <c r="N67" s="76"/>
      <c r="O67" s="76"/>
      <c r="P67" s="76"/>
      <c r="Q67" s="232"/>
      <c r="R67" s="232"/>
      <c r="S67" s="232"/>
      <c r="T67" s="232"/>
      <c r="U67" s="76"/>
      <c r="V67" s="76"/>
      <c r="W67" s="76"/>
      <c r="X67" s="76"/>
      <c r="Y67" s="76"/>
      <c r="Z67" s="76"/>
      <c r="AA67" s="76"/>
      <c r="AB67" s="76"/>
    </row>
    <row r="68" spans="2:28" x14ac:dyDescent="0.3">
      <c r="B68" s="20" t="s">
        <v>13</v>
      </c>
      <c r="C68" s="35">
        <f>E35</f>
        <v>9.7112107398894906E-2</v>
      </c>
      <c r="D68" s="6">
        <f>+D35</f>
        <v>59930567.95973324</v>
      </c>
      <c r="E68" s="50">
        <f>+D68*C68</f>
        <v>5819983.752182384</v>
      </c>
      <c r="F68" s="20"/>
      <c r="G68" s="39"/>
      <c r="H68" s="39"/>
      <c r="I68" s="20"/>
      <c r="J68" s="20"/>
      <c r="K68" s="20"/>
      <c r="N68" s="143"/>
      <c r="O68" s="143"/>
      <c r="P68" s="143"/>
      <c r="Q68" s="143"/>
      <c r="R68" s="143"/>
      <c r="S68" s="143"/>
      <c r="T68" s="143"/>
      <c r="U68" s="143"/>
      <c r="V68" s="143"/>
      <c r="W68" s="143"/>
      <c r="X68" s="143"/>
      <c r="Y68" s="143"/>
      <c r="Z68" s="143"/>
      <c r="AA68" s="76"/>
      <c r="AB68" s="76"/>
    </row>
    <row r="69" spans="2:28" x14ac:dyDescent="0.3">
      <c r="B69" s="20" t="s">
        <v>14</v>
      </c>
      <c r="C69" s="35">
        <f>E36</f>
        <v>7.1384053140691878E-2</v>
      </c>
      <c r="D69" s="6">
        <f>+D36</f>
        <v>768584494.53481102</v>
      </c>
      <c r="E69" s="50">
        <f>+D69*C69</f>
        <v>54864676.400984757</v>
      </c>
      <c r="F69" s="20"/>
      <c r="G69" s="39"/>
      <c r="H69" s="39"/>
      <c r="I69" s="20"/>
      <c r="J69" s="20"/>
      <c r="K69" s="20"/>
      <c r="N69" s="143"/>
      <c r="O69" s="143"/>
      <c r="P69" s="143"/>
      <c r="Q69" s="143"/>
      <c r="R69" s="143"/>
      <c r="S69" s="143"/>
      <c r="T69" s="143"/>
      <c r="U69" s="143"/>
      <c r="V69" s="143"/>
      <c r="W69" s="143"/>
      <c r="X69" s="143"/>
      <c r="Y69" s="143"/>
      <c r="Z69" s="143"/>
      <c r="AA69" s="76"/>
      <c r="AB69" s="76"/>
    </row>
    <row r="70" spans="2:28" x14ac:dyDescent="0.3">
      <c r="B70" s="20" t="s">
        <v>15</v>
      </c>
      <c r="C70" s="35">
        <f>E37</f>
        <v>0.10241336173173934</v>
      </c>
      <c r="D70" s="6">
        <f>+D37</f>
        <v>210356384.50745085</v>
      </c>
      <c r="E70" s="50">
        <f>+D70*C70</f>
        <v>21543304.499142412</v>
      </c>
      <c r="F70" s="20"/>
      <c r="G70" s="39"/>
      <c r="H70" s="39"/>
      <c r="I70" s="20"/>
      <c r="J70" s="20"/>
      <c r="K70" s="20"/>
      <c r="N70" s="143"/>
      <c r="O70" s="143"/>
      <c r="P70" s="143"/>
      <c r="Q70" s="143"/>
      <c r="R70" s="143"/>
      <c r="S70" s="143"/>
      <c r="T70" s="143"/>
      <c r="U70" s="143"/>
      <c r="V70" s="143"/>
      <c r="W70" s="143"/>
      <c r="X70" s="143"/>
      <c r="Y70" s="143"/>
      <c r="Z70" s="143"/>
      <c r="AA70" s="76"/>
      <c r="AB70" s="76"/>
    </row>
    <row r="71" spans="2:28" x14ac:dyDescent="0.3">
      <c r="B71" s="20" t="s">
        <v>16</v>
      </c>
      <c r="C71" s="35">
        <f>E38</f>
        <v>0.14571129619507203</v>
      </c>
      <c r="D71" s="6">
        <f>+D38</f>
        <v>222477657.85967013</v>
      </c>
      <c r="E71" s="50">
        <f>+D71*C71</f>
        <v>32417507.901176289</v>
      </c>
      <c r="F71" s="20"/>
      <c r="G71" s="39"/>
      <c r="H71" s="39"/>
      <c r="I71" s="20"/>
      <c r="J71" s="307" t="s">
        <v>137</v>
      </c>
      <c r="K71" s="309"/>
      <c r="Q71" s="50"/>
      <c r="R71" s="51"/>
      <c r="S71" s="51"/>
      <c r="T71" s="51"/>
      <c r="U71" s="20"/>
      <c r="V71" s="20"/>
      <c r="W71" s="20"/>
    </row>
    <row r="72" spans="2:28" ht="15" thickBot="1" x14ac:dyDescent="0.35">
      <c r="B72" s="20" t="s">
        <v>47</v>
      </c>
      <c r="C72" s="35">
        <f>E72/D72</f>
        <v>9.0590136516288278E-2</v>
      </c>
      <c r="D72" s="52">
        <f>SUM(D67:D71)</f>
        <v>1335756220.8019304</v>
      </c>
      <c r="E72" s="42">
        <f>SUM(E67:E71)</f>
        <v>121006338.39492819</v>
      </c>
      <c r="F72" s="20"/>
      <c r="G72" s="77"/>
      <c r="H72" s="53"/>
      <c r="I72" s="20"/>
      <c r="J72" s="241">
        <f>E72</f>
        <v>121006338.39492819</v>
      </c>
      <c r="K72" s="227"/>
      <c r="Q72" s="19"/>
      <c r="R72" s="53"/>
      <c r="S72" s="53"/>
      <c r="T72" s="53"/>
      <c r="U72" s="20"/>
      <c r="V72" s="20"/>
      <c r="W72" s="20"/>
    </row>
    <row r="73" spans="2:28" ht="15" thickTop="1" x14ac:dyDescent="0.3">
      <c r="E73" s="20"/>
      <c r="F73" s="20"/>
      <c r="G73" s="30"/>
      <c r="H73" s="20"/>
      <c r="I73" s="20"/>
      <c r="J73" s="241">
        <f>E76</f>
        <v>23621807.553798005</v>
      </c>
      <c r="K73" s="227"/>
      <c r="Q73" s="45"/>
      <c r="R73" s="40"/>
      <c r="S73" s="40"/>
      <c r="T73" s="55"/>
      <c r="U73" s="20"/>
      <c r="V73" s="20"/>
      <c r="W73" s="20"/>
    </row>
    <row r="74" spans="2:28" x14ac:dyDescent="0.3">
      <c r="B74" s="23" t="s">
        <v>48</v>
      </c>
      <c r="E74" s="20"/>
      <c r="F74" s="20"/>
      <c r="G74" s="36"/>
      <c r="H74" s="33"/>
      <c r="I74" s="20"/>
      <c r="J74" s="244">
        <f>SUM(J72:J73)</f>
        <v>144628145.94872618</v>
      </c>
      <c r="K74" s="247" t="s">
        <v>81</v>
      </c>
      <c r="Q74" s="19"/>
      <c r="R74" s="53"/>
      <c r="S74" s="53"/>
      <c r="T74" s="53"/>
      <c r="U74" s="20"/>
      <c r="V74" s="20"/>
      <c r="W74" s="20"/>
    </row>
    <row r="75" spans="2:28" x14ac:dyDescent="0.3">
      <c r="B75" s="23"/>
      <c r="C75" s="104" t="s">
        <v>35</v>
      </c>
      <c r="D75" s="12" t="s">
        <v>10</v>
      </c>
      <c r="E75" s="56" t="s">
        <v>36</v>
      </c>
      <c r="F75" s="20"/>
      <c r="G75" s="101"/>
      <c r="H75" s="101"/>
      <c r="I75" s="20"/>
      <c r="J75" s="226"/>
      <c r="K75" s="227"/>
      <c r="Q75" s="19"/>
      <c r="R75" s="53"/>
      <c r="S75" s="53"/>
      <c r="T75" s="53"/>
      <c r="U75" s="20"/>
      <c r="V75" s="20"/>
      <c r="W75" s="20"/>
    </row>
    <row r="76" spans="2:28" x14ac:dyDescent="0.3">
      <c r="B76" s="20" t="s">
        <v>49</v>
      </c>
      <c r="C76" s="57">
        <f>+C45</f>
        <v>1.7633575298499068E-2</v>
      </c>
      <c r="D76" s="58">
        <f>+E29</f>
        <v>1339592632.4600005</v>
      </c>
      <c r="E76" s="59">
        <f>E86</f>
        <v>23621807.553798005</v>
      </c>
      <c r="F76" s="20"/>
      <c r="G76" s="78"/>
      <c r="H76" s="78"/>
      <c r="I76" s="40"/>
      <c r="J76" s="226"/>
      <c r="K76" s="227"/>
      <c r="L76" s="20"/>
      <c r="M76" s="20"/>
      <c r="N76" s="20"/>
      <c r="Q76" s="19"/>
      <c r="R76" s="53"/>
      <c r="S76" s="53"/>
      <c r="T76" s="53"/>
      <c r="U76" s="20"/>
      <c r="V76" s="20"/>
      <c r="W76" s="20"/>
    </row>
    <row r="77" spans="2:28" x14ac:dyDescent="0.3">
      <c r="B77" s="20" t="s">
        <v>50</v>
      </c>
      <c r="C77" s="57"/>
      <c r="D77" s="58"/>
      <c r="E77" s="59">
        <f>+E56</f>
        <v>39528805.650000006</v>
      </c>
      <c r="F77" s="20"/>
      <c r="G77" s="53"/>
      <c r="H77" s="78"/>
      <c r="I77" s="40"/>
      <c r="J77" s="226"/>
      <c r="K77" s="245"/>
      <c r="Q77" s="19"/>
      <c r="R77" s="53"/>
      <c r="S77" s="53"/>
      <c r="T77" s="53"/>
      <c r="U77" s="20"/>
      <c r="V77" s="20"/>
      <c r="W77" s="20"/>
    </row>
    <row r="78" spans="2:28" x14ac:dyDescent="0.3">
      <c r="B78" s="20" t="s">
        <v>148</v>
      </c>
      <c r="C78" s="57">
        <f>C48</f>
        <v>0.10736002057593672</v>
      </c>
      <c r="D78" s="262">
        <v>34919532.899999999</v>
      </c>
      <c r="E78" s="59">
        <f>C78*D78</f>
        <v>3748961.770646099</v>
      </c>
      <c r="F78" s="20"/>
      <c r="G78" s="53"/>
      <c r="H78" s="78"/>
      <c r="I78" s="40"/>
      <c r="J78" s="226"/>
      <c r="K78" s="245"/>
      <c r="Q78" s="19"/>
      <c r="R78" s="53"/>
      <c r="S78" s="53"/>
      <c r="T78" s="53"/>
      <c r="U78" s="20"/>
      <c r="V78" s="20"/>
      <c r="W78" s="20"/>
    </row>
    <row r="79" spans="2:28" x14ac:dyDescent="0.3">
      <c r="B79" s="20" t="s">
        <v>51</v>
      </c>
      <c r="C79" s="110">
        <f>+C46</f>
        <v>0.10624727959362108</v>
      </c>
      <c r="D79" s="77">
        <f>+D29-D78</f>
        <v>700665744.56000066</v>
      </c>
      <c r="E79" s="53">
        <f>+C79*D79</f>
        <v>74443829.263939083</v>
      </c>
      <c r="F79" s="20"/>
      <c r="G79" s="78"/>
      <c r="H79" s="78"/>
      <c r="I79" s="40"/>
      <c r="J79" s="244">
        <f>E77+E79+E78</f>
        <v>117721596.68458518</v>
      </c>
      <c r="K79" s="248" t="s">
        <v>80</v>
      </c>
      <c r="Q79" s="19"/>
      <c r="R79" s="53"/>
      <c r="S79" s="53"/>
      <c r="T79" s="53"/>
      <c r="U79" s="20"/>
      <c r="V79" s="20"/>
      <c r="W79" s="20"/>
    </row>
    <row r="80" spans="2:28" ht="15" thickBot="1" x14ac:dyDescent="0.35">
      <c r="D80" s="54"/>
      <c r="E80" s="60">
        <f>SUM(E76:E79)</f>
        <v>141343404.23838317</v>
      </c>
      <c r="F80" s="53"/>
      <c r="G80" s="53"/>
      <c r="H80" s="53"/>
      <c r="I80" s="61"/>
      <c r="J80" s="20"/>
      <c r="K80" s="20"/>
      <c r="R80" s="20"/>
      <c r="S80" s="20"/>
      <c r="T80" s="20"/>
      <c r="U80" s="20"/>
      <c r="V80" s="20"/>
      <c r="W80" s="20"/>
    </row>
    <row r="81" spans="1:26" ht="15" thickTop="1" x14ac:dyDescent="0.3">
      <c r="D81" s="54"/>
      <c r="E81" s="19"/>
      <c r="F81" s="53"/>
      <c r="G81" s="19"/>
      <c r="H81" s="53"/>
      <c r="I81" s="61"/>
      <c r="J81" s="20"/>
      <c r="K81" s="20"/>
      <c r="R81" s="20"/>
      <c r="S81" s="20"/>
      <c r="T81" s="20"/>
      <c r="U81" s="20"/>
      <c r="V81" s="20"/>
      <c r="W81" s="20"/>
    </row>
    <row r="82" spans="1:26" x14ac:dyDescent="0.3">
      <c r="B82" s="23" t="s">
        <v>84</v>
      </c>
      <c r="C82" s="20"/>
      <c r="D82" s="20"/>
      <c r="E82" s="40"/>
      <c r="F82" s="19"/>
      <c r="I82" s="61"/>
      <c r="J82" s="305" t="s">
        <v>136</v>
      </c>
      <c r="K82" s="306"/>
      <c r="M82" s="76"/>
      <c r="N82" s="259"/>
    </row>
    <row r="83" spans="1:26" x14ac:dyDescent="0.3">
      <c r="D83" s="209" t="s">
        <v>135</v>
      </c>
      <c r="E83" s="45"/>
      <c r="F83" s="19"/>
      <c r="I83" s="54"/>
      <c r="J83" s="218" t="s">
        <v>130</v>
      </c>
      <c r="K83" s="219"/>
      <c r="L83" s="114"/>
      <c r="M83" s="76"/>
      <c r="N83" s="259"/>
      <c r="O83" s="114"/>
      <c r="P83" s="114"/>
      <c r="Q83" s="114"/>
      <c r="R83" s="114"/>
      <c r="S83" s="114"/>
      <c r="T83" s="114"/>
      <c r="U83" s="114"/>
      <c r="V83" s="114"/>
      <c r="W83" s="20"/>
      <c r="X83" s="20"/>
      <c r="Y83" s="20"/>
      <c r="Z83" s="20"/>
    </row>
    <row r="84" spans="1:26" x14ac:dyDescent="0.3">
      <c r="B84" s="23"/>
      <c r="C84" s="104" t="s">
        <v>35</v>
      </c>
      <c r="D84" s="12" t="s">
        <v>10</v>
      </c>
      <c r="E84" s="38" t="s">
        <v>36</v>
      </c>
      <c r="F84" s="53"/>
      <c r="G84" s="310"/>
      <c r="H84" s="310"/>
      <c r="I84" s="311"/>
      <c r="J84" s="220" t="s">
        <v>10</v>
      </c>
      <c r="K84" s="221" t="s">
        <v>36</v>
      </c>
      <c r="L84" s="5"/>
      <c r="M84" s="76"/>
      <c r="N84" s="259"/>
      <c r="O84" s="20"/>
      <c r="P84" s="20"/>
      <c r="Q84" s="20"/>
      <c r="R84" s="20"/>
      <c r="S84" s="20"/>
      <c r="T84" s="20"/>
      <c r="U84" s="20"/>
      <c r="V84" s="20"/>
      <c r="W84" s="20"/>
      <c r="X84" s="20"/>
      <c r="Y84" s="20"/>
      <c r="Z84" s="20"/>
    </row>
    <row r="85" spans="1:26" x14ac:dyDescent="0.3">
      <c r="A85" s="20"/>
      <c r="B85" s="20" t="s">
        <v>52</v>
      </c>
      <c r="C85" s="24">
        <f>((+E54+E55+E60)-(E86/(E29/E12)))/E11</f>
        <v>1.8887824141964809E-2</v>
      </c>
      <c r="D85" s="6">
        <f>+E28</f>
        <v>1335756220.8019304</v>
      </c>
      <c r="E85" s="272">
        <v>25229528.595042378</v>
      </c>
      <c r="F85" s="267"/>
      <c r="G85" s="310"/>
      <c r="H85" s="310"/>
      <c r="I85" s="311"/>
      <c r="J85" s="222">
        <f>E11</f>
        <v>1335665065.2162497</v>
      </c>
      <c r="K85" s="223">
        <f>J85*C85</f>
        <v>25227806.864370484</v>
      </c>
      <c r="L85" s="5"/>
      <c r="M85" s="76"/>
      <c r="N85" s="259"/>
      <c r="O85" s="5"/>
      <c r="P85" s="5"/>
      <c r="Q85" s="5"/>
      <c r="R85" s="5"/>
      <c r="S85" s="5"/>
      <c r="T85" s="5"/>
      <c r="U85" s="5"/>
      <c r="V85" s="5"/>
      <c r="W85" s="46"/>
      <c r="X85" s="20"/>
      <c r="Y85" s="20"/>
      <c r="Z85" s="20"/>
    </row>
    <row r="86" spans="1:26" x14ac:dyDescent="0.3">
      <c r="B86" t="s">
        <v>53</v>
      </c>
      <c r="C86" s="24">
        <f>((+E54+E55+E60)-(E85/(E28/E11)))/E12</f>
        <v>1.7633575298499068E-2</v>
      </c>
      <c r="D86" s="6">
        <f>+E29</f>
        <v>1339592632.4600005</v>
      </c>
      <c r="E86" s="39">
        <f>C86*D86</f>
        <v>23621807.553798005</v>
      </c>
      <c r="F86" s="267"/>
      <c r="I86" s="65"/>
      <c r="J86" s="222">
        <f>E12</f>
        <v>1339291225.3933105</v>
      </c>
      <c r="K86" s="223">
        <f>J86*C86</f>
        <v>23616492.669592027</v>
      </c>
      <c r="L86" s="49"/>
      <c r="M86" s="76"/>
      <c r="N86" s="259"/>
      <c r="O86" s="20"/>
      <c r="P86" s="20"/>
      <c r="Q86" s="20"/>
      <c r="R86" s="20"/>
      <c r="S86" s="20"/>
      <c r="T86" s="20"/>
      <c r="U86" s="20"/>
      <c r="V86" s="20"/>
      <c r="W86" s="20"/>
      <c r="X86" s="20"/>
      <c r="Y86" s="20"/>
      <c r="Z86" s="20"/>
    </row>
    <row r="87" spans="1:26" ht="15" thickBot="1" x14ac:dyDescent="0.35">
      <c r="C87" s="67">
        <f>+E87/D87</f>
        <v>1.8259800432858755E-2</v>
      </c>
      <c r="D87" s="68">
        <f>SUM(D85:D86)</f>
        <v>2675348853.2619309</v>
      </c>
      <c r="E87" s="69">
        <f>+E85+E86</f>
        <v>48851336.148840383</v>
      </c>
      <c r="F87" s="64"/>
      <c r="I87" s="70"/>
      <c r="J87" s="224"/>
      <c r="K87" s="225">
        <f>SUM(K85:K86)</f>
        <v>48844299.533962511</v>
      </c>
      <c r="M87" s="76"/>
      <c r="N87" s="53"/>
    </row>
    <row r="88" spans="1:26" ht="15" thickTop="1" x14ac:dyDescent="0.3">
      <c r="C88" s="36"/>
      <c r="D88" s="71"/>
      <c r="E88" s="54"/>
      <c r="F88" s="19"/>
      <c r="G88" s="19"/>
      <c r="H88" s="72"/>
      <c r="J88" s="54"/>
    </row>
    <row r="89" spans="1:26" ht="97.5" customHeight="1" x14ac:dyDescent="0.3">
      <c r="B89" s="303" t="s">
        <v>54</v>
      </c>
      <c r="C89" s="303"/>
      <c r="D89" s="303"/>
      <c r="E89" s="303"/>
      <c r="F89" s="19"/>
      <c r="G89" s="73"/>
      <c r="H89" s="62"/>
      <c r="I89" s="74"/>
    </row>
    <row r="90" spans="1:26" x14ac:dyDescent="0.3">
      <c r="B90" s="304"/>
      <c r="C90" s="304"/>
      <c r="D90" s="304"/>
      <c r="E90" s="304"/>
      <c r="H90" s="75"/>
    </row>
  </sheetData>
  <mergeCells count="8">
    <mergeCell ref="G34:H38"/>
    <mergeCell ref="G55:H58"/>
    <mergeCell ref="B89:E89"/>
    <mergeCell ref="B90:E90"/>
    <mergeCell ref="J82:K82"/>
    <mergeCell ref="J52:K52"/>
    <mergeCell ref="J71:K71"/>
    <mergeCell ref="G84:I85"/>
  </mergeCells>
  <pageMargins left="0.70866141732283472" right="0.70866141732283472" top="0.23622047244094491" bottom="0.23622047244094491" header="0.31496062992125984" footer="0.31496062992125984"/>
  <pageSetup scale="77" orientation="landscape" r:id="rId1"/>
  <rowBreaks count="1" manualBreakCount="1">
    <brk id="39" min="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39"/>
  <sheetViews>
    <sheetView showGridLines="0" zoomScaleNormal="100" workbookViewId="0">
      <selection activeCell="A2" sqref="A2"/>
    </sheetView>
  </sheetViews>
  <sheetFormatPr defaultRowHeight="14.4" x14ac:dyDescent="0.3"/>
  <cols>
    <col min="1" max="1" width="26.33203125" customWidth="1"/>
    <col min="2" max="2" width="11.33203125" customWidth="1"/>
    <col min="3" max="3" width="15.6640625" customWidth="1"/>
    <col min="4" max="4" width="14.88671875" customWidth="1"/>
    <col min="5" max="5" width="15" customWidth="1"/>
    <col min="6" max="6" width="12.6640625" customWidth="1"/>
    <col min="7" max="7" width="15.88671875" bestFit="1" customWidth="1"/>
    <col min="8" max="8" width="14.33203125" bestFit="1" customWidth="1"/>
    <col min="9" max="10" width="13.33203125" customWidth="1"/>
    <col min="11" max="11" width="15.109375" customWidth="1"/>
    <col min="12" max="13" width="19.33203125" hidden="1" customWidth="1"/>
    <col min="14" max="14" width="11.33203125" customWidth="1"/>
    <col min="15" max="15" width="15.6640625" customWidth="1"/>
    <col min="16" max="20" width="14.88671875" customWidth="1"/>
    <col min="22" max="22" width="43.5546875" customWidth="1"/>
    <col min="23" max="23" width="11.33203125" customWidth="1"/>
    <col min="24" max="24" width="15.6640625" customWidth="1"/>
    <col min="25" max="29" width="14.88671875" customWidth="1"/>
    <col min="30" max="30" width="12.33203125" bestFit="1" customWidth="1"/>
  </cols>
  <sheetData>
    <row r="1" spans="1:32" ht="25.8" x14ac:dyDescent="0.5">
      <c r="A1" s="79" t="s">
        <v>157</v>
      </c>
    </row>
    <row r="3" spans="1:32" ht="18" hidden="1" x14ac:dyDescent="0.35">
      <c r="A3" s="1" t="s">
        <v>55</v>
      </c>
      <c r="M3" s="8"/>
      <c r="N3" s="3"/>
      <c r="O3" s="3"/>
      <c r="P3" s="3"/>
      <c r="Q3" s="3"/>
      <c r="R3" s="3"/>
      <c r="S3" s="3"/>
      <c r="T3" s="3"/>
      <c r="U3" s="3"/>
      <c r="V3" s="8"/>
      <c r="W3" s="3"/>
      <c r="X3" s="3"/>
      <c r="Y3" s="3"/>
      <c r="Z3" s="3"/>
      <c r="AA3" s="3"/>
      <c r="AB3" s="3"/>
      <c r="AC3" s="3"/>
      <c r="AD3" s="3"/>
      <c r="AE3" s="3"/>
      <c r="AF3" s="3"/>
    </row>
    <row r="4" spans="1:32" x14ac:dyDescent="0.3">
      <c r="A4" s="2"/>
      <c r="M4" s="80"/>
      <c r="N4" s="3"/>
      <c r="O4" s="3"/>
      <c r="P4" s="3"/>
      <c r="Q4" s="3"/>
      <c r="R4" s="3"/>
      <c r="S4" s="3"/>
      <c r="T4" s="3"/>
      <c r="U4" s="3"/>
      <c r="V4" s="80"/>
      <c r="W4" s="3"/>
      <c r="X4" s="3"/>
      <c r="Y4" s="3"/>
      <c r="Z4" s="3"/>
      <c r="AA4" s="3"/>
      <c r="AB4" s="3"/>
      <c r="AC4" s="3"/>
      <c r="AD4" s="3"/>
      <c r="AE4" s="3"/>
      <c r="AF4" s="3"/>
    </row>
    <row r="5" spans="1:32" hidden="1" x14ac:dyDescent="0.3">
      <c r="A5" s="2" t="s">
        <v>56</v>
      </c>
      <c r="M5" s="80"/>
      <c r="N5" s="3"/>
      <c r="O5" s="3"/>
      <c r="P5" s="3"/>
      <c r="Q5" s="3"/>
      <c r="R5" s="3"/>
      <c r="S5" s="3"/>
      <c r="T5" s="3"/>
      <c r="U5" s="3"/>
      <c r="V5" s="80"/>
      <c r="W5" s="3"/>
      <c r="X5" s="3"/>
      <c r="Y5" s="3"/>
      <c r="Z5" s="3"/>
      <c r="AA5" s="3"/>
      <c r="AB5" s="3"/>
      <c r="AC5" s="3"/>
      <c r="AD5" s="3"/>
      <c r="AE5" s="3"/>
      <c r="AF5" s="3"/>
    </row>
    <row r="6" spans="1:32" ht="28.8" hidden="1" x14ac:dyDescent="0.3">
      <c r="A6" s="81" t="s">
        <v>57</v>
      </c>
      <c r="B6" s="82" t="s">
        <v>58</v>
      </c>
      <c r="C6" s="83" t="s">
        <v>59</v>
      </c>
      <c r="D6" s="82" t="s">
        <v>60</v>
      </c>
      <c r="E6" s="83" t="s">
        <v>61</v>
      </c>
      <c r="F6" s="82" t="s">
        <v>62</v>
      </c>
      <c r="G6" s="82" t="s">
        <v>10</v>
      </c>
      <c r="H6" s="83" t="s">
        <v>63</v>
      </c>
      <c r="I6" s="83" t="s">
        <v>64</v>
      </c>
      <c r="J6" s="83" t="s">
        <v>65</v>
      </c>
      <c r="K6" s="83" t="s">
        <v>66</v>
      </c>
      <c r="M6" s="80"/>
      <c r="N6" s="11"/>
      <c r="O6" s="11"/>
      <c r="P6" s="11"/>
      <c r="Q6" s="84"/>
      <c r="R6" s="80"/>
      <c r="S6" s="11"/>
      <c r="T6" s="13"/>
      <c r="U6" s="3"/>
      <c r="V6" s="80"/>
      <c r="W6" s="11"/>
      <c r="X6" s="11"/>
      <c r="Y6" s="11"/>
      <c r="Z6" s="84"/>
      <c r="AA6" s="80"/>
      <c r="AB6" s="11"/>
      <c r="AC6" s="13"/>
      <c r="AD6" s="3"/>
      <c r="AE6" s="3"/>
      <c r="AF6" s="3"/>
    </row>
    <row r="7" spans="1:32" hidden="1" x14ac:dyDescent="0.3">
      <c r="A7" s="85" t="s">
        <v>12</v>
      </c>
      <c r="B7" s="86">
        <f>+'[1]Data for 2nd TU'!D33</f>
        <v>7.6999999999999999E-2</v>
      </c>
      <c r="C7" s="86">
        <f>+'[1]Data for 2nd TU'!$B$43</f>
        <v>3.1848807346377295E-2</v>
      </c>
      <c r="D7" s="86">
        <f>+'[1]Data for 2nd TU'!$B$48</f>
        <v>8.8359370314842575E-2</v>
      </c>
      <c r="E7" s="86">
        <f>+C7+D7</f>
        <v>0.12020817766121987</v>
      </c>
      <c r="F7" s="87">
        <f>+B7-E7</f>
        <v>-4.3208177661219871E-2</v>
      </c>
      <c r="G7" s="31">
        <f>'[1]Data for 2nd TU'!C16</f>
        <v>5002500</v>
      </c>
      <c r="H7" s="25">
        <f>+G7*B7</f>
        <v>385192.5</v>
      </c>
      <c r="I7" s="25">
        <f>+G7*C7</f>
        <v>159323.65875025242</v>
      </c>
      <c r="J7" s="25">
        <f>+G7*D7</f>
        <v>442017.75</v>
      </c>
      <c r="K7" s="25">
        <f>+H7-I7-J7</f>
        <v>-216148.90875025242</v>
      </c>
      <c r="M7" s="3"/>
      <c r="N7" s="88"/>
      <c r="O7" s="89"/>
      <c r="P7" s="89"/>
      <c r="Q7" s="89"/>
      <c r="R7" s="90"/>
      <c r="S7" s="91"/>
      <c r="T7" s="19"/>
      <c r="U7" s="3"/>
      <c r="V7" s="3"/>
      <c r="W7" s="89"/>
      <c r="X7" s="89"/>
      <c r="Y7" s="89"/>
      <c r="Z7" s="89"/>
      <c r="AA7" s="90"/>
      <c r="AB7" s="91"/>
      <c r="AC7" s="19"/>
      <c r="AD7" s="9"/>
      <c r="AE7" s="3"/>
      <c r="AF7" s="3"/>
    </row>
    <row r="8" spans="1:32" hidden="1" x14ac:dyDescent="0.3">
      <c r="A8" s="92" t="s">
        <v>13</v>
      </c>
      <c r="B8" s="89">
        <f>+'[1]Data for 2nd TU'!D34</f>
        <v>8.8999999999999996E-2</v>
      </c>
      <c r="C8" s="89">
        <f>+'[1]Data for 2nd TU'!$B$43</f>
        <v>3.1848807346377295E-2</v>
      </c>
      <c r="D8" s="89">
        <f>+'[1]Data for 2nd TU'!$B$48</f>
        <v>8.8359370314842575E-2</v>
      </c>
      <c r="E8" s="89">
        <f t="shared" ref="E8:E11" si="0">+C8+D8</f>
        <v>0.12020817766121987</v>
      </c>
      <c r="F8" s="90">
        <f t="shared" ref="F8:F11" si="1">+B8-E8</f>
        <v>-3.1208177661219874E-2</v>
      </c>
      <c r="G8" s="31">
        <f>'[1]Data for 2nd TU'!C17</f>
        <v>7003500</v>
      </c>
      <c r="H8" s="25">
        <f t="shared" ref="H8:H11" si="2">+G8*B8</f>
        <v>623311.5</v>
      </c>
      <c r="I8" s="25">
        <f t="shared" ref="I8:I11" si="3">+G8*C8</f>
        <v>223053.12225035339</v>
      </c>
      <c r="J8" s="25">
        <f t="shared" ref="J8:J11" si="4">+G8*D8</f>
        <v>618824.85</v>
      </c>
      <c r="K8" s="25">
        <f t="shared" ref="K8:K11" si="5">+H8-I8-J8</f>
        <v>-218566.47225035337</v>
      </c>
      <c r="M8" s="3"/>
      <c r="N8" s="88"/>
      <c r="O8" s="89"/>
      <c r="P8" s="89"/>
      <c r="Q8" s="89"/>
      <c r="R8" s="90"/>
      <c r="S8" s="91"/>
      <c r="T8" s="19"/>
      <c r="U8" s="3"/>
      <c r="V8" s="3"/>
      <c r="W8" s="89"/>
      <c r="X8" s="89"/>
      <c r="Y8" s="89"/>
      <c r="Z8" s="89"/>
      <c r="AA8" s="90"/>
      <c r="AB8" s="91"/>
      <c r="AC8" s="19"/>
      <c r="AD8" s="9"/>
      <c r="AE8" s="3"/>
      <c r="AF8" s="3"/>
    </row>
    <row r="9" spans="1:32" hidden="1" x14ac:dyDescent="0.3">
      <c r="A9" s="92" t="s">
        <v>14</v>
      </c>
      <c r="B9" s="89">
        <f>+'[1]Data for 2nd TU'!D35</f>
        <v>6.5000000000000002E-2</v>
      </c>
      <c r="C9" s="89">
        <f>+'[1]Data for 2nd TU'!$B$43</f>
        <v>3.1848807346377295E-2</v>
      </c>
      <c r="D9" s="89">
        <f>+'[1]Data for 2nd TU'!$B$48</f>
        <v>8.8359370314842575E-2</v>
      </c>
      <c r="E9" s="89">
        <f t="shared" si="0"/>
        <v>0.12020817766121987</v>
      </c>
      <c r="F9" s="90">
        <f t="shared" si="1"/>
        <v>-5.5208177661219868E-2</v>
      </c>
      <c r="G9" s="31">
        <f>'[1]Data for 2nd TU'!C18</f>
        <v>100050000</v>
      </c>
      <c r="H9" s="25">
        <f t="shared" si="2"/>
        <v>6503250</v>
      </c>
      <c r="I9" s="25">
        <f t="shared" si="3"/>
        <v>3186473.1750050485</v>
      </c>
      <c r="J9" s="25">
        <f t="shared" si="4"/>
        <v>8840355</v>
      </c>
      <c r="K9" s="25">
        <f t="shared" si="5"/>
        <v>-5523578.1750050485</v>
      </c>
      <c r="M9" s="3"/>
      <c r="N9" s="88"/>
      <c r="O9" s="89"/>
      <c r="P9" s="89"/>
      <c r="Q9" s="89"/>
      <c r="R9" s="90"/>
      <c r="S9" s="91"/>
      <c r="T9" s="19"/>
      <c r="U9" s="3"/>
      <c r="V9" s="3"/>
      <c r="W9" s="89"/>
      <c r="X9" s="89"/>
      <c r="Y9" s="89"/>
      <c r="Z9" s="89"/>
      <c r="AA9" s="90"/>
      <c r="AB9" s="91"/>
      <c r="AC9" s="19"/>
      <c r="AD9" s="9"/>
      <c r="AE9" s="3"/>
      <c r="AF9" s="3"/>
    </row>
    <row r="10" spans="1:32" hidden="1" x14ac:dyDescent="0.3">
      <c r="A10" s="92" t="s">
        <v>15</v>
      </c>
      <c r="B10" s="89">
        <f>+'[1]Data for 2nd TU'!D36</f>
        <v>9.4E-2</v>
      </c>
      <c r="C10" s="89">
        <f>+'[1]Data for 2nd TU'!$B$43</f>
        <v>3.1848807346377295E-2</v>
      </c>
      <c r="D10" s="89">
        <f>+'[1]Data for 2nd TU'!$B$48</f>
        <v>8.8359370314842575E-2</v>
      </c>
      <c r="E10" s="89">
        <f t="shared" si="0"/>
        <v>0.12020817766121987</v>
      </c>
      <c r="F10" s="90">
        <f t="shared" si="1"/>
        <v>-2.620817766121987E-2</v>
      </c>
      <c r="G10" s="31">
        <f>'[1]Data for 2nd TU'!C19</f>
        <v>50025000</v>
      </c>
      <c r="H10" s="25">
        <f t="shared" si="2"/>
        <v>4702350</v>
      </c>
      <c r="I10" s="25">
        <f t="shared" si="3"/>
        <v>1593236.5875025243</v>
      </c>
      <c r="J10" s="25">
        <f t="shared" si="4"/>
        <v>4420177.5</v>
      </c>
      <c r="K10" s="25">
        <f t="shared" si="5"/>
        <v>-1311064.0875025243</v>
      </c>
      <c r="M10" s="3"/>
      <c r="N10" s="88"/>
      <c r="O10" s="89"/>
      <c r="P10" s="89"/>
      <c r="Q10" s="89"/>
      <c r="R10" s="90"/>
      <c r="S10" s="91"/>
      <c r="T10" s="19"/>
      <c r="U10" s="3"/>
      <c r="V10" s="3"/>
      <c r="W10" s="89"/>
      <c r="X10" s="89"/>
      <c r="Y10" s="89"/>
      <c r="Z10" s="89"/>
      <c r="AA10" s="90"/>
      <c r="AB10" s="91"/>
      <c r="AC10" s="19"/>
      <c r="AD10" s="9"/>
      <c r="AE10" s="3"/>
      <c r="AF10" s="3"/>
    </row>
    <row r="11" spans="1:32" hidden="1" x14ac:dyDescent="0.3">
      <c r="A11" s="93" t="s">
        <v>16</v>
      </c>
      <c r="B11" s="94">
        <f>+'[1]Data for 2nd TU'!D37</f>
        <v>0.13200000000000001</v>
      </c>
      <c r="C11" s="94">
        <f>+'[1]Data for 2nd TU'!$B$43</f>
        <v>3.1848807346377295E-2</v>
      </c>
      <c r="D11" s="94">
        <f>+'[1]Data for 2nd TU'!$B$48</f>
        <v>8.8359370314842575E-2</v>
      </c>
      <c r="E11" s="94">
        <f t="shared" si="0"/>
        <v>0.12020817766121987</v>
      </c>
      <c r="F11" s="95">
        <f t="shared" si="1"/>
        <v>1.1791822338780136E-2</v>
      </c>
      <c r="G11" s="31">
        <f>'[1]Data for 2nd TU'!C20</f>
        <v>63031500.000000007</v>
      </c>
      <c r="H11" s="25">
        <f t="shared" si="2"/>
        <v>8320158.0000000009</v>
      </c>
      <c r="I11" s="25">
        <f t="shared" si="3"/>
        <v>2007478.1002531806</v>
      </c>
      <c r="J11" s="25">
        <f t="shared" si="4"/>
        <v>5569423.6500000004</v>
      </c>
      <c r="K11" s="25">
        <f t="shared" si="5"/>
        <v>743256.24974681996</v>
      </c>
      <c r="M11" s="3"/>
      <c r="N11" s="88"/>
      <c r="O11" s="89"/>
      <c r="P11" s="89"/>
      <c r="Q11" s="89"/>
      <c r="R11" s="90"/>
      <c r="S11" s="91"/>
      <c r="T11" s="19"/>
      <c r="U11" s="3"/>
      <c r="V11" s="3"/>
      <c r="W11" s="89"/>
      <c r="X11" s="89"/>
      <c r="Y11" s="89"/>
      <c r="Z11" s="89"/>
      <c r="AA11" s="90"/>
      <c r="AB11" s="91"/>
      <c r="AC11" s="19"/>
      <c r="AD11" s="9"/>
      <c r="AE11" s="3"/>
      <c r="AF11" s="3"/>
    </row>
    <row r="12" spans="1:32" ht="15" hidden="1" thickBot="1" x14ac:dyDescent="0.35">
      <c r="B12" s="96">
        <f>+H12/G12</f>
        <v>9.1217777777777773E-2</v>
      </c>
      <c r="G12" s="22">
        <f>SUM(G7:G11)</f>
        <v>225112500</v>
      </c>
      <c r="H12" s="60">
        <f t="shared" ref="H12:J12" si="6">SUM(H7:H11)</f>
        <v>20534262</v>
      </c>
      <c r="I12" s="60">
        <f t="shared" si="6"/>
        <v>7169564.6437613592</v>
      </c>
      <c r="J12" s="60">
        <f t="shared" si="6"/>
        <v>19890798.75</v>
      </c>
      <c r="K12" s="42">
        <f>SUM(K7:K11)</f>
        <v>-6526101.3937613582</v>
      </c>
      <c r="M12" s="3"/>
      <c r="N12" s="3"/>
      <c r="O12" s="3"/>
      <c r="P12" s="3"/>
      <c r="Q12" s="19"/>
      <c r="R12" s="19"/>
      <c r="S12" s="18"/>
      <c r="T12" s="19"/>
      <c r="U12" s="3"/>
      <c r="V12" s="3"/>
      <c r="W12" s="3"/>
      <c r="X12" s="3"/>
      <c r="Y12" s="3"/>
      <c r="Z12" s="19"/>
      <c r="AA12" s="19"/>
      <c r="AB12" s="18"/>
      <c r="AC12" s="19"/>
      <c r="AD12" s="9"/>
      <c r="AE12" s="3"/>
      <c r="AF12" s="3"/>
    </row>
    <row r="13" spans="1:32" x14ac:dyDescent="0.3">
      <c r="I13" s="45"/>
      <c r="J13" s="45"/>
      <c r="M13" s="3"/>
      <c r="N13" s="3"/>
      <c r="O13" s="3"/>
      <c r="P13" s="3"/>
      <c r="Q13" s="3"/>
      <c r="R13" s="3"/>
      <c r="S13" s="3"/>
      <c r="T13" s="3"/>
      <c r="U13" s="3"/>
      <c r="V13" s="3"/>
      <c r="W13" s="3"/>
      <c r="X13" s="3"/>
      <c r="Y13" s="3"/>
      <c r="Z13" s="3"/>
      <c r="AA13" s="3"/>
      <c r="AB13" s="3"/>
      <c r="AC13" s="3"/>
      <c r="AD13" s="3"/>
      <c r="AE13" s="3"/>
      <c r="AF13" s="3"/>
    </row>
    <row r="14" spans="1:32" ht="18" x14ac:dyDescent="0.35">
      <c r="A14" s="1" t="s">
        <v>87</v>
      </c>
      <c r="M14" s="80"/>
      <c r="N14" s="3"/>
      <c r="O14" s="3"/>
      <c r="P14" s="3"/>
      <c r="Q14" s="3"/>
      <c r="R14" s="3"/>
      <c r="S14" s="3"/>
      <c r="T14" s="3"/>
      <c r="U14" s="3"/>
      <c r="V14" s="80"/>
      <c r="W14" s="3"/>
      <c r="X14" s="3"/>
      <c r="Y14" s="3"/>
      <c r="Z14" s="3"/>
      <c r="AA14" s="97"/>
      <c r="AB14" s="3"/>
      <c r="AC14" s="3"/>
      <c r="AD14" s="3"/>
      <c r="AE14" s="3"/>
      <c r="AF14" s="3"/>
    </row>
    <row r="15" spans="1:32" x14ac:dyDescent="0.3">
      <c r="A15" s="2"/>
      <c r="C15" s="106"/>
      <c r="G15" s="32" t="s">
        <v>154</v>
      </c>
      <c r="M15" s="80"/>
      <c r="N15" s="98"/>
      <c r="O15" s="98"/>
      <c r="P15" s="98"/>
      <c r="Q15" s="98"/>
      <c r="R15" s="98"/>
      <c r="S15" s="32"/>
      <c r="T15" s="32"/>
      <c r="V15" s="80"/>
      <c r="W15" s="98"/>
      <c r="X15" s="98"/>
      <c r="Y15" s="98"/>
      <c r="AA15" s="66"/>
    </row>
    <row r="16" spans="1:32" x14ac:dyDescent="0.3">
      <c r="A16" s="2" t="s">
        <v>67</v>
      </c>
      <c r="E16" s="106"/>
      <c r="H16" s="106"/>
      <c r="I16" s="106"/>
      <c r="J16" s="106"/>
      <c r="K16" s="106"/>
      <c r="M16" s="3"/>
      <c r="N16" s="17"/>
      <c r="O16" s="18"/>
      <c r="P16" s="19"/>
      <c r="Q16" s="19"/>
      <c r="R16" s="19"/>
      <c r="S16" s="25"/>
      <c r="T16" s="25"/>
      <c r="V16" s="3"/>
      <c r="W16" s="17"/>
      <c r="X16" s="18"/>
      <c r="Y16" s="19"/>
      <c r="AA16" s="66"/>
    </row>
    <row r="17" spans="1:27" ht="43.2" x14ac:dyDescent="0.3">
      <c r="A17" s="81" t="s">
        <v>57</v>
      </c>
      <c r="B17" s="82" t="s">
        <v>58</v>
      </c>
      <c r="C17" s="83" t="s">
        <v>68</v>
      </c>
      <c r="D17" s="82" t="s">
        <v>60</v>
      </c>
      <c r="E17" s="83" t="s">
        <v>61</v>
      </c>
      <c r="F17" s="82" t="s">
        <v>62</v>
      </c>
      <c r="G17" s="82" t="s">
        <v>10</v>
      </c>
      <c r="H17" s="83" t="s">
        <v>69</v>
      </c>
      <c r="I17" s="83" t="s">
        <v>70</v>
      </c>
      <c r="J17" s="83" t="s">
        <v>65</v>
      </c>
      <c r="K17" s="83" t="s">
        <v>85</v>
      </c>
      <c r="L17" s="252" t="s">
        <v>141</v>
      </c>
      <c r="M17" s="252" t="s">
        <v>142</v>
      </c>
      <c r="N17" s="17"/>
      <c r="O17" s="18"/>
      <c r="P17" s="19"/>
      <c r="Q17" s="19"/>
      <c r="R17" s="19"/>
      <c r="S17" s="25"/>
      <c r="T17" s="25"/>
      <c r="V17" s="3"/>
      <c r="W17" s="17"/>
      <c r="X17" s="18"/>
      <c r="Y17" s="19"/>
      <c r="AA17" s="66"/>
    </row>
    <row r="18" spans="1:27" x14ac:dyDescent="0.3">
      <c r="A18" s="85" t="s">
        <v>12</v>
      </c>
      <c r="B18" s="111">
        <f>'Veridian - 2019'!C67</f>
        <v>8.5487332240493222E-2</v>
      </c>
      <c r="C18" s="86">
        <f>'Veridian - 2019'!C44</f>
        <v>1.8887824141964809E-2</v>
      </c>
      <c r="D18" s="111">
        <f>'Veridian - 2019'!C49</f>
        <v>0.10711082234672577</v>
      </c>
      <c r="E18" s="111">
        <f>+C18+D18</f>
        <v>0.12599864648869058</v>
      </c>
      <c r="F18" s="214">
        <f>+B18-E18</f>
        <v>-4.0511314248197358E-2</v>
      </c>
      <c r="G18" s="215">
        <f>'Veridian - 2019'!D17</f>
        <v>74402038.199187294</v>
      </c>
      <c r="H18" s="25">
        <f>+G18*B18</f>
        <v>6360431.7589037921</v>
      </c>
      <c r="I18" s="39">
        <f>+C18*G18</f>
        <v>1405292.6133099976</v>
      </c>
      <c r="J18" s="25">
        <f>+G18*D18</f>
        <v>7969263.4957874548</v>
      </c>
      <c r="K18" s="25">
        <f>+H18-I18-J18</f>
        <v>-3014124.3501936607</v>
      </c>
      <c r="L18" s="213">
        <v>-267314.48070330702</v>
      </c>
      <c r="M18" s="39">
        <f>K18-L18</f>
        <v>-2746809.8694903539</v>
      </c>
      <c r="N18" s="9"/>
      <c r="O18" s="9"/>
      <c r="P18" s="19"/>
      <c r="Q18" s="19"/>
      <c r="R18" s="19"/>
      <c r="S18" s="19"/>
      <c r="T18" s="19"/>
      <c r="V18" s="3"/>
      <c r="W18" s="3"/>
      <c r="X18" s="3"/>
      <c r="Y18" s="19"/>
      <c r="AA18" s="66"/>
    </row>
    <row r="19" spans="1:27" x14ac:dyDescent="0.3">
      <c r="A19" s="92" t="s">
        <v>13</v>
      </c>
      <c r="B19" s="112">
        <f>'Veridian - 2019'!C68</f>
        <v>9.7112107398894906E-2</v>
      </c>
      <c r="C19" s="89">
        <f>C18</f>
        <v>1.8887824141964809E-2</v>
      </c>
      <c r="D19" s="112">
        <f>D18</f>
        <v>0.10711082234672577</v>
      </c>
      <c r="E19" s="112">
        <f>+C19+D19</f>
        <v>0.12599864648869058</v>
      </c>
      <c r="F19" s="216">
        <f t="shared" ref="F19:F22" si="7">+B19-E19</f>
        <v>-2.8886539089795674E-2</v>
      </c>
      <c r="G19" s="215">
        <f>'Veridian - 2019'!D18</f>
        <v>59926478.13710133</v>
      </c>
      <c r="H19" s="25">
        <f t="shared" ref="H19:H22" si="8">+G19*B19</f>
        <v>5819586.5808877116</v>
      </c>
      <c r="I19" s="25">
        <f>+C19*G19</f>
        <v>1131880.7805008688</v>
      </c>
      <c r="J19" s="25">
        <f t="shared" ref="J19:J22" si="9">+G19*D19</f>
        <v>6418774.3536080066</v>
      </c>
      <c r="K19" s="25">
        <f>+H19-I19-J19</f>
        <v>-1731068.5532211643</v>
      </c>
      <c r="L19" s="213">
        <v>-114002.95226103799</v>
      </c>
      <c r="M19" s="39">
        <f t="shared" ref="M19:M22" si="10">K19-L19</f>
        <v>-1617065.6009601264</v>
      </c>
      <c r="N19" s="3"/>
      <c r="O19" s="9"/>
      <c r="P19" s="3"/>
      <c r="Q19" s="3"/>
      <c r="R19" s="3"/>
      <c r="V19" s="3"/>
      <c r="W19" s="3"/>
      <c r="X19" s="3"/>
      <c r="Y19" s="3"/>
      <c r="AA19" s="66"/>
    </row>
    <row r="20" spans="1:27" x14ac:dyDescent="0.3">
      <c r="A20" s="92" t="s">
        <v>14</v>
      </c>
      <c r="B20" s="112">
        <f>'Veridian - 2019'!C69</f>
        <v>7.1384053140691878E-2</v>
      </c>
      <c r="C20" s="89">
        <f>C19</f>
        <v>1.8887824141964809E-2</v>
      </c>
      <c r="D20" s="112">
        <f>D18</f>
        <v>0.10711082234672577</v>
      </c>
      <c r="E20" s="112">
        <f>+C20+D20</f>
        <v>0.12599864648869058</v>
      </c>
      <c r="F20" s="216">
        <f t="shared" si="7"/>
        <v>-5.4614593347998702E-2</v>
      </c>
      <c r="G20" s="215">
        <f>'Veridian - 2019'!D19</f>
        <v>768532044.26832271</v>
      </c>
      <c r="H20" s="25">
        <f t="shared" si="8"/>
        <v>54860932.288374513</v>
      </c>
      <c r="I20" s="25">
        <f>+C20*G20</f>
        <v>14515898.099604793</v>
      </c>
      <c r="J20" s="25">
        <f t="shared" si="9"/>
        <v>82318099.261390299</v>
      </c>
      <c r="K20" s="25">
        <f>+H20-I20-J20</f>
        <v>-41973065.072620578</v>
      </c>
      <c r="L20" s="213">
        <v>-3009496.3525817399</v>
      </c>
      <c r="M20" s="39">
        <f t="shared" si="10"/>
        <v>-38963568.720038839</v>
      </c>
      <c r="N20" s="3"/>
      <c r="O20" s="3"/>
      <c r="P20" s="3"/>
      <c r="Q20" s="3"/>
      <c r="R20" s="3"/>
      <c r="V20" s="80"/>
      <c r="W20" s="3"/>
      <c r="X20" s="3"/>
      <c r="Y20" s="3"/>
    </row>
    <row r="21" spans="1:27" x14ac:dyDescent="0.3">
      <c r="A21" s="92" t="s">
        <v>15</v>
      </c>
      <c r="B21" s="112">
        <f>'Veridian - 2019'!C70</f>
        <v>0.10241336173173934</v>
      </c>
      <c r="C21" s="89">
        <f>C20</f>
        <v>1.8887824141964809E-2</v>
      </c>
      <c r="D21" s="112">
        <f>D18</f>
        <v>0.10711082234672577</v>
      </c>
      <c r="E21" s="112">
        <f>+C21+D21</f>
        <v>0.12599864648869058</v>
      </c>
      <c r="F21" s="216">
        <f t="shared" si="7"/>
        <v>-2.3585284756951236E-2</v>
      </c>
      <c r="G21" s="215">
        <f>'Veridian - 2019'!D20</f>
        <v>210342029.22380489</v>
      </c>
      <c r="H21" s="25">
        <f t="shared" si="8"/>
        <v>21541834.326285619</v>
      </c>
      <c r="I21" s="25">
        <f>+C21*G21</f>
        <v>3972903.2576432494</v>
      </c>
      <c r="J21" s="25">
        <f t="shared" si="9"/>
        <v>22529907.724240765</v>
      </c>
      <c r="K21" s="25">
        <f>+H21-I21-J21</f>
        <v>-4960976.6555983946</v>
      </c>
      <c r="L21" s="213">
        <v>-341176.48372687399</v>
      </c>
      <c r="M21" s="39">
        <f t="shared" si="10"/>
        <v>-4619800.1718715206</v>
      </c>
      <c r="N21" s="3"/>
      <c r="O21" s="3"/>
      <c r="P21" s="9"/>
      <c r="Q21" s="9"/>
      <c r="R21" s="9"/>
      <c r="S21" s="45"/>
      <c r="T21" s="45"/>
      <c r="V21" s="3"/>
      <c r="W21" s="3"/>
      <c r="X21" s="3"/>
      <c r="Y21" s="9"/>
    </row>
    <row r="22" spans="1:27" x14ac:dyDescent="0.3">
      <c r="A22" s="93" t="s">
        <v>16</v>
      </c>
      <c r="B22" s="113">
        <f>'Veridian - 2019'!C71</f>
        <v>0.14571129619507203</v>
      </c>
      <c r="C22" s="94">
        <f>C21</f>
        <v>1.8887824141964809E-2</v>
      </c>
      <c r="D22" s="113">
        <f>D18</f>
        <v>0.10711082234672577</v>
      </c>
      <c r="E22" s="113">
        <f t="shared" ref="E22" si="11">+C22+D22</f>
        <v>0.12599864648869058</v>
      </c>
      <c r="F22" s="217">
        <f t="shared" si="7"/>
        <v>1.9712649706381452E-2</v>
      </c>
      <c r="G22" s="276">
        <f>'Veridian - 2019'!D21</f>
        <v>222462475.38783339</v>
      </c>
      <c r="H22" s="277">
        <f t="shared" si="8"/>
        <v>32415295.643525511</v>
      </c>
      <c r="I22" s="277">
        <f>+C22*G22</f>
        <v>4201832.113311572</v>
      </c>
      <c r="J22" s="277">
        <f t="shared" si="9"/>
        <v>23828138.680079076</v>
      </c>
      <c r="K22" s="277">
        <f>+H22-I22-J22</f>
        <v>4385324.8501348607</v>
      </c>
      <c r="L22" s="213">
        <v>255426.658822728</v>
      </c>
      <c r="M22" s="39">
        <f t="shared" si="10"/>
        <v>4129898.1913121329</v>
      </c>
      <c r="N22" s="3"/>
      <c r="O22" s="3"/>
      <c r="P22" s="9"/>
      <c r="Q22" s="9"/>
      <c r="R22" s="9"/>
      <c r="S22" s="45"/>
      <c r="T22" s="45"/>
      <c r="V22" s="3"/>
      <c r="W22" s="3"/>
      <c r="X22" s="3"/>
      <c r="Y22" s="9"/>
    </row>
    <row r="23" spans="1:27" x14ac:dyDescent="0.3">
      <c r="A23" s="226"/>
      <c r="B23" s="112"/>
      <c r="C23" s="112"/>
      <c r="D23" s="112"/>
      <c r="E23" s="112"/>
      <c r="F23" s="216"/>
      <c r="G23" s="215"/>
      <c r="H23" s="39"/>
      <c r="I23" s="39"/>
      <c r="J23" s="39"/>
      <c r="K23" s="39"/>
      <c r="L23" s="39"/>
      <c r="M23" s="39"/>
      <c r="N23" s="263"/>
      <c r="O23" s="3"/>
      <c r="P23" s="9"/>
      <c r="Q23" s="9"/>
      <c r="R23" s="9"/>
      <c r="S23" s="45"/>
      <c r="T23" s="45"/>
      <c r="V23" s="3"/>
      <c r="W23" s="3"/>
      <c r="X23" s="3"/>
      <c r="Y23" s="9"/>
    </row>
    <row r="24" spans="1:27" ht="15" thickBot="1" x14ac:dyDescent="0.35">
      <c r="B24" s="96">
        <f>+H24/G24</f>
        <v>9.0590136516288278E-2</v>
      </c>
      <c r="G24" s="281">
        <f>SUM(G18:G23)</f>
        <v>1335665065.2162497</v>
      </c>
      <c r="H24" s="60">
        <f>SUM(H18:H23)</f>
        <v>120998080.59797715</v>
      </c>
      <c r="I24" s="60">
        <f>SUM(I18:I23)</f>
        <v>25227806.86437048</v>
      </c>
      <c r="J24" s="60">
        <f>SUM(J18:J23)</f>
        <v>143064183.51510561</v>
      </c>
      <c r="K24" s="60">
        <f>SUM(K18:K23)</f>
        <v>-47293909.781498939</v>
      </c>
      <c r="L24" s="42">
        <f>SUM(L18:L22)</f>
        <v>-3476563.610450231</v>
      </c>
      <c r="M24" s="42">
        <f>SUM(M18:M22)</f>
        <v>-43817346.171048708</v>
      </c>
      <c r="N24" s="3"/>
      <c r="O24" s="9"/>
      <c r="P24" s="19"/>
      <c r="Q24" s="19"/>
      <c r="R24" s="19"/>
      <c r="S24" s="19"/>
      <c r="T24" s="19"/>
      <c r="V24" s="3"/>
      <c r="W24" s="3"/>
      <c r="X24" s="3"/>
      <c r="Y24" s="19"/>
    </row>
    <row r="25" spans="1:27" x14ac:dyDescent="0.3">
      <c r="A25" s="3"/>
      <c r="B25" s="3"/>
      <c r="C25" s="3"/>
      <c r="D25" s="3"/>
      <c r="E25" s="3"/>
      <c r="H25" s="20"/>
      <c r="I25" s="20" t="s">
        <v>111</v>
      </c>
      <c r="M25" s="18"/>
      <c r="N25" s="3"/>
      <c r="O25" s="3"/>
      <c r="P25" s="3"/>
      <c r="Q25" s="3"/>
      <c r="R25" s="3"/>
      <c r="V25" s="3"/>
      <c r="W25" s="3"/>
      <c r="X25" s="3"/>
      <c r="Y25" s="3"/>
    </row>
    <row r="26" spans="1:27" ht="18" hidden="1" x14ac:dyDescent="0.35">
      <c r="A26" s="1" t="s">
        <v>71</v>
      </c>
      <c r="M26" s="99"/>
      <c r="N26" s="3"/>
      <c r="O26" s="3"/>
      <c r="P26" s="3"/>
      <c r="Q26" s="3"/>
      <c r="R26" s="3"/>
      <c r="V26" s="3"/>
      <c r="W26" s="3"/>
      <c r="X26" s="3"/>
      <c r="Y26" s="3"/>
    </row>
    <row r="27" spans="1:27" ht="18" hidden="1" x14ac:dyDescent="0.35">
      <c r="A27" s="1"/>
      <c r="M27" s="99"/>
      <c r="N27" s="3"/>
      <c r="O27" s="3"/>
      <c r="P27" s="3"/>
      <c r="Q27" s="3"/>
      <c r="R27" s="3"/>
      <c r="V27" s="3"/>
      <c r="W27" s="3"/>
      <c r="X27" s="3"/>
      <c r="Y27" s="3"/>
    </row>
    <row r="28" spans="1:27" hidden="1" x14ac:dyDescent="0.3">
      <c r="A28" s="2" t="s">
        <v>72</v>
      </c>
      <c r="M28" s="99"/>
      <c r="N28" s="3"/>
      <c r="O28" s="3"/>
      <c r="P28" s="3"/>
      <c r="Q28" s="3"/>
      <c r="R28" s="3"/>
      <c r="V28" s="3"/>
      <c r="W28" s="3"/>
      <c r="X28" s="3"/>
      <c r="Y28" s="3"/>
    </row>
    <row r="29" spans="1:27" ht="43.2" hidden="1" x14ac:dyDescent="0.3">
      <c r="A29" s="100" t="s">
        <v>73</v>
      </c>
      <c r="B29" s="82" t="s">
        <v>58</v>
      </c>
      <c r="C29" s="83" t="s">
        <v>74</v>
      </c>
      <c r="D29" s="83" t="s">
        <v>75</v>
      </c>
      <c r="E29" s="83" t="s">
        <v>61</v>
      </c>
      <c r="F29" s="82" t="s">
        <v>62</v>
      </c>
      <c r="G29" s="82" t="s">
        <v>10</v>
      </c>
      <c r="H29" s="83" t="s">
        <v>76</v>
      </c>
      <c r="I29" s="83" t="s">
        <v>77</v>
      </c>
      <c r="J29" s="83" t="s">
        <v>78</v>
      </c>
      <c r="K29" s="83" t="s">
        <v>79</v>
      </c>
      <c r="M29" s="48"/>
      <c r="N29" s="101"/>
    </row>
    <row r="30" spans="1:27" hidden="1" x14ac:dyDescent="0.3">
      <c r="A30" s="85" t="s">
        <v>12</v>
      </c>
      <c r="B30" s="102">
        <f t="shared" ref="B30:G34" si="12">+B7-B18</f>
        <v>-8.4873322404932228E-3</v>
      </c>
      <c r="C30" s="86">
        <f t="shared" si="12"/>
        <v>1.2960983204412486E-2</v>
      </c>
      <c r="D30" s="86">
        <f t="shared" si="12"/>
        <v>-1.8751452031883192E-2</v>
      </c>
      <c r="E30" s="86">
        <f t="shared" si="12"/>
        <v>-5.79046882747071E-3</v>
      </c>
      <c r="F30" s="87">
        <f t="shared" si="12"/>
        <v>-2.6968634130225128E-3</v>
      </c>
      <c r="G30" s="31">
        <f t="shared" si="12"/>
        <v>-69399538.199187294</v>
      </c>
      <c r="H30" s="25">
        <f t="shared" ref="H30:J34" si="13">+H18-H7</f>
        <v>5975239.2589037921</v>
      </c>
      <c r="I30" s="25">
        <f t="shared" si="13"/>
        <v>1245968.9545597453</v>
      </c>
      <c r="J30" s="25">
        <f t="shared" si="13"/>
        <v>7527245.7457874548</v>
      </c>
      <c r="K30" s="25">
        <f>+H30-I30-J30</f>
        <v>-2797975.4414434079</v>
      </c>
      <c r="M30" s="45"/>
      <c r="N30" s="63"/>
    </row>
    <row r="31" spans="1:27" hidden="1" x14ac:dyDescent="0.3">
      <c r="A31" s="92" t="s">
        <v>13</v>
      </c>
      <c r="B31" s="88">
        <f t="shared" si="12"/>
        <v>-8.1121073988949105E-3</v>
      </c>
      <c r="C31" s="89">
        <f t="shared" si="12"/>
        <v>1.2960983204412486E-2</v>
      </c>
      <c r="D31" s="89">
        <f t="shared" si="12"/>
        <v>-1.8751452031883192E-2</v>
      </c>
      <c r="E31" s="89">
        <f t="shared" si="12"/>
        <v>-5.79046882747071E-3</v>
      </c>
      <c r="F31" s="90">
        <f t="shared" si="12"/>
        <v>-2.3216385714242005E-3</v>
      </c>
      <c r="G31" s="31">
        <f t="shared" si="12"/>
        <v>-52922978.13710133</v>
      </c>
      <c r="H31" s="25">
        <f t="shared" si="13"/>
        <v>5196275.0808877116</v>
      </c>
      <c r="I31" s="25">
        <f t="shared" si="13"/>
        <v>908827.65825051535</v>
      </c>
      <c r="J31" s="25">
        <f t="shared" si="13"/>
        <v>5799949.503608007</v>
      </c>
      <c r="K31" s="25">
        <f t="shared" ref="K31:K34" si="14">+H31-I31-J31</f>
        <v>-1512502.0809708107</v>
      </c>
      <c r="M31" s="45"/>
      <c r="N31" s="63"/>
    </row>
    <row r="32" spans="1:27" hidden="1" x14ac:dyDescent="0.3">
      <c r="A32" s="92" t="s">
        <v>14</v>
      </c>
      <c r="B32" s="88">
        <f t="shared" si="12"/>
        <v>-6.3840531406918755E-3</v>
      </c>
      <c r="C32" s="89">
        <f t="shared" si="12"/>
        <v>1.2960983204412486E-2</v>
      </c>
      <c r="D32" s="89">
        <f t="shared" si="12"/>
        <v>-1.8751452031883192E-2</v>
      </c>
      <c r="E32" s="89">
        <f t="shared" si="12"/>
        <v>-5.79046882747071E-3</v>
      </c>
      <c r="F32" s="90">
        <f t="shared" si="12"/>
        <v>-5.9358431322116545E-4</v>
      </c>
      <c r="G32" s="31">
        <f t="shared" si="12"/>
        <v>-668482044.26832271</v>
      </c>
      <c r="H32" s="25">
        <f t="shared" si="13"/>
        <v>48357682.288374513</v>
      </c>
      <c r="I32" s="25">
        <f t="shared" si="13"/>
        <v>11329424.924599744</v>
      </c>
      <c r="J32" s="25">
        <f t="shared" si="13"/>
        <v>73477744.261390299</v>
      </c>
      <c r="K32" s="25">
        <f t="shared" si="14"/>
        <v>-36449486.89761553</v>
      </c>
      <c r="M32" s="45"/>
      <c r="N32" s="63"/>
    </row>
    <row r="33" spans="1:14" hidden="1" x14ac:dyDescent="0.3">
      <c r="A33" s="92" t="s">
        <v>15</v>
      </c>
      <c r="B33" s="88">
        <f t="shared" si="12"/>
        <v>-8.4133617317393439E-3</v>
      </c>
      <c r="C33" s="89">
        <f t="shared" si="12"/>
        <v>1.2960983204412486E-2</v>
      </c>
      <c r="D33" s="89">
        <f t="shared" si="12"/>
        <v>-1.8751452031883192E-2</v>
      </c>
      <c r="E33" s="89">
        <f t="shared" si="12"/>
        <v>-5.79046882747071E-3</v>
      </c>
      <c r="F33" s="90">
        <f t="shared" si="12"/>
        <v>-2.6228929042686339E-3</v>
      </c>
      <c r="G33" s="31">
        <f t="shared" si="12"/>
        <v>-160317029.22380489</v>
      </c>
      <c r="H33" s="25">
        <f t="shared" si="13"/>
        <v>16839484.326285619</v>
      </c>
      <c r="I33" s="25">
        <f t="shared" si="13"/>
        <v>2379666.6701407251</v>
      </c>
      <c r="J33" s="25">
        <f t="shared" si="13"/>
        <v>18109730.224240765</v>
      </c>
      <c r="K33" s="25">
        <f t="shared" si="14"/>
        <v>-3649912.5680958703</v>
      </c>
      <c r="M33" s="45"/>
      <c r="N33" s="63"/>
    </row>
    <row r="34" spans="1:14" hidden="1" x14ac:dyDescent="0.3">
      <c r="A34" s="93" t="s">
        <v>16</v>
      </c>
      <c r="B34" s="103">
        <f t="shared" si="12"/>
        <v>-1.3711296195072026E-2</v>
      </c>
      <c r="C34" s="94">
        <f t="shared" si="12"/>
        <v>1.2960983204412486E-2</v>
      </c>
      <c r="D34" s="94">
        <f t="shared" si="12"/>
        <v>-1.8751452031883192E-2</v>
      </c>
      <c r="E34" s="94">
        <f t="shared" si="12"/>
        <v>-5.79046882747071E-3</v>
      </c>
      <c r="F34" s="95">
        <f t="shared" si="12"/>
        <v>-7.9208273676013158E-3</v>
      </c>
      <c r="G34" s="31">
        <f t="shared" si="12"/>
        <v>-159430975.38783339</v>
      </c>
      <c r="H34" s="25">
        <f t="shared" si="13"/>
        <v>24095137.643525511</v>
      </c>
      <c r="I34" s="25">
        <f t="shared" si="13"/>
        <v>2194354.0130583914</v>
      </c>
      <c r="J34" s="25">
        <f t="shared" si="13"/>
        <v>18258715.030079074</v>
      </c>
      <c r="K34" s="25">
        <f t="shared" si="14"/>
        <v>3642068.6003880464</v>
      </c>
      <c r="M34" s="45"/>
      <c r="N34" s="63"/>
    </row>
    <row r="35" spans="1:14" ht="15" hidden="1" thickBot="1" x14ac:dyDescent="0.35">
      <c r="G35" s="22">
        <f>SUM(G30:G34)</f>
        <v>-1110552565.2162497</v>
      </c>
      <c r="H35" s="60">
        <f t="shared" ref="H35:J35" si="15">SUM(H30:H34)</f>
        <v>100463818.59797715</v>
      </c>
      <c r="I35" s="60">
        <f t="shared" si="15"/>
        <v>18058242.220609121</v>
      </c>
      <c r="J35" s="60">
        <f t="shared" si="15"/>
        <v>123173384.76510561</v>
      </c>
      <c r="K35" s="60">
        <f>SUM(K30:K34)</f>
        <v>-40767808.387737572</v>
      </c>
    </row>
    <row r="36" spans="1:14" x14ac:dyDescent="0.3">
      <c r="K36" s="24"/>
      <c r="M36" s="253" t="s">
        <v>143</v>
      </c>
    </row>
    <row r="37" spans="1:14" x14ac:dyDescent="0.3">
      <c r="J37" s="6"/>
      <c r="K37" s="45"/>
      <c r="M37" s="253" t="s">
        <v>144</v>
      </c>
    </row>
    <row r="38" spans="1:14" x14ac:dyDescent="0.3">
      <c r="J38" s="36"/>
      <c r="K38" s="45"/>
    </row>
    <row r="39" spans="1:14" x14ac:dyDescent="0.3">
      <c r="A39" s="20"/>
      <c r="J39" s="14"/>
      <c r="K39" s="45"/>
    </row>
  </sheetData>
  <pageMargins left="0.2" right="0.2" top="0.75" bottom="0.75" header="0.3" footer="0.3"/>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1"/>
  <sheetViews>
    <sheetView showGridLines="0" zoomScale="110" zoomScaleNormal="110" workbookViewId="0">
      <selection sqref="A1:I1"/>
    </sheetView>
  </sheetViews>
  <sheetFormatPr defaultRowHeight="14.4" x14ac:dyDescent="0.3"/>
  <cols>
    <col min="1" max="1" width="23.88671875" customWidth="1"/>
    <col min="2" max="2" width="15.6640625" customWidth="1"/>
    <col min="3" max="3" width="17.33203125" bestFit="1" customWidth="1"/>
    <col min="4" max="4" width="13.6640625" customWidth="1"/>
    <col min="5" max="5" width="14.33203125" bestFit="1" customWidth="1"/>
    <col min="6" max="9" width="13.33203125" customWidth="1"/>
    <col min="10" max="10" width="25.44140625" customWidth="1"/>
    <col min="11" max="11" width="15.109375" style="119" customWidth="1"/>
    <col min="12" max="12" width="18" style="119" bestFit="1" customWidth="1"/>
    <col min="13" max="14" width="12.6640625" style="119" customWidth="1"/>
  </cols>
  <sheetData>
    <row r="1" spans="1:14" ht="25.8" x14ac:dyDescent="0.5">
      <c r="A1" s="318" t="s">
        <v>156</v>
      </c>
      <c r="B1" s="318"/>
      <c r="C1" s="318"/>
      <c r="D1" s="318"/>
      <c r="E1" s="318"/>
      <c r="F1" s="318"/>
      <c r="G1" s="318"/>
      <c r="H1" s="318"/>
      <c r="I1" s="318"/>
      <c r="J1" s="118"/>
    </row>
    <row r="2" spans="1:14" ht="25.8" x14ac:dyDescent="0.5">
      <c r="A2" s="120"/>
      <c r="B2" s="120"/>
      <c r="C2" s="120"/>
      <c r="D2" s="120"/>
      <c r="E2" s="120"/>
      <c r="F2" s="120"/>
      <c r="G2" s="120"/>
      <c r="H2" s="120"/>
      <c r="I2" s="120"/>
      <c r="J2" s="118"/>
    </row>
    <row r="3" spans="1:14" x14ac:dyDescent="0.3">
      <c r="A3" s="2" t="s">
        <v>90</v>
      </c>
      <c r="I3" s="3"/>
    </row>
    <row r="4" spans="1:14" ht="29.4" customHeight="1" thickBot="1" x14ac:dyDescent="0.35">
      <c r="A4" s="319" t="s">
        <v>91</v>
      </c>
      <c r="B4" s="320"/>
      <c r="C4" s="321"/>
      <c r="D4" s="322" t="s">
        <v>92</v>
      </c>
      <c r="E4" s="323"/>
      <c r="F4" s="324" t="s">
        <v>93</v>
      </c>
      <c r="G4" s="325"/>
      <c r="I4" s="13"/>
    </row>
    <row r="5" spans="1:14" ht="29.4" thickBot="1" x14ac:dyDescent="0.35">
      <c r="A5" s="121" t="s">
        <v>94</v>
      </c>
      <c r="B5" s="122" t="s">
        <v>95</v>
      </c>
      <c r="C5" s="122" t="s">
        <v>96</v>
      </c>
      <c r="D5" s="123" t="s">
        <v>88</v>
      </c>
      <c r="E5" s="124" t="s">
        <v>36</v>
      </c>
      <c r="F5" s="288" t="s">
        <v>151</v>
      </c>
      <c r="G5" s="124" t="s">
        <v>36</v>
      </c>
      <c r="I5" s="13"/>
      <c r="K5" s="126"/>
      <c r="L5" s="127"/>
      <c r="M5" s="128"/>
    </row>
    <row r="6" spans="1:14" x14ac:dyDescent="0.3">
      <c r="A6" s="129" t="s">
        <v>97</v>
      </c>
      <c r="B6" s="130">
        <f>'Veridian - 2019'!D28</f>
        <v>1335756220.8019304</v>
      </c>
      <c r="C6" s="130">
        <f>'Veridian - 2019'!E28</f>
        <v>1335756220.8019304</v>
      </c>
      <c r="D6" s="131">
        <f>'Veridian 2019 RPP Trued up'!B24</f>
        <v>9.0590136516288278E-2</v>
      </c>
      <c r="E6" s="266">
        <f>C6*D6</f>
        <v>121006338.39492819</v>
      </c>
      <c r="F6" s="132"/>
      <c r="G6" s="132"/>
      <c r="I6" s="3"/>
      <c r="K6" s="126"/>
      <c r="L6" s="127"/>
      <c r="M6" s="128"/>
    </row>
    <row r="7" spans="1:14" s="119" customFormat="1" x14ac:dyDescent="0.3">
      <c r="A7" s="129" t="s">
        <v>98</v>
      </c>
      <c r="B7" s="133">
        <v>0</v>
      </c>
      <c r="C7" s="133">
        <f>-'Veridian - 2019'!D8</f>
        <v>604007355</v>
      </c>
      <c r="D7" s="134">
        <f>+'Veridian - 2019'!C86</f>
        <v>1.7633575298499068E-2</v>
      </c>
      <c r="E7" s="133">
        <f>+C7*D7</f>
        <v>10650809.175239757</v>
      </c>
      <c r="F7" s="135"/>
      <c r="G7" s="133">
        <f>'Veridian - 2019'!E77</f>
        <v>39528805.650000006</v>
      </c>
      <c r="I7"/>
      <c r="J7"/>
      <c r="K7" s="126"/>
      <c r="L7" s="126"/>
      <c r="N7" s="126"/>
    </row>
    <row r="8" spans="1:14" s="119" customFormat="1" x14ac:dyDescent="0.3">
      <c r="A8" s="255" t="s">
        <v>150</v>
      </c>
      <c r="B8" s="256">
        <f>'Veridian - 2019'!D78</f>
        <v>34919532.899999999</v>
      </c>
      <c r="C8" s="256"/>
      <c r="D8" s="257"/>
      <c r="E8" s="256"/>
      <c r="F8" s="289">
        <f>'Veridian - 2019'!C48</f>
        <v>0.10736002057593672</v>
      </c>
      <c r="G8" s="256">
        <f>F8*B8</f>
        <v>3748961.770646099</v>
      </c>
      <c r="H8" s="290" t="s">
        <v>153</v>
      </c>
      <c r="I8" s="329">
        <f>(G8+G9)/(B8+B9)</f>
        <v>0.1063001033742646</v>
      </c>
      <c r="J8"/>
      <c r="K8" s="126"/>
      <c r="L8" s="126"/>
      <c r="N8" s="126"/>
    </row>
    <row r="9" spans="1:14" s="119" customFormat="1" ht="15" thickBot="1" x14ac:dyDescent="0.35">
      <c r="A9" s="129" t="s">
        <v>99</v>
      </c>
      <c r="B9" s="136">
        <f>'Veridian - 2019'!D29-B8</f>
        <v>700665744.56000066</v>
      </c>
      <c r="C9" s="136">
        <f>'Veridian - 2019'!D29</f>
        <v>735585277.46000063</v>
      </c>
      <c r="D9" s="251">
        <f>+'Veridian - 2019'!C86</f>
        <v>1.7633575298499068E-2</v>
      </c>
      <c r="E9" s="282">
        <f>+D9*C9</f>
        <v>12970998.37855825</v>
      </c>
      <c r="F9" s="258">
        <f>+'Veridian - 2019'!C46</f>
        <v>0.10624727959362108</v>
      </c>
      <c r="G9" s="136">
        <f>B9*F9</f>
        <v>74443829.263939083</v>
      </c>
      <c r="H9" s="290" t="s">
        <v>152</v>
      </c>
      <c r="I9" s="329"/>
      <c r="J9"/>
      <c r="K9" s="160" t="s">
        <v>111</v>
      </c>
      <c r="N9" s="138"/>
    </row>
    <row r="10" spans="1:14" s="119" customFormat="1" ht="15" thickBot="1" x14ac:dyDescent="0.35">
      <c r="A10" s="135"/>
      <c r="B10" s="139">
        <f>SUM(B6:B9)</f>
        <v>2071341498.2619312</v>
      </c>
      <c r="C10" s="139">
        <f>SUM(C6:C9)</f>
        <v>2675348853.2619309</v>
      </c>
      <c r="D10" s="140"/>
      <c r="E10" s="291">
        <f>SUM(E6:E9)</f>
        <v>144628145.94872621</v>
      </c>
      <c r="F10" s="140"/>
      <c r="G10" s="291">
        <f>SUM(G6:G9)</f>
        <v>117721596.68458518</v>
      </c>
      <c r="H10" s="119" t="s">
        <v>111</v>
      </c>
      <c r="I10" s="284"/>
      <c r="J10" s="7" t="s">
        <v>111</v>
      </c>
      <c r="K10" s="126" t="s">
        <v>111</v>
      </c>
      <c r="L10" s="141"/>
      <c r="M10" s="142"/>
    </row>
    <row r="11" spans="1:14" s="119" customFormat="1" ht="15" thickTop="1" x14ac:dyDescent="0.3">
      <c r="A11" s="3"/>
      <c r="B11" s="18"/>
      <c r="C11" s="18"/>
      <c r="D11" s="3"/>
      <c r="E11" s="143"/>
      <c r="F11" s="76"/>
      <c r="G11" s="143"/>
      <c r="I11"/>
      <c r="J11"/>
      <c r="K11" s="126"/>
      <c r="L11" s="141"/>
      <c r="M11" s="142"/>
    </row>
    <row r="12" spans="1:14" ht="15" thickBot="1" x14ac:dyDescent="0.35">
      <c r="A12" s="2" t="s">
        <v>100</v>
      </c>
      <c r="E12" s="7"/>
      <c r="F12" s="283"/>
      <c r="G12" s="7"/>
      <c r="H12" s="283"/>
      <c r="K12" s="126"/>
      <c r="L12" s="127"/>
      <c r="M12" s="142"/>
    </row>
    <row r="13" spans="1:14" s="119" customFormat="1" ht="16.2" thickBot="1" x14ac:dyDescent="0.35">
      <c r="A13" s="144"/>
      <c r="B13" s="145"/>
      <c r="C13" s="146"/>
      <c r="D13" s="326" t="s">
        <v>101</v>
      </c>
      <c r="E13" s="327"/>
      <c r="F13" s="327"/>
      <c r="G13" s="327"/>
      <c r="H13" s="327"/>
      <c r="I13" s="328"/>
      <c r="N13" s="138"/>
    </row>
    <row r="14" spans="1:14" s="119" customFormat="1" ht="29.4" customHeight="1" thickBot="1" x14ac:dyDescent="0.35">
      <c r="A14" s="312" t="s">
        <v>91</v>
      </c>
      <c r="B14" s="313"/>
      <c r="C14" s="314"/>
      <c r="D14" s="315" t="s">
        <v>102</v>
      </c>
      <c r="E14" s="316"/>
      <c r="F14" s="315" t="s">
        <v>103</v>
      </c>
      <c r="G14" s="317"/>
      <c r="H14" s="147" t="s">
        <v>104</v>
      </c>
      <c r="I14" s="148" t="s">
        <v>105</v>
      </c>
    </row>
    <row r="15" spans="1:14" s="119" customFormat="1" ht="48" customHeight="1" thickBot="1" x14ac:dyDescent="0.35">
      <c r="A15" s="121" t="s">
        <v>94</v>
      </c>
      <c r="B15" s="122" t="s">
        <v>106</v>
      </c>
      <c r="C15" s="122" t="s">
        <v>107</v>
      </c>
      <c r="D15" s="125" t="s">
        <v>108</v>
      </c>
      <c r="E15" s="124" t="s">
        <v>36</v>
      </c>
      <c r="F15" s="125" t="s">
        <v>109</v>
      </c>
      <c r="G15" s="124" t="s">
        <v>36</v>
      </c>
      <c r="H15" s="147" t="s">
        <v>36</v>
      </c>
      <c r="I15" s="149" t="s">
        <v>36</v>
      </c>
    </row>
    <row r="16" spans="1:14" s="119" customFormat="1" x14ac:dyDescent="0.3">
      <c r="A16" s="150" t="s">
        <v>110</v>
      </c>
      <c r="B16" s="260">
        <f>'Veridian - 2019'!D11</f>
        <v>1335665065.2162497</v>
      </c>
      <c r="C16" s="151">
        <f>'Veridian - 2019'!E11</f>
        <v>1335665065.2162497</v>
      </c>
      <c r="D16" s="152">
        <f>'Veridian - 2019'!C44</f>
        <v>1.8887824141964809E-2</v>
      </c>
      <c r="E16" s="151">
        <f>C16*D16</f>
        <v>25227806.864370484</v>
      </c>
      <c r="F16" s="250">
        <f>'Veridian - 2019'!C49</f>
        <v>0.10711082234672577</v>
      </c>
      <c r="G16" s="151">
        <f>B16*F16</f>
        <v>143064183.51510561</v>
      </c>
      <c r="H16" s="153">
        <f>'Veridian 2019 RPP Trued up'!K24</f>
        <v>-47293909.781498939</v>
      </c>
      <c r="I16" s="154">
        <f>+E16+G16+H16</f>
        <v>120998080.59797716</v>
      </c>
      <c r="J16" s="126"/>
      <c r="K16" s="126"/>
    </row>
    <row r="17" spans="1:14" s="119" customFormat="1" x14ac:dyDescent="0.3">
      <c r="A17" s="129" t="s">
        <v>98</v>
      </c>
      <c r="B17" s="155">
        <v>0</v>
      </c>
      <c r="C17" s="156">
        <f>-'Veridian - 2019'!D8</f>
        <v>604007355</v>
      </c>
      <c r="D17" s="157">
        <f>'Veridian - 2019'!C45</f>
        <v>1.7633575298499068E-2</v>
      </c>
      <c r="E17" s="156">
        <f>C17*D17</f>
        <v>10650809.175239757</v>
      </c>
      <c r="F17" s="157"/>
      <c r="G17" s="156"/>
      <c r="H17" s="158"/>
      <c r="I17" s="159">
        <f>+E17+G17+H17</f>
        <v>10650809.175239757</v>
      </c>
      <c r="J17" s="126"/>
      <c r="K17" s="160"/>
    </row>
    <row r="18" spans="1:14" s="119" customFormat="1" ht="15" thickBot="1" x14ac:dyDescent="0.35">
      <c r="A18" s="129" t="s">
        <v>99</v>
      </c>
      <c r="B18" s="261">
        <f>'Veridian - 2019'!D12</f>
        <v>735283870.39331043</v>
      </c>
      <c r="C18" s="156">
        <f>'Veridian - 2019'!D12</f>
        <v>735283870.39331043</v>
      </c>
      <c r="D18" s="161">
        <f>'Veridian - 2019'!C45</f>
        <v>1.7633575298499068E-2</v>
      </c>
      <c r="E18" s="162">
        <f>C18*D18</f>
        <v>12965683.494352268</v>
      </c>
      <c r="F18" s="137"/>
      <c r="G18" s="163"/>
      <c r="H18" s="158"/>
      <c r="I18" s="159">
        <f>+E18+G18+H18</f>
        <v>12965683.494352268</v>
      </c>
      <c r="J18" s="126"/>
    </row>
    <row r="19" spans="1:14" s="119" customFormat="1" ht="15" thickBot="1" x14ac:dyDescent="0.35">
      <c r="A19" s="135"/>
      <c r="B19" s="139">
        <f>SUM(B16:B18)</f>
        <v>2070948935.60956</v>
      </c>
      <c r="C19" s="139">
        <f>SUM(C16:C18)</f>
        <v>2674956290.60956</v>
      </c>
      <c r="D19" s="139"/>
      <c r="E19" s="139">
        <f>SUM(E16:E18)</f>
        <v>48844299.533962503</v>
      </c>
      <c r="F19" s="140"/>
      <c r="G19" s="139">
        <f>SUM(G16:G18)</f>
        <v>143064183.51510561</v>
      </c>
      <c r="H19" s="139">
        <f>SUM(H16:H18)</f>
        <v>-47293909.781498939</v>
      </c>
      <c r="I19" s="291">
        <f>SUM(I16:I18)</f>
        <v>144614573.26756918</v>
      </c>
      <c r="J19" s="126"/>
      <c r="K19" s="126"/>
      <c r="L19" s="126"/>
    </row>
    <row r="20" spans="1:14" s="119" customFormat="1" ht="15" thickTop="1" x14ac:dyDescent="0.3">
      <c r="A20"/>
      <c r="B20"/>
      <c r="C20"/>
      <c r="D20"/>
      <c r="E20" s="164"/>
      <c r="F20" s="165"/>
      <c r="G20" s="3"/>
      <c r="H20" s="3"/>
      <c r="I20" s="280"/>
      <c r="J20" s="7"/>
      <c r="K20" s="126"/>
    </row>
    <row r="21" spans="1:14" s="119" customFormat="1" x14ac:dyDescent="0.3">
      <c r="A21" s="2" t="s">
        <v>112</v>
      </c>
      <c r="B21"/>
      <c r="C21"/>
      <c r="D21"/>
      <c r="E21"/>
      <c r="F21"/>
      <c r="G21"/>
      <c r="H21"/>
      <c r="I21" s="7"/>
      <c r="J21" s="283"/>
      <c r="K21" s="127"/>
    </row>
    <row r="22" spans="1:14" s="119" customFormat="1" ht="16.2" customHeight="1" thickBot="1" x14ac:dyDescent="0.35">
      <c r="A22" s="319" t="s">
        <v>91</v>
      </c>
      <c r="B22" s="320"/>
      <c r="C22" s="321"/>
      <c r="D22" s="333" t="s">
        <v>113</v>
      </c>
      <c r="E22" s="334"/>
      <c r="F22" s="166"/>
      <c r="G22" s="167"/>
      <c r="H22" s="167"/>
      <c r="I22" s="279"/>
      <c r="J22" s="167"/>
      <c r="K22" s="138"/>
    </row>
    <row r="23" spans="1:14" s="119" customFormat="1" ht="45" customHeight="1" thickBot="1" x14ac:dyDescent="0.35">
      <c r="A23" s="121" t="s">
        <v>94</v>
      </c>
      <c r="B23" s="122" t="s">
        <v>106</v>
      </c>
      <c r="C23" s="122" t="s">
        <v>107</v>
      </c>
      <c r="D23" s="125" t="s">
        <v>109</v>
      </c>
      <c r="E23" s="168" t="s">
        <v>36</v>
      </c>
      <c r="F23" s="3"/>
      <c r="G23" s="169"/>
      <c r="H23" s="169"/>
      <c r="I23" s="18" t="s">
        <v>111</v>
      </c>
      <c r="J23" s="3"/>
    </row>
    <row r="24" spans="1:14" s="119" customFormat="1" x14ac:dyDescent="0.3">
      <c r="A24" s="129" t="s">
        <v>98</v>
      </c>
      <c r="B24" s="170"/>
      <c r="C24" s="156"/>
      <c r="D24" s="157"/>
      <c r="E24" s="156">
        <f>'Veridian - 2019'!E77</f>
        <v>39528805.650000006</v>
      </c>
      <c r="F24" s="92"/>
      <c r="G24" s="169"/>
      <c r="H24" s="169"/>
      <c r="I24" s="3"/>
      <c r="J24" s="3"/>
      <c r="K24" s="297"/>
      <c r="L24" s="297"/>
      <c r="M24" s="297"/>
      <c r="N24" s="297"/>
    </row>
    <row r="25" spans="1:14" s="119" customFormat="1" ht="15" thickBot="1" x14ac:dyDescent="0.35">
      <c r="A25" s="129" t="s">
        <v>99</v>
      </c>
      <c r="B25" s="170">
        <f>B18</f>
        <v>735283870.39331043</v>
      </c>
      <c r="C25" s="156"/>
      <c r="D25" s="251">
        <f>'Veridian - 2019'!C50</f>
        <v>0.10831812217470538</v>
      </c>
      <c r="E25" s="278">
        <f>+D25*B25</f>
        <v>79644568.106352836</v>
      </c>
      <c r="F25" s="92"/>
      <c r="G25" s="169"/>
      <c r="H25" s="169"/>
      <c r="I25" s="3"/>
      <c r="J25" s="3"/>
      <c r="K25" s="298"/>
      <c r="L25" s="298"/>
      <c r="M25" s="298"/>
      <c r="N25" s="297"/>
    </row>
    <row r="26" spans="1:14" s="119" customFormat="1" ht="15" thickBot="1" x14ac:dyDescent="0.35">
      <c r="A26" s="135"/>
      <c r="B26" s="136">
        <f>+B24+B25</f>
        <v>735283870.39331043</v>
      </c>
      <c r="C26" s="136">
        <f>+C24+C25</f>
        <v>0</v>
      </c>
      <c r="D26" s="171"/>
      <c r="E26" s="292">
        <f>+E24+E25</f>
        <v>119173373.75635284</v>
      </c>
      <c r="F26" s="92"/>
      <c r="G26" s="169"/>
      <c r="H26" s="172"/>
      <c r="I26" s="3"/>
      <c r="J26" s="3"/>
      <c r="K26" s="177"/>
      <c r="L26" s="177"/>
      <c r="M26" s="177"/>
      <c r="N26" s="177"/>
    </row>
    <row r="27" spans="1:14" s="119" customFormat="1" x14ac:dyDescent="0.3">
      <c r="A27" s="3"/>
      <c r="B27" s="18"/>
      <c r="C27" s="18"/>
      <c r="D27" s="17"/>
      <c r="E27" s="143"/>
      <c r="F27" s="3"/>
      <c r="G27" s="169"/>
      <c r="H27" s="172"/>
      <c r="I27" s="3"/>
      <c r="J27" s="3"/>
      <c r="K27" s="177"/>
      <c r="L27" s="177"/>
      <c r="M27" s="177"/>
      <c r="N27" s="177"/>
    </row>
    <row r="28" spans="1:14" s="119" customFormat="1" ht="15" thickBot="1" x14ac:dyDescent="0.35">
      <c r="A28" s="2" t="s">
        <v>114</v>
      </c>
      <c r="B28" s="17"/>
      <c r="C28" s="18"/>
      <c r="D28" s="3"/>
      <c r="E28" s="7"/>
      <c r="F28" s="283"/>
      <c r="G28"/>
      <c r="H28" s="7" t="s">
        <v>111</v>
      </c>
      <c r="I28"/>
      <c r="J28"/>
    </row>
    <row r="29" spans="1:14" s="119" customFormat="1" ht="15" customHeight="1" thickBot="1" x14ac:dyDescent="0.35">
      <c r="A29" s="173"/>
      <c r="B29" s="174"/>
      <c r="C29" s="335" t="s">
        <v>115</v>
      </c>
      <c r="D29" s="327"/>
      <c r="E29" s="327"/>
      <c r="F29" s="327"/>
      <c r="G29" s="327"/>
      <c r="H29" s="327"/>
      <c r="I29" s="328"/>
    </row>
    <row r="30" spans="1:14" s="119" customFormat="1" ht="15" thickBot="1" x14ac:dyDescent="0.35">
      <c r="A30" s="336"/>
      <c r="B30" s="337"/>
      <c r="C30" s="175"/>
      <c r="D30" s="13"/>
      <c r="E30" s="169"/>
      <c r="F30" s="342"/>
      <c r="G30" s="343"/>
      <c r="H30" s="343"/>
      <c r="I30" s="344"/>
    </row>
    <row r="31" spans="1:14" s="119" customFormat="1" ht="15" customHeight="1" thickBot="1" x14ac:dyDescent="0.35">
      <c r="A31" s="338"/>
      <c r="B31" s="339"/>
      <c r="C31" s="345" t="s">
        <v>155</v>
      </c>
      <c r="D31" s="346"/>
      <c r="E31" s="293">
        <f>+I19-E10</f>
        <v>-13572.681157022715</v>
      </c>
      <c r="F31" s="330" t="s">
        <v>116</v>
      </c>
      <c r="G31" s="331"/>
      <c r="H31" s="331"/>
      <c r="I31" s="332"/>
      <c r="J31" s="126"/>
    </row>
    <row r="32" spans="1:14" s="119" customFormat="1" ht="15.6" thickTop="1" thickBot="1" x14ac:dyDescent="0.35">
      <c r="A32" s="340"/>
      <c r="B32" s="341"/>
      <c r="C32" s="176"/>
      <c r="E32" s="177"/>
      <c r="F32" s="347"/>
      <c r="G32" s="348"/>
      <c r="H32" s="348"/>
      <c r="I32" s="349"/>
    </row>
    <row r="33" spans="1:11" s="119" customFormat="1" ht="16.2" thickBot="1" x14ac:dyDescent="0.35">
      <c r="A33" s="121" t="s">
        <v>94</v>
      </c>
      <c r="B33" s="178" t="s">
        <v>117</v>
      </c>
      <c r="C33" s="179" t="s">
        <v>118</v>
      </c>
      <c r="D33" s="180" t="s">
        <v>119</v>
      </c>
      <c r="E33" s="181" t="s">
        <v>86</v>
      </c>
      <c r="F33" s="326" t="s">
        <v>120</v>
      </c>
      <c r="G33" s="327"/>
      <c r="H33" s="327"/>
      <c r="I33" s="328"/>
    </row>
    <row r="34" spans="1:11" s="119" customFormat="1" x14ac:dyDescent="0.3">
      <c r="A34" s="182" t="s">
        <v>97</v>
      </c>
      <c r="B34" s="183" t="s">
        <v>121</v>
      </c>
      <c r="C34" s="184">
        <f>+C16</f>
        <v>1335665065.2162497</v>
      </c>
      <c r="D34" s="185">
        <f>((+I16)/C16)-D6</f>
        <v>0</v>
      </c>
      <c r="E34" s="186">
        <f>+C34*D34</f>
        <v>0</v>
      </c>
      <c r="F34" s="331" t="s">
        <v>122</v>
      </c>
      <c r="G34" s="331"/>
      <c r="H34" s="331"/>
      <c r="I34" s="332"/>
    </row>
    <row r="35" spans="1:11" s="119" customFormat="1" x14ac:dyDescent="0.3">
      <c r="A35" s="182" t="s">
        <v>97</v>
      </c>
      <c r="B35" s="183" t="s">
        <v>123</v>
      </c>
      <c r="C35" s="187">
        <f>+C16-C6</f>
        <v>-91155.58568072319</v>
      </c>
      <c r="D35" s="188">
        <f>D6</f>
        <v>9.0590136516288278E-2</v>
      </c>
      <c r="E35" s="189">
        <f>+C35*D35</f>
        <v>-8257.7969510389266</v>
      </c>
      <c r="F35" s="331" t="s">
        <v>124</v>
      </c>
      <c r="G35" s="331"/>
      <c r="H35" s="331"/>
      <c r="I35" s="332"/>
    </row>
    <row r="36" spans="1:11" s="119" customFormat="1" x14ac:dyDescent="0.3">
      <c r="A36" s="190" t="s">
        <v>99</v>
      </c>
      <c r="B36" s="183" t="s">
        <v>125</v>
      </c>
      <c r="C36" s="187">
        <f>+C17+C18</f>
        <v>1339291225.3933105</v>
      </c>
      <c r="D36" s="191">
        <f>+D17-D7</f>
        <v>0</v>
      </c>
      <c r="E36" s="189">
        <f>+C36*D36</f>
        <v>0</v>
      </c>
      <c r="F36" s="331" t="s">
        <v>122</v>
      </c>
      <c r="G36" s="331"/>
      <c r="H36" s="331"/>
      <c r="I36" s="332"/>
      <c r="J36" s="192"/>
    </row>
    <row r="37" spans="1:11" s="119" customFormat="1" ht="15" thickBot="1" x14ac:dyDescent="0.35">
      <c r="A37" s="182" t="s">
        <v>99</v>
      </c>
      <c r="B37" s="183" t="s">
        <v>123</v>
      </c>
      <c r="C37" s="193">
        <f>(+C18+C17)-(C9+C7)</f>
        <v>-301407.06668996811</v>
      </c>
      <c r="D37" s="194">
        <f>+D7</f>
        <v>1.7633575298499068E-2</v>
      </c>
      <c r="E37" s="195">
        <f>+C37*D37</f>
        <v>-5314.8842059772833</v>
      </c>
      <c r="F37" s="331" t="s">
        <v>124</v>
      </c>
      <c r="G37" s="331"/>
      <c r="H37" s="331"/>
      <c r="I37" s="332"/>
      <c r="J37" s="192"/>
      <c r="K37" s="126"/>
    </row>
    <row r="38" spans="1:11" s="119" customFormat="1" ht="15" thickBot="1" x14ac:dyDescent="0.35">
      <c r="A38" s="196"/>
      <c r="B38" s="135"/>
      <c r="C38" s="197" t="s">
        <v>126</v>
      </c>
      <c r="D38" s="198"/>
      <c r="E38" s="199">
        <f>SUM(E34:E37)</f>
        <v>-13572.68115701621</v>
      </c>
      <c r="F38" s="330"/>
      <c r="G38" s="331"/>
      <c r="H38" s="331"/>
      <c r="I38" s="332"/>
    </row>
    <row r="39" spans="1:11" s="119" customFormat="1" ht="15" thickTop="1" x14ac:dyDescent="0.3">
      <c r="A39" s="169"/>
      <c r="B39" s="3"/>
      <c r="C39" s="107"/>
      <c r="D39" s="3"/>
      <c r="E39" s="143"/>
      <c r="F39" s="107"/>
      <c r="G39" s="107"/>
      <c r="H39" s="107"/>
      <c r="I39" s="107"/>
    </row>
    <row r="40" spans="1:11" s="119" customFormat="1" ht="15" thickBot="1" x14ac:dyDescent="0.35">
      <c r="A40" s="2" t="s">
        <v>127</v>
      </c>
      <c r="B40" s="18"/>
      <c r="C40" s="18"/>
      <c r="D40"/>
      <c r="E40"/>
      <c r="F40"/>
      <c r="G40" s="192"/>
      <c r="H40" s="192"/>
      <c r="I40" s="169"/>
      <c r="J40"/>
    </row>
    <row r="41" spans="1:11" s="119" customFormat="1" ht="16.2" thickBot="1" x14ac:dyDescent="0.35">
      <c r="A41" s="173"/>
      <c r="B41" s="200"/>
      <c r="C41" s="335" t="s">
        <v>128</v>
      </c>
      <c r="D41" s="327"/>
      <c r="E41" s="327"/>
      <c r="F41" s="327" t="s">
        <v>120</v>
      </c>
      <c r="G41" s="327"/>
      <c r="H41" s="327"/>
      <c r="I41" s="328"/>
    </row>
    <row r="42" spans="1:11" s="119" customFormat="1" ht="15" thickBot="1" x14ac:dyDescent="0.35">
      <c r="A42" s="336"/>
      <c r="B42" s="337"/>
      <c r="C42" s="201"/>
      <c r="D42" s="13"/>
      <c r="E42" s="3"/>
      <c r="F42" s="347"/>
      <c r="G42" s="348"/>
      <c r="H42" s="348"/>
      <c r="I42" s="349"/>
    </row>
    <row r="43" spans="1:11" s="119" customFormat="1" ht="15" customHeight="1" thickBot="1" x14ac:dyDescent="0.35">
      <c r="A43" s="338"/>
      <c r="B43" s="339"/>
      <c r="C43" s="345" t="str">
        <f>C31</f>
        <v>Account Balance</v>
      </c>
      <c r="D43" s="346"/>
      <c r="E43" s="293">
        <f>+E26-G10</f>
        <v>1451777.071767658</v>
      </c>
      <c r="F43" s="330" t="s">
        <v>116</v>
      </c>
      <c r="G43" s="331"/>
      <c r="H43" s="331"/>
      <c r="I43" s="332"/>
    </row>
    <row r="44" spans="1:11" s="119" customFormat="1" ht="15.6" thickTop="1" thickBot="1" x14ac:dyDescent="0.35">
      <c r="A44" s="340"/>
      <c r="B44" s="341"/>
      <c r="C44" s="176"/>
      <c r="E44" s="177"/>
      <c r="F44" s="347"/>
      <c r="G44" s="348"/>
      <c r="H44" s="348"/>
      <c r="I44" s="349"/>
    </row>
    <row r="45" spans="1:11" s="119" customFormat="1" ht="16.2" thickBot="1" x14ac:dyDescent="0.35">
      <c r="A45" s="121" t="s">
        <v>94</v>
      </c>
      <c r="B45" s="178" t="s">
        <v>117</v>
      </c>
      <c r="C45" s="179" t="s">
        <v>118</v>
      </c>
      <c r="D45" s="180" t="s">
        <v>119</v>
      </c>
      <c r="E45" s="181" t="s">
        <v>86</v>
      </c>
      <c r="F45" s="326" t="s">
        <v>120</v>
      </c>
      <c r="G45" s="327"/>
      <c r="H45" s="327"/>
      <c r="I45" s="328"/>
    </row>
    <row r="46" spans="1:11" s="119" customFormat="1" x14ac:dyDescent="0.3">
      <c r="A46" s="202" t="s">
        <v>99</v>
      </c>
      <c r="B46" s="203" t="s">
        <v>121</v>
      </c>
      <c r="C46" s="294">
        <f>+B25</f>
        <v>735283870.39331043</v>
      </c>
      <c r="D46" s="185">
        <f>+D25-I8</f>
        <v>2.0180188004407795E-3</v>
      </c>
      <c r="E46" s="204">
        <f>+D46*C46</f>
        <v>1483816.6741145619</v>
      </c>
      <c r="F46" s="350" t="s">
        <v>129</v>
      </c>
      <c r="G46" s="350"/>
      <c r="H46" s="350"/>
      <c r="I46" s="351"/>
      <c r="J46" s="205"/>
    </row>
    <row r="47" spans="1:11" s="119" customFormat="1" ht="15" thickBot="1" x14ac:dyDescent="0.35">
      <c r="A47" s="182" t="s">
        <v>99</v>
      </c>
      <c r="B47" s="183" t="s">
        <v>123</v>
      </c>
      <c r="C47" s="295">
        <f>(+B9+B8)-B25</f>
        <v>301407.06669020653</v>
      </c>
      <c r="D47" s="296">
        <f>-I8</f>
        <v>-0.1063001033742646</v>
      </c>
      <c r="E47" s="206">
        <f>+C47*D47</f>
        <v>-32039.602346902819</v>
      </c>
      <c r="F47" s="352" t="s">
        <v>124</v>
      </c>
      <c r="G47" s="352"/>
      <c r="H47" s="352"/>
      <c r="I47" s="353"/>
      <c r="J47" s="207"/>
    </row>
    <row r="48" spans="1:11" s="119" customFormat="1" ht="15" thickBot="1" x14ac:dyDescent="0.35">
      <c r="A48" s="196"/>
      <c r="B48" s="135"/>
      <c r="C48" s="197" t="s">
        <v>126</v>
      </c>
      <c r="D48" s="197"/>
      <c r="E48" s="199">
        <f>SUM(E46:E47)</f>
        <v>1451777.0717676592</v>
      </c>
      <c r="F48" s="354"/>
      <c r="G48" s="355"/>
      <c r="H48" s="355"/>
      <c r="I48" s="356"/>
    </row>
    <row r="49" spans="1:11" s="119" customFormat="1" ht="15" thickTop="1" x14ac:dyDescent="0.3">
      <c r="A49"/>
      <c r="B49" s="76"/>
      <c r="C49"/>
    </row>
    <row r="59" spans="1:11" x14ac:dyDescent="0.3">
      <c r="I59" s="208"/>
      <c r="J59" s="116"/>
      <c r="K59" s="138"/>
    </row>
    <row r="60" spans="1:11" x14ac:dyDescent="0.3">
      <c r="I60" s="208"/>
      <c r="J60" s="116"/>
      <c r="K60" s="138"/>
    </row>
    <row r="61" spans="1:11" x14ac:dyDescent="0.3">
      <c r="I61" s="34"/>
      <c r="J61" s="30"/>
      <c r="K61" s="138"/>
    </row>
  </sheetData>
  <mergeCells count="33">
    <mergeCell ref="F45:I45"/>
    <mergeCell ref="F46:I46"/>
    <mergeCell ref="F47:I47"/>
    <mergeCell ref="F48:I48"/>
    <mergeCell ref="C41:I41"/>
    <mergeCell ref="A42:B44"/>
    <mergeCell ref="F42:I42"/>
    <mergeCell ref="C43:D43"/>
    <mergeCell ref="F43:I43"/>
    <mergeCell ref="F44:I44"/>
    <mergeCell ref="F38:I38"/>
    <mergeCell ref="A22:C22"/>
    <mergeCell ref="D22:E22"/>
    <mergeCell ref="C29:I29"/>
    <mergeCell ref="A30:B32"/>
    <mergeCell ref="F30:I30"/>
    <mergeCell ref="C31:D31"/>
    <mergeCell ref="F31:I31"/>
    <mergeCell ref="F32:I32"/>
    <mergeCell ref="F33:I33"/>
    <mergeCell ref="F34:I34"/>
    <mergeCell ref="F35:I35"/>
    <mergeCell ref="F36:I36"/>
    <mergeCell ref="F37:I37"/>
    <mergeCell ref="A14:C14"/>
    <mergeCell ref="D14:E14"/>
    <mergeCell ref="F14:G14"/>
    <mergeCell ref="A1:I1"/>
    <mergeCell ref="A4:C4"/>
    <mergeCell ref="D4:E4"/>
    <mergeCell ref="F4:G4"/>
    <mergeCell ref="D13:I13"/>
    <mergeCell ref="I8:I9"/>
  </mergeCells>
  <pageMargins left="0.70866141732283472" right="0.70866141732283472" top="0.35433070866141736" bottom="0.35433070866141736"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Veridian - 2019</vt:lpstr>
      <vt:lpstr>Veridian 2019 RPP Trued up</vt:lpstr>
      <vt:lpstr>Final RSVA Balances</vt:lpstr>
      <vt:lpstr>'Veridian - 2019'!Print_Area</vt:lpstr>
      <vt:lpstr>'Veridian 2019 RPP Trued up'!Print_Area</vt:lpstr>
      <vt:lpstr>'Veridian - 2019'!Print_Titles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Reffle</dc:creator>
  <cp:lastModifiedBy>Susan Reffle</cp:lastModifiedBy>
  <cp:lastPrinted>2021-08-16T18:25:06Z</cp:lastPrinted>
  <dcterms:created xsi:type="dcterms:W3CDTF">2019-07-16T19:41:05Z</dcterms:created>
  <dcterms:modified xsi:type="dcterms:W3CDTF">2021-08-16T18:25:16Z</dcterms:modified>
</cp:coreProperties>
</file>