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EB\Rates\2022 Rate Application\Accounting Guidance\VRZ\To OEB\"/>
    </mc:Choice>
  </mc:AlternateContent>
  <xr:revisionPtr revIDLastSave="0" documentId="13_ncr:1_{C488EBAF-B6CE-4120-8AA8-7608C50597AA}" xr6:coauthVersionLast="47" xr6:coauthVersionMax="47" xr10:uidLastSave="{00000000-0000-0000-0000-000000000000}"/>
  <bookViews>
    <workbookView xWindow="-108" yWindow="-108" windowWidth="20376" windowHeight="12216" tabRatio="800" xr2:uid="{00000000-000D-0000-FFFF-FFFF00000000}"/>
  </bookViews>
  <sheets>
    <sheet name="Veridian - 2020" sheetId="5" r:id="rId1"/>
    <sheet name="VRZ 2020 RPP Final Settlement" sheetId="6" r:id="rId2"/>
    <sheet name="Final RSVA Balances" sheetId="9" r:id="rId3"/>
  </sheets>
  <externalReferences>
    <externalReference r:id="rId4"/>
  </externalReferences>
  <definedNames>
    <definedName name="_xlnm.Print_Area" localSheetId="2">'Final RSVA Balances'!$A$1:$I$48</definedName>
    <definedName name="_xlnm.Print_Area" localSheetId="0">'Veridian - 2020'!$B$1:$H$88</definedName>
    <definedName name="_xlnm.Print_Area" localSheetId="1">'VRZ 2020 RPP Final Settlement'!$A$1:$K$24</definedName>
    <definedName name="_xlnm.Print_Titles" localSheetId="0">'Veridian - 2020'!$1:$2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9" l="1"/>
  <c r="J79" i="5" l="1"/>
  <c r="K23" i="6" l="1"/>
  <c r="J34" i="5" l="1"/>
  <c r="B8" i="9" l="1"/>
  <c r="B9" i="9" s="1"/>
  <c r="J38" i="5" l="1"/>
  <c r="J37" i="5"/>
  <c r="J36" i="5"/>
  <c r="J35" i="5"/>
  <c r="C67" i="5"/>
  <c r="B18" i="6" s="1"/>
  <c r="J39" i="5" l="1"/>
  <c r="C9" i="9"/>
  <c r="C78" i="5" l="1"/>
  <c r="E78" i="5" s="1"/>
  <c r="F8" i="9"/>
  <c r="G8" i="9" s="1"/>
  <c r="C79" i="5" l="1"/>
  <c r="C58" i="5"/>
  <c r="D25" i="9"/>
  <c r="C57" i="5"/>
  <c r="D18" i="6"/>
  <c r="F9" i="9" l="1"/>
  <c r="D19" i="6"/>
  <c r="D21" i="6"/>
  <c r="D20" i="6"/>
  <c r="D22" i="6"/>
  <c r="D6" i="5" l="1"/>
  <c r="D58" i="5" l="1"/>
  <c r="E58" i="5" s="1"/>
  <c r="D57" i="5"/>
  <c r="E57" i="5" s="1"/>
  <c r="E29" i="5" l="1"/>
  <c r="C7" i="9"/>
  <c r="E11" i="5"/>
  <c r="D5" i="5"/>
  <c r="G54" i="5" l="1"/>
  <c r="D7" i="5"/>
  <c r="D9" i="5" s="1"/>
  <c r="E9" i="5"/>
  <c r="E12" i="5"/>
  <c r="E64" i="5" l="1"/>
  <c r="D79" i="5" l="1"/>
  <c r="L24" i="6" l="1"/>
  <c r="D86" i="5" l="1"/>
  <c r="F16" i="9" l="1"/>
  <c r="C17" i="9" l="1"/>
  <c r="G9" i="9"/>
  <c r="C26" i="9"/>
  <c r="I8" i="9" l="1"/>
  <c r="D47" i="9"/>
  <c r="D46" i="9" l="1"/>
  <c r="G11" i="6" l="1"/>
  <c r="D11" i="6"/>
  <c r="C11" i="6"/>
  <c r="B11" i="6"/>
  <c r="G10" i="6"/>
  <c r="D10" i="6"/>
  <c r="C10" i="6"/>
  <c r="B10" i="6"/>
  <c r="G9" i="6"/>
  <c r="D9" i="6"/>
  <c r="C9" i="6"/>
  <c r="B9" i="6"/>
  <c r="G8" i="6"/>
  <c r="D8" i="6"/>
  <c r="C8" i="6"/>
  <c r="B8" i="6"/>
  <c r="G7" i="6"/>
  <c r="D7" i="6"/>
  <c r="C7" i="6"/>
  <c r="B7" i="6"/>
  <c r="H9" i="6" l="1"/>
  <c r="E9" i="6"/>
  <c r="F9" i="6" s="1"/>
  <c r="G12" i="6"/>
  <c r="I7" i="6"/>
  <c r="J10" i="6"/>
  <c r="I11" i="6"/>
  <c r="J8" i="6"/>
  <c r="H11" i="6"/>
  <c r="H7" i="6"/>
  <c r="I9" i="6"/>
  <c r="E11" i="6"/>
  <c r="F11" i="6" s="1"/>
  <c r="E7" i="6"/>
  <c r="J7" i="6"/>
  <c r="H8" i="6"/>
  <c r="J9" i="6"/>
  <c r="H10" i="6"/>
  <c r="J11" i="6"/>
  <c r="E8" i="6"/>
  <c r="I8" i="6"/>
  <c r="E10" i="6"/>
  <c r="I10" i="6"/>
  <c r="H12" i="6" l="1"/>
  <c r="B12" i="6" s="1"/>
  <c r="I12" i="6"/>
  <c r="K11" i="6"/>
  <c r="F7" i="6"/>
  <c r="F10" i="6"/>
  <c r="K8" i="6"/>
  <c r="J12" i="6"/>
  <c r="K7" i="6"/>
  <c r="K10" i="6"/>
  <c r="F8" i="6"/>
  <c r="K9" i="6"/>
  <c r="C69" i="5" l="1"/>
  <c r="B20" i="6" s="1"/>
  <c r="C70" i="5"/>
  <c r="B21" i="6" s="1"/>
  <c r="C71" i="5"/>
  <c r="B22" i="6" s="1"/>
  <c r="C68" i="5"/>
  <c r="B19" i="6" s="1"/>
  <c r="K12" i="6"/>
  <c r="B34" i="6" l="1"/>
  <c r="B31" i="6"/>
  <c r="B30" i="6"/>
  <c r="D39" i="5"/>
  <c r="C36" i="5" l="1"/>
  <c r="C19" i="5" s="1"/>
  <c r="D19" i="5" s="1"/>
  <c r="C35" i="5"/>
  <c r="C18" i="5" s="1"/>
  <c r="D18" i="5" s="1"/>
  <c r="C38" i="5"/>
  <c r="C21" i="5" s="1"/>
  <c r="D21" i="5" s="1"/>
  <c r="C34" i="5"/>
  <c r="C17" i="5" s="1"/>
  <c r="D17" i="5" s="1"/>
  <c r="C37" i="5"/>
  <c r="C20" i="5" s="1"/>
  <c r="D20" i="5" s="1"/>
  <c r="D28" i="5"/>
  <c r="B33" i="6"/>
  <c r="B32" i="6"/>
  <c r="G18" i="6" l="1"/>
  <c r="D22" i="5"/>
  <c r="E28" i="5"/>
  <c r="D30" i="5"/>
  <c r="B6" i="9"/>
  <c r="B10" i="9" s="1"/>
  <c r="C39" i="5"/>
  <c r="E30" i="5" l="1"/>
  <c r="E26" i="5" s="1"/>
  <c r="C86" i="5"/>
  <c r="C6" i="9"/>
  <c r="H18" i="6"/>
  <c r="C28" i="5"/>
  <c r="D26" i="5"/>
  <c r="C29" i="5"/>
  <c r="C12" i="5" s="1"/>
  <c r="D71" i="5"/>
  <c r="D70" i="5"/>
  <c r="D69" i="5"/>
  <c r="D68" i="5"/>
  <c r="D67" i="5"/>
  <c r="E77" i="5"/>
  <c r="D85" i="5"/>
  <c r="G7" i="9" l="1"/>
  <c r="G10" i="9" s="1"/>
  <c r="E24" i="9"/>
  <c r="E71" i="5"/>
  <c r="E70" i="5"/>
  <c r="E69" i="5"/>
  <c r="E68" i="5"/>
  <c r="D9" i="9"/>
  <c r="E9" i="9" s="1"/>
  <c r="D7" i="9"/>
  <c r="E7" i="9" s="1"/>
  <c r="E67" i="5"/>
  <c r="C11" i="5"/>
  <c r="C30" i="5"/>
  <c r="D87" i="5"/>
  <c r="C22" i="5"/>
  <c r="K56" i="5"/>
  <c r="D76" i="5"/>
  <c r="D72" i="5"/>
  <c r="E72" i="5" l="1"/>
  <c r="C72" i="5" s="1"/>
  <c r="C10" i="9"/>
  <c r="C13" i="5"/>
  <c r="E79" i="5"/>
  <c r="D60" i="5"/>
  <c r="C60" i="5" s="1"/>
  <c r="D54" i="5"/>
  <c r="C54" i="5" s="1"/>
  <c r="J60" i="5" l="1"/>
  <c r="J54" i="5"/>
  <c r="J72" i="5"/>
  <c r="J55" i="5" l="1"/>
  <c r="D30" i="6" l="1"/>
  <c r="D34" i="6" l="1"/>
  <c r="D32" i="6"/>
  <c r="D33" i="6"/>
  <c r="D31" i="6"/>
  <c r="D55" i="5" l="1"/>
  <c r="C55" i="5" s="1"/>
  <c r="B18" i="9" l="1"/>
  <c r="B25" i="9" s="1"/>
  <c r="B16" i="9"/>
  <c r="G16" i="9" s="1"/>
  <c r="C18" i="9"/>
  <c r="C47" i="9" l="1"/>
  <c r="E47" i="9" s="1"/>
  <c r="E25" i="9"/>
  <c r="J86" i="5"/>
  <c r="G20" i="6"/>
  <c r="D13" i="5"/>
  <c r="B19" i="9"/>
  <c r="C37" i="9"/>
  <c r="C36" i="9"/>
  <c r="C46" i="9"/>
  <c r="E46" i="9" s="1"/>
  <c r="B26" i="9"/>
  <c r="K58" i="5"/>
  <c r="K61" i="5" s="1"/>
  <c r="D32" i="5" l="1"/>
  <c r="E26" i="9"/>
  <c r="H20" i="6"/>
  <c r="H32" i="6" s="1"/>
  <c r="G30" i="6"/>
  <c r="E13" i="5"/>
  <c r="G21" i="6"/>
  <c r="J20" i="6"/>
  <c r="J32" i="6" s="1"/>
  <c r="G22" i="6"/>
  <c r="G19" i="6"/>
  <c r="G32" i="6"/>
  <c r="J57" i="5"/>
  <c r="G19" i="9"/>
  <c r="C45" i="5"/>
  <c r="C16" i="9"/>
  <c r="J85" i="5"/>
  <c r="E48" i="9"/>
  <c r="E43" i="9" l="1"/>
  <c r="G34" i="6"/>
  <c r="J21" i="6"/>
  <c r="J33" i="6" s="1"/>
  <c r="H19" i="6"/>
  <c r="H31" i="6" s="1"/>
  <c r="H21" i="6"/>
  <c r="H33" i="6" s="1"/>
  <c r="H30" i="6"/>
  <c r="J18" i="6"/>
  <c r="J30" i="6" s="1"/>
  <c r="G33" i="6"/>
  <c r="E86" i="5"/>
  <c r="J19" i="6"/>
  <c r="J31" i="6" s="1"/>
  <c r="G31" i="6"/>
  <c r="G24" i="6"/>
  <c r="J22" i="6"/>
  <c r="J34" i="6" s="1"/>
  <c r="H22" i="6"/>
  <c r="H34" i="6" s="1"/>
  <c r="C76" i="5"/>
  <c r="K86" i="5"/>
  <c r="C19" i="9"/>
  <c r="C34" i="9"/>
  <c r="C35" i="9"/>
  <c r="E87" i="5" l="1"/>
  <c r="C87" i="5" s="1"/>
  <c r="C85" i="5"/>
  <c r="C44" i="5" s="1"/>
  <c r="C18" i="6" s="1"/>
  <c r="C19" i="6" s="1"/>
  <c r="C20" i="6" s="1"/>
  <c r="C21" i="6" s="1"/>
  <c r="C22" i="6" s="1"/>
  <c r="E76" i="5"/>
  <c r="G35" i="6"/>
  <c r="H35" i="6"/>
  <c r="J35" i="6"/>
  <c r="H24" i="6"/>
  <c r="B24" i="6" s="1"/>
  <c r="D6" i="9" s="1"/>
  <c r="E6" i="9" s="1"/>
  <c r="J24" i="6"/>
  <c r="D17" i="9"/>
  <c r="D18" i="9"/>
  <c r="E18" i="9" s="1"/>
  <c r="I18" i="9" s="1"/>
  <c r="J73" i="5" l="1"/>
  <c r="J74" i="5" s="1"/>
  <c r="E80" i="5"/>
  <c r="K85" i="5"/>
  <c r="K87" i="5" s="1"/>
  <c r="D16" i="9"/>
  <c r="E16" i="9" s="1"/>
  <c r="E17" i="9"/>
  <c r="I17" i="9" s="1"/>
  <c r="E18" i="6" l="1"/>
  <c r="E30" i="6" s="1"/>
  <c r="C30" i="6"/>
  <c r="I18" i="6"/>
  <c r="K18" i="6" s="1"/>
  <c r="D35" i="9"/>
  <c r="E35" i="9" s="1"/>
  <c r="E19" i="9"/>
  <c r="F18" i="6" l="1"/>
  <c r="F30" i="6" s="1"/>
  <c r="E19" i="6"/>
  <c r="E31" i="6" s="1"/>
  <c r="I19" i="6"/>
  <c r="C31" i="6"/>
  <c r="I30" i="6"/>
  <c r="K30" i="6" s="1"/>
  <c r="M18" i="6"/>
  <c r="C32" i="6"/>
  <c r="I20" i="6"/>
  <c r="K20" i="6" s="1"/>
  <c r="K19" i="6" l="1"/>
  <c r="E20" i="6"/>
  <c r="F20" i="6" s="1"/>
  <c r="F32" i="6" s="1"/>
  <c r="I31" i="6"/>
  <c r="K31" i="6" s="1"/>
  <c r="F19" i="6"/>
  <c r="F31" i="6" s="1"/>
  <c r="C33" i="6"/>
  <c r="I32" i="6"/>
  <c r="K32" i="6" s="1"/>
  <c r="M20" i="6"/>
  <c r="D36" i="9" l="1"/>
  <c r="E36" i="9" s="1"/>
  <c r="D37" i="9"/>
  <c r="E37" i="9" s="1"/>
  <c r="E10" i="9"/>
  <c r="M19" i="6"/>
  <c r="E32" i="6"/>
  <c r="E22" i="6"/>
  <c r="E21" i="6"/>
  <c r="F21" i="6" s="1"/>
  <c r="F33" i="6" s="1"/>
  <c r="I21" i="6"/>
  <c r="I33" i="6" l="1"/>
  <c r="K33" i="6" s="1"/>
  <c r="K21" i="6"/>
  <c r="E33" i="6"/>
  <c r="I22" i="6"/>
  <c r="I34" i="6" s="1"/>
  <c r="C34" i="6"/>
  <c r="F22" i="6"/>
  <c r="F34" i="6" s="1"/>
  <c r="E34" i="6"/>
  <c r="M21" i="6" l="1"/>
  <c r="I24" i="6"/>
  <c r="K22" i="6"/>
  <c r="M22" i="6" s="1"/>
  <c r="K34" i="6"/>
  <c r="K35" i="6" s="1"/>
  <c r="I35" i="6"/>
  <c r="M24" i="6" l="1"/>
  <c r="K24" i="6"/>
  <c r="E59" i="5" l="1"/>
  <c r="E61" i="5" s="1"/>
  <c r="H16" i="9"/>
  <c r="H19" i="9" s="1"/>
  <c r="I16" i="9" l="1"/>
  <c r="D34" i="9" s="1"/>
  <c r="E34" i="9" s="1"/>
  <c r="E38" i="9" s="1"/>
  <c r="J59" i="5"/>
  <c r="J61" i="5" s="1"/>
  <c r="L61" i="5" s="1"/>
  <c r="I19" i="9" l="1"/>
  <c r="E31" i="9" l="1"/>
</calcChain>
</file>

<file path=xl/sharedStrings.xml><?xml version="1.0" encoding="utf-8"?>
<sst xmlns="http://schemas.openxmlformats.org/spreadsheetml/2006/main" count="263" uniqueCount="159">
  <si>
    <t>Table 22: Wholesale Volume data per IESO Power Bill</t>
  </si>
  <si>
    <t>GA RPP/non-RPP Ratios</t>
  </si>
  <si>
    <t>GA Volumes</t>
  </si>
  <si>
    <t>Energy Volumes</t>
  </si>
  <si>
    <t>Embedded Generation</t>
  </si>
  <si>
    <t>Class A customer Volumes for GA  (TLF included)</t>
  </si>
  <si>
    <t>Actual RPP Quantity Proportion</t>
  </si>
  <si>
    <t>Actual non-RPP Quantity Proportion</t>
  </si>
  <si>
    <t xml:space="preserve">Wholesale kWh Volumes </t>
  </si>
  <si>
    <t>Table 23: Actual Volumes purchased for RPP Customers (TLF Included)</t>
  </si>
  <si>
    <t>kWh Volumes</t>
  </si>
  <si>
    <t>Actual %</t>
  </si>
  <si>
    <t>Tier 1</t>
  </si>
  <si>
    <t>Tier 2</t>
  </si>
  <si>
    <t>TOU Off-peak</t>
  </si>
  <si>
    <t>TOU Mid-peak</t>
  </si>
  <si>
    <t>TOU On-peak</t>
  </si>
  <si>
    <t>Table 24: Actual Retail Volume Revenue Data (TLF included)</t>
  </si>
  <si>
    <t>Billed/Unbilled Retail Volumes</t>
  </si>
  <si>
    <t>Actual RPP Sales Quantities</t>
  </si>
  <si>
    <t>Actual non-RPP Sales Quantities</t>
  </si>
  <si>
    <t xml:space="preserve">Actual Retail Revenue kWh Volumes </t>
  </si>
  <si>
    <r>
      <t>Table 25: Actual RPP Revenue Volume and Price Data</t>
    </r>
    <r>
      <rPr>
        <b/>
        <vertAlign val="superscript"/>
        <sz val="10"/>
        <color theme="1"/>
        <rFont val="Calibri"/>
        <family val="2"/>
        <scheme val="minor"/>
      </rPr>
      <t>14</t>
    </r>
  </si>
  <si>
    <t>RPP Price/kWh</t>
  </si>
  <si>
    <t>Table 26: Commodity Price Data</t>
  </si>
  <si>
    <t>Wholesale Prices</t>
  </si>
  <si>
    <t>Commodity Price</t>
  </si>
  <si>
    <t>per kWh</t>
  </si>
  <si>
    <t>Actual Average Energy Price for RPP Customers</t>
  </si>
  <si>
    <t>Actual Average Energy Price for non-RPP customers</t>
  </si>
  <si>
    <t>GA 1st estimate</t>
  </si>
  <si>
    <t>GA 2nd estimate</t>
  </si>
  <si>
    <t>Class B - GA actual</t>
  </si>
  <si>
    <t>Class B - GA actual IESO billed</t>
  </si>
  <si>
    <t>Table 27: Commodity Cost of Power Billed by IESO</t>
  </si>
  <si>
    <t>Cost/kWh</t>
  </si>
  <si>
    <t>Amount</t>
  </si>
  <si>
    <t>Actual Payments to Embedded Generators - 4705</t>
  </si>
  <si>
    <t>Charge Type 101 - 4705</t>
  </si>
  <si>
    <t>Charge Type 147 - non-RPP Class A - 4707</t>
  </si>
  <si>
    <r>
      <t>Charge Type 148 - RPP - 4705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</si>
  <si>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r>
      <t>Charge Type 148 - non-RPP - 4707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</si>
  <si>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r>
      <t>Charge Type 1142 - RPP - 4705 - RPP Settlement - Final Settlement Amount</t>
    </r>
    <r>
      <rPr>
        <b/>
        <vertAlign val="superscript"/>
        <sz val="11"/>
        <color theme="1"/>
        <rFont val="Calibri"/>
        <family val="2"/>
        <scheme val="minor"/>
      </rPr>
      <t>16</t>
    </r>
  </si>
  <si>
    <t>Charge Type 1412 - FIT Program Settlement Amount - 4705</t>
  </si>
  <si>
    <t>Actual cost of power</t>
  </si>
  <si>
    <t>Actual Net Accrued &amp; Billed Revenue from RPP &amp; non-RPP Customers:</t>
  </si>
  <si>
    <t>Table 28: RPP Commodity Revenue</t>
  </si>
  <si>
    <t>Total Actual Revenue</t>
  </si>
  <si>
    <t>Table 29: non-RPP Actual Revenue</t>
  </si>
  <si>
    <t>Actual non-RPP Energy Revenue</t>
  </si>
  <si>
    <t>Actual Class A non-RPP GA Revenue at PDF</t>
  </si>
  <si>
    <t>Class B non-RPP GA Revenue at 1st estimate</t>
  </si>
  <si>
    <t>Actual RPP power sales volumes and revenues</t>
  </si>
  <si>
    <t>Actual Non-RPP power sales volumes and revenues</t>
  </si>
  <si>
    <t>RPP Settlement Calculation based on Actual GA Price on Business Day 4 of February 2018</t>
  </si>
  <si>
    <t>Table 31: Estimated RPP Revenue &amp; Actual GA price</t>
  </si>
  <si>
    <t>RPP Revenue Prices</t>
  </si>
  <si>
    <t>RPP Price</t>
  </si>
  <si>
    <t>Estimated RPP Energy Price</t>
  </si>
  <si>
    <t>GA Actual</t>
  </si>
  <si>
    <t>Total Commodity</t>
  </si>
  <si>
    <t>Difference</t>
  </si>
  <si>
    <t>$ Estimated RPP Revenue</t>
  </si>
  <si>
    <t>$ Estimated RPP Energy</t>
  </si>
  <si>
    <t>$ Actual GA</t>
  </si>
  <si>
    <t>$ Estimated RPP Settlement</t>
  </si>
  <si>
    <t>Table 32 Final Revised RPP Settlement based on Actual RPP Revenue and Actual GA Price</t>
  </si>
  <si>
    <t>Actual RPP Energy Price</t>
  </si>
  <si>
    <t>$ Actual RPP Revenue</t>
  </si>
  <si>
    <t>$ Actual RPP Energy</t>
  </si>
  <si>
    <t>2nd RPP Settlement True-up</t>
  </si>
  <si>
    <t>Table 33: True-up of RPP Volumes and Revenue and GA price to actual</t>
  </si>
  <si>
    <t>True-Up elements</t>
  </si>
  <si>
    <t>RPP Energy Price Difference</t>
  </si>
  <si>
    <t>GA Price Difference</t>
  </si>
  <si>
    <t>$ True-Up RPP Revenue</t>
  </si>
  <si>
    <t>$ True-up RPP Energy</t>
  </si>
  <si>
    <t>$ True-up GA</t>
  </si>
  <si>
    <t>$ RPP Settlement True-UP</t>
  </si>
  <si>
    <t>GA Revenue</t>
  </si>
  <si>
    <t>Energy Revenue</t>
  </si>
  <si>
    <t>TOU On-peak (total)</t>
  </si>
  <si>
    <t>Total for all RPP</t>
  </si>
  <si>
    <t xml:space="preserve">Table 30: Actual Average unit cost of power sold for RPP &amp; non-RPP for 2nd True-up </t>
  </si>
  <si>
    <t>$ Final RPP Settlement</t>
  </si>
  <si>
    <t>Total</t>
  </si>
  <si>
    <t xml:space="preserve">Final RPP Settlement Calculation </t>
  </si>
  <si>
    <t>Rate</t>
  </si>
  <si>
    <t>Total $</t>
  </si>
  <si>
    <t>Table 37 - Total Energy and GA Revenue</t>
  </si>
  <si>
    <t>Volume Data by Customer Group</t>
  </si>
  <si>
    <t>Revenue - Energy Sales (Tables 28 &amp; 29)</t>
  </si>
  <si>
    <t>Revenue - GA (Table 29)</t>
  </si>
  <si>
    <t>Customer Group</t>
  </si>
  <si>
    <t>GA Retail
kWh Volumes</t>
  </si>
  <si>
    <t>Energy Retail kWh Volumes</t>
  </si>
  <si>
    <t>Class B - RPP</t>
  </si>
  <si>
    <t xml:space="preserve">Class A - Non-RPP </t>
  </si>
  <si>
    <t>Class B - Non-RPP</t>
  </si>
  <si>
    <t>Table 38 - Account 4705 Total Commodity Costs</t>
  </si>
  <si>
    <t>Costs - 4705 (Table 27)</t>
  </si>
  <si>
    <t>Commodity  (Wholesale)</t>
  </si>
  <si>
    <t>GA (Wholesale)</t>
  </si>
  <si>
    <t>Final IESO RPP Settlement</t>
  </si>
  <si>
    <t>Total Wholesale Cost</t>
  </si>
  <si>
    <t>GA Wholesale kWh Volumes</t>
  </si>
  <si>
    <t>Energy Wholesale kWh Volumes</t>
  </si>
  <si>
    <t>Final Purchased Price</t>
  </si>
  <si>
    <t>Actual GA IESO Bill Price</t>
  </si>
  <si>
    <t>Class B  - RPP</t>
  </si>
  <si>
    <t xml:space="preserve"> </t>
  </si>
  <si>
    <t>GA Costs - 4707 (Table 27)</t>
  </si>
  <si>
    <t>Table 40 - Account 1588 Balance Explanation</t>
  </si>
  <si>
    <t>1588 - RSVA Power - Balance Explanation</t>
  </si>
  <si>
    <t>Balance Per DVA Continuity</t>
  </si>
  <si>
    <t>Variance - Type</t>
  </si>
  <si>
    <t>Quantity</t>
  </si>
  <si>
    <t>Price</t>
  </si>
  <si>
    <t>Explanation</t>
  </si>
  <si>
    <t>Price Variance</t>
  </si>
  <si>
    <t>Retail vs Wholesale Price Variances</t>
  </si>
  <si>
    <t>Volume Variance</t>
  </si>
  <si>
    <t>Retail vs Wholesale Volume Variance - (UFE differences)</t>
  </si>
  <si>
    <t>Price Difference</t>
  </si>
  <si>
    <t>Balance Explained</t>
  </si>
  <si>
    <t>Table 41 - Account 1589 Balance Explanation</t>
  </si>
  <si>
    <t>1589 - RSVA GA - Balance Explanation</t>
  </si>
  <si>
    <t>Retail GA Price Billed vs Wholesale GA Actual Price paid to IESO</t>
  </si>
  <si>
    <t>Wholesale</t>
  </si>
  <si>
    <t>not required</t>
  </si>
  <si>
    <t>RPP - Class B GA actual</t>
  </si>
  <si>
    <t>Non RPP - Class B GA actual</t>
  </si>
  <si>
    <t>Retail</t>
  </si>
  <si>
    <t>For Informational Purposes Only:</t>
  </si>
  <si>
    <t>Summary:</t>
  </si>
  <si>
    <t>Energy  Cost</t>
  </si>
  <si>
    <t>GA Cost</t>
  </si>
  <si>
    <t>IESO AQEW</t>
  </si>
  <si>
    <t>Recalculated $
1st True-UP Submitted 20190404</t>
  </si>
  <si>
    <t>Difference = $ Final RPP Settlement</t>
  </si>
  <si>
    <t>+ve = payment to IESO</t>
  </si>
  <si>
    <t>-ve = payment from IESO</t>
  </si>
  <si>
    <t>HO/Powerstream</t>
  </si>
  <si>
    <t>Commodity Cost of Power per IESO/Hydro One Invoice:</t>
  </si>
  <si>
    <t>Additional Supply - Hydro One</t>
  </si>
  <si>
    <t>Class B non-RPP GA Revenue at actual (embedded)</t>
  </si>
  <si>
    <t>Class B - Non-RPP Actual</t>
  </si>
  <si>
    <t xml:space="preserve">Billed GA Rate </t>
  </si>
  <si>
    <t>1st estimate</t>
  </si>
  <si>
    <t xml:space="preserve">Actual </t>
  </si>
  <si>
    <t>Data for Final RPP Settlement based on Actual Revenue Volumes 2020:</t>
  </si>
  <si>
    <t>Table 39 - Account 4707 Total GA Costs</t>
  </si>
  <si>
    <t>kWh Volumes*</t>
  </si>
  <si>
    <t>* Retail kWhs adjusted for UFE - per OEB accounting guidance</t>
  </si>
  <si>
    <t>linked  to final settlement true-up</t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</si>
  <si>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 Volumes related to each RPP price point for Revenue based on actual consumption during calendar month.
</t>
    </r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 Updated GA for RPP and non-RPP class B customers based on actual proportions for RPP and non-RPP Class B customers.
</t>
    </r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 This is the updated cumulative RPP Settlement amount. The true up element of this amount will be incorporated into Charge 
       Type 1142 in the RPP settlement with the IESO.</t>
    </r>
  </si>
  <si>
    <t>Account Balance                                 - December 31, 2020</t>
  </si>
  <si>
    <t>RPP Settlement - Final True-UP - 2020</t>
  </si>
  <si>
    <t>2020 Summary and Explanation of Final Balances of RSVA 1588 and 1589 - OEB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</si>
</sst>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_(&quot;$&quot;* #,##0.0000_);_(&quot;$&quot;* \(#,##0.0000\);_(&quot;$&quot;* &quot;-&quot;??_);_(@_)"/>
    <numFmt numFmtId="170" formatCode="_-* #,##0_-;\-* #,##0_-;_-* &quot;-&quot;??_-;_-@_-"/>
    <numFmt numFmtId="171" formatCode="_(&quot;$&quot;* #,##0.000_);_(&quot;$&quot;* \(#,##0.000\);_(&quot;$&quot;* &quot;-&quot;??_);_(@_)"/>
    <numFmt numFmtId="172" formatCode="_(* #,##0.0000_);_(* \(#,##0.0000\);_(* &quot;-&quot;??_);_(@_)"/>
    <numFmt numFmtId="173" formatCode="_-&quot;$&quot;* #,##0.0000_-;\-&quot;$&quot;* #,##0.0000_-;_-&quot;$&quot;* &quot;-&quot;??_-;_-@_-"/>
    <numFmt numFmtId="174" formatCode="_-* #,##0.00000000_-;\-* #,##0.00000000_-;_-* &quot;-&quot;??_-;_-@_-"/>
    <numFmt numFmtId="175" formatCode="_(&quot;$&quot;* #,##0.00000_);_(&quot;$&quot;* \(#,##0.00000\);_(&quot;$&quot;* &quot;-&quot;??_);_(@_)"/>
    <numFmt numFmtId="176" formatCode="_-&quot;$&quot;* #,##0_-;\-&quot;$&quot;* #,##0_-;_-&quot;$&quot;* &quot;-&quot;????_-;_-@_-"/>
    <numFmt numFmtId="177" formatCode="_(&quot;$&quot;* #,##0.00000000_);_(&quot;$&quot;* \(#,##0.00000000\);_(&quot;$&quot;* &quot;-&quot;??_);_(@_)"/>
    <numFmt numFmtId="178" formatCode="_-&quot;$&quot;* #,##0_-;\-&quot;$&quot;* #,##0_-;_-&quot;$&quot;* &quot;-&quot;??_-;_-@_-"/>
    <numFmt numFmtId="179" formatCode="_-&quot;$&quot;* #,##0.00000_-;\-&quot;$&quot;* #,##0.00000_-;_-&quot;$&quot;* &quot;-&quot;??_-;_-@_-"/>
    <numFmt numFmtId="180" formatCode="0.000000"/>
    <numFmt numFmtId="182" formatCode="0.0%"/>
    <numFmt numFmtId="183" formatCode="0.000%"/>
    <numFmt numFmtId="184" formatCode="_(* #,##0.0000000_);_(* \(#,##0.0000000\);_(* &quot;-&quot;??_);_(@_)"/>
    <numFmt numFmtId="185" formatCode="_-* #,##0.000000_-;\-* #,##0.000000_-;_-* &quot;-&quot;??_-;_-@_-"/>
    <numFmt numFmtId="187" formatCode="_(&quot;$&quot;* #,##0.0000_);_(&quot;$&quot;* \(#,##0.0000\);_(&quot;$&quot;* &quot;-&quot;????_);_(@_)"/>
    <numFmt numFmtId="189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Arial"/>
      <family val="2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ont="1"/>
    <xf numFmtId="166" fontId="0" fillId="0" borderId="0" xfId="1" applyNumberFormat="1" applyFont="1" applyFill="1"/>
    <xf numFmtId="166" fontId="0" fillId="0" borderId="0" xfId="1" applyNumberFormat="1" applyFont="1"/>
    <xf numFmtId="166" fontId="0" fillId="0" borderId="0" xfId="0" applyNumberFormat="1"/>
    <xf numFmtId="0" fontId="3" fillId="0" borderId="0" xfId="0" applyFont="1" applyBorder="1"/>
    <xf numFmtId="167" fontId="0" fillId="0" borderId="0" xfId="0" applyNumberFormat="1" applyBorder="1"/>
    <xf numFmtId="166" fontId="0" fillId="0" borderId="1" xfId="1" applyNumberFormat="1" applyFont="1" applyFill="1" applyBorder="1"/>
    <xf numFmtId="0" fontId="2" fillId="0" borderId="0" xfId="0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0" fontId="0" fillId="0" borderId="0" xfId="3" applyNumberFormat="1" applyFont="1"/>
    <xf numFmtId="10" fontId="0" fillId="0" borderId="0" xfId="3" applyNumberFormat="1" applyFont="1" applyFill="1"/>
    <xf numFmtId="169" fontId="0" fillId="0" borderId="0" xfId="0" applyNumberFormat="1" applyBorder="1"/>
    <xf numFmtId="166" fontId="0" fillId="0" borderId="0" xfId="0" applyNumberFormat="1" applyBorder="1"/>
    <xf numFmtId="167" fontId="0" fillId="0" borderId="0" xfId="2" applyNumberFormat="1" applyFont="1" applyBorder="1"/>
    <xf numFmtId="0" fontId="0" fillId="0" borderId="0" xfId="0" applyFill="1"/>
    <xf numFmtId="10" fontId="0" fillId="0" borderId="2" xfId="0" applyNumberFormat="1" applyBorder="1"/>
    <xf numFmtId="166" fontId="0" fillId="0" borderId="2" xfId="0" applyNumberFormat="1" applyBorder="1"/>
    <xf numFmtId="0" fontId="4" fillId="0" borderId="0" xfId="0" applyFont="1"/>
    <xf numFmtId="169" fontId="0" fillId="0" borderId="0" xfId="0" applyNumberFormat="1"/>
    <xf numFmtId="167" fontId="0" fillId="0" borderId="0" xfId="2" applyNumberFormat="1" applyFont="1"/>
    <xf numFmtId="170" fontId="0" fillId="0" borderId="0" xfId="1" applyNumberFormat="1" applyFont="1"/>
    <xf numFmtId="171" fontId="0" fillId="0" borderId="0" xfId="2" applyNumberFormat="1" applyFont="1" applyFill="1"/>
    <xf numFmtId="171" fontId="0" fillId="0" borderId="0" xfId="2" applyNumberFormat="1" applyFont="1"/>
    <xf numFmtId="166" fontId="5" fillId="0" borderId="0" xfId="1" applyNumberFormat="1" applyFont="1" applyFill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horizontal="center"/>
    </xf>
    <xf numFmtId="169" fontId="0" fillId="0" borderId="0" xfId="0" applyNumberFormat="1" applyFill="1"/>
    <xf numFmtId="172" fontId="0" fillId="0" borderId="0" xfId="0" applyNumberFormat="1"/>
    <xf numFmtId="169" fontId="0" fillId="0" borderId="0" xfId="2" applyNumberFormat="1" applyFont="1"/>
    <xf numFmtId="164" fontId="0" fillId="0" borderId="0" xfId="0" applyNumberFormat="1"/>
    <xf numFmtId="173" fontId="0" fillId="0" borderId="0" xfId="0" applyNumberFormat="1"/>
    <xf numFmtId="167" fontId="2" fillId="0" borderId="0" xfId="2" applyNumberFormat="1" applyFont="1" applyBorder="1" applyAlignment="1">
      <alignment horizontal="center"/>
    </xf>
    <xf numFmtId="167" fontId="0" fillId="0" borderId="0" xfId="2" applyNumberFormat="1" applyFont="1" applyFill="1"/>
    <xf numFmtId="167" fontId="0" fillId="0" borderId="0" xfId="0" applyNumberFormat="1" applyFill="1"/>
    <xf numFmtId="175" fontId="0" fillId="0" borderId="0" xfId="0" applyNumberFormat="1" applyFill="1"/>
    <xf numFmtId="167" fontId="0" fillId="0" borderId="2" xfId="2" applyNumberFormat="1" applyFont="1" applyFill="1" applyBorder="1"/>
    <xf numFmtId="164" fontId="0" fillId="0" borderId="0" xfId="2" applyFont="1"/>
    <xf numFmtId="164" fontId="0" fillId="0" borderId="0" xfId="2" applyFont="1" applyFill="1"/>
    <xf numFmtId="167" fontId="0" fillId="0" borderId="0" xfId="0" applyNumberFormat="1"/>
    <xf numFmtId="166" fontId="0" fillId="0" borderId="0" xfId="0" applyNumberFormat="1" applyFill="1"/>
    <xf numFmtId="0" fontId="2" fillId="0" borderId="0" xfId="0" applyFont="1" applyFill="1" applyAlignment="1">
      <alignment horizontal="center" wrapText="1"/>
    </xf>
    <xf numFmtId="44" fontId="0" fillId="0" borderId="0" xfId="0" applyNumberFormat="1"/>
    <xf numFmtId="43" fontId="0" fillId="0" borderId="0" xfId="0" applyNumberFormat="1" applyFill="1"/>
    <xf numFmtId="176" fontId="0" fillId="0" borderId="0" xfId="0" applyNumberFormat="1"/>
    <xf numFmtId="176" fontId="0" fillId="0" borderId="0" xfId="0" applyNumberFormat="1" applyFill="1"/>
    <xf numFmtId="166" fontId="0" fillId="0" borderId="2" xfId="1" applyNumberFormat="1" applyFont="1" applyBorder="1"/>
    <xf numFmtId="167" fontId="0" fillId="0" borderId="0" xfId="2" applyNumberFormat="1" applyFont="1" applyFill="1" applyBorder="1"/>
    <xf numFmtId="166" fontId="0" fillId="0" borderId="0" xfId="1" applyNumberFormat="1" applyFont="1" applyBorder="1"/>
    <xf numFmtId="164" fontId="0" fillId="0" borderId="0" xfId="0" applyNumberFormat="1" applyFill="1"/>
    <xf numFmtId="167" fontId="2" fillId="0" borderId="0" xfId="2" applyNumberFormat="1" applyFont="1" applyFill="1" applyBorder="1" applyAlignment="1">
      <alignment horizontal="center"/>
    </xf>
    <xf numFmtId="169" fontId="0" fillId="0" borderId="0" xfId="0" applyNumberFormat="1" applyFont="1" applyFill="1"/>
    <xf numFmtId="166" fontId="1" fillId="0" borderId="0" xfId="1" applyNumberFormat="1" applyFont="1" applyBorder="1"/>
    <xf numFmtId="167" fontId="1" fillId="0" borderId="0" xfId="2" applyNumberFormat="1" applyFont="1" applyFill="1" applyBorder="1"/>
    <xf numFmtId="167" fontId="0" fillId="0" borderId="2" xfId="2" applyNumberFormat="1" applyFont="1" applyBorder="1"/>
    <xf numFmtId="10" fontId="0" fillId="0" borderId="0" xfId="3" applyNumberFormat="1" applyFont="1" applyFill="1" applyBorder="1"/>
    <xf numFmtId="177" fontId="0" fillId="0" borderId="0" xfId="2" applyNumberFormat="1" applyFont="1" applyBorder="1"/>
    <xf numFmtId="43" fontId="0" fillId="0" borderId="0" xfId="0" applyNumberFormat="1"/>
    <xf numFmtId="9" fontId="0" fillId="0" borderId="0" xfId="3" applyFont="1" applyBorder="1"/>
    <xf numFmtId="168" fontId="0" fillId="0" borderId="0" xfId="1" applyNumberFormat="1" applyFont="1" applyBorder="1"/>
    <xf numFmtId="179" fontId="0" fillId="0" borderId="0" xfId="0" applyNumberFormat="1"/>
    <xf numFmtId="169" fontId="0" fillId="0" borderId="1" xfId="0" applyNumberFormat="1" applyBorder="1"/>
    <xf numFmtId="166" fontId="0" fillId="0" borderId="1" xfId="1" applyNumberFormat="1" applyFont="1" applyBorder="1"/>
    <xf numFmtId="167" fontId="0" fillId="0" borderId="2" xfId="0" applyNumberFormat="1" applyBorder="1"/>
    <xf numFmtId="175" fontId="0" fillId="0" borderId="0" xfId="3" applyNumberFormat="1" applyFont="1" applyBorder="1"/>
    <xf numFmtId="43" fontId="0" fillId="0" borderId="0" xfId="1" applyNumberFormat="1" applyFont="1" applyBorder="1"/>
    <xf numFmtId="170" fontId="0" fillId="0" borderId="0" xfId="0" applyNumberFormat="1" applyBorder="1"/>
    <xf numFmtId="175" fontId="0" fillId="0" borderId="0" xfId="2" applyNumberFormat="1" applyFont="1" applyBorder="1"/>
    <xf numFmtId="165" fontId="0" fillId="0" borderId="0" xfId="1" applyFont="1" applyBorder="1"/>
    <xf numFmtId="174" fontId="0" fillId="0" borderId="0" xfId="0" applyNumberFormat="1"/>
    <xf numFmtId="0" fontId="0" fillId="0" borderId="0" xfId="0" applyFill="1" applyBorder="1"/>
    <xf numFmtId="166" fontId="0" fillId="0" borderId="0" xfId="1" applyNumberFormat="1" applyFont="1" applyFill="1" applyBorder="1"/>
    <xf numFmtId="167" fontId="0" fillId="0" borderId="0" xfId="0" applyNumberFormat="1" applyFill="1" applyBorder="1"/>
    <xf numFmtId="0" fontId="9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4" xfId="0" applyBorder="1"/>
    <xf numFmtId="169" fontId="0" fillId="0" borderId="5" xfId="2" applyNumberFormat="1" applyFont="1" applyBorder="1"/>
    <xf numFmtId="173" fontId="0" fillId="0" borderId="5" xfId="0" applyNumberFormat="1" applyBorder="1"/>
    <xf numFmtId="171" fontId="0" fillId="0" borderId="0" xfId="0" applyNumberFormat="1" applyBorder="1"/>
    <xf numFmtId="169" fontId="0" fillId="0" borderId="0" xfId="2" applyNumberFormat="1" applyFont="1" applyBorder="1"/>
    <xf numFmtId="173" fontId="0" fillId="0" borderId="0" xfId="0" applyNumberFormat="1" applyBorder="1"/>
    <xf numFmtId="166" fontId="0" fillId="0" borderId="0" xfId="3" applyNumberFormat="1" applyFont="1" applyBorder="1"/>
    <xf numFmtId="0" fontId="0" fillId="0" borderId="6" xfId="0" applyBorder="1"/>
    <xf numFmtId="0" fontId="0" fillId="0" borderId="7" xfId="0" applyBorder="1"/>
    <xf numFmtId="169" fontId="0" fillId="0" borderId="8" xfId="2" applyNumberFormat="1" applyFont="1" applyBorder="1"/>
    <xf numFmtId="173" fontId="0" fillId="0" borderId="8" xfId="0" applyNumberFormat="1" applyBorder="1"/>
    <xf numFmtId="169" fontId="0" fillId="0" borderId="9" xfId="2" applyNumberFormat="1" applyFont="1" applyBorder="1"/>
    <xf numFmtId="179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2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1" fontId="0" fillId="0" borderId="5" xfId="0" applyNumberFormat="1" applyBorder="1"/>
    <xf numFmtId="171" fontId="0" fillId="0" borderId="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Fill="1"/>
    <xf numFmtId="0" fontId="0" fillId="0" borderId="8" xfId="0" applyBorder="1" applyAlignment="1">
      <alignment horizontal="center"/>
    </xf>
    <xf numFmtId="175" fontId="0" fillId="0" borderId="0" xfId="0" applyNumberFormat="1"/>
    <xf numFmtId="169" fontId="0" fillId="0" borderId="5" xfId="2" applyNumberFormat="1" applyFont="1" applyFill="1" applyBorder="1"/>
    <xf numFmtId="169" fontId="0" fillId="0" borderId="0" xfId="2" applyNumberFormat="1" applyFont="1" applyFill="1" applyBorder="1"/>
    <xf numFmtId="169" fontId="0" fillId="0" borderId="8" xfId="2" applyNumberFormat="1" applyFont="1" applyFill="1" applyBorder="1"/>
    <xf numFmtId="0" fontId="0" fillId="0" borderId="0" xfId="0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0" fillId="0" borderId="0" xfId="1" applyFont="1"/>
    <xf numFmtId="165" fontId="0" fillId="0" borderId="0" xfId="1" applyNumberFormat="1" applyFont="1" applyFill="1" applyBorder="1"/>
    <xf numFmtId="0" fontId="14" fillId="0" borderId="0" xfId="0" applyFont="1" applyAlignment="1"/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2" fillId="0" borderId="24" xfId="0" applyFont="1" applyBorder="1"/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166" fontId="0" fillId="0" borderId="0" xfId="1" applyNumberFormat="1" applyFont="1" applyAlignment="1">
      <alignment wrapText="1"/>
    </xf>
    <xf numFmtId="184" fontId="0" fillId="0" borderId="0" xfId="0" applyNumberFormat="1" applyAlignment="1">
      <alignment wrapText="1"/>
    </xf>
    <xf numFmtId="0" fontId="0" fillId="0" borderId="3" xfId="0" applyFont="1" applyBorder="1"/>
    <xf numFmtId="166" fontId="0" fillId="0" borderId="28" xfId="0" applyNumberFormat="1" applyBorder="1"/>
    <xf numFmtId="166" fontId="0" fillId="0" borderId="3" xfId="0" applyNumberFormat="1" applyBorder="1"/>
    <xf numFmtId="0" fontId="0" fillId="0" borderId="3" xfId="0" applyBorder="1"/>
    <xf numFmtId="166" fontId="0" fillId="0" borderId="29" xfId="0" applyNumberFormat="1" applyBorder="1"/>
    <xf numFmtId="169" fontId="0" fillId="0" borderId="29" xfId="0" applyNumberFormat="1" applyBorder="1"/>
    <xf numFmtId="165" fontId="0" fillId="0" borderId="0" xfId="0" applyNumberFormat="1" applyAlignment="1">
      <alignment wrapText="1"/>
    </xf>
    <xf numFmtId="166" fontId="0" fillId="0" borderId="30" xfId="0" applyNumberFormat="1" applyBorder="1"/>
    <xf numFmtId="0" fontId="0" fillId="0" borderId="21" xfId="0" applyBorder="1"/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6" fontId="0" fillId="0" borderId="0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2" xfId="0" applyFill="1" applyBorder="1"/>
    <xf numFmtId="0" fontId="2" fillId="0" borderId="3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13" xfId="0" applyFont="1" applyBorder="1"/>
    <xf numFmtId="166" fontId="0" fillId="0" borderId="35" xfId="0" applyNumberFormat="1" applyBorder="1"/>
    <xf numFmtId="169" fontId="0" fillId="0" borderId="34" xfId="0" applyNumberFormat="1" applyBorder="1"/>
    <xf numFmtId="166" fontId="0" fillId="0" borderId="37" xfId="0" applyNumberFormat="1" applyBorder="1"/>
    <xf numFmtId="166" fontId="0" fillId="0" borderId="4" xfId="0" applyNumberFormat="1" applyBorder="1"/>
    <xf numFmtId="166" fontId="0" fillId="0" borderId="38" xfId="0" applyNumberFormat="1" applyBorder="1"/>
    <xf numFmtId="169" fontId="0" fillId="0" borderId="23" xfId="0" applyNumberFormat="1" applyBorder="1"/>
    <xf numFmtId="0" fontId="0" fillId="0" borderId="39" xfId="0" applyBorder="1"/>
    <xf numFmtId="166" fontId="0" fillId="0" borderId="19" xfId="0" applyNumberFormat="1" applyBorder="1"/>
    <xf numFmtId="172" fontId="0" fillId="0" borderId="0" xfId="0" applyNumberFormat="1" applyAlignment="1">
      <alignment wrapText="1"/>
    </xf>
    <xf numFmtId="169" fontId="0" fillId="0" borderId="40" xfId="0" applyNumberFormat="1" applyBorder="1"/>
    <xf numFmtId="166" fontId="0" fillId="0" borderId="38" xfId="0" applyNumberFormat="1" applyFill="1" applyBorder="1"/>
    <xf numFmtId="165" fontId="0" fillId="0" borderId="38" xfId="0" applyNumberFormat="1" applyBorder="1"/>
    <xf numFmtId="185" fontId="0" fillId="0" borderId="0" xfId="0" applyNumberFormat="1"/>
    <xf numFmtId="0" fontId="0" fillId="0" borderId="5" xfId="0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2" fillId="0" borderId="41" xfId="0" applyFont="1" applyBorder="1" applyAlignment="1">
      <alignment horizontal="center"/>
    </xf>
    <xf numFmtId="0" fontId="0" fillId="0" borderId="0" xfId="0" applyBorder="1" applyAlignment="1">
      <alignment wrapText="1"/>
    </xf>
    <xf numFmtId="166" fontId="0" fillId="0" borderId="23" xfId="0" applyNumberFormat="1" applyBorder="1"/>
    <xf numFmtId="169" fontId="0" fillId="0" borderId="21" xfId="0" applyNumberFormat="1" applyBorder="1"/>
    <xf numFmtId="166" fontId="0" fillId="0" borderId="0" xfId="0" applyNumberFormat="1" applyBorder="1" applyAlignment="1">
      <alignment wrapText="1"/>
    </xf>
    <xf numFmtId="0" fontId="0" fillId="0" borderId="4" xfId="0" applyBorder="1" applyAlignment="1"/>
    <xf numFmtId="0" fontId="0" fillId="3" borderId="17" xfId="0" applyFill="1" applyBorder="1" applyAlignment="1"/>
    <xf numFmtId="166" fontId="0" fillId="0" borderId="6" xfId="0" applyNumberFormat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0" fontId="2" fillId="0" borderId="25" xfId="0" applyFont="1" applyBorder="1"/>
    <xf numFmtId="166" fontId="2" fillId="0" borderId="26" xfId="0" applyNumberFormat="1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16" fillId="0" borderId="3" xfId="0" applyFont="1" applyBorder="1"/>
    <xf numFmtId="0" fontId="16" fillId="0" borderId="23" xfId="0" applyFont="1" applyBorder="1" applyAlignment="1">
      <alignment wrapText="1"/>
    </xf>
    <xf numFmtId="166" fontId="0" fillId="0" borderId="47" xfId="0" applyNumberFormat="1" applyFill="1" applyBorder="1" applyAlignment="1">
      <alignment wrapText="1"/>
    </xf>
    <xf numFmtId="169" fontId="0" fillId="0" borderId="48" xfId="2" applyNumberFormat="1" applyFont="1" applyFill="1" applyBorder="1" applyAlignment="1">
      <alignment wrapText="1"/>
    </xf>
    <xf numFmtId="167" fontId="0" fillId="0" borderId="49" xfId="0" applyNumberFormat="1" applyFill="1" applyBorder="1" applyAlignment="1">
      <alignment wrapText="1"/>
    </xf>
    <xf numFmtId="166" fontId="0" fillId="0" borderId="11" xfId="0" applyNumberFormat="1" applyBorder="1" applyAlignment="1">
      <alignment wrapText="1"/>
    </xf>
    <xf numFmtId="169" fontId="0" fillId="0" borderId="50" xfId="2" applyNumberFormat="1" applyFont="1" applyFill="1" applyBorder="1" applyAlignment="1">
      <alignment wrapText="1"/>
    </xf>
    <xf numFmtId="167" fontId="0" fillId="0" borderId="51" xfId="0" applyNumberFormat="1" applyBorder="1" applyAlignment="1">
      <alignment wrapText="1"/>
    </xf>
    <xf numFmtId="0" fontId="16" fillId="0" borderId="3" xfId="0" applyFont="1" applyBorder="1" applyAlignment="1">
      <alignment wrapText="1"/>
    </xf>
    <xf numFmtId="169" fontId="0" fillId="0" borderId="50" xfId="0" applyNumberFormat="1" applyBorder="1" applyAlignment="1">
      <alignment wrapText="1"/>
    </xf>
    <xf numFmtId="0" fontId="0" fillId="0" borderId="0" xfId="0" applyAlignment="1"/>
    <xf numFmtId="166" fontId="0" fillId="0" borderId="52" xfId="1" applyNumberFormat="1" applyFont="1" applyBorder="1" applyAlignment="1">
      <alignment wrapText="1"/>
    </xf>
    <xf numFmtId="169" fontId="0" fillId="0" borderId="53" xfId="2" applyNumberFormat="1" applyFont="1" applyBorder="1" applyAlignment="1">
      <alignment wrapText="1"/>
    </xf>
    <xf numFmtId="167" fontId="0" fillId="0" borderId="5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0" xfId="0" applyBorder="1" applyAlignment="1">
      <alignment horizontal="left"/>
    </xf>
    <xf numFmtId="0" fontId="0" fillId="0" borderId="20" xfId="0" applyBorder="1"/>
    <xf numFmtId="166" fontId="0" fillId="0" borderId="55" xfId="0" applyNumberFormat="1" applyFill="1" applyBorder="1"/>
    <xf numFmtId="0" fontId="0" fillId="0" borderId="5" xfId="0" applyBorder="1" applyAlignment="1"/>
    <xf numFmtId="0" fontId="16" fillId="0" borderId="13" xfId="0" applyFont="1" applyBorder="1"/>
    <xf numFmtId="0" fontId="16" fillId="0" borderId="7" xfId="0" applyFont="1" applyBorder="1" applyAlignment="1">
      <alignment wrapText="1"/>
    </xf>
    <xf numFmtId="167" fontId="0" fillId="0" borderId="49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7" fontId="0" fillId="0" borderId="54" xfId="2" applyNumberFormat="1" applyFont="1" applyBorder="1" applyAlignment="1">
      <alignment wrapText="1"/>
    </xf>
    <xf numFmtId="164" fontId="0" fillId="0" borderId="0" xfId="0" applyNumberFormat="1" applyAlignment="1"/>
    <xf numFmtId="172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Font="1" applyFill="1"/>
    <xf numFmtId="165" fontId="0" fillId="0" borderId="0" xfId="0" applyNumberFormat="1" applyFill="1"/>
    <xf numFmtId="175" fontId="0" fillId="0" borderId="0" xfId="2" applyNumberFormat="1" applyFont="1" applyFill="1" applyAlignment="1">
      <alignment horizontal="right"/>
    </xf>
    <xf numFmtId="167" fontId="0" fillId="2" borderId="0" xfId="2" applyNumberFormat="1" applyFont="1" applyFill="1"/>
    <xf numFmtId="173" fontId="0" fillId="0" borderId="5" xfId="0" applyNumberFormat="1" applyFill="1" applyBorder="1"/>
    <xf numFmtId="166" fontId="0" fillId="0" borderId="0" xfId="3" applyNumberFormat="1" applyFont="1" applyFill="1"/>
    <xf numFmtId="173" fontId="0" fillId="0" borderId="0" xfId="0" applyNumberFormat="1" applyFill="1" applyBorder="1"/>
    <xf numFmtId="173" fontId="0" fillId="0" borderId="8" xfId="0" applyNumberFormat="1" applyFill="1" applyBorder="1"/>
    <xf numFmtId="167" fontId="2" fillId="0" borderId="6" xfId="2" applyNumberFormat="1" applyFont="1" applyBorder="1" applyAlignment="1">
      <alignment horizontal="center"/>
    </xf>
    <xf numFmtId="167" fontId="0" fillId="0" borderId="18" xfId="2" applyNumberFormat="1" applyFont="1" applyBorder="1"/>
    <xf numFmtId="166" fontId="2" fillId="0" borderId="6" xfId="1" applyNumberFormat="1" applyFont="1" applyBorder="1" applyAlignment="1">
      <alignment horizontal="center"/>
    </xf>
    <xf numFmtId="167" fontId="2" fillId="0" borderId="18" xfId="2" applyNumberFormat="1" applyFont="1" applyBorder="1" applyAlignment="1">
      <alignment horizontal="center"/>
    </xf>
    <xf numFmtId="166" fontId="0" fillId="0" borderId="6" xfId="0" applyNumberFormat="1" applyFill="1" applyBorder="1"/>
    <xf numFmtId="167" fontId="0" fillId="0" borderId="18" xfId="2" applyNumberFormat="1" applyFont="1" applyFill="1" applyBorder="1"/>
    <xf numFmtId="166" fontId="0" fillId="0" borderId="7" xfId="1" applyNumberFormat="1" applyFont="1" applyFill="1" applyBorder="1"/>
    <xf numFmtId="167" fontId="0" fillId="0" borderId="56" xfId="0" applyNumberFormat="1" applyFill="1" applyBorder="1"/>
    <xf numFmtId="0" fontId="0" fillId="0" borderId="6" xfId="0" applyFill="1" applyBorder="1"/>
    <xf numFmtId="0" fontId="0" fillId="0" borderId="18" xfId="0" applyFill="1" applyBorder="1"/>
    <xf numFmtId="166" fontId="2" fillId="0" borderId="0" xfId="0" applyNumberFormat="1" applyFont="1" applyFill="1" applyBorder="1" applyAlignment="1">
      <alignment horizontal="center"/>
    </xf>
    <xf numFmtId="167" fontId="0" fillId="0" borderId="0" xfId="1" applyNumberFormat="1" applyFont="1" applyFill="1" applyBorder="1"/>
    <xf numFmtId="44" fontId="0" fillId="0" borderId="0" xfId="0" applyNumberFormat="1" applyFill="1" applyBorder="1"/>
    <xf numFmtId="43" fontId="0" fillId="0" borderId="0" xfId="0" applyNumberFormat="1" applyFill="1" applyBorder="1"/>
    <xf numFmtId="176" fontId="0" fillId="0" borderId="0" xfId="0" applyNumberFormat="1" applyFill="1" applyBorder="1"/>
    <xf numFmtId="180" fontId="0" fillId="0" borderId="0" xfId="0" applyNumberFormat="1" applyFill="1"/>
    <xf numFmtId="0" fontId="12" fillId="0" borderId="0" xfId="0" applyFont="1" applyFill="1"/>
    <xf numFmtId="0" fontId="2" fillId="0" borderId="0" xfId="0" applyFont="1" applyFill="1"/>
    <xf numFmtId="167" fontId="0" fillId="0" borderId="1" xfId="0" applyNumberFormat="1" applyFill="1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18" xfId="0" applyBorder="1"/>
    <xf numFmtId="167" fontId="0" fillId="0" borderId="6" xfId="0" applyNumberFormat="1" applyBorder="1"/>
    <xf numFmtId="167" fontId="0" fillId="0" borderId="6" xfId="0" applyNumberFormat="1" applyFill="1" applyBorder="1"/>
    <xf numFmtId="167" fontId="11" fillId="0" borderId="0" xfId="2" applyNumberFormat="1" applyFont="1" applyFill="1" applyBorder="1" applyAlignment="1">
      <alignment horizontal="right"/>
    </xf>
    <xf numFmtId="167" fontId="0" fillId="0" borderId="18" xfId="0" applyNumberFormat="1" applyFill="1" applyBorder="1"/>
    <xf numFmtId="167" fontId="0" fillId="0" borderId="23" xfId="0" applyNumberFormat="1" applyFill="1" applyBorder="1"/>
    <xf numFmtId="43" fontId="0" fillId="0" borderId="18" xfId="0" applyNumberFormat="1" applyFill="1" applyBorder="1"/>
    <xf numFmtId="167" fontId="0" fillId="0" borderId="19" xfId="0" applyNumberFormat="1" applyBorder="1"/>
    <xf numFmtId="0" fontId="0" fillId="0" borderId="19" xfId="0" applyFill="1" applyBorder="1"/>
    <xf numFmtId="44" fontId="0" fillId="0" borderId="19" xfId="0" applyNumberFormat="1" applyFill="1" applyBorder="1"/>
    <xf numFmtId="167" fontId="17" fillId="0" borderId="0" xfId="2" applyNumberFormat="1" applyFont="1" applyFill="1" applyAlignment="1">
      <alignment horizontal="left"/>
    </xf>
    <xf numFmtId="169" fontId="0" fillId="3" borderId="34" xfId="0" applyNumberFormat="1" applyFill="1" applyBorder="1"/>
    <xf numFmtId="169" fontId="0" fillId="0" borderId="29" xfId="0" applyNumberFormat="1" applyFill="1" applyBorder="1"/>
    <xf numFmtId="0" fontId="2" fillId="4" borderId="3" xfId="0" applyFont="1" applyFill="1" applyBorder="1" applyAlignment="1">
      <alignment horizontal="center" wrapText="1"/>
    </xf>
    <xf numFmtId="0" fontId="0" fillId="0" borderId="0" xfId="0" quotePrefix="1"/>
    <xf numFmtId="183" fontId="0" fillId="0" borderId="0" xfId="3" applyNumberFormat="1" applyFont="1"/>
    <xf numFmtId="0" fontId="3" fillId="0" borderId="0" xfId="0" applyFont="1" applyFill="1"/>
    <xf numFmtId="0" fontId="0" fillId="0" borderId="3" xfId="0" applyFont="1" applyFill="1" applyBorder="1"/>
    <xf numFmtId="166" fontId="0" fillId="0" borderId="12" xfId="0" applyNumberFormat="1" applyFill="1" applyBorder="1"/>
    <xf numFmtId="169" fontId="0" fillId="0" borderId="12" xfId="0" applyNumberFormat="1" applyFill="1" applyBorder="1"/>
    <xf numFmtId="178" fontId="0" fillId="0" borderId="0" xfId="2" applyNumberFormat="1" applyFont="1" applyFill="1" applyBorder="1"/>
    <xf numFmtId="166" fontId="0" fillId="0" borderId="34" xfId="0" applyNumberFormat="1" applyFill="1" applyBorder="1"/>
    <xf numFmtId="166" fontId="0" fillId="0" borderId="40" xfId="0" applyNumberFormat="1" applyFill="1" applyBorder="1"/>
    <xf numFmtId="183" fontId="0" fillId="0" borderId="0" xfId="3" applyNumberFormat="1" applyFont="1" applyFill="1"/>
    <xf numFmtId="10" fontId="2" fillId="0" borderId="0" xfId="3" applyNumberFormat="1" applyFont="1" applyFill="1" applyBorder="1" applyAlignment="1">
      <alignment horizontal="center"/>
    </xf>
    <xf numFmtId="166" fontId="0" fillId="0" borderId="28" xfId="0" applyNumberFormat="1" applyFill="1" applyBorder="1"/>
    <xf numFmtId="9" fontId="0" fillId="0" borderId="0" xfId="3" applyFont="1" applyFill="1" applyBorder="1"/>
    <xf numFmtId="167" fontId="0" fillId="0" borderId="0" xfId="2" applyNumberFormat="1" applyFont="1" applyFill="1" applyBorder="1" applyAlignment="1">
      <alignment horizontal="center"/>
    </xf>
    <xf numFmtId="166" fontId="0" fillId="0" borderId="0" xfId="0" applyNumberFormat="1" applyFont="1" applyFill="1" applyBorder="1"/>
    <xf numFmtId="166" fontId="0" fillId="0" borderId="8" xfId="3" applyNumberFormat="1" applyFont="1" applyFill="1" applyBorder="1"/>
    <xf numFmtId="167" fontId="0" fillId="0" borderId="8" xfId="2" applyNumberFormat="1" applyFont="1" applyBorder="1"/>
    <xf numFmtId="166" fontId="0" fillId="0" borderId="0" xfId="0" applyNumberFormat="1" applyFill="1" applyBorder="1" applyAlignment="1"/>
    <xf numFmtId="37" fontId="0" fillId="0" borderId="2" xfId="2" applyNumberFormat="1" applyFont="1" applyBorder="1"/>
    <xf numFmtId="166" fontId="0" fillId="0" borderId="29" xfId="0" applyNumberFormat="1" applyFill="1" applyBorder="1"/>
    <xf numFmtId="182" fontId="0" fillId="0" borderId="0" xfId="3" applyNumberFormat="1" applyFont="1" applyAlignment="1">
      <alignment horizontal="left"/>
    </xf>
    <xf numFmtId="189" fontId="0" fillId="0" borderId="0" xfId="0" applyNumberFormat="1"/>
    <xf numFmtId="166" fontId="1" fillId="2" borderId="0" xfId="1" applyNumberFormat="1" applyFont="1" applyFill="1" applyBorder="1"/>
    <xf numFmtId="166" fontId="0" fillId="0" borderId="6" xfId="0" applyNumberFormat="1" applyBorder="1"/>
    <xf numFmtId="182" fontId="0" fillId="0" borderId="0" xfId="3" applyNumberFormat="1" applyFont="1"/>
    <xf numFmtId="0" fontId="19" fillId="0" borderId="0" xfId="0" applyFont="1" applyAlignment="1">
      <alignment wrapText="1"/>
    </xf>
    <xf numFmtId="0" fontId="10" fillId="0" borderId="0" xfId="0" applyFont="1" applyAlignment="1">
      <alignment wrapText="1"/>
    </xf>
    <xf numFmtId="166" fontId="11" fillId="0" borderId="0" xfId="1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66" fontId="19" fillId="0" borderId="0" xfId="1" applyNumberFormat="1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wrapText="1"/>
    </xf>
    <xf numFmtId="167" fontId="17" fillId="0" borderId="4" xfId="2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87" fontId="0" fillId="0" borderId="0" xfId="0" applyNumberFormat="1" applyAlignment="1">
      <alignment horizontal="right" vertical="center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15" fillId="3" borderId="4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7" fontId="0" fillId="0" borderId="6" xfId="0" applyNumberFormat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67" fontId="0" fillId="0" borderId="18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7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6" fontId="0" fillId="0" borderId="0" xfId="1" applyNumberFormat="1" applyFont="1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6" fontId="0" fillId="0" borderId="36" xfId="1" applyNumberFormat="1" applyFont="1" applyFill="1" applyBorder="1"/>
    <xf numFmtId="166" fontId="0" fillId="0" borderId="10" xfId="1" applyNumberFormat="1" applyFont="1" applyFill="1" applyBorder="1"/>
    <xf numFmtId="166" fontId="0" fillId="2" borderId="0" xfId="0" applyNumberFormat="1" applyFill="1"/>
    <xf numFmtId="166" fontId="0" fillId="2" borderId="0" xfId="1" applyNumberFormat="1" applyFont="1" applyFill="1"/>
    <xf numFmtId="170" fontId="0" fillId="2" borderId="0" xfId="1" applyNumberFormat="1" applyFont="1" applyFill="1"/>
    <xf numFmtId="43" fontId="0" fillId="2" borderId="0" xfId="1" applyNumberFormat="1" applyFont="1" applyFill="1"/>
    <xf numFmtId="165" fontId="0" fillId="0" borderId="0" xfId="1" applyFont="1" applyFill="1"/>
    <xf numFmtId="175" fontId="0" fillId="2" borderId="0" xfId="2" applyNumberFormat="1" applyFont="1" applyFill="1" applyAlignment="1">
      <alignment horizontal="right"/>
    </xf>
    <xf numFmtId="178" fontId="0" fillId="2" borderId="0" xfId="2" applyNumberFormat="1" applyFont="1" applyFill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169" fontId="0" fillId="0" borderId="28" xfId="0" applyNumberFormat="1" applyFill="1" applyBorder="1"/>
    <xf numFmtId="0" fontId="0" fillId="0" borderId="28" xfId="0" applyFill="1" applyBorder="1"/>
    <xf numFmtId="169" fontId="0" fillId="0" borderId="3" xfId="0" applyNumberFormat="1" applyFill="1" applyBorder="1"/>
    <xf numFmtId="166" fontId="0" fillId="0" borderId="3" xfId="0" applyNumberFormat="1" applyFill="1" applyBorder="1"/>
    <xf numFmtId="0" fontId="0" fillId="0" borderId="3" xfId="0" applyFill="1" applyBorder="1"/>
    <xf numFmtId="169" fontId="0" fillId="0" borderId="57" xfId="0" applyNumberFormat="1" applyFill="1" applyBorder="1"/>
    <xf numFmtId="0" fontId="0" fillId="0" borderId="21" xfId="0" applyFill="1" applyBorder="1"/>
    <xf numFmtId="166" fontId="0" fillId="2" borderId="31" xfId="0" applyNumberFormat="1" applyFill="1" applyBorder="1"/>
    <xf numFmtId="166" fontId="0" fillId="2" borderId="42" xfId="0" applyNumberFormat="1" applyFill="1" applyBorder="1"/>
    <xf numFmtId="166" fontId="0" fillId="2" borderId="43" xfId="0" applyNumberFormat="1" applyFill="1" applyBorder="1" applyAlignment="1">
      <alignment wrapText="1"/>
    </xf>
    <xf numFmtId="166" fontId="0" fillId="0" borderId="47" xfId="1" applyNumberFormat="1" applyFont="1" applyFill="1" applyBorder="1" applyAlignment="1">
      <alignment wrapText="1"/>
    </xf>
    <xf numFmtId="166" fontId="0" fillId="0" borderId="52" xfId="0" applyNumberFormat="1" applyFill="1" applyBorder="1" applyAlignment="1">
      <alignment wrapText="1"/>
    </xf>
    <xf numFmtId="169" fontId="0" fillId="0" borderId="53" xfId="2" applyNumberFormat="1" applyFont="1" applyFill="1" applyBorder="1" applyAlignment="1">
      <alignment wrapText="1"/>
    </xf>
    <xf numFmtId="0" fontId="19" fillId="0" borderId="0" xfId="0" applyFont="1" applyAlignment="1">
      <alignment horizontal="left"/>
    </xf>
    <xf numFmtId="0" fontId="2" fillId="0" borderId="5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8" xfId="0" applyFont="1" applyBorder="1" applyAlignment="1">
      <alignment wrapText="1"/>
    </xf>
  </cellXfs>
  <cellStyles count="7">
    <cellStyle name="Comma" xfId="1" builtinId="3"/>
    <cellStyle name="Comma 2 12" xfId="5" xr:uid="{00000000-0005-0000-0000-000001000000}"/>
    <cellStyle name="Currency" xfId="2" builtinId="4"/>
    <cellStyle name="Currency 4" xfId="6" xr:uid="{00000000-0005-0000-0000-000003000000}"/>
    <cellStyle name="Normal" xfId="0" builtinId="0"/>
    <cellStyle name="Normal 21" xfId="4" xr:uid="{00000000-0005-0000-0000-000007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52</xdr:row>
      <xdr:rowOff>161925</xdr:rowOff>
    </xdr:from>
    <xdr:to>
      <xdr:col>5</xdr:col>
      <xdr:colOff>323850</xdr:colOff>
      <xdr:row>59</xdr:row>
      <xdr:rowOff>142875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29625" y="10839450"/>
          <a:ext cx="85725" cy="1400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857250</xdr:colOff>
      <xdr:row>6</xdr:row>
      <xdr:rowOff>190499</xdr:rowOff>
    </xdr:from>
    <xdr:to>
      <xdr:col>8</xdr:col>
      <xdr:colOff>95250</xdr:colOff>
      <xdr:row>8</xdr:row>
      <xdr:rowOff>147204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58545" y="2008908"/>
          <a:ext cx="121228" cy="33770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%20Acctg%20Guidance\Illustrative-Commodity-Model-20190221%20OEB%20Example%20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Settlement &amp; 1st TU"/>
      <sheetName val="RPP Settlement &amp; 1st TU"/>
      <sheetName val="Data for 2nd TU"/>
      <sheetName val="RPP 2nd TU"/>
      <sheetName val="RPP vs non-RPP TU JE"/>
      <sheetName val="Rate Application Related"/>
      <sheetName val="Final RSVA Balances"/>
      <sheetName val="JEs"/>
      <sheetName val="T-Accounts"/>
    </sheetNames>
    <sheetDataSet>
      <sheetData sheetId="0"/>
      <sheetData sheetId="1"/>
      <sheetData sheetId="2">
        <row r="16">
          <cell r="C16">
            <v>5002500</v>
          </cell>
        </row>
        <row r="17">
          <cell r="C17">
            <v>7003500</v>
          </cell>
        </row>
        <row r="18">
          <cell r="C18">
            <v>100050000</v>
          </cell>
        </row>
        <row r="19">
          <cell r="C19">
            <v>50025000</v>
          </cell>
        </row>
        <row r="20">
          <cell r="C20">
            <v>63031500.000000007</v>
          </cell>
        </row>
        <row r="33">
          <cell r="D33">
            <v>7.6999999999999999E-2</v>
          </cell>
        </row>
        <row r="34">
          <cell r="D34">
            <v>8.8999999999999996E-2</v>
          </cell>
        </row>
        <row r="35">
          <cell r="D35">
            <v>6.5000000000000002E-2</v>
          </cell>
        </row>
        <row r="36">
          <cell r="D36">
            <v>9.4E-2</v>
          </cell>
        </row>
        <row r="37">
          <cell r="D37">
            <v>0.13200000000000001</v>
          </cell>
        </row>
        <row r="43">
          <cell r="B43">
            <v>3.1848807346377295E-2</v>
          </cell>
        </row>
        <row r="48">
          <cell r="B48">
            <v>8.8359370314842575E-2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90"/>
  <sheetViews>
    <sheetView showGridLines="0" tabSelected="1" zoomScale="90" zoomScaleNormal="90" workbookViewId="0">
      <selection activeCell="B91" sqref="B91"/>
    </sheetView>
  </sheetViews>
  <sheetFormatPr defaultRowHeight="14.4" x14ac:dyDescent="0.3"/>
  <cols>
    <col min="1" max="1" width="6.44140625" customWidth="1"/>
    <col min="2" max="2" width="69.44140625" customWidth="1"/>
    <col min="3" max="3" width="17.44140625" bestFit="1" customWidth="1"/>
    <col min="4" max="4" width="15" bestFit="1" customWidth="1"/>
    <col min="5" max="5" width="14.88671875" customWidth="1"/>
    <col min="6" max="6" width="6.109375" customWidth="1"/>
    <col min="7" max="7" width="15.44140625" customWidth="1"/>
    <col min="8" max="8" width="13.44140625" customWidth="1"/>
    <col min="9" max="9" width="14.88671875" customWidth="1"/>
    <col min="10" max="10" width="15.21875" customWidth="1"/>
    <col min="11" max="11" width="14.5546875" customWidth="1"/>
    <col min="12" max="12" width="15.109375" bestFit="1" customWidth="1"/>
    <col min="13" max="13" width="14.44140625" bestFit="1" customWidth="1"/>
    <col min="14" max="17" width="14.88671875" customWidth="1"/>
    <col min="18" max="18" width="13.109375" customWidth="1"/>
    <col min="19" max="19" width="13.44140625" customWidth="1"/>
    <col min="20" max="20" width="12.44140625" customWidth="1"/>
    <col min="21" max="21" width="13.44140625" customWidth="1"/>
    <col min="22" max="22" width="12.5546875" customWidth="1"/>
    <col min="23" max="23" width="14.44140625" bestFit="1" customWidth="1"/>
    <col min="24" max="25" width="11.5546875" bestFit="1" customWidth="1"/>
    <col min="26" max="26" width="12.5546875" bestFit="1" customWidth="1"/>
  </cols>
  <sheetData>
    <row r="1" spans="1:23" ht="18" x14ac:dyDescent="0.35">
      <c r="B1" s="1" t="s">
        <v>150</v>
      </c>
      <c r="G1" s="1"/>
    </row>
    <row r="3" spans="1:23" x14ac:dyDescent="0.3">
      <c r="B3" s="2" t="s">
        <v>0</v>
      </c>
      <c r="G3" s="97"/>
      <c r="H3" s="97"/>
      <c r="I3" s="3"/>
      <c r="J3" s="3"/>
      <c r="K3" s="3"/>
      <c r="L3" s="3"/>
      <c r="M3" s="3"/>
      <c r="N3" s="3"/>
      <c r="O3" s="3"/>
      <c r="P3" s="3"/>
    </row>
    <row r="4" spans="1:23" ht="30.75" customHeight="1" x14ac:dyDescent="0.3">
      <c r="B4" s="2"/>
      <c r="C4" s="104" t="s">
        <v>1</v>
      </c>
      <c r="D4" s="103" t="s">
        <v>2</v>
      </c>
      <c r="E4" s="103" t="s">
        <v>3</v>
      </c>
      <c r="G4" s="45"/>
      <c r="H4" s="45"/>
      <c r="I4" s="7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3" x14ac:dyDescent="0.3">
      <c r="A5" s="19"/>
      <c r="B5" s="202" t="s">
        <v>137</v>
      </c>
      <c r="D5" s="6">
        <f>E5</f>
        <v>2581515710</v>
      </c>
      <c r="E5" s="338">
        <v>2581515710</v>
      </c>
      <c r="F5" s="19"/>
      <c r="G5" s="259"/>
      <c r="H5" s="138"/>
      <c r="I5" s="75"/>
      <c r="J5" s="75"/>
      <c r="K5" s="76"/>
      <c r="L5" s="76"/>
      <c r="M5" s="76"/>
      <c r="N5" s="76"/>
      <c r="O5" s="5"/>
      <c r="P5" s="76"/>
      <c r="Q5" s="5"/>
      <c r="R5" s="5"/>
      <c r="S5" s="5"/>
      <c r="T5" s="5"/>
      <c r="U5" s="5"/>
      <c r="V5" s="5"/>
      <c r="W5" s="53"/>
    </row>
    <row r="6" spans="1:23" x14ac:dyDescent="0.3">
      <c r="A6" s="19"/>
      <c r="B6" s="202" t="s">
        <v>144</v>
      </c>
      <c r="D6" s="6">
        <f>E6</f>
        <v>87769395.799999997</v>
      </c>
      <c r="E6" s="338">
        <v>87769395.799999997</v>
      </c>
      <c r="F6" s="19"/>
      <c r="G6" s="259"/>
      <c r="H6" s="259"/>
      <c r="I6" s="75"/>
      <c r="J6" s="75"/>
      <c r="K6" s="76"/>
      <c r="L6" s="76"/>
      <c r="M6" s="76"/>
      <c r="N6" s="76"/>
      <c r="O6" s="5"/>
      <c r="P6" s="76"/>
      <c r="Q6" s="5"/>
      <c r="R6" s="5"/>
      <c r="S6" s="5"/>
      <c r="T6" s="5"/>
      <c r="U6" s="5"/>
      <c r="V6" s="5"/>
      <c r="W6" s="53"/>
    </row>
    <row r="7" spans="1:23" x14ac:dyDescent="0.3">
      <c r="A7" s="19"/>
      <c r="B7" s="202" t="s">
        <v>4</v>
      </c>
      <c r="D7" s="5">
        <f>E7</f>
        <v>13584201</v>
      </c>
      <c r="E7" s="338">
        <v>13584201</v>
      </c>
      <c r="F7" s="19"/>
      <c r="G7" s="3"/>
      <c r="H7" s="75"/>
      <c r="I7" s="75"/>
      <c r="J7" s="75"/>
      <c r="K7" s="76"/>
      <c r="L7" s="76"/>
      <c r="M7" s="76"/>
      <c r="N7" s="76"/>
      <c r="O7" s="5"/>
      <c r="P7" s="76"/>
      <c r="Q7" s="5"/>
      <c r="R7" s="5"/>
      <c r="S7" s="5"/>
      <c r="T7" s="5"/>
      <c r="U7" s="5"/>
      <c r="V7" s="5"/>
      <c r="W7" s="53"/>
    </row>
    <row r="8" spans="1:23" x14ac:dyDescent="0.3">
      <c r="A8" s="19"/>
      <c r="B8" s="202" t="s">
        <v>5</v>
      </c>
      <c r="D8" s="339">
        <v>-605427414</v>
      </c>
      <c r="F8" s="19"/>
      <c r="G8" s="3"/>
      <c r="H8" s="75"/>
      <c r="I8" s="75"/>
      <c r="J8" s="7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3"/>
    </row>
    <row r="9" spans="1:23" x14ac:dyDescent="0.3">
      <c r="B9" s="4"/>
      <c r="D9" s="10">
        <f>SUM(D5:D8)</f>
        <v>2077441892.8000002</v>
      </c>
      <c r="E9" s="10">
        <f>SUM(E5:E8)</f>
        <v>2682869306.8000002</v>
      </c>
      <c r="F9" s="19"/>
      <c r="G9" s="202"/>
      <c r="H9" s="76"/>
      <c r="I9" s="76"/>
      <c r="J9" s="76"/>
      <c r="K9" s="76"/>
      <c r="L9" s="76"/>
      <c r="M9" s="255"/>
      <c r="N9" s="255"/>
      <c r="O9" s="255"/>
      <c r="P9" s="255"/>
      <c r="Q9" s="220"/>
      <c r="R9" s="220"/>
      <c r="S9" s="220"/>
      <c r="T9" s="220"/>
      <c r="U9" s="220"/>
      <c r="V9" s="220"/>
      <c r="W9" s="114"/>
    </row>
    <row r="10" spans="1:23" x14ac:dyDescent="0.3">
      <c r="B10" s="4"/>
      <c r="D10" s="6"/>
      <c r="G10" s="4"/>
      <c r="H10" s="76"/>
      <c r="I10" s="76"/>
      <c r="J10" s="76"/>
      <c r="K10" s="76"/>
      <c r="L10" s="76"/>
      <c r="M10" s="255"/>
      <c r="N10" s="255"/>
      <c r="O10" s="255"/>
      <c r="P10" s="255"/>
    </row>
    <row r="11" spans="1:23" x14ac:dyDescent="0.3">
      <c r="B11" t="s">
        <v>6</v>
      </c>
      <c r="C11" s="15">
        <f>+C28</f>
        <v>0.67843592566659505</v>
      </c>
      <c r="D11" s="339">
        <v>1409411213.6960185</v>
      </c>
      <c r="E11" s="7">
        <f>+D11</f>
        <v>1409411213.6960185</v>
      </c>
      <c r="G11" s="53"/>
      <c r="H11" s="76"/>
      <c r="I11" s="76"/>
      <c r="J11" s="76"/>
      <c r="K11" s="76"/>
      <c r="L11" s="76"/>
      <c r="M11" s="255"/>
      <c r="N11" s="255"/>
      <c r="O11" s="255"/>
      <c r="P11" s="255"/>
      <c r="Q11" s="90"/>
      <c r="R11" s="90"/>
      <c r="S11" s="90"/>
      <c r="T11" s="90"/>
      <c r="U11" s="90"/>
      <c r="V11" s="90"/>
      <c r="W11" s="90"/>
    </row>
    <row r="12" spans="1:23" x14ac:dyDescent="0.3">
      <c r="B12" t="s">
        <v>7</v>
      </c>
      <c r="C12" s="254">
        <f>+C29</f>
        <v>0.32156407433340495</v>
      </c>
      <c r="D12" s="339">
        <v>668030679.30398154</v>
      </c>
      <c r="E12" s="7">
        <f>+D12-D8</f>
        <v>1273458093.3039815</v>
      </c>
      <c r="F12" s="19"/>
      <c r="G12" s="53"/>
      <c r="H12" s="76"/>
      <c r="I12" s="76"/>
      <c r="J12" s="76"/>
      <c r="K12" s="76"/>
      <c r="L12" s="76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3" ht="15" thickBot="1" x14ac:dyDescent="0.35">
      <c r="B13" t="s">
        <v>8</v>
      </c>
      <c r="C13" s="20">
        <f>+C11+C12</f>
        <v>1</v>
      </c>
      <c r="D13" s="21">
        <f>+D11+D12</f>
        <v>2077441893</v>
      </c>
      <c r="E13" s="21">
        <f>+E11+E12</f>
        <v>2682869307</v>
      </c>
      <c r="G13" s="3"/>
      <c r="H13" s="11"/>
      <c r="I13" s="17"/>
      <c r="J13" s="18"/>
      <c r="K13" s="76"/>
      <c r="L13" s="17"/>
      <c r="M13" s="76"/>
      <c r="N13" s="76"/>
      <c r="O13" s="76"/>
      <c r="P13" s="76"/>
    </row>
    <row r="14" spans="1:23" ht="15" thickTop="1" x14ac:dyDescent="0.3">
      <c r="G14" s="3"/>
      <c r="H14" s="3"/>
      <c r="I14" s="3"/>
      <c r="J14" s="3"/>
      <c r="K14" s="76"/>
      <c r="L14" s="3"/>
      <c r="M14" s="76"/>
      <c r="N14" s="76"/>
      <c r="O14" s="76"/>
      <c r="P14" s="76"/>
    </row>
    <row r="15" spans="1:23" x14ac:dyDescent="0.3">
      <c r="B15" s="22" t="s">
        <v>9</v>
      </c>
      <c r="G15" s="3"/>
      <c r="H15" s="16"/>
      <c r="I15" s="17"/>
      <c r="J15" s="18"/>
      <c r="K15" s="76"/>
      <c r="L15" s="17"/>
      <c r="M15" s="76"/>
      <c r="N15" s="76"/>
      <c r="O15" s="76"/>
      <c r="P15" s="76"/>
    </row>
    <row r="16" spans="1:23" x14ac:dyDescent="0.3">
      <c r="B16" s="22"/>
      <c r="C16" s="103" t="s">
        <v>11</v>
      </c>
      <c r="D16" s="103" t="s">
        <v>10</v>
      </c>
      <c r="E16" s="104"/>
      <c r="H16" s="23"/>
      <c r="I16" s="7"/>
      <c r="J16" s="24"/>
      <c r="K16" s="14"/>
      <c r="L16" s="7"/>
      <c r="M16" s="76"/>
      <c r="N16" s="76"/>
      <c r="O16" s="76"/>
      <c r="P16" s="76"/>
    </row>
    <row r="17" spans="1:23" x14ac:dyDescent="0.3">
      <c r="B17" t="s">
        <v>12</v>
      </c>
      <c r="C17" s="15">
        <f>C34</f>
        <v>5.8971047186034013E-2</v>
      </c>
      <c r="D17" s="25">
        <f>+C17*$D$11</f>
        <v>83114455.187393367</v>
      </c>
      <c r="E17" s="27"/>
      <c r="H17" s="23"/>
      <c r="I17" s="7"/>
      <c r="J17" s="24"/>
      <c r="K17" s="14"/>
      <c r="L17" s="7"/>
      <c r="M17" s="76"/>
      <c r="N17" s="76"/>
      <c r="O17" s="76"/>
      <c r="P17" s="76"/>
    </row>
    <row r="18" spans="1:23" x14ac:dyDescent="0.3">
      <c r="B18" t="s">
        <v>13</v>
      </c>
      <c r="C18" s="15">
        <f>C35</f>
        <v>2.996142412295736E-2</v>
      </c>
      <c r="D18" s="25">
        <f>+C18*$D$11</f>
        <v>42227967.1371985</v>
      </c>
      <c r="E18" s="27"/>
      <c r="H18" s="23"/>
      <c r="I18" s="7"/>
      <c r="J18" s="24"/>
      <c r="K18" s="14"/>
      <c r="L18" s="7"/>
      <c r="M18" s="76"/>
      <c r="N18" s="76"/>
      <c r="O18" s="76"/>
      <c r="P18" s="76"/>
    </row>
    <row r="19" spans="1:23" x14ac:dyDescent="0.3">
      <c r="B19" t="s">
        <v>14</v>
      </c>
      <c r="C19" s="15">
        <f>C36</f>
        <v>0.57393303626421655</v>
      </c>
      <c r="D19" s="25">
        <f>+C19*$D$11</f>
        <v>808907657.22139037</v>
      </c>
      <c r="E19" s="27"/>
      <c r="H19" s="23"/>
      <c r="I19" s="7"/>
      <c r="J19" s="24"/>
      <c r="K19" s="14"/>
      <c r="L19" s="7"/>
      <c r="M19" s="76"/>
      <c r="N19" s="76"/>
      <c r="O19" s="76"/>
      <c r="P19" s="76"/>
    </row>
    <row r="20" spans="1:23" x14ac:dyDescent="0.3">
      <c r="B20" t="s">
        <v>15</v>
      </c>
      <c r="C20" s="15">
        <f>C37</f>
        <v>0.17304042150036322</v>
      </c>
      <c r="D20" s="25">
        <f>+C20*$D$11</f>
        <v>243885110.48529753</v>
      </c>
      <c r="E20" s="27"/>
      <c r="H20" s="23"/>
      <c r="I20" s="7"/>
      <c r="J20" s="24"/>
      <c r="K20" s="14"/>
      <c r="L20" s="7"/>
      <c r="M20" s="14"/>
      <c r="N20" s="24"/>
      <c r="O20" s="24"/>
    </row>
    <row r="21" spans="1:23" x14ac:dyDescent="0.3">
      <c r="B21" t="s">
        <v>16</v>
      </c>
      <c r="C21" s="15">
        <f>C38</f>
        <v>0.1640940709264288</v>
      </c>
      <c r="D21" s="25">
        <f>+C21*$D$11</f>
        <v>231276023.66473857</v>
      </c>
      <c r="E21" s="27"/>
      <c r="H21" s="23"/>
      <c r="I21" s="7"/>
      <c r="J21" s="24"/>
      <c r="K21" s="14"/>
      <c r="L21" s="7"/>
      <c r="M21" s="14"/>
      <c r="N21" s="24"/>
      <c r="O21" s="24"/>
    </row>
    <row r="22" spans="1:23" ht="15" thickBot="1" x14ac:dyDescent="0.35">
      <c r="C22" s="20">
        <f>SUM(C17:C21)</f>
        <v>1</v>
      </c>
      <c r="D22" s="21">
        <f>SUM(D17:D21)</f>
        <v>1409411213.6960185</v>
      </c>
      <c r="H22" s="23"/>
      <c r="I22" s="7"/>
      <c r="J22" s="24"/>
      <c r="K22" s="14"/>
      <c r="L22" s="7"/>
      <c r="M22" s="14"/>
      <c r="N22" s="24"/>
      <c r="O22" s="24"/>
    </row>
    <row r="23" spans="1:23" ht="15" thickTop="1" x14ac:dyDescent="0.3">
      <c r="H23" s="23"/>
      <c r="I23" s="7"/>
      <c r="J23" s="24"/>
      <c r="K23" s="14"/>
      <c r="L23" s="7"/>
      <c r="M23" s="14"/>
      <c r="N23" s="24"/>
      <c r="O23" s="24"/>
    </row>
    <row r="24" spans="1:23" x14ac:dyDescent="0.3">
      <c r="B24" s="22" t="s">
        <v>17</v>
      </c>
    </row>
    <row r="25" spans="1:23" ht="30.75" customHeight="1" x14ac:dyDescent="0.3">
      <c r="B25" s="22"/>
      <c r="C25" s="104" t="s">
        <v>1</v>
      </c>
      <c r="D25" s="103" t="s">
        <v>2</v>
      </c>
      <c r="E25" s="103" t="s">
        <v>3</v>
      </c>
      <c r="G25" s="19"/>
      <c r="H25" s="105"/>
      <c r="I25" s="105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x14ac:dyDescent="0.3">
      <c r="B26" s="202" t="s">
        <v>18</v>
      </c>
      <c r="D26" s="28">
        <f>+D30</f>
        <v>2072400076.3812065</v>
      </c>
      <c r="E26" s="7">
        <f>+E30</f>
        <v>2677827490.3812065</v>
      </c>
      <c r="F26" s="19"/>
      <c r="G26" s="19"/>
      <c r="H26" s="4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x14ac:dyDescent="0.3">
      <c r="B27" s="202"/>
      <c r="F27" s="19"/>
      <c r="G27" s="19"/>
      <c r="H27" s="19"/>
      <c r="I27" s="19"/>
      <c r="J27" s="19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9"/>
    </row>
    <row r="28" spans="1:23" x14ac:dyDescent="0.3">
      <c r="B28" s="19" t="s">
        <v>19</v>
      </c>
      <c r="C28" s="15">
        <f>+D28/D30</f>
        <v>0.67843592566659505</v>
      </c>
      <c r="D28" s="5">
        <f>D39</f>
        <v>1405990664.1712062</v>
      </c>
      <c r="E28" s="7">
        <f>+D28</f>
        <v>1405990664.1712062</v>
      </c>
      <c r="F28" s="19"/>
      <c r="G28" s="19"/>
      <c r="H28" s="19"/>
      <c r="I28" s="19"/>
      <c r="J28" s="19"/>
      <c r="K28" s="5"/>
      <c r="L28" s="5"/>
      <c r="M28" s="5"/>
      <c r="N28" s="5"/>
      <c r="O28" s="19"/>
      <c r="P28" s="19"/>
      <c r="Q28" s="19"/>
      <c r="R28" s="19"/>
      <c r="S28" s="19"/>
      <c r="T28" s="19"/>
      <c r="U28" s="19"/>
      <c r="V28" s="19"/>
      <c r="W28" s="19"/>
    </row>
    <row r="29" spans="1:23" x14ac:dyDescent="0.3">
      <c r="A29" s="19"/>
      <c r="B29" s="19" t="s">
        <v>20</v>
      </c>
      <c r="C29" s="15">
        <f>+D29/D30</f>
        <v>0.32156407433340495</v>
      </c>
      <c r="D29" s="339">
        <v>666409412.2100004</v>
      </c>
      <c r="E29" s="7">
        <f>+D29-D8</f>
        <v>1271836826.2100005</v>
      </c>
      <c r="F29" s="45"/>
      <c r="G29" s="19"/>
      <c r="H29" s="5"/>
      <c r="I29" s="45"/>
      <c r="J29" s="4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45"/>
    </row>
    <row r="30" spans="1:23" ht="15" thickBot="1" x14ac:dyDescent="0.35">
      <c r="B30" s="19" t="s">
        <v>21</v>
      </c>
      <c r="C30" s="20">
        <f>+C28+C29</f>
        <v>1</v>
      </c>
      <c r="D30" s="21">
        <f>+D28+D29</f>
        <v>2072400076.3812065</v>
      </c>
      <c r="E30" s="21">
        <f>+E28+E29</f>
        <v>2677827490.3812065</v>
      </c>
      <c r="F30" s="5"/>
      <c r="G30" s="30"/>
    </row>
    <row r="31" spans="1:23" ht="15" thickTop="1" x14ac:dyDescent="0.3">
      <c r="G31" s="14"/>
    </row>
    <row r="32" spans="1:23" ht="15" x14ac:dyDescent="0.3">
      <c r="B32" s="22" t="s">
        <v>22</v>
      </c>
      <c r="D32" s="7">
        <f>D30-D13</f>
        <v>-5041816.6187934875</v>
      </c>
      <c r="E32" s="7"/>
    </row>
    <row r="33" spans="1:27" ht="31.35" customHeight="1" x14ac:dyDescent="0.3">
      <c r="B33" s="22"/>
      <c r="C33" s="103" t="s">
        <v>11</v>
      </c>
      <c r="D33" s="103" t="s">
        <v>10</v>
      </c>
      <c r="E33" s="104" t="s">
        <v>23</v>
      </c>
      <c r="F33" s="31"/>
      <c r="G33" s="31"/>
      <c r="H33" s="31"/>
      <c r="I33" s="31"/>
      <c r="J33" s="31" t="s">
        <v>88</v>
      </c>
      <c r="K33" s="113"/>
      <c r="L33" s="113"/>
      <c r="M33" s="113"/>
      <c r="N33" s="113"/>
    </row>
    <row r="34" spans="1:27" ht="15" customHeight="1" x14ac:dyDescent="0.3">
      <c r="A34" s="19"/>
      <c r="B34" s="19" t="s">
        <v>12</v>
      </c>
      <c r="C34" s="15">
        <f>D34/D$39</f>
        <v>5.8971047186034013E-2</v>
      </c>
      <c r="D34" s="340">
        <v>82912741.799963504</v>
      </c>
      <c r="E34" s="341">
        <v>0.11955404125227219</v>
      </c>
      <c r="F34" s="26"/>
      <c r="G34" s="272"/>
      <c r="H34" s="273"/>
      <c r="I34" s="26"/>
      <c r="J34" s="342">
        <f>+D34*E34</f>
        <v>9912553.3534918297</v>
      </c>
      <c r="K34" s="19"/>
      <c r="L34" s="19"/>
      <c r="M34" s="19"/>
      <c r="N34" s="19"/>
      <c r="O34" s="7"/>
    </row>
    <row r="35" spans="1:27" x14ac:dyDescent="0.3">
      <c r="A35" s="19"/>
      <c r="B35" s="19" t="s">
        <v>13</v>
      </c>
      <c r="C35" s="15">
        <f>D35/D$39</f>
        <v>2.996142412295736E-2</v>
      </c>
      <c r="D35" s="340">
        <v>42125482.60215202</v>
      </c>
      <c r="E35" s="341">
        <v>0.13951072904661246</v>
      </c>
      <c r="F35" s="26"/>
      <c r="G35" s="273"/>
      <c r="H35" s="273"/>
      <c r="I35" s="26"/>
      <c r="J35" s="342">
        <f t="shared" ref="J35:J38" si="0">+D35*E35</f>
        <v>5876956.789266618</v>
      </c>
      <c r="K35" s="19"/>
      <c r="L35" s="19"/>
      <c r="M35" s="19"/>
      <c r="N35" s="19"/>
      <c r="O35" s="7"/>
    </row>
    <row r="36" spans="1:27" x14ac:dyDescent="0.3">
      <c r="A36" s="19"/>
      <c r="B36" s="19" t="s">
        <v>14</v>
      </c>
      <c r="C36" s="15">
        <f>D36/D$39</f>
        <v>0.57393303626421655</v>
      </c>
      <c r="D36" s="340">
        <v>806944490.84692287</v>
      </c>
      <c r="E36" s="341">
        <v>0.1130312264127733</v>
      </c>
      <c r="F36" s="26"/>
      <c r="G36" s="273"/>
      <c r="H36" s="273"/>
      <c r="I36" s="26"/>
      <c r="J36" s="342">
        <f t="shared" si="0"/>
        <v>91209925.44745861</v>
      </c>
      <c r="K36" s="19"/>
      <c r="L36" s="19"/>
      <c r="M36" s="19"/>
      <c r="N36" s="19"/>
      <c r="O36" s="7"/>
    </row>
    <row r="37" spans="1:27" x14ac:dyDescent="0.3">
      <c r="A37" s="19"/>
      <c r="B37" s="19" t="s">
        <v>15</v>
      </c>
      <c r="C37" s="15">
        <f>D37/D$39</f>
        <v>0.17304042150036322</v>
      </c>
      <c r="D37" s="340">
        <v>243293217.15376115</v>
      </c>
      <c r="E37" s="341">
        <v>0.12974926572992024</v>
      </c>
      <c r="F37" s="26"/>
      <c r="G37" s="273"/>
      <c r="H37" s="273"/>
      <c r="I37" s="26"/>
      <c r="J37" s="342">
        <f t="shared" si="0"/>
        <v>31567116.282770544</v>
      </c>
      <c r="K37" s="19"/>
      <c r="L37" s="19"/>
      <c r="M37" s="19"/>
      <c r="N37" s="19"/>
      <c r="O37" s="7"/>
    </row>
    <row r="38" spans="1:27" x14ac:dyDescent="0.3">
      <c r="A38" s="19"/>
      <c r="B38" s="19" t="s">
        <v>81</v>
      </c>
      <c r="C38" s="15">
        <f>D38/D$39</f>
        <v>0.1640940709264288</v>
      </c>
      <c r="D38" s="340">
        <v>230714731.76840666</v>
      </c>
      <c r="E38" s="341">
        <v>0.15579056102209465</v>
      </c>
      <c r="F38" s="26"/>
      <c r="G38" s="273"/>
      <c r="H38" s="273"/>
      <c r="I38" s="26"/>
      <c r="J38" s="342">
        <f t="shared" si="0"/>
        <v>35943177.49826216</v>
      </c>
      <c r="K38" s="19"/>
      <c r="L38" s="19"/>
      <c r="M38" s="19"/>
      <c r="N38" s="19"/>
      <c r="O38" s="7"/>
    </row>
    <row r="39" spans="1:27" ht="15" thickBot="1" x14ac:dyDescent="0.35">
      <c r="B39" s="19" t="s">
        <v>82</v>
      </c>
      <c r="C39" s="20">
        <f>SUM(C34:C38)</f>
        <v>1</v>
      </c>
      <c r="D39" s="21">
        <f>SUM(D34:D38)</f>
        <v>1405990664.1712062</v>
      </c>
      <c r="G39" s="45"/>
      <c r="H39" s="19"/>
      <c r="I39" s="19"/>
      <c r="J39" s="67">
        <f>SUM(J34:J38)</f>
        <v>174509729.37124977</v>
      </c>
      <c r="K39" s="116"/>
      <c r="L39" s="116"/>
      <c r="M39" s="116"/>
      <c r="N39" s="116"/>
    </row>
    <row r="40" spans="1:27" ht="15" thickTop="1" x14ac:dyDescent="0.3"/>
    <row r="41" spans="1:27" x14ac:dyDescent="0.3">
      <c r="B41" s="22" t="s">
        <v>24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x14ac:dyDescent="0.3">
      <c r="B42" s="2"/>
      <c r="C42" s="103" t="s">
        <v>25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3">
      <c r="B43" s="2" t="s">
        <v>26</v>
      </c>
      <c r="C43" s="103" t="s">
        <v>27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9"/>
      <c r="AA43" s="19"/>
    </row>
    <row r="44" spans="1:27" x14ac:dyDescent="0.3">
      <c r="B44" t="s">
        <v>28</v>
      </c>
      <c r="C44" s="23">
        <f>+C85</f>
        <v>1.4318270649374338E-2</v>
      </c>
      <c r="D44" s="203"/>
      <c r="G44" s="29"/>
      <c r="H44" s="3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9"/>
    </row>
    <row r="45" spans="1:27" x14ac:dyDescent="0.3">
      <c r="B45" t="s">
        <v>29</v>
      </c>
      <c r="C45" s="23">
        <f>+C86</f>
        <v>1.3529372993607068E-2</v>
      </c>
      <c r="D45" s="203"/>
      <c r="E45" s="29"/>
      <c r="G45" s="29"/>
      <c r="H45" s="3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9"/>
    </row>
    <row r="46" spans="1:27" x14ac:dyDescent="0.3">
      <c r="A46" s="19"/>
      <c r="B46" s="19" t="s">
        <v>30</v>
      </c>
      <c r="C46" s="343">
        <v>0.11189260639360812</v>
      </c>
      <c r="D46" s="19"/>
      <c r="E46" s="54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19"/>
    </row>
    <row r="47" spans="1:27" x14ac:dyDescent="0.3">
      <c r="B47" s="19" t="s">
        <v>31</v>
      </c>
      <c r="C47" s="204" t="s">
        <v>129</v>
      </c>
      <c r="D47" s="19"/>
      <c r="E47" s="20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3">
      <c r="B48" s="19" t="s">
        <v>32</v>
      </c>
      <c r="C48" s="343">
        <v>0.11282008800606476</v>
      </c>
      <c r="D48" s="107" t="s">
        <v>142</v>
      </c>
      <c r="E48" s="1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9"/>
    </row>
    <row r="49" spans="1:28" x14ac:dyDescent="0.3">
      <c r="B49" s="19" t="s">
        <v>33</v>
      </c>
      <c r="C49" s="343">
        <v>0.11776519254907584</v>
      </c>
      <c r="D49" s="107" t="s">
        <v>130</v>
      </c>
      <c r="E49" s="19"/>
      <c r="G49" s="270"/>
      <c r="H49" s="271"/>
      <c r="I49" s="271"/>
      <c r="J49" s="271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19"/>
    </row>
    <row r="50" spans="1:28" x14ac:dyDescent="0.3">
      <c r="C50" s="343">
        <v>0.1125598708806471</v>
      </c>
      <c r="D50" s="107" t="s">
        <v>131</v>
      </c>
      <c r="E50" s="19"/>
      <c r="G50" s="271"/>
      <c r="H50" s="271"/>
      <c r="I50" s="271"/>
      <c r="J50" s="271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8" ht="18" x14ac:dyDescent="0.35">
      <c r="B51" s="247" t="s">
        <v>143</v>
      </c>
      <c r="C51" s="34"/>
      <c r="D51" s="36"/>
      <c r="G51" s="4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75"/>
      <c r="AA51" s="75"/>
      <c r="AB51" s="75"/>
    </row>
    <row r="52" spans="1:28" x14ac:dyDescent="0.3">
      <c r="B52" s="22" t="s">
        <v>34</v>
      </c>
      <c r="J52" s="280" t="s">
        <v>134</v>
      </c>
      <c r="K52" s="281"/>
      <c r="L52" s="229"/>
      <c r="N52" s="258"/>
      <c r="O52" s="258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76"/>
      <c r="AA52" s="75"/>
      <c r="AB52" s="75"/>
    </row>
    <row r="53" spans="1:28" x14ac:dyDescent="0.3">
      <c r="B53" s="22"/>
      <c r="C53" s="103" t="s">
        <v>35</v>
      </c>
      <c r="D53" s="12" t="s">
        <v>10</v>
      </c>
      <c r="E53" s="37" t="s">
        <v>36</v>
      </c>
      <c r="F53" s="2"/>
      <c r="H53" s="226"/>
      <c r="I53" s="227"/>
      <c r="J53" s="230" t="s">
        <v>135</v>
      </c>
      <c r="K53" s="108" t="s">
        <v>136</v>
      </c>
      <c r="L53" s="231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76"/>
      <c r="AA53" s="75"/>
      <c r="AB53" s="75"/>
    </row>
    <row r="54" spans="1:28" x14ac:dyDescent="0.3">
      <c r="A54" s="19"/>
      <c r="B54" s="19" t="s">
        <v>37</v>
      </c>
      <c r="C54" s="34">
        <f>E54/D54</f>
        <v>0.44203540568930039</v>
      </c>
      <c r="D54" s="7">
        <f>+E7</f>
        <v>13584201</v>
      </c>
      <c r="E54" s="205">
        <v>6004697.7999999998</v>
      </c>
      <c r="F54" s="202"/>
      <c r="G54" s="5">
        <f>E54+E55+E60</f>
        <v>37409420.75</v>
      </c>
      <c r="H54" s="226"/>
      <c r="I54" s="227"/>
      <c r="J54" s="232">
        <f>E54</f>
        <v>6004697.7999999998</v>
      </c>
      <c r="K54" s="3"/>
      <c r="L54" s="231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5"/>
      <c r="AB54" s="75"/>
    </row>
    <row r="55" spans="1:28" x14ac:dyDescent="0.3">
      <c r="A55" s="19"/>
      <c r="B55" s="19" t="s">
        <v>38</v>
      </c>
      <c r="C55" s="34">
        <f>E55/D55</f>
        <v>1.3961680342434104E-2</v>
      </c>
      <c r="D55" s="45">
        <f>+E5+E6</f>
        <v>2669285105.8000002</v>
      </c>
      <c r="E55" s="205">
        <v>37267705.390000001</v>
      </c>
      <c r="F55" s="38"/>
      <c r="G55" s="275"/>
      <c r="H55" s="274"/>
      <c r="J55" s="232">
        <f>+E55</f>
        <v>37267705.390000001</v>
      </c>
      <c r="K55" s="3"/>
      <c r="L55" s="231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5"/>
      <c r="AB55" s="75"/>
    </row>
    <row r="56" spans="1:28" x14ac:dyDescent="0.3">
      <c r="A56" s="19"/>
      <c r="B56" s="19" t="s">
        <v>39</v>
      </c>
      <c r="C56" s="34"/>
      <c r="D56" s="7"/>
      <c r="E56" s="205">
        <v>41329269.890000001</v>
      </c>
      <c r="F56" s="38"/>
      <c r="G56" s="274"/>
      <c r="H56" s="274"/>
      <c r="I56" s="19"/>
      <c r="J56" s="91"/>
      <c r="K56" s="77">
        <f>E56</f>
        <v>41329269.890000001</v>
      </c>
      <c r="L56" s="231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5"/>
      <c r="AB56" s="75"/>
    </row>
    <row r="57" spans="1:28" ht="16.2" x14ac:dyDescent="0.3">
      <c r="B57" s="19" t="s">
        <v>40</v>
      </c>
      <c r="C57" s="40">
        <f>C49</f>
        <v>0.11776519254907584</v>
      </c>
      <c r="D57" s="7">
        <f>+D11</f>
        <v>1409411213.6960185</v>
      </c>
      <c r="E57" s="38">
        <f>+D57*C57</f>
        <v>165979582.96173829</v>
      </c>
      <c r="F57" s="38"/>
      <c r="G57" s="274"/>
      <c r="H57" s="274"/>
      <c r="I57" s="19"/>
      <c r="J57" s="233">
        <f>+E57</f>
        <v>165979582.96173829</v>
      </c>
      <c r="K57" s="75"/>
      <c r="L57" s="231"/>
      <c r="N57" s="76"/>
      <c r="O57" s="76"/>
      <c r="P57" s="76"/>
      <c r="Q57" s="76"/>
      <c r="R57" s="76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ht="16.2" x14ac:dyDescent="0.3">
      <c r="B58" s="19" t="s">
        <v>41</v>
      </c>
      <c r="C58" s="40">
        <f>C50</f>
        <v>0.1125598708806471</v>
      </c>
      <c r="D58" s="7">
        <f>+D12</f>
        <v>668030679.30398154</v>
      </c>
      <c r="E58" s="38">
        <f>+D58*C58</f>
        <v>75193447.006767139</v>
      </c>
      <c r="F58" s="38"/>
      <c r="G58" s="274"/>
      <c r="H58" s="274"/>
      <c r="I58" s="19"/>
      <c r="J58" s="218"/>
      <c r="K58" s="77">
        <f>E58</f>
        <v>75193447.006767139</v>
      </c>
      <c r="L58" s="231"/>
      <c r="N58" s="76"/>
      <c r="O58" s="76"/>
      <c r="P58" s="76"/>
      <c r="Q58" s="76"/>
      <c r="R58" s="76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ht="16.2" x14ac:dyDescent="0.3">
      <c r="B59" t="s">
        <v>42</v>
      </c>
      <c r="C59" s="23"/>
      <c r="D59" s="7"/>
      <c r="E59" s="38">
        <f>'VRZ 2020 RPP Final Settlement'!K24</f>
        <v>-11225630.65406665</v>
      </c>
      <c r="F59" s="241" t="s">
        <v>154</v>
      </c>
      <c r="J59" s="233">
        <f>E59</f>
        <v>-11225630.65406665</v>
      </c>
      <c r="K59" s="234"/>
      <c r="L59" s="235"/>
      <c r="M59" s="107"/>
      <c r="N59" s="76"/>
      <c r="O59" s="76"/>
      <c r="P59" s="76"/>
      <c r="Q59" s="76"/>
      <c r="R59" s="76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x14ac:dyDescent="0.3">
      <c r="A60" s="19"/>
      <c r="B60" s="19" t="s">
        <v>43</v>
      </c>
      <c r="C60" s="23">
        <f>E60/D60</f>
        <v>-0.43160303944265854</v>
      </c>
      <c r="D60" s="7">
        <f>+E7</f>
        <v>13584201</v>
      </c>
      <c r="E60" s="205">
        <v>-5862982.4400000013</v>
      </c>
      <c r="F60" s="38"/>
      <c r="G60" s="24"/>
      <c r="H60" s="40"/>
      <c r="I60" s="19"/>
      <c r="J60" s="233">
        <f>+E60</f>
        <v>-5862982.4400000013</v>
      </c>
      <c r="K60" s="75"/>
      <c r="L60" s="231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5"/>
      <c r="AB60" s="75"/>
    </row>
    <row r="61" spans="1:28" ht="15" thickBot="1" x14ac:dyDescent="0.35">
      <c r="B61" t="s">
        <v>44</v>
      </c>
      <c r="C61" s="23"/>
      <c r="D61" s="7"/>
      <c r="E61" s="41">
        <f>SUM(E54:E60)</f>
        <v>308686089.95443881</v>
      </c>
      <c r="F61" s="42"/>
      <c r="G61" s="42"/>
      <c r="H61" s="43"/>
      <c r="I61" s="43"/>
      <c r="J61" s="236">
        <f>SUM(J54:J60)</f>
        <v>192163373.05767164</v>
      </c>
      <c r="K61" s="228">
        <f>SUM(K54:K60)</f>
        <v>116522716.89676714</v>
      </c>
      <c r="L61" s="238">
        <f>SUM(J61:K61)</f>
        <v>308686089.95443881</v>
      </c>
      <c r="N61" s="76"/>
      <c r="O61" s="76"/>
      <c r="P61" s="76"/>
      <c r="Q61" s="76"/>
      <c r="R61" s="76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15" thickTop="1" x14ac:dyDescent="0.3">
      <c r="H62" s="19"/>
      <c r="I62" s="19"/>
      <c r="J62" s="19"/>
      <c r="K62" s="19"/>
      <c r="N62" s="76"/>
      <c r="O62" s="76"/>
      <c r="P62" s="76"/>
      <c r="Q62" s="76"/>
      <c r="R62" s="76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18" x14ac:dyDescent="0.35">
      <c r="B63" s="1" t="s">
        <v>45</v>
      </c>
      <c r="E63" s="44"/>
      <c r="G63" s="44"/>
      <c r="H63" s="39"/>
      <c r="I63" s="19"/>
      <c r="J63" s="19"/>
      <c r="K63" s="19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76"/>
      <c r="AA63" s="75"/>
      <c r="AB63" s="75"/>
    </row>
    <row r="64" spans="1:28" ht="18" x14ac:dyDescent="0.35">
      <c r="B64" s="1"/>
      <c r="E64" s="44">
        <f>E54+E60</f>
        <v>141715.35999999847</v>
      </c>
      <c r="G64" s="19"/>
      <c r="H64" s="19"/>
      <c r="I64" s="19"/>
      <c r="J64" s="19"/>
      <c r="K64" s="19"/>
      <c r="N64" s="221"/>
      <c r="O64" s="221"/>
      <c r="P64" s="221"/>
      <c r="Q64" s="221"/>
      <c r="R64" s="77"/>
      <c r="S64" s="77"/>
      <c r="T64" s="77"/>
      <c r="U64" s="77"/>
      <c r="V64" s="77"/>
      <c r="W64" s="77"/>
      <c r="X64" s="77"/>
      <c r="Y64" s="77"/>
      <c r="Z64" s="76"/>
      <c r="AA64" s="75"/>
      <c r="AB64" s="75"/>
    </row>
    <row r="65" spans="2:28" x14ac:dyDescent="0.3">
      <c r="B65" s="22" t="s">
        <v>46</v>
      </c>
      <c r="C65" s="105"/>
      <c r="D65" s="105"/>
      <c r="E65" s="105"/>
      <c r="G65" s="105"/>
      <c r="H65" s="105"/>
      <c r="I65" s="19"/>
      <c r="J65" s="19"/>
      <c r="K65" s="19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5"/>
      <c r="AB65" s="75"/>
    </row>
    <row r="66" spans="2:28" x14ac:dyDescent="0.3">
      <c r="B66" s="22"/>
      <c r="C66" s="104" t="s">
        <v>23</v>
      </c>
      <c r="D66" s="103" t="s">
        <v>10</v>
      </c>
      <c r="E66" s="103" t="s">
        <v>36</v>
      </c>
      <c r="F66" s="19"/>
      <c r="G66" s="46"/>
      <c r="H66" s="46"/>
      <c r="I66" s="19"/>
      <c r="J66" s="19"/>
      <c r="K66" s="19"/>
      <c r="N66" s="75"/>
      <c r="O66" s="75"/>
      <c r="P66" s="75"/>
      <c r="Q66" s="222"/>
      <c r="R66" s="223"/>
      <c r="S66" s="75"/>
      <c r="T66" s="222"/>
      <c r="U66" s="75"/>
      <c r="V66" s="75"/>
      <c r="W66" s="75"/>
      <c r="X66" s="75"/>
      <c r="Y66" s="75"/>
      <c r="Z66" s="75"/>
      <c r="AA66" s="75"/>
      <c r="AB66" s="75"/>
    </row>
    <row r="67" spans="2:28" x14ac:dyDescent="0.3">
      <c r="B67" s="19" t="s">
        <v>12</v>
      </c>
      <c r="C67" s="34">
        <f>E34</f>
        <v>0.11955404125227219</v>
      </c>
      <c r="D67" s="6">
        <f>+D34</f>
        <v>82912741.799963504</v>
      </c>
      <c r="E67" s="49">
        <f>+D67*C67</f>
        <v>9912553.3534918297</v>
      </c>
      <c r="F67" s="19"/>
      <c r="G67" s="38"/>
      <c r="H67" s="38"/>
      <c r="I67" s="19"/>
      <c r="J67" s="19"/>
      <c r="K67" s="19"/>
      <c r="N67" s="75"/>
      <c r="O67" s="75"/>
      <c r="P67" s="75"/>
      <c r="Q67" s="224"/>
      <c r="R67" s="224"/>
      <c r="S67" s="224"/>
      <c r="T67" s="224"/>
      <c r="U67" s="75"/>
      <c r="V67" s="75"/>
      <c r="W67" s="75"/>
      <c r="X67" s="75"/>
      <c r="Y67" s="75"/>
      <c r="Z67" s="75"/>
      <c r="AA67" s="75"/>
      <c r="AB67" s="75"/>
    </row>
    <row r="68" spans="2:28" x14ac:dyDescent="0.3">
      <c r="B68" s="19" t="s">
        <v>13</v>
      </c>
      <c r="C68" s="34">
        <f>E35</f>
        <v>0.13951072904661246</v>
      </c>
      <c r="D68" s="6">
        <f>+D35</f>
        <v>42125482.60215202</v>
      </c>
      <c r="E68" s="49">
        <f>+D68*C68</f>
        <v>5876956.789266618</v>
      </c>
      <c r="F68" s="19"/>
      <c r="G68" s="38"/>
      <c r="H68" s="38"/>
      <c r="I68" s="19"/>
      <c r="J68" s="19"/>
      <c r="K68" s="19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75"/>
      <c r="AB68" s="75"/>
    </row>
    <row r="69" spans="2:28" x14ac:dyDescent="0.3">
      <c r="B69" s="19" t="s">
        <v>14</v>
      </c>
      <c r="C69" s="34">
        <f>E36</f>
        <v>0.1130312264127733</v>
      </c>
      <c r="D69" s="6">
        <f>+D36</f>
        <v>806944490.84692287</v>
      </c>
      <c r="E69" s="49">
        <f>+D69*C69</f>
        <v>91209925.44745861</v>
      </c>
      <c r="F69" s="19"/>
      <c r="G69" s="38"/>
      <c r="H69" s="38"/>
      <c r="I69" s="19"/>
      <c r="J69" s="19"/>
      <c r="K69" s="19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75"/>
      <c r="AB69" s="75"/>
    </row>
    <row r="70" spans="2:28" x14ac:dyDescent="0.3">
      <c r="B70" s="19" t="s">
        <v>15</v>
      </c>
      <c r="C70" s="34">
        <f>E37</f>
        <v>0.12974926572992024</v>
      </c>
      <c r="D70" s="6">
        <f>+D37</f>
        <v>243293217.15376115</v>
      </c>
      <c r="E70" s="49">
        <f>+D70*C70</f>
        <v>31567116.282770544</v>
      </c>
      <c r="F70" s="19"/>
      <c r="G70" s="38"/>
      <c r="H70" s="38"/>
      <c r="I70" s="19"/>
      <c r="J70" s="19"/>
      <c r="K70" s="19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75"/>
      <c r="AB70" s="75"/>
    </row>
    <row r="71" spans="2:28" x14ac:dyDescent="0.3">
      <c r="B71" s="19" t="s">
        <v>16</v>
      </c>
      <c r="C71" s="34">
        <f>E38</f>
        <v>0.15579056102209465</v>
      </c>
      <c r="D71" s="6">
        <f>+D38</f>
        <v>230714731.76840666</v>
      </c>
      <c r="E71" s="49">
        <f>+D71*C71</f>
        <v>35943177.49826216</v>
      </c>
      <c r="F71" s="19"/>
      <c r="G71" s="38"/>
      <c r="H71" s="38"/>
      <c r="I71" s="19"/>
      <c r="J71" s="280" t="s">
        <v>134</v>
      </c>
      <c r="K71" s="282"/>
      <c r="Q71" s="49"/>
      <c r="R71" s="50"/>
      <c r="S71" s="50"/>
      <c r="T71" s="50"/>
      <c r="U71" s="19"/>
      <c r="V71" s="19"/>
      <c r="W71" s="19"/>
    </row>
    <row r="72" spans="2:28" ht="15" thickBot="1" x14ac:dyDescent="0.35">
      <c r="B72" s="19" t="s">
        <v>47</v>
      </c>
      <c r="C72" s="34">
        <f>E72/D72</f>
        <v>0.12411869709968421</v>
      </c>
      <c r="D72" s="51">
        <f>SUM(D67:D71)</f>
        <v>1405990664.1712062</v>
      </c>
      <c r="E72" s="41">
        <f>SUM(E67:E71)</f>
        <v>174509729.37124977</v>
      </c>
      <c r="F72" s="19"/>
      <c r="G72" s="76"/>
      <c r="H72" s="52"/>
      <c r="I72" s="19"/>
      <c r="J72" s="233">
        <f>E72</f>
        <v>174509729.37124977</v>
      </c>
      <c r="K72" s="219"/>
      <c r="Q72" s="18"/>
      <c r="R72" s="52"/>
      <c r="S72" s="52"/>
      <c r="T72" s="52"/>
      <c r="U72" s="19"/>
      <c r="V72" s="19"/>
      <c r="W72" s="19"/>
    </row>
    <row r="73" spans="2:28" ht="15" thickTop="1" x14ac:dyDescent="0.3">
      <c r="E73" s="19"/>
      <c r="F73" s="19"/>
      <c r="G73" s="29"/>
      <c r="H73" s="19"/>
      <c r="I73" s="19"/>
      <c r="J73" s="233">
        <f>E76</f>
        <v>17207154.808800507</v>
      </c>
      <c r="K73" s="219"/>
      <c r="Q73" s="44"/>
      <c r="R73" s="39"/>
      <c r="S73" s="39"/>
      <c r="T73" s="54"/>
      <c r="U73" s="19"/>
      <c r="V73" s="19"/>
      <c r="W73" s="19"/>
    </row>
    <row r="74" spans="2:28" x14ac:dyDescent="0.3">
      <c r="B74" s="22" t="s">
        <v>48</v>
      </c>
      <c r="E74" s="19"/>
      <c r="F74" s="19"/>
      <c r="G74" s="35"/>
      <c r="H74" s="32"/>
      <c r="I74" s="19"/>
      <c r="J74" s="236">
        <f>SUM(J72:J73)</f>
        <v>191716884.18005028</v>
      </c>
      <c r="K74" s="239" t="s">
        <v>80</v>
      </c>
      <c r="Q74" s="18"/>
      <c r="R74" s="52"/>
      <c r="S74" s="52"/>
      <c r="T74" s="52"/>
      <c r="U74" s="19"/>
      <c r="V74" s="19"/>
      <c r="W74" s="19"/>
    </row>
    <row r="75" spans="2:28" x14ac:dyDescent="0.3">
      <c r="B75" s="22"/>
      <c r="C75" s="103" t="s">
        <v>35</v>
      </c>
      <c r="D75" s="12" t="s">
        <v>10</v>
      </c>
      <c r="E75" s="55" t="s">
        <v>36</v>
      </c>
      <c r="F75" s="19"/>
      <c r="G75" s="100"/>
      <c r="H75" s="100"/>
      <c r="I75" s="19"/>
      <c r="J75" s="218"/>
      <c r="K75" s="219"/>
      <c r="Q75" s="18"/>
      <c r="R75" s="52"/>
      <c r="S75" s="52"/>
      <c r="T75" s="52"/>
      <c r="U75" s="19"/>
      <c r="V75" s="19"/>
      <c r="W75" s="19"/>
    </row>
    <row r="76" spans="2:28" x14ac:dyDescent="0.3">
      <c r="B76" s="19" t="s">
        <v>49</v>
      </c>
      <c r="C76" s="56">
        <f>+C45</f>
        <v>1.3529372993607068E-2</v>
      </c>
      <c r="D76" s="57">
        <f>+E29</f>
        <v>1271836826.2100005</v>
      </c>
      <c r="E76" s="58">
        <f>E86</f>
        <v>17207154.808800507</v>
      </c>
      <c r="F76" s="19"/>
      <c r="G76" s="77"/>
      <c r="H76" s="77"/>
      <c r="I76" s="39"/>
      <c r="J76" s="218"/>
      <c r="K76" s="219"/>
      <c r="L76" s="19"/>
      <c r="M76" s="19"/>
      <c r="N76" s="19"/>
      <c r="Q76" s="18"/>
      <c r="R76" s="52"/>
      <c r="S76" s="52"/>
      <c r="T76" s="52"/>
      <c r="U76" s="19"/>
      <c r="V76" s="19"/>
      <c r="W76" s="19"/>
    </row>
    <row r="77" spans="2:28" x14ac:dyDescent="0.3">
      <c r="B77" s="19" t="s">
        <v>50</v>
      </c>
      <c r="C77" s="56"/>
      <c r="D77" s="57"/>
      <c r="E77" s="58">
        <f>+E56</f>
        <v>41329269.890000001</v>
      </c>
      <c r="F77" s="19"/>
      <c r="G77" s="52"/>
      <c r="H77" s="77"/>
      <c r="I77" s="39"/>
      <c r="J77" s="218"/>
      <c r="K77" s="237"/>
      <c r="Q77" s="18"/>
      <c r="R77" s="52"/>
      <c r="S77" s="52"/>
      <c r="T77" s="52"/>
      <c r="U77" s="19"/>
      <c r="V77" s="19"/>
      <c r="W77" s="19"/>
    </row>
    <row r="78" spans="2:28" x14ac:dyDescent="0.3">
      <c r="B78" s="19" t="s">
        <v>145</v>
      </c>
      <c r="C78" s="56">
        <f>C48</f>
        <v>0.11282008800606476</v>
      </c>
      <c r="D78" s="267">
        <v>34262342.030000001</v>
      </c>
      <c r="E78" s="58">
        <f>C78*D78</f>
        <v>3865480.4431184917</v>
      </c>
      <c r="F78" s="19"/>
      <c r="G78" s="52"/>
      <c r="H78" s="77"/>
      <c r="I78" s="39"/>
      <c r="J78" s="218"/>
      <c r="K78" s="237"/>
      <c r="Q78" s="18"/>
      <c r="R78" s="52"/>
      <c r="S78" s="52"/>
      <c r="T78" s="52"/>
      <c r="U78" s="19"/>
      <c r="V78" s="19"/>
      <c r="W78" s="19"/>
    </row>
    <row r="79" spans="2:28" x14ac:dyDescent="0.3">
      <c r="B79" s="19" t="s">
        <v>51</v>
      </c>
      <c r="C79" s="109">
        <f>+C46</f>
        <v>0.11189260639360812</v>
      </c>
      <c r="D79" s="76">
        <f>+D29-D78</f>
        <v>632147070.18000042</v>
      </c>
      <c r="E79" s="52">
        <f>+C79*D79</f>
        <v>70732583.306523353</v>
      </c>
      <c r="F79" s="19"/>
      <c r="G79" s="77"/>
      <c r="H79" s="77"/>
      <c r="I79" s="39"/>
      <c r="J79" s="236">
        <f>E77+E79+E78</f>
        <v>115927333.63964185</v>
      </c>
      <c r="K79" s="240" t="s">
        <v>79</v>
      </c>
      <c r="Q79" s="18"/>
      <c r="R79" s="52"/>
      <c r="S79" s="52"/>
      <c r="T79" s="52"/>
      <c r="U79" s="19"/>
      <c r="V79" s="19"/>
      <c r="W79" s="19"/>
    </row>
    <row r="80" spans="2:28" ht="15" thickBot="1" x14ac:dyDescent="0.35">
      <c r="D80" s="53"/>
      <c r="E80" s="59">
        <f>SUM(E76:E79)</f>
        <v>133134488.44844234</v>
      </c>
      <c r="F80" s="52"/>
      <c r="G80" s="52"/>
      <c r="H80" s="52"/>
      <c r="I80" s="60"/>
      <c r="J80" s="19"/>
      <c r="K80" s="19"/>
      <c r="R80" s="19"/>
      <c r="S80" s="19"/>
      <c r="T80" s="19"/>
      <c r="U80" s="19"/>
      <c r="V80" s="19"/>
      <c r="W80" s="19"/>
    </row>
    <row r="81" spans="1:26" ht="15" thickTop="1" x14ac:dyDescent="0.3">
      <c r="D81" s="53"/>
      <c r="E81" s="18"/>
      <c r="F81" s="52"/>
      <c r="G81" s="18"/>
      <c r="H81" s="52"/>
      <c r="I81" s="60"/>
      <c r="J81" s="19"/>
      <c r="K81" s="19"/>
      <c r="R81" s="19"/>
      <c r="S81" s="19"/>
      <c r="T81" s="19"/>
      <c r="U81" s="19"/>
      <c r="V81" s="19"/>
      <c r="W81" s="19"/>
    </row>
    <row r="82" spans="1:26" x14ac:dyDescent="0.3">
      <c r="B82" s="22" t="s">
        <v>83</v>
      </c>
      <c r="C82" s="19"/>
      <c r="D82" s="19"/>
      <c r="E82" s="39"/>
      <c r="F82" s="18"/>
      <c r="I82" s="60"/>
      <c r="J82" s="278" t="s">
        <v>133</v>
      </c>
      <c r="K82" s="279"/>
      <c r="M82" s="75"/>
      <c r="N82" s="251"/>
    </row>
    <row r="83" spans="1:26" x14ac:dyDescent="0.3">
      <c r="D83" s="201" t="s">
        <v>132</v>
      </c>
      <c r="E83" s="44"/>
      <c r="F83" s="18"/>
      <c r="I83" s="53"/>
      <c r="J83" s="210" t="s">
        <v>128</v>
      </c>
      <c r="K83" s="211"/>
      <c r="L83" s="113"/>
      <c r="M83" s="75"/>
      <c r="N83" s="251"/>
      <c r="O83" s="113"/>
      <c r="P83" s="113"/>
      <c r="Q83" s="113"/>
      <c r="R83" s="113"/>
      <c r="S83" s="113"/>
      <c r="T83" s="113"/>
      <c r="U83" s="113"/>
      <c r="V83" s="113"/>
      <c r="W83" s="19"/>
      <c r="X83" s="19"/>
      <c r="Y83" s="19"/>
      <c r="Z83" s="19"/>
    </row>
    <row r="84" spans="1:26" x14ac:dyDescent="0.3">
      <c r="B84" s="22"/>
      <c r="C84" s="103" t="s">
        <v>35</v>
      </c>
      <c r="D84" s="12" t="s">
        <v>10</v>
      </c>
      <c r="E84" s="37" t="s">
        <v>36</v>
      </c>
      <c r="F84" s="52"/>
      <c r="G84" s="370"/>
      <c r="H84" s="370"/>
      <c r="I84" s="371"/>
      <c r="J84" s="212" t="s">
        <v>10</v>
      </c>
      <c r="K84" s="213" t="s">
        <v>36</v>
      </c>
      <c r="L84" s="5"/>
      <c r="M84" s="75"/>
      <c r="N84" s="251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x14ac:dyDescent="0.3">
      <c r="A85" s="19"/>
      <c r="B85" s="19" t="s">
        <v>52</v>
      </c>
      <c r="C85" s="23">
        <f>((+E54+E55+E60)-(E86/(E29/E12)))/E11</f>
        <v>1.4318270649374338E-2</v>
      </c>
      <c r="D85" s="6">
        <f>+E28</f>
        <v>1405990664.1712062</v>
      </c>
      <c r="E85" s="344">
        <v>20131354.860096913</v>
      </c>
      <c r="F85" s="257"/>
      <c r="G85" s="370"/>
      <c r="H85" s="370"/>
      <c r="I85" s="371"/>
      <c r="J85" s="214">
        <f>E11</f>
        <v>1409411213.6960185</v>
      </c>
      <c r="K85" s="215">
        <f>J85*C85</f>
        <v>20180331.213962764</v>
      </c>
      <c r="L85" s="5"/>
      <c r="M85" s="75"/>
      <c r="N85" s="251"/>
      <c r="O85" s="5"/>
      <c r="P85" s="5"/>
      <c r="Q85" s="5"/>
      <c r="R85" s="5"/>
      <c r="S85" s="5"/>
      <c r="T85" s="5"/>
      <c r="U85" s="5"/>
      <c r="V85" s="5"/>
      <c r="W85" s="45"/>
      <c r="X85" s="19"/>
      <c r="Y85" s="19"/>
      <c r="Z85" s="19"/>
    </row>
    <row r="86" spans="1:26" x14ac:dyDescent="0.3">
      <c r="B86" t="s">
        <v>53</v>
      </c>
      <c r="C86" s="23">
        <f>((+E54+E55+E60)-(E85/(E28/E11)))/E12</f>
        <v>1.3529372993607068E-2</v>
      </c>
      <c r="D86" s="6">
        <f>+E29</f>
        <v>1271836826.2100005</v>
      </c>
      <c r="E86" s="38">
        <f>C86*D86</f>
        <v>17207154.808800507</v>
      </c>
      <c r="F86" s="257"/>
      <c r="I86" s="64"/>
      <c r="J86" s="214">
        <f>E12</f>
        <v>1273458093.3039815</v>
      </c>
      <c r="K86" s="215">
        <f>J86*C86</f>
        <v>17229089.536037236</v>
      </c>
      <c r="L86" s="48"/>
      <c r="M86" s="75"/>
      <c r="N86" s="251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" thickBot="1" x14ac:dyDescent="0.35">
      <c r="C87" s="66">
        <f>+E87/D87</f>
        <v>1.3943582924224157E-2</v>
      </c>
      <c r="D87" s="67">
        <f>SUM(D85:D86)</f>
        <v>2677827490.3812065</v>
      </c>
      <c r="E87" s="68">
        <f>+E85+E86</f>
        <v>37338509.66889742</v>
      </c>
      <c r="F87" s="63"/>
      <c r="I87" s="69"/>
      <c r="J87" s="216"/>
      <c r="K87" s="217">
        <f>SUM(K85:K86)</f>
        <v>37409420.75</v>
      </c>
      <c r="M87" s="75"/>
      <c r="N87" s="52"/>
    </row>
    <row r="88" spans="1:26" ht="15" thickTop="1" x14ac:dyDescent="0.3">
      <c r="C88" s="35"/>
      <c r="D88" s="70"/>
      <c r="E88" s="53"/>
      <c r="F88" s="18"/>
      <c r="G88" s="18"/>
      <c r="H88" s="71"/>
      <c r="J88" s="53"/>
    </row>
    <row r="89" spans="1:26" ht="67.2" customHeight="1" x14ac:dyDescent="0.3">
      <c r="B89" s="276" t="s">
        <v>155</v>
      </c>
      <c r="C89" s="276"/>
      <c r="D89" s="276"/>
      <c r="E89" s="276"/>
      <c r="F89" s="18"/>
      <c r="G89" s="72"/>
      <c r="H89" s="61"/>
      <c r="I89" s="73"/>
    </row>
    <row r="90" spans="1:26" x14ac:dyDescent="0.3">
      <c r="B90" s="277"/>
      <c r="C90" s="277"/>
      <c r="D90" s="277"/>
      <c r="E90" s="277"/>
      <c r="H90" s="74"/>
    </row>
  </sheetData>
  <mergeCells count="7">
    <mergeCell ref="G34:H38"/>
    <mergeCell ref="G55:H58"/>
    <mergeCell ref="B89:E89"/>
    <mergeCell ref="B90:E90"/>
    <mergeCell ref="J82:K82"/>
    <mergeCell ref="J52:K52"/>
    <mergeCell ref="J71:K71"/>
  </mergeCells>
  <pageMargins left="0.70866141732283472" right="0.70866141732283472" top="0.23622047244094491" bottom="0.23622047244094491" header="0.31496062992125984" footer="0.31496062992125984"/>
  <pageSetup scale="75" orientation="landscape" r:id="rId1"/>
  <rowBreaks count="1" manualBreakCount="1">
    <brk id="39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F4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5546875" customWidth="1"/>
    <col min="2" max="2" width="11.44140625" customWidth="1"/>
    <col min="3" max="3" width="15.5546875" customWidth="1"/>
    <col min="4" max="4" width="14.88671875" customWidth="1"/>
    <col min="5" max="5" width="15" customWidth="1"/>
    <col min="6" max="6" width="12.5546875" customWidth="1"/>
    <col min="7" max="7" width="15.88671875" bestFit="1" customWidth="1"/>
    <col min="8" max="8" width="14.44140625" bestFit="1" customWidth="1"/>
    <col min="9" max="10" width="13.44140625" customWidth="1"/>
    <col min="11" max="11" width="15.109375" customWidth="1"/>
    <col min="12" max="13" width="19.44140625" hidden="1" customWidth="1"/>
    <col min="14" max="14" width="11.44140625" customWidth="1"/>
    <col min="15" max="15" width="15.5546875" customWidth="1"/>
    <col min="16" max="20" width="14.88671875" customWidth="1"/>
    <col min="22" max="22" width="43.5546875" customWidth="1"/>
    <col min="23" max="23" width="11.44140625" customWidth="1"/>
    <col min="24" max="24" width="15.5546875" customWidth="1"/>
    <col min="25" max="29" width="14.88671875" customWidth="1"/>
    <col min="30" max="30" width="12.44140625" bestFit="1" customWidth="1"/>
  </cols>
  <sheetData>
    <row r="1" spans="1:32" ht="25.8" x14ac:dyDescent="0.5">
      <c r="A1" s="78" t="s">
        <v>157</v>
      </c>
    </row>
    <row r="3" spans="1:32" ht="18" hidden="1" x14ac:dyDescent="0.35">
      <c r="A3" s="1" t="s">
        <v>54</v>
      </c>
      <c r="M3" s="8"/>
      <c r="N3" s="3"/>
      <c r="O3" s="3"/>
      <c r="P3" s="3"/>
      <c r="Q3" s="3"/>
      <c r="R3" s="3"/>
      <c r="S3" s="3"/>
      <c r="T3" s="3"/>
      <c r="U3" s="3"/>
      <c r="V3" s="8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3">
      <c r="A4" s="2"/>
      <c r="M4" s="79"/>
      <c r="N4" s="3"/>
      <c r="O4" s="3"/>
      <c r="P4" s="3"/>
      <c r="Q4" s="3"/>
      <c r="R4" s="3"/>
      <c r="S4" s="3"/>
      <c r="T4" s="3"/>
      <c r="U4" s="3"/>
      <c r="V4" s="79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idden="1" x14ac:dyDescent="0.3">
      <c r="A5" s="2" t="s">
        <v>55</v>
      </c>
      <c r="M5" s="79"/>
      <c r="N5" s="3"/>
      <c r="O5" s="3"/>
      <c r="P5" s="3"/>
      <c r="Q5" s="3"/>
      <c r="R5" s="3"/>
      <c r="S5" s="3"/>
      <c r="T5" s="3"/>
      <c r="U5" s="3"/>
      <c r="V5" s="79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8.8" hidden="1" x14ac:dyDescent="0.3">
      <c r="A6" s="80" t="s">
        <v>56</v>
      </c>
      <c r="B6" s="81" t="s">
        <v>57</v>
      </c>
      <c r="C6" s="82" t="s">
        <v>58</v>
      </c>
      <c r="D6" s="81" t="s">
        <v>59</v>
      </c>
      <c r="E6" s="82" t="s">
        <v>60</v>
      </c>
      <c r="F6" s="81" t="s">
        <v>61</v>
      </c>
      <c r="G6" s="81" t="s">
        <v>10</v>
      </c>
      <c r="H6" s="82" t="s">
        <v>62</v>
      </c>
      <c r="I6" s="82" t="s">
        <v>63</v>
      </c>
      <c r="J6" s="82" t="s">
        <v>64</v>
      </c>
      <c r="K6" s="82" t="s">
        <v>65</v>
      </c>
      <c r="M6" s="79"/>
      <c r="N6" s="11"/>
      <c r="O6" s="11"/>
      <c r="P6" s="11"/>
      <c r="Q6" s="83"/>
      <c r="R6" s="79"/>
      <c r="S6" s="11"/>
      <c r="T6" s="13"/>
      <c r="U6" s="3"/>
      <c r="V6" s="79"/>
      <c r="W6" s="11"/>
      <c r="X6" s="11"/>
      <c r="Y6" s="11"/>
      <c r="Z6" s="83"/>
      <c r="AA6" s="79"/>
      <c r="AB6" s="11"/>
      <c r="AC6" s="13"/>
      <c r="AD6" s="3"/>
      <c r="AE6" s="3"/>
      <c r="AF6" s="3"/>
    </row>
    <row r="7" spans="1:32" hidden="1" x14ac:dyDescent="0.3">
      <c r="A7" s="84" t="s">
        <v>12</v>
      </c>
      <c r="B7" s="85">
        <f>+'[1]Data for 2nd TU'!D33</f>
        <v>7.6999999999999999E-2</v>
      </c>
      <c r="C7" s="85">
        <f>+'[1]Data for 2nd TU'!$B$43</f>
        <v>3.1848807346377295E-2</v>
      </c>
      <c r="D7" s="85">
        <f>+'[1]Data for 2nd TU'!$B$48</f>
        <v>8.8359370314842575E-2</v>
      </c>
      <c r="E7" s="85">
        <f>+C7+D7</f>
        <v>0.12020817766121987</v>
      </c>
      <c r="F7" s="86">
        <f>+B7-E7</f>
        <v>-4.3208177661219871E-2</v>
      </c>
      <c r="G7" s="30">
        <f>'[1]Data for 2nd TU'!C16</f>
        <v>5002500</v>
      </c>
      <c r="H7" s="24">
        <f>+G7*B7</f>
        <v>385192.5</v>
      </c>
      <c r="I7" s="24">
        <f>+G7*C7</f>
        <v>159323.65875025242</v>
      </c>
      <c r="J7" s="24">
        <f>+G7*D7</f>
        <v>442017.75</v>
      </c>
      <c r="K7" s="24">
        <f>+H7-I7-J7</f>
        <v>-216148.90875025242</v>
      </c>
      <c r="M7" s="3"/>
      <c r="N7" s="87"/>
      <c r="O7" s="88"/>
      <c r="P7" s="88"/>
      <c r="Q7" s="88"/>
      <c r="R7" s="89"/>
      <c r="S7" s="90"/>
      <c r="T7" s="18"/>
      <c r="U7" s="3"/>
      <c r="V7" s="3"/>
      <c r="W7" s="88"/>
      <c r="X7" s="88"/>
      <c r="Y7" s="88"/>
      <c r="Z7" s="88"/>
      <c r="AA7" s="89"/>
      <c r="AB7" s="90"/>
      <c r="AC7" s="18"/>
      <c r="AD7" s="9"/>
      <c r="AE7" s="3"/>
      <c r="AF7" s="3"/>
    </row>
    <row r="8" spans="1:32" hidden="1" x14ac:dyDescent="0.3">
      <c r="A8" s="91" t="s">
        <v>13</v>
      </c>
      <c r="B8" s="88">
        <f>+'[1]Data for 2nd TU'!D34</f>
        <v>8.8999999999999996E-2</v>
      </c>
      <c r="C8" s="88">
        <f>+'[1]Data for 2nd TU'!$B$43</f>
        <v>3.1848807346377295E-2</v>
      </c>
      <c r="D8" s="88">
        <f>+'[1]Data for 2nd TU'!$B$48</f>
        <v>8.8359370314842575E-2</v>
      </c>
      <c r="E8" s="88">
        <f t="shared" ref="E8:E11" si="0">+C8+D8</f>
        <v>0.12020817766121987</v>
      </c>
      <c r="F8" s="89">
        <f t="shared" ref="F8:F11" si="1">+B8-E8</f>
        <v>-3.1208177661219874E-2</v>
      </c>
      <c r="G8" s="30">
        <f>'[1]Data for 2nd TU'!C17</f>
        <v>7003500</v>
      </c>
      <c r="H8" s="24">
        <f t="shared" ref="H8:H11" si="2">+G8*B8</f>
        <v>623311.5</v>
      </c>
      <c r="I8" s="24">
        <f t="shared" ref="I8:I11" si="3">+G8*C8</f>
        <v>223053.12225035339</v>
      </c>
      <c r="J8" s="24">
        <f t="shared" ref="J8:J11" si="4">+G8*D8</f>
        <v>618824.85</v>
      </c>
      <c r="K8" s="24">
        <f t="shared" ref="K8:K11" si="5">+H8-I8-J8</f>
        <v>-218566.47225035337</v>
      </c>
      <c r="M8" s="3"/>
      <c r="N8" s="87"/>
      <c r="O8" s="88"/>
      <c r="P8" s="88"/>
      <c r="Q8" s="88"/>
      <c r="R8" s="89"/>
      <c r="S8" s="90"/>
      <c r="T8" s="18"/>
      <c r="U8" s="3"/>
      <c r="V8" s="3"/>
      <c r="W8" s="88"/>
      <c r="X8" s="88"/>
      <c r="Y8" s="88"/>
      <c r="Z8" s="88"/>
      <c r="AA8" s="89"/>
      <c r="AB8" s="90"/>
      <c r="AC8" s="18"/>
      <c r="AD8" s="9"/>
      <c r="AE8" s="3"/>
      <c r="AF8" s="3"/>
    </row>
    <row r="9" spans="1:32" hidden="1" x14ac:dyDescent="0.3">
      <c r="A9" s="91" t="s">
        <v>14</v>
      </c>
      <c r="B9" s="88">
        <f>+'[1]Data for 2nd TU'!D35</f>
        <v>6.5000000000000002E-2</v>
      </c>
      <c r="C9" s="88">
        <f>+'[1]Data for 2nd TU'!$B$43</f>
        <v>3.1848807346377295E-2</v>
      </c>
      <c r="D9" s="88">
        <f>+'[1]Data for 2nd TU'!$B$48</f>
        <v>8.8359370314842575E-2</v>
      </c>
      <c r="E9" s="88">
        <f t="shared" si="0"/>
        <v>0.12020817766121987</v>
      </c>
      <c r="F9" s="89">
        <f t="shared" si="1"/>
        <v>-5.5208177661219868E-2</v>
      </c>
      <c r="G9" s="30">
        <f>'[1]Data for 2nd TU'!C18</f>
        <v>100050000</v>
      </c>
      <c r="H9" s="24">
        <f t="shared" si="2"/>
        <v>6503250</v>
      </c>
      <c r="I9" s="24">
        <f t="shared" si="3"/>
        <v>3186473.1750050485</v>
      </c>
      <c r="J9" s="24">
        <f t="shared" si="4"/>
        <v>8840355</v>
      </c>
      <c r="K9" s="24">
        <f t="shared" si="5"/>
        <v>-5523578.1750050485</v>
      </c>
      <c r="M9" s="3"/>
      <c r="N9" s="87"/>
      <c r="O9" s="88"/>
      <c r="P9" s="88"/>
      <c r="Q9" s="88"/>
      <c r="R9" s="89"/>
      <c r="S9" s="90"/>
      <c r="T9" s="18"/>
      <c r="U9" s="3"/>
      <c r="V9" s="3"/>
      <c r="W9" s="88"/>
      <c r="X9" s="88"/>
      <c r="Y9" s="88"/>
      <c r="Z9" s="88"/>
      <c r="AA9" s="89"/>
      <c r="AB9" s="90"/>
      <c r="AC9" s="18"/>
      <c r="AD9" s="9"/>
      <c r="AE9" s="3"/>
      <c r="AF9" s="3"/>
    </row>
    <row r="10" spans="1:32" hidden="1" x14ac:dyDescent="0.3">
      <c r="A10" s="91" t="s">
        <v>15</v>
      </c>
      <c r="B10" s="88">
        <f>+'[1]Data for 2nd TU'!D36</f>
        <v>9.4E-2</v>
      </c>
      <c r="C10" s="88">
        <f>+'[1]Data for 2nd TU'!$B$43</f>
        <v>3.1848807346377295E-2</v>
      </c>
      <c r="D10" s="88">
        <f>+'[1]Data for 2nd TU'!$B$48</f>
        <v>8.8359370314842575E-2</v>
      </c>
      <c r="E10" s="88">
        <f t="shared" si="0"/>
        <v>0.12020817766121987</v>
      </c>
      <c r="F10" s="89">
        <f t="shared" si="1"/>
        <v>-2.620817766121987E-2</v>
      </c>
      <c r="G10" s="30">
        <f>'[1]Data for 2nd TU'!C19</f>
        <v>50025000</v>
      </c>
      <c r="H10" s="24">
        <f t="shared" si="2"/>
        <v>4702350</v>
      </c>
      <c r="I10" s="24">
        <f t="shared" si="3"/>
        <v>1593236.5875025243</v>
      </c>
      <c r="J10" s="24">
        <f t="shared" si="4"/>
        <v>4420177.5</v>
      </c>
      <c r="K10" s="24">
        <f t="shared" si="5"/>
        <v>-1311064.0875025243</v>
      </c>
      <c r="M10" s="3"/>
      <c r="N10" s="87"/>
      <c r="O10" s="88"/>
      <c r="P10" s="88"/>
      <c r="Q10" s="88"/>
      <c r="R10" s="89"/>
      <c r="S10" s="90"/>
      <c r="T10" s="18"/>
      <c r="U10" s="3"/>
      <c r="V10" s="3"/>
      <c r="W10" s="88"/>
      <c r="X10" s="88"/>
      <c r="Y10" s="88"/>
      <c r="Z10" s="88"/>
      <c r="AA10" s="89"/>
      <c r="AB10" s="90"/>
      <c r="AC10" s="18"/>
      <c r="AD10" s="9"/>
      <c r="AE10" s="3"/>
      <c r="AF10" s="3"/>
    </row>
    <row r="11" spans="1:32" hidden="1" x14ac:dyDescent="0.3">
      <c r="A11" s="92" t="s">
        <v>16</v>
      </c>
      <c r="B11" s="93">
        <f>+'[1]Data for 2nd TU'!D37</f>
        <v>0.13200000000000001</v>
      </c>
      <c r="C11" s="93">
        <f>+'[1]Data for 2nd TU'!$B$43</f>
        <v>3.1848807346377295E-2</v>
      </c>
      <c r="D11" s="93">
        <f>+'[1]Data for 2nd TU'!$B$48</f>
        <v>8.8359370314842575E-2</v>
      </c>
      <c r="E11" s="93">
        <f t="shared" si="0"/>
        <v>0.12020817766121987</v>
      </c>
      <c r="F11" s="94">
        <f t="shared" si="1"/>
        <v>1.1791822338780136E-2</v>
      </c>
      <c r="G11" s="30">
        <f>'[1]Data for 2nd TU'!C20</f>
        <v>63031500.000000007</v>
      </c>
      <c r="H11" s="24">
        <f t="shared" si="2"/>
        <v>8320158.0000000009</v>
      </c>
      <c r="I11" s="24">
        <f t="shared" si="3"/>
        <v>2007478.1002531806</v>
      </c>
      <c r="J11" s="24">
        <f t="shared" si="4"/>
        <v>5569423.6500000004</v>
      </c>
      <c r="K11" s="24">
        <f t="shared" si="5"/>
        <v>743256.24974681996</v>
      </c>
      <c r="M11" s="3"/>
      <c r="N11" s="87"/>
      <c r="O11" s="88"/>
      <c r="P11" s="88"/>
      <c r="Q11" s="88"/>
      <c r="R11" s="89"/>
      <c r="S11" s="90"/>
      <c r="T11" s="18"/>
      <c r="U11" s="3"/>
      <c r="V11" s="3"/>
      <c r="W11" s="88"/>
      <c r="X11" s="88"/>
      <c r="Y11" s="88"/>
      <c r="Z11" s="88"/>
      <c r="AA11" s="89"/>
      <c r="AB11" s="90"/>
      <c r="AC11" s="18"/>
      <c r="AD11" s="9"/>
      <c r="AE11" s="3"/>
      <c r="AF11" s="3"/>
    </row>
    <row r="12" spans="1:32" ht="15" hidden="1" thickBot="1" x14ac:dyDescent="0.35">
      <c r="B12" s="95">
        <f>+H12/G12</f>
        <v>9.1217777777777773E-2</v>
      </c>
      <c r="G12" s="21">
        <f>SUM(G7:G11)</f>
        <v>225112500</v>
      </c>
      <c r="H12" s="59">
        <f t="shared" ref="H12:J12" si="6">SUM(H7:H11)</f>
        <v>20534262</v>
      </c>
      <c r="I12" s="59">
        <f t="shared" si="6"/>
        <v>7169564.6437613592</v>
      </c>
      <c r="J12" s="59">
        <f t="shared" si="6"/>
        <v>19890798.75</v>
      </c>
      <c r="K12" s="41">
        <f>SUM(K7:K11)</f>
        <v>-6526101.3937613582</v>
      </c>
      <c r="M12" s="3"/>
      <c r="N12" s="3"/>
      <c r="O12" s="3"/>
      <c r="P12" s="3"/>
      <c r="Q12" s="18"/>
      <c r="R12" s="18"/>
      <c r="S12" s="17"/>
      <c r="T12" s="18"/>
      <c r="U12" s="3"/>
      <c r="V12" s="3"/>
      <c r="W12" s="3"/>
      <c r="X12" s="3"/>
      <c r="Y12" s="3"/>
      <c r="Z12" s="18"/>
      <c r="AA12" s="18"/>
      <c r="AB12" s="17"/>
      <c r="AC12" s="18"/>
      <c r="AD12" s="9"/>
      <c r="AE12" s="3"/>
      <c r="AF12" s="3"/>
    </row>
    <row r="13" spans="1:32" x14ac:dyDescent="0.3">
      <c r="I13" s="44"/>
      <c r="J13" s="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x14ac:dyDescent="0.35">
      <c r="A14" s="1" t="s">
        <v>86</v>
      </c>
      <c r="M14" s="79"/>
      <c r="N14" s="3"/>
      <c r="O14" s="3"/>
      <c r="P14" s="3"/>
      <c r="Q14" s="3"/>
      <c r="R14" s="3"/>
      <c r="S14" s="3"/>
      <c r="T14" s="3"/>
      <c r="U14" s="3"/>
      <c r="V14" s="79"/>
      <c r="W14" s="3"/>
      <c r="X14" s="3"/>
      <c r="Y14" s="3"/>
      <c r="Z14" s="3"/>
      <c r="AA14" s="96"/>
      <c r="AB14" s="3"/>
      <c r="AC14" s="3"/>
      <c r="AD14" s="3"/>
      <c r="AE14" s="3"/>
      <c r="AF14" s="3"/>
    </row>
    <row r="15" spans="1:32" x14ac:dyDescent="0.3">
      <c r="A15" s="2"/>
      <c r="C15" s="105"/>
      <c r="G15" s="31"/>
      <c r="M15" s="79"/>
      <c r="N15" s="97"/>
      <c r="O15" s="97"/>
      <c r="P15" s="97"/>
      <c r="Q15" s="97"/>
      <c r="R15" s="97"/>
      <c r="S15" s="31"/>
      <c r="T15" s="31"/>
      <c r="V15" s="79"/>
      <c r="W15" s="97"/>
      <c r="X15" s="97"/>
      <c r="Y15" s="97"/>
      <c r="AA15" s="65"/>
    </row>
    <row r="16" spans="1:32" x14ac:dyDescent="0.3">
      <c r="A16" s="2" t="s">
        <v>66</v>
      </c>
      <c r="E16" s="105"/>
      <c r="H16" s="105"/>
      <c r="I16" s="105"/>
      <c r="J16" s="105"/>
      <c r="K16" s="105"/>
      <c r="M16" s="3"/>
      <c r="N16" s="16"/>
      <c r="O16" s="17"/>
      <c r="P16" s="18"/>
      <c r="Q16" s="18"/>
      <c r="R16" s="18"/>
      <c r="S16" s="24"/>
      <c r="T16" s="24"/>
      <c r="V16" s="3"/>
      <c r="W16" s="16"/>
      <c r="X16" s="17"/>
      <c r="Y16" s="18"/>
      <c r="AA16" s="65"/>
    </row>
    <row r="17" spans="1:27" ht="43.2" x14ac:dyDescent="0.3">
      <c r="A17" s="80" t="s">
        <v>56</v>
      </c>
      <c r="B17" s="81" t="s">
        <v>57</v>
      </c>
      <c r="C17" s="82" t="s">
        <v>67</v>
      </c>
      <c r="D17" s="81" t="s">
        <v>59</v>
      </c>
      <c r="E17" s="82" t="s">
        <v>60</v>
      </c>
      <c r="F17" s="81" t="s">
        <v>61</v>
      </c>
      <c r="G17" s="81" t="s">
        <v>152</v>
      </c>
      <c r="H17" s="82" t="s">
        <v>68</v>
      </c>
      <c r="I17" s="82" t="s">
        <v>69</v>
      </c>
      <c r="J17" s="82" t="s">
        <v>64</v>
      </c>
      <c r="K17" s="82" t="s">
        <v>84</v>
      </c>
      <c r="L17" s="244" t="s">
        <v>138</v>
      </c>
      <c r="M17" s="244" t="s">
        <v>139</v>
      </c>
      <c r="N17" s="16"/>
      <c r="O17" s="17"/>
      <c r="P17" s="18"/>
      <c r="Q17" s="18"/>
      <c r="R17" s="18"/>
      <c r="S17" s="24"/>
      <c r="T17" s="24"/>
      <c r="V17" s="3"/>
      <c r="W17" s="16"/>
      <c r="X17" s="17"/>
      <c r="Y17" s="18"/>
      <c r="AA17" s="65"/>
    </row>
    <row r="18" spans="1:27" x14ac:dyDescent="0.3">
      <c r="A18" s="84" t="s">
        <v>12</v>
      </c>
      <c r="B18" s="110">
        <f>'Veridian - 2020'!C67</f>
        <v>0.11955404125227219</v>
      </c>
      <c r="C18" s="85">
        <f>'Veridian - 2020'!C44</f>
        <v>1.4318270649374338E-2</v>
      </c>
      <c r="D18" s="110">
        <f>'Veridian - 2020'!C49</f>
        <v>0.11776519254907584</v>
      </c>
      <c r="E18" s="110">
        <f>+C18+D18</f>
        <v>0.13208346319845019</v>
      </c>
      <c r="F18" s="206">
        <f>+B18-E18</f>
        <v>-1.2529421946177996E-2</v>
      </c>
      <c r="G18" s="207">
        <f>'Veridian - 2020'!D17</f>
        <v>83114455.187393367</v>
      </c>
      <c r="H18" s="24">
        <f>+G18*B18</f>
        <v>9936669.0041337553</v>
      </c>
      <c r="I18" s="38">
        <f>+C18*G18</f>
        <v>1190055.2642483932</v>
      </c>
      <c r="J18" s="24">
        <f>+G18*D18</f>
        <v>9787989.8187549151</v>
      </c>
      <c r="K18" s="24">
        <f>+H18-I18-J18</f>
        <v>-1041376.0788695533</v>
      </c>
      <c r="L18" s="205">
        <v>-267314.48070330702</v>
      </c>
      <c r="M18" s="38">
        <f>K18-L18</f>
        <v>-774061.5981662462</v>
      </c>
      <c r="N18" s="9"/>
      <c r="O18" s="9"/>
      <c r="P18" s="18"/>
      <c r="Q18" s="18"/>
      <c r="R18" s="18"/>
      <c r="S18" s="18"/>
      <c r="T18" s="18"/>
      <c r="V18" s="3"/>
      <c r="W18" s="3"/>
      <c r="X18" s="3"/>
      <c r="Y18" s="18"/>
      <c r="AA18" s="65"/>
    </row>
    <row r="19" spans="1:27" x14ac:dyDescent="0.3">
      <c r="A19" s="91" t="s">
        <v>13</v>
      </c>
      <c r="B19" s="111">
        <f>'Veridian - 2020'!C68</f>
        <v>0.13951072904661246</v>
      </c>
      <c r="C19" s="88">
        <f>C18</f>
        <v>1.4318270649374338E-2</v>
      </c>
      <c r="D19" s="111">
        <f>D18</f>
        <v>0.11776519254907584</v>
      </c>
      <c r="E19" s="111">
        <f>+C19+D19</f>
        <v>0.13208346319845019</v>
      </c>
      <c r="F19" s="208">
        <f t="shared" ref="F19:F22" si="7">+B19-E19</f>
        <v>7.4272658481622789E-3</v>
      </c>
      <c r="G19" s="207">
        <f>'Veridian - 2020'!D18</f>
        <v>42227967.1371985</v>
      </c>
      <c r="H19" s="24">
        <f t="shared" ref="H19:H22" si="8">+G19*B19</f>
        <v>5891254.4814669555</v>
      </c>
      <c r="I19" s="24">
        <f>+C19*G19</f>
        <v>604631.46244329342</v>
      </c>
      <c r="J19" s="24">
        <f t="shared" ref="J19:J22" si="9">+G19*D19</f>
        <v>4972984.6808682289</v>
      </c>
      <c r="K19" s="24">
        <f>+H19-I19-J19</f>
        <v>313638.33815543354</v>
      </c>
      <c r="L19" s="205">
        <v>-114002.95226103799</v>
      </c>
      <c r="M19" s="38">
        <f t="shared" ref="M19:M22" si="10">K19-L19</f>
        <v>427641.29041647154</v>
      </c>
      <c r="N19" s="3"/>
      <c r="O19" s="9"/>
      <c r="P19" s="3"/>
      <c r="Q19" s="3"/>
      <c r="R19" s="3"/>
      <c r="V19" s="3"/>
      <c r="W19" s="3"/>
      <c r="X19" s="3"/>
      <c r="Y19" s="3"/>
      <c r="AA19" s="65"/>
    </row>
    <row r="20" spans="1:27" x14ac:dyDescent="0.3">
      <c r="A20" s="91" t="s">
        <v>14</v>
      </c>
      <c r="B20" s="111">
        <f>'Veridian - 2020'!C69</f>
        <v>0.1130312264127733</v>
      </c>
      <c r="C20" s="88">
        <f>C19</f>
        <v>1.4318270649374338E-2</v>
      </c>
      <c r="D20" s="111">
        <f>D18</f>
        <v>0.11776519254907584</v>
      </c>
      <c r="E20" s="111">
        <f>+C20+D20</f>
        <v>0.13208346319845019</v>
      </c>
      <c r="F20" s="208">
        <f t="shared" si="7"/>
        <v>-1.9052236785676885E-2</v>
      </c>
      <c r="G20" s="207">
        <f>'Veridian - 2020'!D19</f>
        <v>808907657.22139037</v>
      </c>
      <c r="H20" s="24">
        <f t="shared" si="8"/>
        <v>91431824.550416991</v>
      </c>
      <c r="I20" s="24">
        <f>+C20*G20</f>
        <v>11582158.766447192</v>
      </c>
      <c r="J20" s="24">
        <f t="shared" si="9"/>
        <v>95261166.007098883</v>
      </c>
      <c r="K20" s="24">
        <f>+H20-I20-J20</f>
        <v>-15411500.223129079</v>
      </c>
      <c r="L20" s="205">
        <v>-3009496.3525817399</v>
      </c>
      <c r="M20" s="38">
        <f t="shared" si="10"/>
        <v>-12402003.870547339</v>
      </c>
      <c r="N20" s="3"/>
      <c r="O20" s="3"/>
      <c r="P20" s="3"/>
      <c r="Q20" s="3"/>
      <c r="R20" s="3"/>
      <c r="V20" s="79"/>
      <c r="W20" s="3"/>
      <c r="X20" s="3"/>
      <c r="Y20" s="3"/>
    </row>
    <row r="21" spans="1:27" x14ac:dyDescent="0.3">
      <c r="A21" s="91" t="s">
        <v>15</v>
      </c>
      <c r="B21" s="111">
        <f>'Veridian - 2020'!C70</f>
        <v>0.12974926572992024</v>
      </c>
      <c r="C21" s="88">
        <f>C20</f>
        <v>1.4318270649374338E-2</v>
      </c>
      <c r="D21" s="111">
        <f>D18</f>
        <v>0.11776519254907584</v>
      </c>
      <c r="E21" s="111">
        <f>+C21+D21</f>
        <v>0.13208346319845019</v>
      </c>
      <c r="F21" s="208">
        <f t="shared" si="7"/>
        <v>-2.3341974685299471E-3</v>
      </c>
      <c r="G21" s="207">
        <f>'Veridian - 2020'!D20</f>
        <v>243885110.48529753</v>
      </c>
      <c r="H21" s="24">
        <f t="shared" si="8"/>
        <v>31643914.007927828</v>
      </c>
      <c r="I21" s="24">
        <f>+C21*G21</f>
        <v>3492013.0192810534</v>
      </c>
      <c r="J21" s="24">
        <f t="shared" si="9"/>
        <v>28721176.996153701</v>
      </c>
      <c r="K21" s="24">
        <f>+H21-I21-J21</f>
        <v>-569276.00750692561</v>
      </c>
      <c r="L21" s="205">
        <v>-341176.48372687399</v>
      </c>
      <c r="M21" s="38">
        <f t="shared" si="10"/>
        <v>-228099.52378005162</v>
      </c>
      <c r="N21" s="3"/>
      <c r="O21" s="3"/>
      <c r="P21" s="9"/>
      <c r="Q21" s="9"/>
      <c r="R21" s="9"/>
      <c r="S21" s="44"/>
      <c r="T21" s="44"/>
      <c r="V21" s="3"/>
      <c r="W21" s="3"/>
      <c r="X21" s="3"/>
      <c r="Y21" s="9"/>
    </row>
    <row r="22" spans="1:27" x14ac:dyDescent="0.3">
      <c r="A22" s="92" t="s">
        <v>16</v>
      </c>
      <c r="B22" s="112">
        <f>'Veridian - 2020'!C71</f>
        <v>0.15579056102209465</v>
      </c>
      <c r="C22" s="93">
        <f>C21</f>
        <v>1.4318270649374338E-2</v>
      </c>
      <c r="D22" s="112">
        <f>D18</f>
        <v>0.11776519254907584</v>
      </c>
      <c r="E22" s="112">
        <f t="shared" ref="E22" si="11">+C22+D22</f>
        <v>0.13208346319845019</v>
      </c>
      <c r="F22" s="209">
        <f t="shared" si="7"/>
        <v>2.3707097823644468E-2</v>
      </c>
      <c r="G22" s="260">
        <f>'Veridian - 2020'!D21</f>
        <v>231276023.66473857</v>
      </c>
      <c r="H22" s="261">
        <f t="shared" si="8"/>
        <v>36030621.477688864</v>
      </c>
      <c r="I22" s="261">
        <f>+C22*G22</f>
        <v>3311472.701542831</v>
      </c>
      <c r="J22" s="261">
        <f t="shared" si="9"/>
        <v>27236265.458862558</v>
      </c>
      <c r="K22" s="261">
        <f>+H22-I22-J22</f>
        <v>5482883.3172834739</v>
      </c>
      <c r="L22" s="205">
        <v>255426.658822728</v>
      </c>
      <c r="M22" s="38">
        <f t="shared" si="10"/>
        <v>5227456.6584607456</v>
      </c>
      <c r="N22" s="3"/>
      <c r="O22" s="3"/>
      <c r="P22" s="9"/>
      <c r="Q22" s="9"/>
      <c r="R22" s="9"/>
      <c r="S22" s="44"/>
      <c r="T22" s="44"/>
      <c r="V22" s="3"/>
      <c r="W22" s="3"/>
      <c r="X22" s="3"/>
      <c r="Y22" s="9"/>
    </row>
    <row r="23" spans="1:27" x14ac:dyDescent="0.3">
      <c r="A23" s="218"/>
      <c r="B23" s="111"/>
      <c r="C23" s="88"/>
      <c r="D23" s="111"/>
      <c r="E23" s="111"/>
      <c r="F23" s="208"/>
      <c r="G23" s="207"/>
      <c r="H23" s="24"/>
      <c r="I23" s="38"/>
      <c r="J23" s="24"/>
      <c r="K23" s="24">
        <f>H23-I23-J23</f>
        <v>0</v>
      </c>
      <c r="L23" s="205"/>
      <c r="M23" s="38"/>
      <c r="N23" s="246"/>
      <c r="O23" s="3"/>
      <c r="P23" s="9"/>
      <c r="Q23" s="9"/>
      <c r="R23" s="9"/>
      <c r="S23" s="44"/>
      <c r="T23" s="44"/>
      <c r="V23" s="3"/>
      <c r="W23" s="3"/>
      <c r="X23" s="3"/>
      <c r="Y23" s="9"/>
    </row>
    <row r="24" spans="1:27" ht="15" thickBot="1" x14ac:dyDescent="0.35">
      <c r="B24" s="95">
        <f>+H24/G24</f>
        <v>0.12411869709968421</v>
      </c>
      <c r="G24" s="263">
        <f>SUM(G18:G23)</f>
        <v>1409411213.6960185</v>
      </c>
      <c r="H24" s="59">
        <f>SUM(H18:H23)</f>
        <v>174934283.5216344</v>
      </c>
      <c r="I24" s="59">
        <f>SUM(I18:I23)</f>
        <v>20180331.213962764</v>
      </c>
      <c r="J24" s="59">
        <f>SUM(J18:J23)</f>
        <v>165979582.96173829</v>
      </c>
      <c r="K24" s="59">
        <f>SUM(K18:K23)</f>
        <v>-11225630.65406665</v>
      </c>
      <c r="L24" s="41">
        <f>SUM(L18:L22)</f>
        <v>-3476563.610450231</v>
      </c>
      <c r="M24" s="41">
        <f>SUM(M18:M22)</f>
        <v>-7749067.0436164197</v>
      </c>
      <c r="N24" s="3"/>
      <c r="O24" s="9"/>
      <c r="P24" s="18"/>
      <c r="Q24" s="18"/>
      <c r="R24" s="18"/>
      <c r="S24" s="18"/>
      <c r="T24" s="18"/>
      <c r="V24" s="3"/>
      <c r="W24" s="3"/>
      <c r="X24" s="3"/>
      <c r="Y24" s="18"/>
    </row>
    <row r="25" spans="1:27" x14ac:dyDescent="0.3">
      <c r="A25" s="3"/>
      <c r="B25" s="3"/>
      <c r="C25" s="3"/>
      <c r="D25" s="3"/>
      <c r="E25" s="3"/>
      <c r="H25" s="19"/>
      <c r="I25" s="19" t="s">
        <v>110</v>
      </c>
      <c r="M25" s="17"/>
      <c r="N25" s="3"/>
      <c r="O25" s="3"/>
      <c r="P25" s="3"/>
      <c r="Q25" s="3"/>
      <c r="R25" s="3"/>
      <c r="V25" s="3"/>
      <c r="W25" s="3"/>
      <c r="X25" s="3"/>
      <c r="Y25" s="3"/>
    </row>
    <row r="26" spans="1:27" ht="18" hidden="1" x14ac:dyDescent="0.35">
      <c r="A26" s="1" t="s">
        <v>70</v>
      </c>
      <c r="M26" s="98"/>
      <c r="N26" s="3"/>
      <c r="O26" s="3"/>
      <c r="P26" s="3"/>
      <c r="Q26" s="3"/>
      <c r="R26" s="3"/>
      <c r="V26" s="3"/>
      <c r="W26" s="3"/>
      <c r="X26" s="3"/>
      <c r="Y26" s="3"/>
    </row>
    <row r="27" spans="1:27" ht="18" hidden="1" x14ac:dyDescent="0.35">
      <c r="A27" s="1"/>
      <c r="M27" s="98"/>
      <c r="N27" s="3"/>
      <c r="O27" s="3"/>
      <c r="P27" s="3"/>
      <c r="Q27" s="3"/>
      <c r="R27" s="3"/>
      <c r="V27" s="3"/>
      <c r="W27" s="3"/>
      <c r="X27" s="3"/>
      <c r="Y27" s="3"/>
    </row>
    <row r="28" spans="1:27" hidden="1" x14ac:dyDescent="0.3">
      <c r="A28" s="2" t="s">
        <v>71</v>
      </c>
      <c r="M28" s="98"/>
      <c r="N28" s="3"/>
      <c r="O28" s="3"/>
      <c r="P28" s="3"/>
      <c r="Q28" s="3"/>
      <c r="R28" s="3"/>
      <c r="V28" s="3"/>
      <c r="W28" s="3"/>
      <c r="X28" s="3"/>
      <c r="Y28" s="3"/>
    </row>
    <row r="29" spans="1:27" ht="43.2" hidden="1" x14ac:dyDescent="0.3">
      <c r="A29" s="99" t="s">
        <v>72</v>
      </c>
      <c r="B29" s="81" t="s">
        <v>57</v>
      </c>
      <c r="C29" s="82" t="s">
        <v>73</v>
      </c>
      <c r="D29" s="82" t="s">
        <v>74</v>
      </c>
      <c r="E29" s="82" t="s">
        <v>60</v>
      </c>
      <c r="F29" s="81" t="s">
        <v>61</v>
      </c>
      <c r="G29" s="81" t="s">
        <v>10</v>
      </c>
      <c r="H29" s="82" t="s">
        <v>75</v>
      </c>
      <c r="I29" s="82" t="s">
        <v>76</v>
      </c>
      <c r="J29" s="82" t="s">
        <v>77</v>
      </c>
      <c r="K29" s="82" t="s">
        <v>78</v>
      </c>
      <c r="M29" s="47"/>
      <c r="N29" s="100"/>
    </row>
    <row r="30" spans="1:27" hidden="1" x14ac:dyDescent="0.3">
      <c r="A30" s="84" t="s">
        <v>12</v>
      </c>
      <c r="B30" s="101">
        <f t="shared" ref="B30:G34" si="12">+B7-B18</f>
        <v>-4.255404125227219E-2</v>
      </c>
      <c r="C30" s="85">
        <f t="shared" si="12"/>
        <v>1.7530536697002955E-2</v>
      </c>
      <c r="D30" s="85">
        <f t="shared" si="12"/>
        <v>-2.940582223423327E-2</v>
      </c>
      <c r="E30" s="85">
        <f t="shared" si="12"/>
        <v>-1.1875285537230315E-2</v>
      </c>
      <c r="F30" s="86">
        <f t="shared" si="12"/>
        <v>-3.0678755715041875E-2</v>
      </c>
      <c r="G30" s="30">
        <f t="shared" si="12"/>
        <v>-78111955.187393367</v>
      </c>
      <c r="H30" s="24">
        <f t="shared" ref="H30:J34" si="13">+H18-H7</f>
        <v>9551476.5041337553</v>
      </c>
      <c r="I30" s="24">
        <f t="shared" si="13"/>
        <v>1030731.6054981408</v>
      </c>
      <c r="J30" s="24">
        <f t="shared" si="13"/>
        <v>9345972.0687549151</v>
      </c>
      <c r="K30" s="24">
        <f>+H30-I30-J30</f>
        <v>-825227.17011930048</v>
      </c>
      <c r="M30" s="44"/>
      <c r="N30" s="62"/>
    </row>
    <row r="31" spans="1:27" hidden="1" x14ac:dyDescent="0.3">
      <c r="A31" s="91" t="s">
        <v>13</v>
      </c>
      <c r="B31" s="87">
        <f t="shared" si="12"/>
        <v>-5.0510729046612468E-2</v>
      </c>
      <c r="C31" s="88">
        <f t="shared" si="12"/>
        <v>1.7530536697002955E-2</v>
      </c>
      <c r="D31" s="88">
        <f t="shared" si="12"/>
        <v>-2.940582223423327E-2</v>
      </c>
      <c r="E31" s="88">
        <f t="shared" si="12"/>
        <v>-1.1875285537230315E-2</v>
      </c>
      <c r="F31" s="89">
        <f t="shared" si="12"/>
        <v>-3.8635443509382153E-2</v>
      </c>
      <c r="G31" s="30">
        <f t="shared" si="12"/>
        <v>-35224467.1371985</v>
      </c>
      <c r="H31" s="24">
        <f t="shared" si="13"/>
        <v>5267942.9814669555</v>
      </c>
      <c r="I31" s="24">
        <f t="shared" si="13"/>
        <v>381578.34019294003</v>
      </c>
      <c r="J31" s="24">
        <f t="shared" si="13"/>
        <v>4354159.8308682293</v>
      </c>
      <c r="K31" s="24">
        <f t="shared" ref="K31:K34" si="14">+H31-I31-J31</f>
        <v>532204.81040578615</v>
      </c>
      <c r="M31" s="44"/>
      <c r="N31" s="62"/>
    </row>
    <row r="32" spans="1:27" hidden="1" x14ac:dyDescent="0.3">
      <c r="A32" s="91" t="s">
        <v>14</v>
      </c>
      <c r="B32" s="87">
        <f t="shared" si="12"/>
        <v>-4.8031226412773298E-2</v>
      </c>
      <c r="C32" s="88">
        <f t="shared" si="12"/>
        <v>1.7530536697002955E-2</v>
      </c>
      <c r="D32" s="88">
        <f t="shared" si="12"/>
        <v>-2.940582223423327E-2</v>
      </c>
      <c r="E32" s="88">
        <f t="shared" si="12"/>
        <v>-1.1875285537230315E-2</v>
      </c>
      <c r="F32" s="89">
        <f t="shared" si="12"/>
        <v>-3.6155940875542983E-2</v>
      </c>
      <c r="G32" s="30">
        <f t="shared" si="12"/>
        <v>-708857657.22139037</v>
      </c>
      <c r="H32" s="24">
        <f t="shared" si="13"/>
        <v>84928574.550416991</v>
      </c>
      <c r="I32" s="24">
        <f t="shared" si="13"/>
        <v>8395685.5914421435</v>
      </c>
      <c r="J32" s="24">
        <f t="shared" si="13"/>
        <v>86420811.007098883</v>
      </c>
      <c r="K32" s="24">
        <f t="shared" si="14"/>
        <v>-9887922.0481240302</v>
      </c>
      <c r="M32" s="44"/>
      <c r="N32" s="62"/>
    </row>
    <row r="33" spans="1:14" hidden="1" x14ac:dyDescent="0.3">
      <c r="A33" s="91" t="s">
        <v>15</v>
      </c>
      <c r="B33" s="87">
        <f t="shared" si="12"/>
        <v>-3.5749265729920238E-2</v>
      </c>
      <c r="C33" s="88">
        <f t="shared" si="12"/>
        <v>1.7530536697002955E-2</v>
      </c>
      <c r="D33" s="88">
        <f t="shared" si="12"/>
        <v>-2.940582223423327E-2</v>
      </c>
      <c r="E33" s="88">
        <f t="shared" si="12"/>
        <v>-1.1875285537230315E-2</v>
      </c>
      <c r="F33" s="89">
        <f t="shared" si="12"/>
        <v>-2.3873980192689923E-2</v>
      </c>
      <c r="G33" s="30">
        <f t="shared" si="12"/>
        <v>-193860110.48529753</v>
      </c>
      <c r="H33" s="24">
        <f t="shared" si="13"/>
        <v>26941564.007927828</v>
      </c>
      <c r="I33" s="24">
        <f t="shared" si="13"/>
        <v>1898776.4317785292</v>
      </c>
      <c r="J33" s="24">
        <f t="shared" si="13"/>
        <v>24300999.496153701</v>
      </c>
      <c r="K33" s="24">
        <f t="shared" si="14"/>
        <v>741788.07999559864</v>
      </c>
      <c r="M33" s="44"/>
      <c r="N33" s="62"/>
    </row>
    <row r="34" spans="1:14" hidden="1" x14ac:dyDescent="0.3">
      <c r="A34" s="92" t="s">
        <v>16</v>
      </c>
      <c r="B34" s="102">
        <f t="shared" si="12"/>
        <v>-2.3790561022094647E-2</v>
      </c>
      <c r="C34" s="93">
        <f t="shared" si="12"/>
        <v>1.7530536697002955E-2</v>
      </c>
      <c r="D34" s="93">
        <f t="shared" si="12"/>
        <v>-2.940582223423327E-2</v>
      </c>
      <c r="E34" s="93">
        <f t="shared" si="12"/>
        <v>-1.1875285537230315E-2</v>
      </c>
      <c r="F34" s="94">
        <f t="shared" si="12"/>
        <v>-1.1915275484864332E-2</v>
      </c>
      <c r="G34" s="30">
        <f t="shared" si="12"/>
        <v>-168244523.66473857</v>
      </c>
      <c r="H34" s="24">
        <f t="shared" si="13"/>
        <v>27710463.477688864</v>
      </c>
      <c r="I34" s="24">
        <f t="shared" si="13"/>
        <v>1303994.6012896504</v>
      </c>
      <c r="J34" s="24">
        <f t="shared" si="13"/>
        <v>21666841.808862559</v>
      </c>
      <c r="K34" s="24">
        <f t="shared" si="14"/>
        <v>4739627.0675366521</v>
      </c>
      <c r="M34" s="44"/>
      <c r="N34" s="62"/>
    </row>
    <row r="35" spans="1:14" ht="15" hidden="1" thickBot="1" x14ac:dyDescent="0.35">
      <c r="G35" s="21">
        <f>SUM(G30:G34)</f>
        <v>-1184298713.6960185</v>
      </c>
      <c r="H35" s="59">
        <f t="shared" ref="H35:J35" si="15">SUM(H30:H34)</f>
        <v>154400021.5216344</v>
      </c>
      <c r="I35" s="59">
        <f t="shared" si="15"/>
        <v>13010766.570201404</v>
      </c>
      <c r="J35" s="59">
        <f t="shared" si="15"/>
        <v>146088784.21173829</v>
      </c>
      <c r="K35" s="59">
        <f>SUM(K30:K34)</f>
        <v>-4699529.2603052929</v>
      </c>
    </row>
    <row r="36" spans="1:14" x14ac:dyDescent="0.3">
      <c r="A36" s="361" t="s">
        <v>153</v>
      </c>
      <c r="K36" s="23"/>
      <c r="M36" s="245" t="s">
        <v>140</v>
      </c>
    </row>
    <row r="37" spans="1:14" x14ac:dyDescent="0.3">
      <c r="J37" s="6"/>
      <c r="K37" s="44"/>
      <c r="M37" s="245" t="s">
        <v>141</v>
      </c>
    </row>
    <row r="38" spans="1:14" x14ac:dyDescent="0.3">
      <c r="J38" s="35"/>
      <c r="K38" s="44"/>
    </row>
    <row r="39" spans="1:14" x14ac:dyDescent="0.3">
      <c r="A39" s="19"/>
      <c r="J39" s="14"/>
      <c r="K39" s="44"/>
    </row>
    <row r="40" spans="1:14" x14ac:dyDescent="0.3">
      <c r="K40" s="269"/>
    </row>
  </sheetData>
  <pageMargins left="0.2" right="0.2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61"/>
  <sheetViews>
    <sheetView showGridLines="0" zoomScale="90" zoomScaleNormal="90" workbookViewId="0">
      <selection activeCell="C2" sqref="C2"/>
    </sheetView>
  </sheetViews>
  <sheetFormatPr defaultRowHeight="14.4" x14ac:dyDescent="0.3"/>
  <cols>
    <col min="1" max="1" width="23.88671875" customWidth="1"/>
    <col min="2" max="2" width="15.5546875" customWidth="1"/>
    <col min="3" max="3" width="17.44140625" bestFit="1" customWidth="1"/>
    <col min="4" max="4" width="13.5546875" customWidth="1"/>
    <col min="5" max="5" width="14.44140625" bestFit="1" customWidth="1"/>
    <col min="6" max="9" width="13.44140625" customWidth="1"/>
    <col min="10" max="10" width="25.44140625" customWidth="1"/>
    <col min="11" max="11" width="15.109375" style="118" customWidth="1"/>
    <col min="12" max="12" width="18" style="118" bestFit="1" customWidth="1"/>
    <col min="13" max="14" width="12.5546875" style="118" customWidth="1"/>
    <col min="15" max="16" width="9.6640625" bestFit="1" customWidth="1"/>
  </cols>
  <sheetData>
    <row r="1" spans="1:14" ht="25.8" x14ac:dyDescent="0.5">
      <c r="A1" s="289" t="s">
        <v>158</v>
      </c>
      <c r="B1" s="289"/>
      <c r="C1" s="289"/>
      <c r="D1" s="289"/>
      <c r="E1" s="289"/>
      <c r="F1" s="289"/>
      <c r="G1" s="289"/>
      <c r="H1" s="289"/>
      <c r="I1" s="289"/>
      <c r="J1" s="117"/>
    </row>
    <row r="2" spans="1:14" ht="25.8" x14ac:dyDescent="0.5">
      <c r="A2" s="119"/>
      <c r="B2" s="119"/>
      <c r="C2" s="119"/>
      <c r="D2" s="119"/>
      <c r="E2" s="119"/>
      <c r="F2" s="119"/>
      <c r="G2" s="119"/>
      <c r="H2" s="119"/>
      <c r="I2" s="119"/>
      <c r="J2" s="117"/>
    </row>
    <row r="3" spans="1:14" x14ac:dyDescent="0.3">
      <c r="A3" s="2" t="s">
        <v>89</v>
      </c>
      <c r="I3" s="3"/>
    </row>
    <row r="4" spans="1:14" ht="29.4" customHeight="1" thickBot="1" x14ac:dyDescent="0.35">
      <c r="A4" s="290" t="s">
        <v>90</v>
      </c>
      <c r="B4" s="291"/>
      <c r="C4" s="292"/>
      <c r="D4" s="293" t="s">
        <v>91</v>
      </c>
      <c r="E4" s="294"/>
      <c r="F4" s="295" t="s">
        <v>92</v>
      </c>
      <c r="G4" s="296"/>
      <c r="I4" s="13"/>
    </row>
    <row r="5" spans="1:14" ht="29.4" thickBot="1" x14ac:dyDescent="0.35">
      <c r="A5" s="120" t="s">
        <v>93</v>
      </c>
      <c r="B5" s="121" t="s">
        <v>94</v>
      </c>
      <c r="C5" s="121" t="s">
        <v>95</v>
      </c>
      <c r="D5" s="345" t="s">
        <v>87</v>
      </c>
      <c r="E5" s="346" t="s">
        <v>36</v>
      </c>
      <c r="F5" s="347" t="s">
        <v>147</v>
      </c>
      <c r="G5" s="346" t="s">
        <v>36</v>
      </c>
      <c r="H5" s="19"/>
      <c r="I5" s="13"/>
      <c r="K5" s="124"/>
      <c r="L5" s="125"/>
      <c r="M5" s="126"/>
    </row>
    <row r="6" spans="1:14" x14ac:dyDescent="0.3">
      <c r="A6" s="127" t="s">
        <v>96</v>
      </c>
      <c r="B6" s="128">
        <f>'Veridian - 2020'!D28</f>
        <v>1405990664.1712062</v>
      </c>
      <c r="C6" s="128">
        <f>'Veridian - 2020'!E28</f>
        <v>1405990664.1712062</v>
      </c>
      <c r="D6" s="348">
        <f>'VRZ 2020 RPP Final Settlement'!B24</f>
        <v>0.12411869709968421</v>
      </c>
      <c r="E6" s="256">
        <f>C6*D6</f>
        <v>174509729.37124977</v>
      </c>
      <c r="F6" s="349"/>
      <c r="G6" s="349"/>
      <c r="H6" s="19"/>
      <c r="I6" s="3"/>
      <c r="K6" s="124"/>
      <c r="L6" s="125"/>
      <c r="M6" s="126"/>
    </row>
    <row r="7" spans="1:14" s="118" customFormat="1" x14ac:dyDescent="0.3">
      <c r="A7" s="127" t="s">
        <v>97</v>
      </c>
      <c r="B7" s="129">
        <v>0</v>
      </c>
      <c r="C7" s="129">
        <f>-'Veridian - 2020'!D8</f>
        <v>605427414</v>
      </c>
      <c r="D7" s="350">
        <f>+'Veridian - 2020'!C86</f>
        <v>1.3529372993607068E-2</v>
      </c>
      <c r="E7" s="351">
        <f>+C7*D7</f>
        <v>8191053.3045609659</v>
      </c>
      <c r="F7" s="352"/>
      <c r="G7" s="351">
        <f>'Veridian - 2020'!E77</f>
        <v>41329269.890000001</v>
      </c>
      <c r="H7" s="326"/>
      <c r="I7"/>
      <c r="J7"/>
      <c r="K7" s="124"/>
      <c r="L7" s="124"/>
      <c r="N7" s="124"/>
    </row>
    <row r="8" spans="1:14" s="118" customFormat="1" x14ac:dyDescent="0.3">
      <c r="A8" s="248" t="s">
        <v>146</v>
      </c>
      <c r="B8" s="249">
        <f>'Veridian - 2020'!D78</f>
        <v>34262342.030000001</v>
      </c>
      <c r="C8" s="249"/>
      <c r="D8" s="250"/>
      <c r="E8" s="249"/>
      <c r="F8" s="350">
        <f>'Veridian - 2020'!C48</f>
        <v>0.11282008800606476</v>
      </c>
      <c r="G8" s="249">
        <f>F8*B8</f>
        <v>3865480.4431184917</v>
      </c>
      <c r="H8" s="326" t="s">
        <v>149</v>
      </c>
      <c r="I8" s="300">
        <f>(G8+G9)/(B8+B9)</f>
        <v>0.11194029133270156</v>
      </c>
      <c r="J8"/>
      <c r="K8" s="124"/>
      <c r="L8" s="124"/>
      <c r="N8" s="124"/>
    </row>
    <row r="9" spans="1:14" s="118" customFormat="1" ht="15" thickBot="1" x14ac:dyDescent="0.35">
      <c r="A9" s="127" t="s">
        <v>98</v>
      </c>
      <c r="B9" s="131">
        <f>'Veridian - 2020'!D29-B8</f>
        <v>632147070.18000042</v>
      </c>
      <c r="C9" s="131">
        <f>'Veridian - 2020'!D29</f>
        <v>666409412.2100004</v>
      </c>
      <c r="D9" s="243">
        <f>+'Veridian - 2020'!C86</f>
        <v>1.3529372993607068E-2</v>
      </c>
      <c r="E9" s="264">
        <f>+D9*C9</f>
        <v>9016101.5042395387</v>
      </c>
      <c r="F9" s="353">
        <f>+'Veridian - 2020'!C46</f>
        <v>0.11189260639360812</v>
      </c>
      <c r="G9" s="264">
        <f>B9*F9</f>
        <v>70732583.306523353</v>
      </c>
      <c r="H9" s="326" t="s">
        <v>148</v>
      </c>
      <c r="I9" s="300"/>
      <c r="J9"/>
      <c r="K9" s="154" t="s">
        <v>110</v>
      </c>
      <c r="N9" s="133"/>
    </row>
    <row r="10" spans="1:14" s="118" customFormat="1" ht="15" thickBot="1" x14ac:dyDescent="0.35">
      <c r="A10" s="130"/>
      <c r="B10" s="134">
        <f>SUM(B6:B9)</f>
        <v>2072400076.3812065</v>
      </c>
      <c r="C10" s="134">
        <f>SUM(C6:C9)</f>
        <v>2677827490.3812065</v>
      </c>
      <c r="D10" s="354"/>
      <c r="E10" s="355">
        <f>SUM(E6:E9)</f>
        <v>191716884.18005025</v>
      </c>
      <c r="F10" s="354"/>
      <c r="G10" s="355">
        <f>SUM(G6:G9)</f>
        <v>115927333.63964185</v>
      </c>
      <c r="H10" s="326" t="s">
        <v>110</v>
      </c>
      <c r="I10" s="266"/>
      <c r="J10" s="7" t="s">
        <v>110</v>
      </c>
      <c r="K10" s="124" t="s">
        <v>110</v>
      </c>
      <c r="L10" s="136"/>
      <c r="M10" s="137"/>
    </row>
    <row r="11" spans="1:14" s="118" customFormat="1" ht="15" thickTop="1" x14ac:dyDescent="0.3">
      <c r="A11" s="3"/>
      <c r="B11" s="17"/>
      <c r="C11" s="17"/>
      <c r="D11" s="3"/>
      <c r="E11" s="138"/>
      <c r="F11" s="75"/>
      <c r="G11" s="138"/>
      <c r="I11"/>
      <c r="J11"/>
      <c r="K11" s="124"/>
      <c r="L11" s="136"/>
      <c r="M11" s="137"/>
    </row>
    <row r="12" spans="1:14" ht="15" thickBot="1" x14ac:dyDescent="0.35">
      <c r="A12" s="2" t="s">
        <v>99</v>
      </c>
      <c r="E12" s="7"/>
      <c r="F12" s="265"/>
      <c r="G12" s="7"/>
      <c r="H12" s="265"/>
      <c r="K12" s="124"/>
      <c r="L12" s="125"/>
      <c r="M12" s="137"/>
    </row>
    <row r="13" spans="1:14" s="118" customFormat="1" ht="16.2" thickBot="1" x14ac:dyDescent="0.35">
      <c r="A13" s="139"/>
      <c r="B13" s="140"/>
      <c r="C13" s="141"/>
      <c r="D13" s="297" t="s">
        <v>100</v>
      </c>
      <c r="E13" s="298"/>
      <c r="F13" s="298"/>
      <c r="G13" s="298"/>
      <c r="H13" s="298"/>
      <c r="I13" s="299"/>
      <c r="N13" s="133"/>
    </row>
    <row r="14" spans="1:14" s="118" customFormat="1" ht="29.4" customHeight="1" thickBot="1" x14ac:dyDescent="0.35">
      <c r="A14" s="283" t="s">
        <v>90</v>
      </c>
      <c r="B14" s="284"/>
      <c r="C14" s="285"/>
      <c r="D14" s="286" t="s">
        <v>101</v>
      </c>
      <c r="E14" s="287"/>
      <c r="F14" s="286" t="s">
        <v>102</v>
      </c>
      <c r="G14" s="288"/>
      <c r="H14" s="142" t="s">
        <v>103</v>
      </c>
      <c r="I14" s="143" t="s">
        <v>104</v>
      </c>
    </row>
    <row r="15" spans="1:14" s="118" customFormat="1" ht="48" customHeight="1" thickBot="1" x14ac:dyDescent="0.35">
      <c r="A15" s="120" t="s">
        <v>93</v>
      </c>
      <c r="B15" s="121" t="s">
        <v>105</v>
      </c>
      <c r="C15" s="121" t="s">
        <v>106</v>
      </c>
      <c r="D15" s="123" t="s">
        <v>107</v>
      </c>
      <c r="E15" s="122" t="s">
        <v>36</v>
      </c>
      <c r="F15" s="123" t="s">
        <v>108</v>
      </c>
      <c r="G15" s="122" t="s">
        <v>36</v>
      </c>
      <c r="H15" s="142" t="s">
        <v>36</v>
      </c>
      <c r="I15" s="144" t="s">
        <v>36</v>
      </c>
      <c r="K15" s="328"/>
      <c r="L15" s="328"/>
      <c r="M15" s="328"/>
    </row>
    <row r="16" spans="1:14" s="118" customFormat="1" x14ac:dyDescent="0.3">
      <c r="A16" s="145" t="s">
        <v>109</v>
      </c>
      <c r="B16" s="252">
        <f>'Veridian - 2020'!D11</f>
        <v>1409411213.6960185</v>
      </c>
      <c r="C16" s="146">
        <f>'Veridian - 2020'!E11</f>
        <v>1409411213.6960185</v>
      </c>
      <c r="D16" s="147">
        <f>'Veridian - 2020'!C44</f>
        <v>1.4318270649374338E-2</v>
      </c>
      <c r="E16" s="146">
        <f>C16*D16</f>
        <v>20180331.213962764</v>
      </c>
      <c r="F16" s="242">
        <f>'Veridian - 2020'!C49</f>
        <v>0.11776519254907584</v>
      </c>
      <c r="G16" s="146">
        <f>B16*F16</f>
        <v>165979582.96173829</v>
      </c>
      <c r="H16" s="336">
        <f>'VRZ 2020 RPP Final Settlement'!K24</f>
        <v>-11225630.65406665</v>
      </c>
      <c r="I16" s="148">
        <f>+E16+G16+H16</f>
        <v>174934283.5216344</v>
      </c>
      <c r="J16" s="124"/>
      <c r="K16" s="170"/>
      <c r="L16" s="328"/>
      <c r="M16" s="328"/>
    </row>
    <row r="17" spans="1:16" s="118" customFormat="1" x14ac:dyDescent="0.3">
      <c r="A17" s="127" t="s">
        <v>97</v>
      </c>
      <c r="B17" s="149">
        <v>0</v>
      </c>
      <c r="C17" s="150">
        <f>-'Veridian - 2020'!D8</f>
        <v>605427414</v>
      </c>
      <c r="D17" s="151">
        <f>'Veridian - 2020'!C45</f>
        <v>1.3529372993607068E-2</v>
      </c>
      <c r="E17" s="150">
        <f>C17*D17</f>
        <v>8191053.3045609659</v>
      </c>
      <c r="F17" s="151"/>
      <c r="G17" s="150"/>
      <c r="H17" s="152"/>
      <c r="I17" s="153">
        <f>+E17+G17+H17</f>
        <v>8191053.3045609659</v>
      </c>
      <c r="J17" s="124"/>
      <c r="K17" s="329"/>
      <c r="L17" s="330"/>
      <c r="M17" s="330"/>
    </row>
    <row r="18" spans="1:16" s="118" customFormat="1" ht="15" thickBot="1" x14ac:dyDescent="0.35">
      <c r="A18" s="127" t="s">
        <v>98</v>
      </c>
      <c r="B18" s="253">
        <f>'Veridian - 2020'!D12</f>
        <v>668030679.30398154</v>
      </c>
      <c r="C18" s="150">
        <f>'Veridian - 2020'!D12</f>
        <v>668030679.30398154</v>
      </c>
      <c r="D18" s="155">
        <f>'Veridian - 2020'!C45</f>
        <v>1.3529372993607068E-2</v>
      </c>
      <c r="E18" s="156">
        <f>C18*D18</f>
        <v>9038036.2314762715</v>
      </c>
      <c r="F18" s="132"/>
      <c r="G18" s="157"/>
      <c r="H18" s="152"/>
      <c r="I18" s="153">
        <f>+E18+G18+H18</f>
        <v>9038036.2314762715</v>
      </c>
      <c r="J18" s="124"/>
      <c r="K18" s="328"/>
      <c r="L18" s="170"/>
      <c r="M18" s="170"/>
    </row>
    <row r="19" spans="1:16" s="118" customFormat="1" ht="15" thickBot="1" x14ac:dyDescent="0.35">
      <c r="A19" s="130"/>
      <c r="B19" s="134">
        <f>SUM(B16:B18)</f>
        <v>2077441893</v>
      </c>
      <c r="C19" s="134">
        <f>SUM(C16:C18)</f>
        <v>2682869307</v>
      </c>
      <c r="D19" s="134"/>
      <c r="E19" s="134">
        <f>SUM(E16:E18)</f>
        <v>37409420.75</v>
      </c>
      <c r="F19" s="135"/>
      <c r="G19" s="134">
        <f>SUM(G16:G18)</f>
        <v>165979582.96173829</v>
      </c>
      <c r="H19" s="134">
        <f>SUM(H16:H18)</f>
        <v>-11225630.65406665</v>
      </c>
      <c r="I19" s="355">
        <f>SUM(I16:I18)</f>
        <v>192163373.05767164</v>
      </c>
      <c r="J19" s="124"/>
      <c r="K19" s="170"/>
      <c r="L19" s="170"/>
      <c r="M19" s="170"/>
    </row>
    <row r="20" spans="1:16" s="118" customFormat="1" ht="15" thickTop="1" x14ac:dyDescent="0.3">
      <c r="A20"/>
      <c r="B20"/>
      <c r="C20" s="7" t="s">
        <v>110</v>
      </c>
      <c r="D20"/>
      <c r="E20" s="158"/>
      <c r="F20" s="159"/>
      <c r="G20" s="75"/>
      <c r="H20" s="75"/>
      <c r="I20" s="337"/>
      <c r="J20" s="7"/>
      <c r="K20" s="170"/>
      <c r="L20" s="170"/>
      <c r="M20" s="170"/>
    </row>
    <row r="21" spans="1:16" s="118" customFormat="1" x14ac:dyDescent="0.3">
      <c r="A21" s="2" t="s">
        <v>151</v>
      </c>
      <c r="B21"/>
      <c r="C21"/>
      <c r="D21"/>
      <c r="E21"/>
      <c r="F21"/>
      <c r="G21" s="45"/>
      <c r="H21" s="19"/>
      <c r="I21" s="45"/>
      <c r="J21" s="265"/>
      <c r="K21" s="331"/>
      <c r="L21" s="170"/>
      <c r="M21" s="328"/>
    </row>
    <row r="22" spans="1:16" s="118" customFormat="1" ht="16.350000000000001" customHeight="1" thickBot="1" x14ac:dyDescent="0.35">
      <c r="A22" s="290" t="s">
        <v>90</v>
      </c>
      <c r="B22" s="291"/>
      <c r="C22" s="292"/>
      <c r="D22" s="304" t="s">
        <v>111</v>
      </c>
      <c r="E22" s="305"/>
      <c r="F22" s="160"/>
      <c r="G22" s="262"/>
      <c r="H22" s="161"/>
      <c r="I22" s="262" t="s">
        <v>110</v>
      </c>
      <c r="J22" s="161"/>
      <c r="K22" s="332"/>
      <c r="L22" s="170"/>
      <c r="M22" s="328"/>
    </row>
    <row r="23" spans="1:16" s="118" customFormat="1" ht="45" customHeight="1" thickBot="1" x14ac:dyDescent="0.35">
      <c r="A23" s="120" t="s">
        <v>93</v>
      </c>
      <c r="B23" s="121" t="s">
        <v>105</v>
      </c>
      <c r="C23" s="121" t="s">
        <v>106</v>
      </c>
      <c r="D23" s="123" t="s">
        <v>108</v>
      </c>
      <c r="E23" s="162" t="s">
        <v>36</v>
      </c>
      <c r="F23" s="3"/>
      <c r="G23" s="163"/>
      <c r="H23" s="163"/>
      <c r="I23" s="17" t="s">
        <v>110</v>
      </c>
      <c r="J23" s="3"/>
      <c r="K23" s="328"/>
      <c r="L23" s="170" t="s">
        <v>110</v>
      </c>
      <c r="M23" s="328"/>
      <c r="N23" s="328"/>
    </row>
    <row r="24" spans="1:16" s="118" customFormat="1" x14ac:dyDescent="0.3">
      <c r="A24" s="127" t="s">
        <v>97</v>
      </c>
      <c r="B24" s="164"/>
      <c r="C24" s="150"/>
      <c r="D24" s="151"/>
      <c r="E24" s="150">
        <f>'Veridian - 2020'!E77</f>
        <v>41329269.890000001</v>
      </c>
      <c r="F24" s="91"/>
      <c r="G24" s="163"/>
      <c r="H24" s="166"/>
      <c r="I24" s="3"/>
      <c r="J24" s="75"/>
      <c r="K24" s="328"/>
      <c r="L24" s="330"/>
      <c r="M24" s="328"/>
      <c r="N24" s="328"/>
      <c r="O24" s="326"/>
    </row>
    <row r="25" spans="1:16" s="118" customFormat="1" ht="15" thickBot="1" x14ac:dyDescent="0.35">
      <c r="A25" s="127" t="s">
        <v>98</v>
      </c>
      <c r="B25" s="164">
        <f>B18</f>
        <v>668030679.30398154</v>
      </c>
      <c r="C25" s="150"/>
      <c r="D25" s="243">
        <f>'Veridian - 2020'!C50</f>
        <v>0.1125598708806471</v>
      </c>
      <c r="E25" s="156">
        <f>+D25*B25</f>
        <v>75193447.006767139</v>
      </c>
      <c r="F25" s="91"/>
      <c r="G25" s="163"/>
      <c r="H25" s="163"/>
      <c r="I25" s="3"/>
      <c r="J25" s="75"/>
      <c r="K25" s="330"/>
      <c r="L25" s="330"/>
      <c r="M25" s="330"/>
      <c r="N25" s="328"/>
      <c r="O25" s="326"/>
    </row>
    <row r="26" spans="1:16" s="118" customFormat="1" ht="15" thickBot="1" x14ac:dyDescent="0.35">
      <c r="A26" s="130"/>
      <c r="B26" s="131">
        <f>+B24+B25</f>
        <v>668030679.30398154</v>
      </c>
      <c r="C26" s="131">
        <f>+C24+C25</f>
        <v>0</v>
      </c>
      <c r="D26" s="165"/>
      <c r="E26" s="356">
        <f>+E24+E25</f>
        <v>116522716.89676714</v>
      </c>
      <c r="F26" s="268"/>
      <c r="G26" s="163"/>
      <c r="H26" s="166"/>
      <c r="I26" s="3"/>
      <c r="J26" s="333"/>
      <c r="K26" s="170"/>
      <c r="L26" s="170"/>
      <c r="M26" s="170"/>
      <c r="N26" s="170"/>
      <c r="O26" s="327"/>
      <c r="P26" s="124" t="s">
        <v>110</v>
      </c>
    </row>
    <row r="27" spans="1:16" s="118" customFormat="1" x14ac:dyDescent="0.3">
      <c r="A27" s="3"/>
      <c r="B27" s="17"/>
      <c r="C27" s="17"/>
      <c r="D27" s="16"/>
      <c r="E27" s="138"/>
      <c r="F27" s="3"/>
      <c r="G27" s="163"/>
      <c r="H27" s="166"/>
      <c r="I27" s="3"/>
      <c r="J27" s="334"/>
      <c r="K27" s="328"/>
      <c r="L27" s="331"/>
      <c r="M27" s="328"/>
      <c r="N27" s="328"/>
      <c r="O27" s="327"/>
      <c r="P27" s="124" t="s">
        <v>110</v>
      </c>
    </row>
    <row r="28" spans="1:16" s="118" customFormat="1" ht="15" thickBot="1" x14ac:dyDescent="0.35">
      <c r="A28" s="2" t="s">
        <v>112</v>
      </c>
      <c r="B28" s="16"/>
      <c r="C28" s="17"/>
      <c r="D28" s="3"/>
      <c r="E28" s="7"/>
      <c r="F28" s="265"/>
      <c r="G28"/>
      <c r="H28" s="7" t="s">
        <v>110</v>
      </c>
      <c r="I28"/>
      <c r="J28" s="335"/>
      <c r="K28" s="170"/>
      <c r="L28" s="170"/>
      <c r="M28" s="170"/>
      <c r="N28" s="328"/>
      <c r="O28" s="326"/>
    </row>
    <row r="29" spans="1:16" s="118" customFormat="1" ht="15" customHeight="1" thickBot="1" x14ac:dyDescent="0.35">
      <c r="A29" s="167"/>
      <c r="B29" s="168"/>
      <c r="C29" s="306" t="s">
        <v>113</v>
      </c>
      <c r="D29" s="298"/>
      <c r="E29" s="298"/>
      <c r="F29" s="298"/>
      <c r="G29" s="298"/>
      <c r="H29" s="298"/>
      <c r="I29" s="299"/>
      <c r="J29" s="326"/>
      <c r="K29" s="328"/>
      <c r="L29" s="328"/>
      <c r="M29" s="328"/>
      <c r="N29" s="328"/>
      <c r="O29" s="326"/>
    </row>
    <row r="30" spans="1:16" s="118" customFormat="1" ht="15" thickBot="1" x14ac:dyDescent="0.35">
      <c r="A30" s="307"/>
      <c r="B30" s="308"/>
      <c r="C30" s="366" t="s">
        <v>156</v>
      </c>
      <c r="D30" s="367"/>
      <c r="E30" s="163"/>
      <c r="F30" s="313"/>
      <c r="G30" s="314"/>
      <c r="H30" s="314"/>
      <c r="I30" s="315"/>
      <c r="J30" s="333"/>
      <c r="K30" s="170"/>
      <c r="L30" s="170"/>
      <c r="M30" s="170"/>
      <c r="N30" s="170"/>
      <c r="O30" s="326"/>
    </row>
    <row r="31" spans="1:16" s="118" customFormat="1" ht="15" customHeight="1" thickBot="1" x14ac:dyDescent="0.35">
      <c r="A31" s="309"/>
      <c r="B31" s="310"/>
      <c r="C31" s="368"/>
      <c r="D31" s="369"/>
      <c r="E31" s="357">
        <f>+I19-E10</f>
        <v>446488.87762138247</v>
      </c>
      <c r="F31" s="301" t="s">
        <v>114</v>
      </c>
      <c r="G31" s="302"/>
      <c r="H31" s="302"/>
      <c r="I31" s="303"/>
      <c r="J31" s="334"/>
      <c r="K31" s="170"/>
      <c r="L31" s="331"/>
      <c r="M31" s="328"/>
      <c r="N31" s="161"/>
      <c r="O31" s="326"/>
    </row>
    <row r="32" spans="1:16" s="118" customFormat="1" ht="15.6" thickTop="1" thickBot="1" x14ac:dyDescent="0.35">
      <c r="A32" s="311"/>
      <c r="B32" s="312"/>
      <c r="C32" s="169"/>
      <c r="E32" s="170"/>
      <c r="F32" s="316"/>
      <c r="G32" s="317"/>
      <c r="H32" s="317"/>
      <c r="I32" s="318"/>
      <c r="J32" s="334"/>
      <c r="K32" s="328"/>
      <c r="L32" s="331"/>
      <c r="M32" s="328"/>
      <c r="N32" s="161"/>
      <c r="O32" s="326"/>
    </row>
    <row r="33" spans="1:15" s="118" customFormat="1" ht="16.2" thickBot="1" x14ac:dyDescent="0.35">
      <c r="A33" s="120" t="s">
        <v>93</v>
      </c>
      <c r="B33" s="171" t="s">
        <v>115</v>
      </c>
      <c r="C33" s="172" t="s">
        <v>116</v>
      </c>
      <c r="D33" s="173" t="s">
        <v>117</v>
      </c>
      <c r="E33" s="174" t="s">
        <v>85</v>
      </c>
      <c r="F33" s="297" t="s">
        <v>118</v>
      </c>
      <c r="G33" s="298"/>
      <c r="H33" s="298"/>
      <c r="I33" s="299"/>
      <c r="J33" s="335"/>
      <c r="K33" s="170"/>
      <c r="L33" s="170"/>
      <c r="M33" s="170"/>
      <c r="N33" s="328"/>
      <c r="O33" s="326"/>
    </row>
    <row r="34" spans="1:15" s="118" customFormat="1" x14ac:dyDescent="0.3">
      <c r="A34" s="175" t="s">
        <v>96</v>
      </c>
      <c r="B34" s="176" t="s">
        <v>119</v>
      </c>
      <c r="C34" s="177">
        <f>+C16</f>
        <v>1409411213.6960185</v>
      </c>
      <c r="D34" s="178">
        <f>((+I16)/C16)-D6</f>
        <v>0</v>
      </c>
      <c r="E34" s="179">
        <f>+C34*D34</f>
        <v>0</v>
      </c>
      <c r="F34" s="302" t="s">
        <v>120</v>
      </c>
      <c r="G34" s="302"/>
      <c r="H34" s="302"/>
      <c r="I34" s="303"/>
      <c r="J34" s="326"/>
      <c r="K34" s="328"/>
      <c r="L34" s="328"/>
      <c r="M34" s="328"/>
      <c r="N34" s="328"/>
      <c r="O34" s="326"/>
    </row>
    <row r="35" spans="1:15" s="118" customFormat="1" x14ac:dyDescent="0.3">
      <c r="A35" s="175" t="s">
        <v>96</v>
      </c>
      <c r="B35" s="176" t="s">
        <v>121</v>
      </c>
      <c r="C35" s="180">
        <f>+C16-C6</f>
        <v>3420549.5248122215</v>
      </c>
      <c r="D35" s="181">
        <f>D6</f>
        <v>0.12411869709968421</v>
      </c>
      <c r="E35" s="182">
        <f>+C35*D35</f>
        <v>424554.15038463689</v>
      </c>
      <c r="F35" s="302" t="s">
        <v>122</v>
      </c>
      <c r="G35" s="302"/>
      <c r="H35" s="302"/>
      <c r="I35" s="303"/>
    </row>
    <row r="36" spans="1:15" s="118" customFormat="1" x14ac:dyDescent="0.3">
      <c r="A36" s="183" t="s">
        <v>98</v>
      </c>
      <c r="B36" s="176" t="s">
        <v>123</v>
      </c>
      <c r="C36" s="180">
        <f>+C17+C18</f>
        <v>1273458093.3039815</v>
      </c>
      <c r="D36" s="184">
        <f>+D17-D7</f>
        <v>0</v>
      </c>
      <c r="E36" s="182">
        <f>+C36*D36</f>
        <v>0</v>
      </c>
      <c r="F36" s="302" t="s">
        <v>120</v>
      </c>
      <c r="G36" s="302"/>
      <c r="H36" s="302"/>
      <c r="I36" s="303"/>
      <c r="J36" s="185"/>
    </row>
    <row r="37" spans="1:15" s="118" customFormat="1" ht="15" thickBot="1" x14ac:dyDescent="0.35">
      <c r="A37" s="175" t="s">
        <v>98</v>
      </c>
      <c r="B37" s="176" t="s">
        <v>121</v>
      </c>
      <c r="C37" s="186">
        <f>(+C18+C17)-(C9+C7)</f>
        <v>1621267.0939810276</v>
      </c>
      <c r="D37" s="187">
        <f>+D7</f>
        <v>1.3529372993607068E-2</v>
      </c>
      <c r="E37" s="188">
        <f>+C37*D37</f>
        <v>21934.727236730727</v>
      </c>
      <c r="F37" s="302" t="s">
        <v>122</v>
      </c>
      <c r="G37" s="302"/>
      <c r="H37" s="302"/>
      <c r="I37" s="303"/>
      <c r="J37" s="185"/>
      <c r="K37" s="124"/>
    </row>
    <row r="38" spans="1:15" s="118" customFormat="1" ht="15" thickBot="1" x14ac:dyDescent="0.35">
      <c r="A38" s="189"/>
      <c r="B38" s="130"/>
      <c r="C38" s="190" t="s">
        <v>124</v>
      </c>
      <c r="D38" s="191"/>
      <c r="E38" s="192">
        <f>SUM(E34:E37)</f>
        <v>446488.87762136763</v>
      </c>
      <c r="F38" s="301"/>
      <c r="G38" s="302"/>
      <c r="H38" s="302"/>
      <c r="I38" s="303"/>
    </row>
    <row r="39" spans="1:15" s="118" customFormat="1" ht="15" thickTop="1" x14ac:dyDescent="0.3">
      <c r="A39" s="163"/>
      <c r="B39" s="3"/>
      <c r="C39" s="106"/>
      <c r="D39" s="3"/>
      <c r="E39" s="138"/>
      <c r="F39" s="106"/>
      <c r="G39" s="106"/>
      <c r="H39" s="106"/>
      <c r="I39" s="106"/>
    </row>
    <row r="40" spans="1:15" s="118" customFormat="1" ht="15" thickBot="1" x14ac:dyDescent="0.35">
      <c r="A40" s="2" t="s">
        <v>125</v>
      </c>
      <c r="B40" s="17"/>
      <c r="C40" s="17"/>
      <c r="D40"/>
      <c r="E40"/>
      <c r="F40"/>
      <c r="G40" s="185"/>
      <c r="H40" s="185"/>
      <c r="I40" s="163"/>
      <c r="J40"/>
    </row>
    <row r="41" spans="1:15" s="118" customFormat="1" ht="16.2" thickBot="1" x14ac:dyDescent="0.35">
      <c r="A41" s="167"/>
      <c r="B41" s="193"/>
      <c r="C41" s="306" t="s">
        <v>126</v>
      </c>
      <c r="D41" s="298"/>
      <c r="E41" s="298"/>
      <c r="F41" s="298" t="s">
        <v>118</v>
      </c>
      <c r="G41" s="298"/>
      <c r="H41" s="298"/>
      <c r="I41" s="299"/>
    </row>
    <row r="42" spans="1:15" s="118" customFormat="1" ht="15" thickBot="1" x14ac:dyDescent="0.35">
      <c r="A42" s="307"/>
      <c r="B42" s="308"/>
      <c r="C42" s="362" t="str">
        <f>C30</f>
        <v>Account Balance                                 - December 31, 2020</v>
      </c>
      <c r="D42" s="363"/>
      <c r="E42" s="3"/>
      <c r="F42" s="316"/>
      <c r="G42" s="317"/>
      <c r="H42" s="317"/>
      <c r="I42" s="318"/>
    </row>
    <row r="43" spans="1:15" s="118" customFormat="1" ht="15" customHeight="1" thickBot="1" x14ac:dyDescent="0.35">
      <c r="A43" s="309"/>
      <c r="B43" s="310"/>
      <c r="C43" s="364"/>
      <c r="D43" s="365"/>
      <c r="E43" s="357">
        <f>+E26-G10</f>
        <v>595383.25712528825</v>
      </c>
      <c r="F43" s="301" t="s">
        <v>114</v>
      </c>
      <c r="G43" s="302"/>
      <c r="H43" s="302"/>
      <c r="I43" s="303"/>
    </row>
    <row r="44" spans="1:15" s="118" customFormat="1" ht="15.6" thickTop="1" thickBot="1" x14ac:dyDescent="0.35">
      <c r="A44" s="311"/>
      <c r="B44" s="312"/>
      <c r="C44" s="169"/>
      <c r="E44" s="170"/>
      <c r="F44" s="316"/>
      <c r="G44" s="317"/>
      <c r="H44" s="317"/>
      <c r="I44" s="318"/>
    </row>
    <row r="45" spans="1:15" s="118" customFormat="1" ht="16.2" thickBot="1" x14ac:dyDescent="0.35">
      <c r="A45" s="120" t="s">
        <v>93</v>
      </c>
      <c r="B45" s="171" t="s">
        <v>115</v>
      </c>
      <c r="C45" s="172" t="s">
        <v>116</v>
      </c>
      <c r="D45" s="173" t="s">
        <v>117</v>
      </c>
      <c r="E45" s="174" t="s">
        <v>85</v>
      </c>
      <c r="F45" s="297" t="s">
        <v>118</v>
      </c>
      <c r="G45" s="298"/>
      <c r="H45" s="298"/>
      <c r="I45" s="299"/>
    </row>
    <row r="46" spans="1:15" s="118" customFormat="1" x14ac:dyDescent="0.3">
      <c r="A46" s="194" t="s">
        <v>98</v>
      </c>
      <c r="B46" s="195" t="s">
        <v>119</v>
      </c>
      <c r="C46" s="358">
        <f>+B25</f>
        <v>668030679.30398154</v>
      </c>
      <c r="D46" s="178">
        <f>+D25-I8</f>
        <v>6.1957954794554515E-4</v>
      </c>
      <c r="E46" s="196">
        <f>+D46*C46</f>
        <v>413898.14629691635</v>
      </c>
      <c r="F46" s="319" t="s">
        <v>127</v>
      </c>
      <c r="G46" s="319"/>
      <c r="H46" s="319"/>
      <c r="I46" s="320"/>
      <c r="J46" s="197"/>
      <c r="K46" s="124"/>
    </row>
    <row r="47" spans="1:15" s="118" customFormat="1" ht="15" thickBot="1" x14ac:dyDescent="0.35">
      <c r="A47" s="175" t="s">
        <v>98</v>
      </c>
      <c r="B47" s="176" t="s">
        <v>121</v>
      </c>
      <c r="C47" s="359">
        <f>(+B9+B8)-B25</f>
        <v>-1621267.0939811468</v>
      </c>
      <c r="D47" s="360">
        <f>-I8</f>
        <v>-0.11194029133270156</v>
      </c>
      <c r="E47" s="198">
        <f>+C47*D47</f>
        <v>181485.11082837201</v>
      </c>
      <c r="F47" s="321" t="s">
        <v>122</v>
      </c>
      <c r="G47" s="321"/>
      <c r="H47" s="321"/>
      <c r="I47" s="322"/>
      <c r="J47" s="199"/>
    </row>
    <row r="48" spans="1:15" s="118" customFormat="1" ht="15" thickBot="1" x14ac:dyDescent="0.35">
      <c r="A48" s="189"/>
      <c r="B48" s="130"/>
      <c r="C48" s="190" t="s">
        <v>124</v>
      </c>
      <c r="D48" s="190"/>
      <c r="E48" s="192">
        <f>SUM(E46:E47)</f>
        <v>595383.25712528836</v>
      </c>
      <c r="F48" s="323"/>
      <c r="G48" s="324"/>
      <c r="H48" s="324"/>
      <c r="I48" s="325"/>
    </row>
    <row r="49" spans="1:11" s="118" customFormat="1" ht="15" thickTop="1" x14ac:dyDescent="0.3">
      <c r="A49"/>
      <c r="B49" s="75"/>
      <c r="C49"/>
    </row>
    <row r="59" spans="1:11" x14ac:dyDescent="0.3">
      <c r="I59" s="200"/>
      <c r="J59" s="115"/>
      <c r="K59" s="133"/>
    </row>
    <row r="60" spans="1:11" x14ac:dyDescent="0.3">
      <c r="I60" s="200"/>
      <c r="J60" s="115"/>
      <c r="K60" s="133"/>
    </row>
    <row r="61" spans="1:11" x14ac:dyDescent="0.3">
      <c r="I61" s="33"/>
      <c r="J61" s="29"/>
      <c r="K61" s="133"/>
    </row>
  </sheetData>
  <mergeCells count="33">
    <mergeCell ref="F45:I45"/>
    <mergeCell ref="F46:I46"/>
    <mergeCell ref="F47:I47"/>
    <mergeCell ref="F48:I48"/>
    <mergeCell ref="C41:I41"/>
    <mergeCell ref="C42:D43"/>
    <mergeCell ref="A42:B44"/>
    <mergeCell ref="F42:I42"/>
    <mergeCell ref="F43:I43"/>
    <mergeCell ref="F44:I44"/>
    <mergeCell ref="F38:I38"/>
    <mergeCell ref="A22:C22"/>
    <mergeCell ref="D22:E22"/>
    <mergeCell ref="C29:I29"/>
    <mergeCell ref="A30:B32"/>
    <mergeCell ref="F30:I30"/>
    <mergeCell ref="F31:I31"/>
    <mergeCell ref="F32:I32"/>
    <mergeCell ref="F33:I33"/>
    <mergeCell ref="F34:I34"/>
    <mergeCell ref="F35:I35"/>
    <mergeCell ref="F36:I36"/>
    <mergeCell ref="F37:I37"/>
    <mergeCell ref="C30:D31"/>
    <mergeCell ref="A14:C14"/>
    <mergeCell ref="D14:E14"/>
    <mergeCell ref="F14:G14"/>
    <mergeCell ref="A1:I1"/>
    <mergeCell ref="A4:C4"/>
    <mergeCell ref="D4:E4"/>
    <mergeCell ref="F4:G4"/>
    <mergeCell ref="D13:I13"/>
    <mergeCell ref="I8:I9"/>
  </mergeCells>
  <pageMargins left="0.70866141732283472" right="0.70866141732283472" top="0.35433070866141736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Veridian - 2020</vt:lpstr>
      <vt:lpstr>VRZ 2020 RPP Final Settlement</vt:lpstr>
      <vt:lpstr>Final RSVA Balances</vt:lpstr>
      <vt:lpstr>'Final RSVA Balances'!Print_Area</vt:lpstr>
      <vt:lpstr>'Veridian - 2020'!Print_Area</vt:lpstr>
      <vt:lpstr>'VRZ 2020 RPP Final Settlement'!Print_Area</vt:lpstr>
      <vt:lpstr>'Veridian - 2020'!Print_Titles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Reffle</dc:creator>
  <cp:lastModifiedBy>Susan Reffle</cp:lastModifiedBy>
  <cp:lastPrinted>2021-08-16T17:50:38Z</cp:lastPrinted>
  <dcterms:created xsi:type="dcterms:W3CDTF">2019-07-16T19:41:05Z</dcterms:created>
  <dcterms:modified xsi:type="dcterms:W3CDTF">2021-08-16T18:10:16Z</dcterms:modified>
</cp:coreProperties>
</file>