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2 IRM\Submission\"/>
    </mc:Choice>
  </mc:AlternateContent>
  <bookViews>
    <workbookView xWindow="0" yWindow="0" windowWidth="51600" windowHeight="15900"/>
  </bookViews>
  <sheets>
    <sheet name="1. 2020 Princ Adj" sheetId="1" r:id="rId1"/>
    <sheet name="2. 2019 Princ Adj" sheetId="2" r:id="rId2"/>
  </sheets>
  <externalReferences>
    <externalReference r:id="rId3"/>
  </externalReferences>
  <definedNames>
    <definedName name="AS2DocOpenMode" hidden="1">"AS2DocumentEdit"</definedName>
    <definedName name="AS2HasNoAutoHeaderFooter" hidden="1">" "</definedName>
    <definedName name="_xlnm.Print_Area" localSheetId="0">'1. 2020 Princ Adj'!$A$1:$T$131</definedName>
    <definedName name="wrn.Aging._.and._.Trend._.Analysis." hidden="1">{#N/A,#N/A,FALSE,"Aging Summary";#N/A,#N/A,FALSE,"Ratio Analysis";#N/A,#N/A,FALSE,"Test 120 Day Accts";#N/A,#N/A,FALSE,"Tickmarks"}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2" l="1"/>
  <c r="R8" i="2"/>
  <c r="Q8" i="2"/>
  <c r="S7" i="2"/>
  <c r="R7" i="2"/>
  <c r="R9" i="2" s="1"/>
  <c r="Q7" i="2"/>
  <c r="Q9" i="2" l="1"/>
  <c r="S9" i="2"/>
  <c r="J6" i="1" l="1"/>
  <c r="I5" i="1"/>
  <c r="H5" i="1"/>
  <c r="I6" i="1"/>
  <c r="H6" i="1"/>
  <c r="Q119" i="1"/>
  <c r="R119" i="1"/>
  <c r="P119" i="1"/>
  <c r="E128" i="1" l="1"/>
  <c r="J127" i="1"/>
  <c r="G127" i="1"/>
  <c r="J126" i="1"/>
  <c r="G126" i="1"/>
  <c r="J125" i="1"/>
  <c r="G125" i="1"/>
  <c r="D125" i="1"/>
  <c r="D128" i="1" s="1"/>
  <c r="K119" i="1"/>
  <c r="J119" i="1"/>
  <c r="H118" i="1"/>
  <c r="L118" i="1" s="1"/>
  <c r="N118" i="1" s="1"/>
  <c r="F118" i="1"/>
  <c r="H117" i="1"/>
  <c r="L117" i="1" s="1"/>
  <c r="N117" i="1" s="1"/>
  <c r="F117" i="1"/>
  <c r="H116" i="1"/>
  <c r="L116" i="1" s="1"/>
  <c r="N116" i="1" s="1"/>
  <c r="F116" i="1"/>
  <c r="H115" i="1"/>
  <c r="L115" i="1" s="1"/>
  <c r="N115" i="1" s="1"/>
  <c r="F115" i="1"/>
  <c r="H114" i="1"/>
  <c r="L114" i="1" s="1"/>
  <c r="N114" i="1" s="1"/>
  <c r="F114" i="1"/>
  <c r="H113" i="1"/>
  <c r="L113" i="1" s="1"/>
  <c r="N113" i="1" s="1"/>
  <c r="F113" i="1"/>
  <c r="H112" i="1"/>
  <c r="L112" i="1" s="1"/>
  <c r="I127" i="1" s="1"/>
  <c r="K127" i="1" s="1"/>
  <c r="F112" i="1"/>
  <c r="H111" i="1"/>
  <c r="F111" i="1"/>
  <c r="H110" i="1"/>
  <c r="F110" i="1"/>
  <c r="H109" i="1"/>
  <c r="L109" i="1" s="1"/>
  <c r="N109" i="1" s="1"/>
  <c r="F109" i="1"/>
  <c r="H108" i="1"/>
  <c r="L108" i="1" s="1"/>
  <c r="N108" i="1" s="1"/>
  <c r="F108" i="1"/>
  <c r="H107" i="1"/>
  <c r="F107" i="1"/>
  <c r="F99" i="1"/>
  <c r="E99" i="1"/>
  <c r="G98" i="1"/>
  <c r="G97" i="1"/>
  <c r="G96" i="1"/>
  <c r="G95" i="1"/>
  <c r="G94" i="1"/>
  <c r="G93" i="1"/>
  <c r="G92" i="1"/>
  <c r="G91" i="1"/>
  <c r="G90" i="1"/>
  <c r="G89" i="1"/>
  <c r="G88" i="1"/>
  <c r="G87" i="1"/>
  <c r="G81" i="1"/>
  <c r="F79" i="1"/>
  <c r="H79" i="1" s="1"/>
  <c r="F6" i="1" s="1"/>
  <c r="F66" i="1"/>
  <c r="F65" i="1"/>
  <c r="F64" i="1"/>
  <c r="F63" i="1"/>
  <c r="F62" i="1"/>
  <c r="F60" i="1"/>
  <c r="F41" i="1"/>
  <c r="E41" i="1"/>
  <c r="F33" i="1"/>
  <c r="F35" i="1" s="1"/>
  <c r="F44" i="1" s="1"/>
  <c r="F48" i="1" s="1"/>
  <c r="F52" i="1" s="1"/>
  <c r="E33" i="1"/>
  <c r="E35" i="1" s="1"/>
  <c r="E44" i="1" s="1"/>
  <c r="E48" i="1" s="1"/>
  <c r="E52" i="1" s="1"/>
  <c r="F16" i="1"/>
  <c r="F22" i="1" s="1"/>
  <c r="E16" i="1"/>
  <c r="D16" i="1"/>
  <c r="F54" i="1" l="1"/>
  <c r="J120" i="1"/>
  <c r="D5" i="1"/>
  <c r="E5" i="1"/>
  <c r="H119" i="1"/>
  <c r="L110" i="1"/>
  <c r="N110" i="1" s="1"/>
  <c r="F70" i="1"/>
  <c r="F81" i="1" s="1"/>
  <c r="G99" i="1"/>
  <c r="G6" i="1" s="1"/>
  <c r="G5" i="1" s="1"/>
  <c r="L111" i="1"/>
  <c r="F127" i="1"/>
  <c r="H127" i="1" s="1"/>
  <c r="L127" i="1" s="1"/>
  <c r="M127" i="1" s="1"/>
  <c r="L107" i="1"/>
  <c r="N112" i="1"/>
  <c r="I125" i="1" l="1"/>
  <c r="H70" i="1"/>
  <c r="H81" i="1" s="1"/>
  <c r="F125" i="1"/>
  <c r="H125" i="1" s="1"/>
  <c r="I126" i="1"/>
  <c r="K126" i="1" s="1"/>
  <c r="N111" i="1"/>
  <c r="N107" i="1"/>
  <c r="N119" i="1" s="1"/>
  <c r="L119" i="1"/>
  <c r="F126" i="1"/>
  <c r="K125" i="1"/>
  <c r="L125" i="1" l="1"/>
  <c r="F5" i="1"/>
  <c r="J5" i="1" s="1"/>
  <c r="M125" i="1"/>
  <c r="I128" i="1"/>
  <c r="K128" i="1"/>
  <c r="H126" i="1"/>
  <c r="F128" i="1"/>
  <c r="O119" i="1"/>
  <c r="L126" i="1" l="1"/>
  <c r="H128" i="1"/>
  <c r="M126" i="1" l="1"/>
  <c r="M128" i="1" s="1"/>
  <c r="L128" i="1"/>
</calcChain>
</file>

<file path=xl/comments1.xml><?xml version="1.0" encoding="utf-8"?>
<comments xmlns="http://schemas.openxmlformats.org/spreadsheetml/2006/main">
  <authors>
    <author>Lisa McCaskie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Lisa McCaskie:</t>
        </r>
        <r>
          <rPr>
            <sz val="9"/>
            <color indexed="81"/>
            <rFont val="Tahoma"/>
            <family val="2"/>
          </rPr>
          <t xml:space="preserve">
posted to 4708 after July 2017</t>
        </r>
      </text>
    </comment>
  </commentList>
</comments>
</file>

<file path=xl/sharedStrings.xml><?xml version="1.0" encoding="utf-8"?>
<sst xmlns="http://schemas.openxmlformats.org/spreadsheetml/2006/main" count="163" uniqueCount="146">
  <si>
    <t>2020 1588/1589 Principal Adjustment</t>
  </si>
  <si>
    <t>COP Accrual vs. Actual GA - Per IESO bill</t>
  </si>
  <si>
    <t>Total Principal Adjustment</t>
  </si>
  <si>
    <t>N/A</t>
  </si>
  <si>
    <t xml:space="preserve">December RPP Settlement </t>
  </si>
  <si>
    <t>ACTUALS</t>
  </si>
  <si>
    <t>ESTIMATE</t>
  </si>
  <si>
    <t>DIFFERENCE</t>
  </si>
  <si>
    <t xml:space="preserve"> Tier 1 </t>
  </si>
  <si>
    <t xml:space="preserve"> Tier 2 </t>
  </si>
  <si>
    <t>2020 December</t>
  </si>
  <si>
    <t>TOU</t>
  </si>
  <si>
    <t>Tiered</t>
  </si>
  <si>
    <t>Total Wholesale includes sss &amp; ret rpp global adj</t>
  </si>
  <si>
    <t xml:space="preserve">Variance-if POSITIVE we owe IESO </t>
  </si>
  <si>
    <t>Jan Billed for Dec (Actual)</t>
  </si>
  <si>
    <t>Dec Unbilled Accrual (Estimated)</t>
  </si>
  <si>
    <t>Difference</t>
  </si>
  <si>
    <t>1.10.4006.100.000</t>
  </si>
  <si>
    <t>Residential Energy Sales</t>
  </si>
  <si>
    <t>1.10.4006.105.000</t>
  </si>
  <si>
    <t>Residential Energy Sales - TOU</t>
  </si>
  <si>
    <t>1.10.4025.120.000</t>
  </si>
  <si>
    <t>Street Lighting Energy Sales</t>
  </si>
  <si>
    <t>1.10.4030.125.000</t>
  </si>
  <si>
    <t>Sentinel Lighting Energy Sales</t>
  </si>
  <si>
    <t>1.10.4035.115.000</t>
  </si>
  <si>
    <t>General Energy Sales &gt;50kW</t>
  </si>
  <si>
    <t>1.10.4035.110.000</t>
  </si>
  <si>
    <t>General Energy Sales &lt;50kW</t>
  </si>
  <si>
    <t>1.10.4035.111.000</t>
  </si>
  <si>
    <t>General Unmetered Scattered Load</t>
  </si>
  <si>
    <t>1.10.4055.150.001</t>
  </si>
  <si>
    <t>Energy Sales for Resale (Retailers)</t>
  </si>
  <si>
    <t>1.10.4055.027.801</t>
  </si>
  <si>
    <t>Energy Sales (Retail)-GA Class A</t>
  </si>
  <si>
    <t>GA allocation correction</t>
  </si>
  <si>
    <t>Total Power</t>
  </si>
  <si>
    <t>1.10.4006.100.800</t>
  </si>
  <si>
    <t>Residential Energy Sales-GA</t>
  </si>
  <si>
    <t>1.10.4025.120.800</t>
  </si>
  <si>
    <t>Street Lighting Energy Sales-GA</t>
  </si>
  <si>
    <t>1.10.4035.115.800</t>
  </si>
  <si>
    <t>General Energy Sales &gt;50kW-GA</t>
  </si>
  <si>
    <t>1.10.4035.110.800</t>
  </si>
  <si>
    <t>General Energy Sales &lt;50kW-GA</t>
  </si>
  <si>
    <t>1.10.4055.???.800</t>
  </si>
  <si>
    <t>Energy Sales Resale (Retail)-GA</t>
  </si>
  <si>
    <t>Total Global Adjustment</t>
  </si>
  <si>
    <t>Actual Non-RPP GA per GL</t>
  </si>
  <si>
    <t>Wholesale</t>
  </si>
  <si>
    <t>Generation</t>
  </si>
  <si>
    <t>Total</t>
  </si>
  <si>
    <t>Retail</t>
  </si>
  <si>
    <t>AQEW</t>
  </si>
  <si>
    <t>Embedded Generation</t>
  </si>
  <si>
    <t>Class A</t>
  </si>
  <si>
    <t>Class B Wholesale</t>
  </si>
  <si>
    <t>Net GA-non RPP - Billed</t>
  </si>
  <si>
    <t>Class B - Billed</t>
  </si>
  <si>
    <t>Annual Non-RPP Class B Wholesale kWh *</t>
  </si>
  <si>
    <t>GA Actual Rate</t>
  </si>
  <si>
    <t>Net GA $ non RPP</t>
  </si>
  <si>
    <t>Weighted Average GA Actual Rate Paid ($/kWh)**</t>
  </si>
  <si>
    <t>A</t>
  </si>
  <si>
    <t>B</t>
  </si>
  <si>
    <t>A + B =  C</t>
  </si>
  <si>
    <t>D</t>
  </si>
  <si>
    <t>C - D = E</t>
  </si>
  <si>
    <t>F</t>
  </si>
  <si>
    <t>G</t>
  </si>
  <si>
    <t>E * (F/G) = H</t>
  </si>
  <si>
    <t>I</t>
  </si>
  <si>
    <t>J</t>
  </si>
  <si>
    <t>January</t>
  </si>
  <si>
    <t>February</t>
  </si>
  <si>
    <t>March</t>
  </si>
  <si>
    <t>April</t>
  </si>
  <si>
    <t>Amounts excluded - impact calculated below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</si>
  <si>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</si>
  <si>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</si>
  <si>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</si>
  <si>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</si>
  <si>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</si>
  <si>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</si>
  <si>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</si>
  <si>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</si>
  <si>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Net CT148</t>
  </si>
  <si>
    <t>CT148 Credit</t>
  </si>
  <si>
    <t>RPP GA (kWh)</t>
  </si>
  <si>
    <t>Unadjusted GA</t>
  </si>
  <si>
    <t>Global Adj ($)</t>
  </si>
  <si>
    <t>Non-RPP (kWh)</t>
  </si>
  <si>
    <t>Adjusted GA</t>
  </si>
  <si>
    <t>Total Global Adj ($)</t>
  </si>
  <si>
    <t>Revenue for December consumption recorded in Janaury</t>
  </si>
  <si>
    <r>
      <rPr>
        <b/>
        <sz val="11"/>
        <color indexed="8"/>
        <rFont val="Calibri"/>
        <family val="2"/>
        <scheme val="minor"/>
      </rPr>
      <t>SSS RPP CHARGED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rFont val="Calibri"/>
        <family val="2"/>
        <scheme val="minor"/>
      </rPr>
      <t>Invoiced to SSS RPP Customers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</si>
  <si>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indexed="8"/>
        <rFont val="Calibri"/>
        <family val="2"/>
        <scheme val="minor"/>
      </rPr>
      <t>SSS RPP WAP Calculated</t>
    </r>
    <r>
      <rPr>
        <sz val="11"/>
        <color theme="1"/>
        <rFont val="Calibri"/>
        <family val="2"/>
        <scheme val="minor"/>
      </rPr>
      <t xml:space="preserve"> (Market Pricing Calculated)</t>
    </r>
  </si>
  <si>
    <r>
      <rPr>
        <b/>
        <sz val="11"/>
        <color indexed="8"/>
        <rFont val="Calibri"/>
        <family val="2"/>
        <scheme val="minor"/>
      </rPr>
      <t>RETAILER RPP CHARGED</t>
    </r>
    <r>
      <rPr>
        <sz val="11"/>
        <color theme="1"/>
        <rFont val="Calibri"/>
        <family val="2"/>
        <scheme val="minor"/>
      </rPr>
      <t xml:space="preserve"> (Invoiced to RPP Retailer Customers)</t>
    </r>
  </si>
  <si>
    <r>
      <rPr>
        <b/>
        <sz val="11"/>
        <color indexed="8"/>
        <rFont val="Calibri"/>
        <family val="2"/>
        <scheme val="minor"/>
      </rPr>
      <t>RETAILER IBRS-RPP</t>
    </r>
    <r>
      <rPr>
        <sz val="11"/>
        <color theme="1"/>
        <rFont val="Calibri"/>
        <family val="2"/>
        <scheme val="minor"/>
      </rPr>
      <t xml:space="preserve"> (Retailer IBR's Billed to Innisfil)</t>
    </r>
  </si>
  <si>
    <t>Off peak</t>
  </si>
  <si>
    <t>Mid peak</t>
  </si>
  <si>
    <t>On  peak</t>
  </si>
  <si>
    <r>
      <rPr>
        <b/>
        <i/>
        <sz val="11"/>
        <rFont val="Calibri"/>
        <family val="2"/>
        <scheme val="minor"/>
      </rPr>
      <t>Global Adjustment</t>
    </r>
    <r>
      <rPr>
        <b/>
        <i/>
        <sz val="11"/>
        <color indexed="10"/>
        <rFont val="Calibri"/>
        <family val="2"/>
        <scheme val="minor"/>
      </rPr>
      <t xml:space="preserve"> </t>
    </r>
  </si>
  <si>
    <t>SSS Variance</t>
  </si>
  <si>
    <t>Net From Customer Billing</t>
  </si>
  <si>
    <t>RPV Billed to Customers</t>
  </si>
  <si>
    <t>Net Owing</t>
  </si>
  <si>
    <t>Previously Claimed</t>
  </si>
  <si>
    <t>Net Reconciliation</t>
  </si>
  <si>
    <t>Total Energy and GA</t>
  </si>
  <si>
    <t>Annual Non-RPP Class B Retail billed kWh (excludes April to June 2020)</t>
  </si>
  <si>
    <t>Annual Unaccounted for Energy Loss kWh</t>
  </si>
  <si>
    <t>Expected GA Volume Variance ($)</t>
  </si>
  <si>
    <t>J/H = K</t>
  </si>
  <si>
    <t>L</t>
  </si>
  <si>
    <t>H - L = M</t>
  </si>
  <si>
    <t>K x M = N</t>
  </si>
  <si>
    <t>2019 1588/1589 Principal Adjustment</t>
  </si>
  <si>
    <t>bill_code_date</t>
  </si>
  <si>
    <t>GA posted to 4707.000.800 DR/(CR)</t>
  </si>
  <si>
    <t>Line 1351 on IESO inv (Cap Based Rec amt)
DR/(CR)</t>
  </si>
  <si>
    <t>GA per IESO inv
DR/(CR)</t>
  </si>
  <si>
    <t>GA allocated to RPP Cust 4707.000.800 DR/(CR)</t>
  </si>
  <si>
    <t>GA calculated for Non-RPP Cust (Total GA - RPP) 4707.000.800 DR/(CR)</t>
  </si>
  <si>
    <t>4055.*.800 - Harris Billing Retail Sales DR/(CR)</t>
  </si>
  <si>
    <t>4035.115.800 - Harris Billing &gt;50kW Sales DR/(CR)</t>
  </si>
  <si>
    <t>Calculated Bal to post to RSVA GA 1589.800 (Total GA - GA RPP = GA Non-RPP)
DR/(CR)</t>
  </si>
  <si>
    <t>Actual RSVA GA 1589.800 
posted to GP DR/(CR)</t>
  </si>
  <si>
    <t>Reverse GA Variance Entry
DR/(CR)</t>
  </si>
  <si>
    <t>Check</t>
  </si>
  <si>
    <t>total GA $
DR/(CR)</t>
  </si>
  <si>
    <t>Actual Non-RPP GA per reconciliation DR/(CR)</t>
  </si>
  <si>
    <t>Calculated GA for RPP DR/(CR)</t>
  </si>
  <si>
    <t>Actual per Rec</t>
  </si>
  <si>
    <t>Posted in GL</t>
  </si>
  <si>
    <t>1. RPP Settlement - 1st True-Up</t>
  </si>
  <si>
    <t>3. Unbilled vs Actual Difference</t>
  </si>
  <si>
    <t>1. RPP Settlement - 2nd True-Up</t>
  </si>
  <si>
    <t>1.  1st True-up</t>
  </si>
  <si>
    <t>2.  2nd True-up</t>
  </si>
  <si>
    <t>1. and 2.  RPP Settlement - 1st and 2nd True-Up</t>
  </si>
  <si>
    <t>4. RPP vs. Non-RPP Allocation</t>
  </si>
  <si>
    <t>5. Uaccounted for Energy Losses</t>
  </si>
  <si>
    <t>6. Impact of GA Deferral</t>
  </si>
  <si>
    <t>Actual Non-RPP GA posted after original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</si>
</sst>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&quot;$&quot;#,##0.00_);[Red]\(&quot;$&quot;#,##0.00\)"/>
    <numFmt numFmtId="167" formatCode="&quot;$&quot;#,##0.00;[Red]&quot;$&quot;#,##0.00"/>
    <numFmt numFmtId="168" formatCode="_-* #,##0_-;\-* #,##0_-;_-* &quot;-&quot;??_-;_-@_-"/>
    <numFmt numFmtId="169" formatCode="_-* #,##0.0000_-;\-* #,##0.0000_-;_-* &quot;-&quot;??_-;_-@_-"/>
    <numFmt numFmtId="170" formatCode="_-* #,##0.000000_-;\-* #,##0.000000_-;_-* &quot;-&quot;??_-;_-@_-"/>
    <numFmt numFmtId="171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75">
    <xf numFmtId="0" fontId="0" fillId="0" borderId="0" xfId="0"/>
    <xf numFmtId="0" fontId="4" fillId="4" borderId="0" xfId="0" applyFont="1" applyFill="1"/>
    <xf numFmtId="0" fontId="0" fillId="0" borderId="0" xfId="0" applyFont="1" applyFill="1"/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8" fontId="4" fillId="0" borderId="10" xfId="1" applyNumberFormat="1" applyFont="1" applyBorder="1" applyAlignment="1">
      <alignment horizontal="center" wrapText="1"/>
    </xf>
    <xf numFmtId="168" fontId="4" fillId="0" borderId="10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168" fontId="0" fillId="0" borderId="11" xfId="1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68" fontId="0" fillId="0" borderId="10" xfId="1" applyNumberFormat="1" applyFont="1" applyBorder="1" applyAlignment="1">
      <alignment horizontal="center"/>
    </xf>
    <xf numFmtId="168" fontId="0" fillId="0" borderId="11" xfId="1" applyNumberFormat="1" applyFont="1" applyBorder="1"/>
    <xf numFmtId="168" fontId="0" fillId="0" borderId="11" xfId="1" applyNumberFormat="1" applyFont="1" applyFill="1" applyBorder="1"/>
    <xf numFmtId="168" fontId="0" fillId="7" borderId="11" xfId="1" applyNumberFormat="1" applyFont="1" applyFill="1" applyBorder="1"/>
    <xf numFmtId="168" fontId="0" fillId="0" borderId="12" xfId="1" applyNumberFormat="1" applyFont="1" applyBorder="1"/>
    <xf numFmtId="169" fontId="0" fillId="0" borderId="11" xfId="1" applyNumberFormat="1" applyFont="1" applyBorder="1" applyAlignment="1">
      <alignment horizontal="center"/>
    </xf>
    <xf numFmtId="168" fontId="0" fillId="0" borderId="13" xfId="1" applyNumberFormat="1" applyFont="1" applyBorder="1"/>
    <xf numFmtId="168" fontId="0" fillId="0" borderId="13" xfId="1" applyNumberFormat="1" applyFont="1" applyFill="1" applyBorder="1"/>
    <xf numFmtId="168" fontId="0" fillId="7" borderId="13" xfId="1" applyNumberFormat="1" applyFont="1" applyFill="1" applyBorder="1"/>
    <xf numFmtId="168" fontId="0" fillId="0" borderId="14" xfId="1" applyNumberFormat="1" applyFont="1" applyBorder="1"/>
    <xf numFmtId="168" fontId="0" fillId="0" borderId="13" xfId="1" applyNumberFormat="1" applyFont="1" applyBorder="1" applyAlignment="1">
      <alignment horizontal="center"/>
    </xf>
    <xf numFmtId="169" fontId="0" fillId="0" borderId="13" xfId="1" applyNumberFormat="1" applyFont="1" applyBorder="1" applyAlignment="1">
      <alignment horizontal="center"/>
    </xf>
    <xf numFmtId="168" fontId="0" fillId="0" borderId="15" xfId="1" applyNumberFormat="1" applyFont="1" applyBorder="1"/>
    <xf numFmtId="168" fontId="0" fillId="0" borderId="15" xfId="1" applyNumberFormat="1" applyFont="1" applyFill="1" applyBorder="1"/>
    <xf numFmtId="168" fontId="0" fillId="7" borderId="15" xfId="1" applyNumberFormat="1" applyFont="1" applyFill="1" applyBorder="1"/>
    <xf numFmtId="168" fontId="0" fillId="0" borderId="16" xfId="1" applyNumberFormat="1" applyFont="1" applyBorder="1"/>
    <xf numFmtId="168" fontId="0" fillId="0" borderId="15" xfId="1" applyNumberFormat="1" applyFont="1" applyBorder="1" applyAlignment="1">
      <alignment horizontal="center"/>
    </xf>
    <xf numFmtId="169" fontId="0" fillId="0" borderId="15" xfId="1" applyNumberFormat="1" applyFont="1" applyBorder="1" applyAlignment="1">
      <alignment horizontal="center"/>
    </xf>
    <xf numFmtId="43" fontId="4" fillId="0" borderId="17" xfId="0" applyNumberFormat="1" applyFont="1" applyBorder="1"/>
    <xf numFmtId="0" fontId="4" fillId="3" borderId="10" xfId="0" applyFont="1" applyFill="1" applyBorder="1" applyAlignment="1">
      <alignment horizontal="center" wrapText="1"/>
    </xf>
    <xf numFmtId="43" fontId="0" fillId="0" borderId="11" xfId="1" applyFont="1" applyFill="1" applyBorder="1"/>
    <xf numFmtId="43" fontId="0" fillId="0" borderId="12" xfId="1" applyFont="1" applyFill="1" applyBorder="1"/>
    <xf numFmtId="169" fontId="0" fillId="0" borderId="5" xfId="1" applyNumberFormat="1" applyFont="1" applyFill="1" applyBorder="1"/>
    <xf numFmtId="168" fontId="0" fillId="0" borderId="11" xfId="1" applyNumberFormat="1" applyFont="1" applyFill="1" applyBorder="1" applyAlignment="1">
      <alignment horizontal="center"/>
    </xf>
    <xf numFmtId="43" fontId="0" fillId="0" borderId="13" xfId="1" applyFont="1" applyFill="1" applyBorder="1"/>
    <xf numFmtId="43" fontId="0" fillId="0" borderId="14" xfId="1" applyFont="1" applyFill="1" applyBorder="1"/>
    <xf numFmtId="169" fontId="0" fillId="0" borderId="0" xfId="1" applyNumberFormat="1" applyFont="1" applyFill="1" applyBorder="1"/>
    <xf numFmtId="168" fontId="0" fillId="0" borderId="13" xfId="1" applyNumberFormat="1" applyFont="1" applyFill="1" applyBorder="1" applyAlignment="1">
      <alignment horizontal="center"/>
    </xf>
    <xf numFmtId="43" fontId="0" fillId="0" borderId="15" xfId="1" applyFont="1" applyFill="1" applyBorder="1"/>
    <xf numFmtId="43" fontId="0" fillId="0" borderId="16" xfId="1" applyFont="1" applyFill="1" applyBorder="1"/>
    <xf numFmtId="169" fontId="0" fillId="0" borderId="1" xfId="1" applyNumberFormat="1" applyFont="1" applyFill="1" applyBorder="1"/>
    <xf numFmtId="168" fontId="0" fillId="0" borderId="15" xfId="1" applyNumberFormat="1" applyFont="1" applyFill="1" applyBorder="1" applyAlignment="1">
      <alignment horizontal="center"/>
    </xf>
    <xf numFmtId="168" fontId="4" fillId="0" borderId="17" xfId="0" applyNumberFormat="1" applyFont="1" applyBorder="1"/>
    <xf numFmtId="168" fontId="0" fillId="0" borderId="12" xfId="1" applyNumberFormat="1" applyFont="1" applyBorder="1" applyAlignment="1">
      <alignment horizontal="center"/>
    </xf>
    <xf numFmtId="168" fontId="0" fillId="0" borderId="12" xfId="1" applyNumberFormat="1" applyFont="1" applyBorder="1" applyAlignment="1">
      <alignment horizontal="center" wrapText="1"/>
    </xf>
    <xf numFmtId="0" fontId="0" fillId="0" borderId="11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1" xfId="0" applyFont="1" applyFill="1" applyBorder="1"/>
    <xf numFmtId="43" fontId="0" fillId="0" borderId="11" xfId="0" applyNumberFormat="1" applyFont="1" applyFill="1" applyBorder="1"/>
    <xf numFmtId="171" fontId="0" fillId="0" borderId="11" xfId="0" applyNumberFormat="1" applyFont="1" applyFill="1" applyBorder="1"/>
    <xf numFmtId="0" fontId="0" fillId="0" borderId="13" xfId="0" applyFont="1" applyFill="1" applyBorder="1"/>
    <xf numFmtId="43" fontId="0" fillId="0" borderId="13" xfId="0" applyNumberFormat="1" applyFont="1" applyFill="1" applyBorder="1"/>
    <xf numFmtId="171" fontId="0" fillId="0" borderId="13" xfId="0" applyNumberFormat="1" applyFont="1" applyFill="1" applyBorder="1"/>
    <xf numFmtId="0" fontId="0" fillId="0" borderId="15" xfId="0" applyFont="1" applyFill="1" applyBorder="1"/>
    <xf numFmtId="43" fontId="0" fillId="0" borderId="15" xfId="0" applyNumberFormat="1" applyFont="1" applyFill="1" applyBorder="1"/>
    <xf numFmtId="171" fontId="0" fillId="0" borderId="15" xfId="0" applyNumberFormat="1" applyFont="1" applyFill="1" applyBorder="1"/>
    <xf numFmtId="0" fontId="12" fillId="0" borderId="0" xfId="0" applyFont="1" applyFill="1"/>
    <xf numFmtId="0" fontId="0" fillId="8" borderId="13" xfId="0" applyFont="1" applyFill="1" applyBorder="1"/>
    <xf numFmtId="168" fontId="0" fillId="8" borderId="13" xfId="1" applyNumberFormat="1" applyFont="1" applyFill="1" applyBorder="1"/>
    <xf numFmtId="168" fontId="0" fillId="8" borderId="14" xfId="1" applyNumberFormat="1" applyFont="1" applyFill="1" applyBorder="1"/>
    <xf numFmtId="168" fontId="0" fillId="8" borderId="13" xfId="1" applyNumberFormat="1" applyFont="1" applyFill="1" applyBorder="1" applyAlignment="1">
      <alignment horizontal="center"/>
    </xf>
    <xf numFmtId="169" fontId="0" fillId="8" borderId="13" xfId="1" applyNumberFormat="1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9" borderId="0" xfId="0" applyFont="1" applyFill="1"/>
    <xf numFmtId="43" fontId="0" fillId="9" borderId="0" xfId="1" applyFont="1" applyFill="1"/>
    <xf numFmtId="0" fontId="5" fillId="9" borderId="0" xfId="0" applyFont="1" applyFill="1"/>
    <xf numFmtId="0" fontId="4" fillId="9" borderId="1" xfId="0" applyFont="1" applyFill="1" applyBorder="1" applyAlignment="1">
      <alignment horizontal="center" vertical="center" wrapText="1"/>
    </xf>
    <xf numFmtId="43" fontId="4" fillId="9" borderId="1" xfId="1" applyFont="1" applyFill="1" applyBorder="1" applyAlignment="1">
      <alignment horizontal="center" vertical="center" wrapText="1"/>
    </xf>
    <xf numFmtId="0" fontId="0" fillId="9" borderId="0" xfId="0" applyFont="1" applyFill="1" applyAlignment="1">
      <alignment horizontal="center"/>
    </xf>
    <xf numFmtId="164" fontId="6" fillId="9" borderId="0" xfId="3" applyNumberFormat="1" applyFont="1" applyFill="1"/>
    <xf numFmtId="4" fontId="0" fillId="9" borderId="0" xfId="0" applyNumberFormat="1" applyFont="1" applyFill="1"/>
    <xf numFmtId="0" fontId="4" fillId="9" borderId="0" xfId="0" applyFont="1" applyFill="1"/>
    <xf numFmtId="0" fontId="7" fillId="9" borderId="0" xfId="0" applyFont="1" applyFill="1" applyAlignment="1">
      <alignment horizontal="center"/>
    </xf>
    <xf numFmtId="164" fontId="6" fillId="9" borderId="0" xfId="3" applyNumberFormat="1" applyFont="1" applyFill="1" applyBorder="1"/>
    <xf numFmtId="2" fontId="0" fillId="9" borderId="0" xfId="0" applyNumberFormat="1" applyFont="1" applyFill="1"/>
    <xf numFmtId="164" fontId="6" fillId="9" borderId="1" xfId="3" applyNumberFormat="1" applyFont="1" applyFill="1" applyBorder="1"/>
    <xf numFmtId="43" fontId="7" fillId="9" borderId="5" xfId="0" applyNumberFormat="1" applyFont="1" applyFill="1" applyBorder="1"/>
    <xf numFmtId="164" fontId="7" fillId="9" borderId="5" xfId="3" applyNumberFormat="1" applyFont="1" applyFill="1" applyBorder="1"/>
    <xf numFmtId="43" fontId="7" fillId="9" borderId="0" xfId="0" applyNumberFormat="1" applyFont="1" applyFill="1" applyBorder="1"/>
    <xf numFmtId="0" fontId="4" fillId="9" borderId="17" xfId="0" applyFont="1" applyFill="1" applyBorder="1"/>
    <xf numFmtId="164" fontId="7" fillId="9" borderId="17" xfId="3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0" applyFont="1" applyFill="1"/>
    <xf numFmtId="0" fontId="7" fillId="4" borderId="0" xfId="0" applyFont="1" applyFill="1"/>
    <xf numFmtId="0" fontId="10" fillId="9" borderId="0" xfId="0" applyFont="1" applyFill="1"/>
    <xf numFmtId="165" fontId="0" fillId="9" borderId="0" xfId="0" applyNumberFormat="1" applyFont="1" applyFill="1"/>
    <xf numFmtId="0" fontId="9" fillId="9" borderId="0" xfId="0" applyFont="1" applyFill="1"/>
    <xf numFmtId="165" fontId="0" fillId="9" borderId="0" xfId="0" applyNumberFormat="1" applyFont="1" applyFill="1" applyBorder="1"/>
    <xf numFmtId="165" fontId="9" fillId="9" borderId="6" xfId="0" applyNumberFormat="1" applyFont="1" applyFill="1" applyBorder="1"/>
    <xf numFmtId="165" fontId="9" fillId="9" borderId="0" xfId="0" applyNumberFormat="1" applyFont="1" applyFill="1" applyBorder="1"/>
    <xf numFmtId="0" fontId="0" fillId="9" borderId="0" xfId="0" applyFill="1"/>
    <xf numFmtId="10" fontId="0" fillId="9" borderId="0" xfId="0" applyNumberFormat="1" applyFont="1" applyFill="1"/>
    <xf numFmtId="0" fontId="0" fillId="9" borderId="0" xfId="0" applyFont="1" applyFill="1" applyAlignment="1">
      <alignment wrapText="1"/>
    </xf>
    <xf numFmtId="166" fontId="4" fillId="9" borderId="1" xfId="1" applyNumberFormat="1" applyFont="1" applyFill="1" applyBorder="1" applyAlignment="1">
      <alignment horizontal="center" wrapText="1"/>
    </xf>
    <xf numFmtId="43" fontId="4" fillId="9" borderId="1" xfId="1" applyFont="1" applyFill="1" applyBorder="1" applyAlignment="1">
      <alignment horizontal="center" wrapText="1"/>
    </xf>
    <xf numFmtId="0" fontId="6" fillId="9" borderId="0" xfId="4" applyFont="1" applyFill="1" applyAlignment="1">
      <alignment horizontal="center"/>
    </xf>
    <xf numFmtId="0" fontId="6" fillId="9" borderId="0" xfId="4" applyFont="1" applyFill="1"/>
    <xf numFmtId="0" fontId="6" fillId="9" borderId="0" xfId="4" applyFont="1" applyFill="1" applyAlignment="1">
      <alignment horizontal="left"/>
    </xf>
    <xf numFmtId="164" fontId="7" fillId="9" borderId="3" xfId="3" applyNumberFormat="1" applyFont="1" applyFill="1" applyBorder="1"/>
    <xf numFmtId="43" fontId="6" fillId="9" borderId="0" xfId="5" applyFont="1" applyFill="1" applyBorder="1" applyAlignment="1">
      <alignment horizontal="center"/>
    </xf>
    <xf numFmtId="43" fontId="6" fillId="9" borderId="0" xfId="5" applyFont="1" applyFill="1" applyAlignment="1">
      <alignment horizontal="center"/>
    </xf>
    <xf numFmtId="166" fontId="0" fillId="9" borderId="0" xfId="1" applyNumberFormat="1" applyFont="1" applyFill="1" applyBorder="1" applyAlignment="1">
      <alignment horizontal="right"/>
    </xf>
    <xf numFmtId="166" fontId="0" fillId="9" borderId="0" xfId="1" applyNumberFormat="1" applyFont="1" applyFill="1"/>
    <xf numFmtId="0" fontId="6" fillId="9" borderId="0" xfId="4" quotePrefix="1" applyFont="1" applyFill="1"/>
    <xf numFmtId="0" fontId="7" fillId="9" borderId="0" xfId="4" applyFont="1" applyFill="1" applyAlignment="1">
      <alignment horizontal="right"/>
    </xf>
    <xf numFmtId="167" fontId="0" fillId="9" borderId="0" xfId="0" applyNumberFormat="1" applyFont="1" applyFill="1"/>
    <xf numFmtId="43" fontId="6" fillId="9" borderId="0" xfId="5" applyFont="1" applyFill="1" applyAlignment="1">
      <alignment horizontal="right"/>
    </xf>
    <xf numFmtId="14" fontId="0" fillId="9" borderId="0" xfId="0" applyNumberFormat="1" applyFont="1" applyFill="1"/>
    <xf numFmtId="4" fontId="3" fillId="9" borderId="0" xfId="0" applyNumberFormat="1" applyFont="1" applyFill="1"/>
    <xf numFmtId="168" fontId="0" fillId="9" borderId="0" xfId="1" applyNumberFormat="1" applyFont="1" applyFill="1"/>
    <xf numFmtId="0" fontId="4" fillId="9" borderId="3" xfId="0" applyFont="1" applyFill="1" applyBorder="1" applyAlignment="1">
      <alignment horizontal="center" wrapText="1"/>
    </xf>
    <xf numFmtId="168" fontId="4" fillId="9" borderId="17" xfId="0" applyNumberFormat="1" applyFont="1" applyFill="1" applyBorder="1" applyAlignment="1">
      <alignment horizontal="center"/>
    </xf>
    <xf numFmtId="170" fontId="4" fillId="9" borderId="17" xfId="1" applyNumberFormat="1" applyFont="1" applyFill="1" applyBorder="1"/>
    <xf numFmtId="10" fontId="0" fillId="9" borderId="0" xfId="2" applyNumberFormat="1" applyFont="1" applyFill="1"/>
    <xf numFmtId="43" fontId="4" fillId="9" borderId="0" xfId="0" applyNumberFormat="1" applyFont="1" applyFill="1" applyBorder="1"/>
    <xf numFmtId="168" fontId="0" fillId="9" borderId="0" xfId="1" applyNumberFormat="1" applyFont="1" applyFill="1" applyAlignment="1">
      <alignment wrapText="1"/>
    </xf>
    <xf numFmtId="164" fontId="7" fillId="6" borderId="17" xfId="3" applyNumberFormat="1" applyFont="1" applyFill="1" applyBorder="1"/>
    <xf numFmtId="4" fontId="0" fillId="9" borderId="3" xfId="0" applyNumberFormat="1" applyFont="1" applyFill="1" applyBorder="1"/>
    <xf numFmtId="165" fontId="0" fillId="9" borderId="7" xfId="0" applyNumberFormat="1" applyFont="1" applyFill="1" applyBorder="1"/>
    <xf numFmtId="165" fontId="4" fillId="9" borderId="7" xfId="0" applyNumberFormat="1" applyFont="1" applyFill="1" applyBorder="1"/>
    <xf numFmtId="164" fontId="7" fillId="6" borderId="3" xfId="3" applyNumberFormat="1" applyFont="1" applyFill="1" applyBorder="1"/>
    <xf numFmtId="43" fontId="4" fillId="6" borderId="17" xfId="0" applyNumberFormat="1" applyFont="1" applyFill="1" applyBorder="1"/>
    <xf numFmtId="43" fontId="4" fillId="6" borderId="17" xfId="0" applyNumberFormat="1" applyFont="1" applyFill="1" applyBorder="1" applyAlignment="1">
      <alignment horizontal="center"/>
    </xf>
    <xf numFmtId="164" fontId="7" fillId="11" borderId="0" xfId="3" applyNumberFormat="1" applyFont="1" applyFill="1"/>
    <xf numFmtId="14" fontId="0" fillId="0" borderId="18" xfId="0" applyNumberFormat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10" borderId="8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8" xfId="0" applyBorder="1"/>
    <xf numFmtId="0" fontId="0" fillId="6" borderId="19" xfId="0" applyFill="1" applyBorder="1" applyAlignment="1">
      <alignment horizontal="center" wrapText="1"/>
    </xf>
    <xf numFmtId="14" fontId="3" fillId="0" borderId="20" xfId="0" applyNumberFormat="1" applyFont="1" applyBorder="1"/>
    <xf numFmtId="4" fontId="0" fillId="4" borderId="21" xfId="0" applyNumberFormat="1" applyFill="1" applyBorder="1"/>
    <xf numFmtId="4" fontId="3" fillId="0" borderId="21" xfId="0" applyNumberFormat="1" applyFont="1" applyBorder="1"/>
    <xf numFmtId="4" fontId="0" fillId="10" borderId="21" xfId="0" applyNumberFormat="1" applyFill="1" applyBorder="1"/>
    <xf numFmtId="4" fontId="0" fillId="5" borderId="21" xfId="0" applyNumberFormat="1" applyFill="1" applyBorder="1"/>
    <xf numFmtId="4" fontId="0" fillId="0" borderId="21" xfId="0" applyNumberFormat="1" applyBorder="1"/>
    <xf numFmtId="4" fontId="0" fillId="6" borderId="21" xfId="0" applyNumberFormat="1" applyFill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0" xfId="0" applyNumberFormat="1" applyBorder="1"/>
    <xf numFmtId="4" fontId="0" fillId="5" borderId="0" xfId="0" applyNumberFormat="1" applyFill="1" applyBorder="1"/>
    <xf numFmtId="4" fontId="0" fillId="10" borderId="0" xfId="0" applyNumberFormat="1" applyFill="1"/>
    <xf numFmtId="4" fontId="0" fillId="6" borderId="24" xfId="0" applyNumberFormat="1" applyFill="1" applyBorder="1"/>
    <xf numFmtId="4" fontId="4" fillId="0" borderId="23" xfId="0" applyNumberFormat="1" applyFont="1" applyBorder="1" applyAlignment="1">
      <alignment horizontal="right"/>
    </xf>
    <xf numFmtId="4" fontId="4" fillId="0" borderId="0" xfId="0" applyNumberFormat="1" applyFont="1"/>
    <xf numFmtId="4" fontId="4" fillId="5" borderId="0" xfId="0" applyNumberFormat="1" applyFont="1" applyFill="1"/>
    <xf numFmtId="4" fontId="4" fillId="10" borderId="0" xfId="0" applyNumberFormat="1" applyFont="1" applyFill="1"/>
    <xf numFmtId="4" fontId="4" fillId="0" borderId="25" xfId="0" applyNumberFormat="1" applyFont="1" applyBorder="1" applyAlignment="1">
      <alignment horizontal="right"/>
    </xf>
    <xf numFmtId="4" fontId="4" fillId="0" borderId="26" xfId="0" applyNumberFormat="1" applyFont="1" applyBorder="1"/>
    <xf numFmtId="4" fontId="4" fillId="5" borderId="26" xfId="0" applyNumberFormat="1" applyFont="1" applyFill="1" applyBorder="1"/>
    <xf numFmtId="4" fontId="4" fillId="10" borderId="26" xfId="0" applyNumberFormat="1" applyFont="1" applyFill="1" applyBorder="1"/>
    <xf numFmtId="4" fontId="0" fillId="6" borderId="27" xfId="0" applyNumberFormat="1" applyFill="1" applyBorder="1"/>
    <xf numFmtId="14" fontId="0" fillId="9" borderId="0" xfId="0" applyNumberFormat="1" applyFill="1"/>
    <xf numFmtId="4" fontId="0" fillId="9" borderId="0" xfId="0" applyNumberFormat="1" applyFill="1"/>
    <xf numFmtId="0" fontId="4" fillId="9" borderId="0" xfId="0" applyFont="1" applyFill="1" applyBorder="1"/>
    <xf numFmtId="0" fontId="0" fillId="0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9" borderId="0" xfId="0" applyNumberFormat="1" applyFont="1" applyFill="1" applyAlignment="1">
      <alignment horizontal="center"/>
    </xf>
    <xf numFmtId="0" fontId="0" fillId="8" borderId="9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168" fontId="0" fillId="3" borderId="2" xfId="1" applyNumberFormat="1" applyFont="1" applyFill="1" applyBorder="1" applyAlignment="1">
      <alignment horizontal="center"/>
    </xf>
    <xf numFmtId="168" fontId="0" fillId="3" borderId="3" xfId="1" applyNumberFormat="1" applyFont="1" applyFill="1" applyBorder="1" applyAlignment="1">
      <alignment horizontal="center"/>
    </xf>
    <xf numFmtId="168" fontId="0" fillId="3" borderId="4" xfId="1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</cellXfs>
  <cellStyles count="6">
    <cellStyle name="Comma" xfId="1" builtinId="3"/>
    <cellStyle name="Comma 4" xfId="5"/>
    <cellStyle name="Good" xfId="3" builtinId="26"/>
    <cellStyle name="Normal" xfId="0" builtinId="0"/>
    <cellStyle name="Normal 4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F13_Regulatory_Assets_and_Liabilities/2021/1.0_Regulatory_Account_Reconciliations/RSVA/RSVA%20Updated%20Balances%20-%20Audit%20Adjusting%20Ent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88 Summary"/>
      <sheetName val="1588"/>
      <sheetName val="1589 Summary"/>
      <sheetName val="1589"/>
      <sheetName val="1580 Summary"/>
      <sheetName val="1580"/>
      <sheetName val="1580 CBRB Summary"/>
      <sheetName val="1580 CBRB"/>
      <sheetName val="1580 CBRA Summary"/>
      <sheetName val="1580 CBRA"/>
      <sheetName val="1584 Summary"/>
      <sheetName val="1584"/>
      <sheetName val="1586 Summary"/>
      <sheetName val="1586"/>
      <sheetName val="1551 Summary"/>
      <sheetName val="1551"/>
      <sheetName val="1550 Summary"/>
      <sheetName val="1550"/>
    </sheetNames>
    <sheetDataSet>
      <sheetData sheetId="0"/>
      <sheetData sheetId="1">
        <row r="6">
          <cell r="C6" t="str">
            <v>1.10.4006.100.000</v>
          </cell>
          <cell r="D6" t="str">
            <v>Energy Sales Residential</v>
          </cell>
          <cell r="E6">
            <v>-1822105.35</v>
          </cell>
          <cell r="F6">
            <v>-2332522.1</v>
          </cell>
        </row>
        <row r="7">
          <cell r="C7" t="str">
            <v>1.10.4025.120.000</v>
          </cell>
          <cell r="D7" t="str">
            <v>St. Light Energy Sales</v>
          </cell>
          <cell r="E7">
            <v>-374.48</v>
          </cell>
          <cell r="F7">
            <v>-877.79</v>
          </cell>
        </row>
        <row r="8">
          <cell r="C8" t="str">
            <v>1.10.4030.125.000</v>
          </cell>
          <cell r="D8" t="str">
            <v>Sentinal Light Energy Sales</v>
          </cell>
          <cell r="E8">
            <v>-982.2</v>
          </cell>
          <cell r="F8">
            <v>-965.96</v>
          </cell>
        </row>
        <row r="9">
          <cell r="C9" t="str">
            <v>1.10.4035.115.000</v>
          </cell>
          <cell r="D9" t="str">
            <v>General Service Energy Sales &gt;50kv</v>
          </cell>
          <cell r="E9">
            <v>-71862.02</v>
          </cell>
          <cell r="F9">
            <v>-102444.9</v>
          </cell>
        </row>
        <row r="10">
          <cell r="C10" t="str">
            <v>1.10.4035.110.000</v>
          </cell>
          <cell r="D10" t="str">
            <v>General Service Energy Sales &lt;50kv</v>
          </cell>
          <cell r="E10">
            <v>-393370.9</v>
          </cell>
          <cell r="F10">
            <v>-436646.57</v>
          </cell>
        </row>
        <row r="11">
          <cell r="C11" t="str">
            <v>1.10.4055.023.001</v>
          </cell>
          <cell r="D11" t="str">
            <v>Energy Sales Retailers Local Author Energy Losses</v>
          </cell>
          <cell r="E11">
            <v>-19.13</v>
          </cell>
          <cell r="F11">
            <v>-38.28</v>
          </cell>
        </row>
        <row r="12">
          <cell r="C12" t="str">
            <v>1.10.4055.023.002</v>
          </cell>
          <cell r="D12" t="str">
            <v>Energy Sales Retailers Local Author Commodity</v>
          </cell>
          <cell r="E12">
            <v>-317.13</v>
          </cell>
          <cell r="F12">
            <v>-633.41999999999996</v>
          </cell>
        </row>
        <row r="13">
          <cell r="C13" t="str">
            <v>1.10.4055.024.001</v>
          </cell>
          <cell r="D13" t="str">
            <v>Energy Sales Retailers Active Energy Comm Loss</v>
          </cell>
          <cell r="E13">
            <v>-8.36</v>
          </cell>
          <cell r="F13">
            <v>-17.309999999999999</v>
          </cell>
        </row>
        <row r="14">
          <cell r="C14" t="str">
            <v>1.10.4055.024.002</v>
          </cell>
          <cell r="D14" t="str">
            <v>Energy Sales Retailers Active Energy Commodity</v>
          </cell>
          <cell r="E14">
            <v>-138.47</v>
          </cell>
          <cell r="F14">
            <v>-286.73</v>
          </cell>
        </row>
        <row r="15">
          <cell r="C15" t="str">
            <v>1.10.4055.020.001</v>
          </cell>
          <cell r="D15" t="str">
            <v>Energy Sales Retailers AG Energy  Losses</v>
          </cell>
          <cell r="E15">
            <v>-2.59</v>
          </cell>
          <cell r="F15">
            <v>-3.37</v>
          </cell>
        </row>
        <row r="16">
          <cell r="C16" t="str">
            <v>1.10.4055.020.002</v>
          </cell>
          <cell r="D16" t="str">
            <v>Energy Sales Retailers AG Energy Commodity</v>
          </cell>
          <cell r="E16">
            <v>-42.84</v>
          </cell>
          <cell r="F16">
            <v>-55.74</v>
          </cell>
        </row>
        <row r="17">
          <cell r="C17" t="str">
            <v>1.10.4055.025.001</v>
          </cell>
          <cell r="D17" t="str">
            <v>Energy Sales Retailers Bruce Power Comm Loss</v>
          </cell>
          <cell r="E17">
            <v>-32.61</v>
          </cell>
          <cell r="F17">
            <v>-50.91</v>
          </cell>
        </row>
        <row r="18">
          <cell r="C18" t="str">
            <v>1.10.4055.025.002</v>
          </cell>
          <cell r="D18" t="str">
            <v>Energy Sales Retailers Bruce Power Commodity</v>
          </cell>
          <cell r="E18">
            <v>-539.87</v>
          </cell>
          <cell r="F18">
            <v>-842.88</v>
          </cell>
        </row>
        <row r="19">
          <cell r="C19" t="str">
            <v>1.10.4055.026.001</v>
          </cell>
          <cell r="D19" t="str">
            <v>Energy Sales Retailers Hudson Energy Losses</v>
          </cell>
          <cell r="E19">
            <v>-174.17</v>
          </cell>
          <cell r="F19">
            <v>-247.22</v>
          </cell>
        </row>
        <row r="20">
          <cell r="C20" t="str">
            <v>1.10.4055.026.002</v>
          </cell>
          <cell r="D20" t="str">
            <v>Energy Sales Retailers Hudson Energy Commodity</v>
          </cell>
          <cell r="E20">
            <v>-2883.51</v>
          </cell>
          <cell r="F20">
            <v>-4092.77</v>
          </cell>
        </row>
        <row r="21">
          <cell r="C21" t="str">
            <v>1.10.4055.027.001</v>
          </cell>
          <cell r="D21" t="str">
            <v>Energy Sales Retailers ECNG Energy Losses</v>
          </cell>
          <cell r="E21">
            <v>-41.2</v>
          </cell>
          <cell r="F21">
            <v>-63.67</v>
          </cell>
        </row>
        <row r="22">
          <cell r="C22" t="str">
            <v>1.10.4055.027.002</v>
          </cell>
          <cell r="D22" t="str">
            <v>Energy Sales Retailers ECNG Commodity</v>
          </cell>
          <cell r="E22">
            <v>-682.31</v>
          </cell>
          <cell r="F22">
            <v>-1054.07</v>
          </cell>
        </row>
        <row r="23">
          <cell r="C23" t="str">
            <v>1.10.4055.029.001</v>
          </cell>
          <cell r="D23" t="str">
            <v>Energy Sales Retailers Sunwave G&amp;P Losses</v>
          </cell>
          <cell r="E23">
            <v>0</v>
          </cell>
          <cell r="F23">
            <v>0</v>
          </cell>
        </row>
        <row r="24">
          <cell r="C24" t="str">
            <v>1.10.4055.029.002</v>
          </cell>
          <cell r="D24" t="str">
            <v>Energy Sales Retailers Sunwave G&amp;P Commodity</v>
          </cell>
          <cell r="E24">
            <v>0</v>
          </cell>
          <cell r="F24">
            <v>0</v>
          </cell>
        </row>
        <row r="25">
          <cell r="C25" t="str">
            <v>1.10.4055.030.001</v>
          </cell>
          <cell r="D25" t="str">
            <v>Energy Sales Retailers ONIT Comm Loss</v>
          </cell>
          <cell r="E25">
            <v>-92.98</v>
          </cell>
          <cell r="F25">
            <v>-146.66</v>
          </cell>
        </row>
        <row r="26">
          <cell r="C26" t="str">
            <v>1.10.4055.030.002</v>
          </cell>
          <cell r="D26" t="str">
            <v>Energy Sales Retailers ONIT Commodity</v>
          </cell>
          <cell r="E26">
            <v>-1539.79</v>
          </cell>
          <cell r="F26">
            <v>-2428.65</v>
          </cell>
        </row>
        <row r="27">
          <cell r="C27" t="str">
            <v>1.10.4055.118.001</v>
          </cell>
          <cell r="D27" t="str">
            <v>Energy Sales Retailers Superior Energy Losses</v>
          </cell>
          <cell r="E27">
            <v>0</v>
          </cell>
          <cell r="F27">
            <v>0</v>
          </cell>
        </row>
        <row r="28">
          <cell r="C28" t="str">
            <v>1.10.4055.118.002</v>
          </cell>
          <cell r="D28" t="str">
            <v>Energy Sales Retailers Superior Energy Commodity</v>
          </cell>
          <cell r="E28">
            <v>0</v>
          </cell>
          <cell r="F28">
            <v>0</v>
          </cell>
        </row>
        <row r="29">
          <cell r="C29" t="str">
            <v>1.10.4055.121.001</v>
          </cell>
          <cell r="D29" t="str">
            <v>Energy Sales Retailers Blue Power Energy Losses</v>
          </cell>
          <cell r="E29">
            <v>0</v>
          </cell>
          <cell r="F29">
            <v>0</v>
          </cell>
        </row>
        <row r="30">
          <cell r="C30" t="str">
            <v>1.10.4055.121.002</v>
          </cell>
          <cell r="D30" t="str">
            <v>Energy Sales Retailers Blue Power Energy Commodity</v>
          </cell>
          <cell r="E30">
            <v>0</v>
          </cell>
          <cell r="F30">
            <v>0</v>
          </cell>
        </row>
        <row r="31">
          <cell r="C31" t="str">
            <v>1.10.4055.130.001</v>
          </cell>
          <cell r="D31" t="str">
            <v>Energy Sales Retailers Canadian Hydro Losses</v>
          </cell>
          <cell r="E31">
            <v>-0.66</v>
          </cell>
          <cell r="F31">
            <v>-1.78</v>
          </cell>
        </row>
        <row r="32">
          <cell r="C32" t="str">
            <v>1.10.4055.130.002</v>
          </cell>
          <cell r="D32" t="str">
            <v>Energy Sales Retailers Canadian Hydro Commodity</v>
          </cell>
          <cell r="E32">
            <v>-10.95</v>
          </cell>
          <cell r="F32">
            <v>-29.53</v>
          </cell>
        </row>
        <row r="33">
          <cell r="C33" t="str">
            <v>1.10.4055.140.001</v>
          </cell>
          <cell r="D33" t="str">
            <v>Energy Sales Retailers Summitt Energy Losses</v>
          </cell>
          <cell r="E33">
            <v>-57.64</v>
          </cell>
          <cell r="F33">
            <v>-108.3</v>
          </cell>
        </row>
        <row r="34">
          <cell r="C34" t="str">
            <v>1.10.4055.140.002</v>
          </cell>
          <cell r="D34" t="str">
            <v>Energy Sales Retailers Summitt Energy Commodity</v>
          </cell>
          <cell r="E34">
            <v>-990.96</v>
          </cell>
          <cell r="F34">
            <v>-1861.92</v>
          </cell>
        </row>
        <row r="35">
          <cell r="C35" t="str">
            <v>1.10.4055.145.001</v>
          </cell>
          <cell r="D35" t="str">
            <v>Energy Sales Retailers Planet Energy Losses</v>
          </cell>
          <cell r="E35">
            <v>-23.6</v>
          </cell>
          <cell r="F35">
            <v>-42.81</v>
          </cell>
        </row>
        <row r="36">
          <cell r="C36" t="str">
            <v>1.10.4055.145.002</v>
          </cell>
          <cell r="D36" t="str">
            <v>Energy Sales Retailers Planet Energy Commodity</v>
          </cell>
          <cell r="E36">
            <v>-391.08</v>
          </cell>
          <cell r="F36">
            <v>-708.94</v>
          </cell>
        </row>
        <row r="37">
          <cell r="C37" t="str">
            <v>1.10.4055.150.001</v>
          </cell>
          <cell r="D37" t="str">
            <v>Energy Sales Retailers Direct Energy Losses</v>
          </cell>
          <cell r="E37">
            <v>-82.63</v>
          </cell>
          <cell r="F37">
            <v>-119.62</v>
          </cell>
        </row>
        <row r="38">
          <cell r="C38" t="str">
            <v>1.10.4055.150.002</v>
          </cell>
          <cell r="D38" t="str">
            <v>Energy Sales Retailers Direct Energy Commodity</v>
          </cell>
          <cell r="E38">
            <v>-1367.7</v>
          </cell>
          <cell r="F38">
            <v>-1980.48</v>
          </cell>
        </row>
        <row r="39">
          <cell r="C39" t="str">
            <v>1.10.4055.170.001</v>
          </cell>
          <cell r="D39" t="str">
            <v>Energy Sales Retailers Ont Energy Services Losses</v>
          </cell>
          <cell r="E39">
            <v>-77.319999999999993</v>
          </cell>
          <cell r="F39">
            <v>-143.57</v>
          </cell>
        </row>
        <row r="40">
          <cell r="C40" t="str">
            <v>1.10.4055.170.002</v>
          </cell>
          <cell r="D40" t="str">
            <v>Energy Sales Retailers Ont Energy Srvces Commodity</v>
          </cell>
          <cell r="E40">
            <v>-1279.56</v>
          </cell>
          <cell r="F40">
            <v>-2377.12</v>
          </cell>
        </row>
        <row r="41">
          <cell r="C41" t="str">
            <v>1.10.4055.185.001</v>
          </cell>
          <cell r="D41" t="str">
            <v>Energy Sales Retailers Coral Energy Losses</v>
          </cell>
          <cell r="E41">
            <v>0</v>
          </cell>
          <cell r="F41">
            <v>0</v>
          </cell>
        </row>
        <row r="42">
          <cell r="C42" t="str">
            <v>1.10.4055.185.002</v>
          </cell>
          <cell r="D42" t="str">
            <v>Energy Sales Retailers Coral Energy Commodity</v>
          </cell>
          <cell r="E42">
            <v>0</v>
          </cell>
          <cell r="F42">
            <v>0</v>
          </cell>
        </row>
        <row r="43">
          <cell r="C43" t="str">
            <v>1.10.4035.111.000</v>
          </cell>
          <cell r="D43" t="str">
            <v>General Service Energy Unmetered Scattered Load</v>
          </cell>
          <cell r="E43">
            <v>-4866.03</v>
          </cell>
          <cell r="F43">
            <v>-4620.12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29"/>
  <sheetViews>
    <sheetView tabSelected="1" zoomScaleNormal="100" workbookViewId="0">
      <selection activeCell="M42" sqref="M42"/>
    </sheetView>
  </sheetViews>
  <sheetFormatPr defaultRowHeight="15" x14ac:dyDescent="0.25"/>
  <cols>
    <col min="1" max="1" width="2.5703125" style="66" customWidth="1"/>
    <col min="2" max="2" width="12.85546875" style="66" customWidth="1"/>
    <col min="3" max="3" width="24" style="66" customWidth="1"/>
    <col min="4" max="5" width="17.5703125" style="66" customWidth="1"/>
    <col min="6" max="6" width="18.5703125" style="66" customWidth="1"/>
    <col min="7" max="7" width="18.5703125" style="67" customWidth="1"/>
    <col min="8" max="13" width="17.5703125" style="66" customWidth="1"/>
    <col min="14" max="15" width="13.28515625" style="66" bestFit="1" customWidth="1"/>
    <col min="16" max="16" width="14.140625" style="66" bestFit="1" customWidth="1"/>
    <col min="17" max="17" width="13" style="66" bestFit="1" customWidth="1"/>
    <col min="18" max="18" width="14" style="66" bestFit="1" customWidth="1"/>
    <col min="19" max="19" width="11.140625" style="66" bestFit="1" customWidth="1"/>
    <col min="20" max="20" width="9.140625" style="66"/>
    <col min="21" max="21" width="17.140625" style="66" bestFit="1" customWidth="1"/>
    <col min="22" max="22" width="13.42578125" style="66" bestFit="1" customWidth="1"/>
    <col min="23" max="16384" width="9.140625" style="66"/>
  </cols>
  <sheetData>
    <row r="2" spans="2:29" x14ac:dyDescent="0.25">
      <c r="B2" s="68" t="s">
        <v>0</v>
      </c>
    </row>
    <row r="4" spans="2:29" ht="30" x14ac:dyDescent="0.25">
      <c r="C4" s="69" t="s">
        <v>1</v>
      </c>
      <c r="D4" s="69" t="s">
        <v>136</v>
      </c>
      <c r="E4" s="69" t="s">
        <v>138</v>
      </c>
      <c r="F4" s="69" t="s">
        <v>137</v>
      </c>
      <c r="G4" s="70" t="s">
        <v>142</v>
      </c>
      <c r="H4" s="70" t="s">
        <v>143</v>
      </c>
      <c r="I4" s="70" t="s">
        <v>144</v>
      </c>
      <c r="J4" s="69" t="s">
        <v>2</v>
      </c>
    </row>
    <row r="5" spans="2:29" x14ac:dyDescent="0.25">
      <c r="B5" s="71">
        <v>1588</v>
      </c>
      <c r="C5" s="71" t="s">
        <v>3</v>
      </c>
      <c r="D5" s="72">
        <f>F16+F20</f>
        <v>-114836.66999999998</v>
      </c>
      <c r="E5" s="72">
        <f>E52+F52</f>
        <v>-13696.848993738829</v>
      </c>
      <c r="F5" s="72">
        <f>H70</f>
        <v>338289.43999999994</v>
      </c>
      <c r="G5" s="72">
        <f>-G6</f>
        <v>-25526.867938900541</v>
      </c>
      <c r="H5" s="72">
        <f>-H6</f>
        <v>-301238.35045871785</v>
      </c>
      <c r="I5" s="72">
        <f>-I6</f>
        <v>-26939.099172235001</v>
      </c>
      <c r="J5" s="126">
        <f>SUM(D5:I5)</f>
        <v>-143948.39656359225</v>
      </c>
    </row>
    <row r="6" spans="2:29" x14ac:dyDescent="0.25">
      <c r="B6" s="71">
        <v>1589</v>
      </c>
      <c r="C6" s="71" t="s">
        <v>3</v>
      </c>
      <c r="F6" s="72">
        <f>H79</f>
        <v>-393.64000000001397</v>
      </c>
      <c r="G6" s="72">
        <f>G99</f>
        <v>25526.867938900541</v>
      </c>
      <c r="H6" s="72">
        <f>R119</f>
        <v>301238.35045871785</v>
      </c>
      <c r="I6" s="72">
        <f>M128</f>
        <v>26939.099172235001</v>
      </c>
      <c r="J6" s="126">
        <f>SUM(D6:I6)</f>
        <v>353310.67756985337</v>
      </c>
    </row>
    <row r="7" spans="2:29" x14ac:dyDescent="0.25">
      <c r="G7" s="72"/>
    </row>
    <row r="8" spans="2:29" x14ac:dyDescent="0.25">
      <c r="B8" s="73"/>
      <c r="C8" s="73"/>
      <c r="D8" s="73"/>
      <c r="G8" s="66"/>
      <c r="U8" s="67"/>
      <c r="V8" s="67"/>
      <c r="W8" s="67"/>
      <c r="X8" s="67"/>
      <c r="Y8" s="67"/>
      <c r="Z8" s="67"/>
      <c r="AA8" s="67"/>
      <c r="AB8" s="67"/>
      <c r="AC8" s="67"/>
    </row>
    <row r="9" spans="2:29" x14ac:dyDescent="0.25">
      <c r="B9" s="162" t="s">
        <v>141</v>
      </c>
      <c r="C9" s="163"/>
      <c r="D9" s="163"/>
      <c r="E9" s="163"/>
      <c r="F9" s="163"/>
      <c r="G9" s="163"/>
      <c r="H9" s="164"/>
    </row>
    <row r="10" spans="2:29" x14ac:dyDescent="0.25">
      <c r="G10" s="66"/>
    </row>
    <row r="11" spans="2:29" x14ac:dyDescent="0.25">
      <c r="B11" s="86" t="s">
        <v>139</v>
      </c>
      <c r="C11" s="86" t="s">
        <v>4</v>
      </c>
      <c r="D11" s="75" t="s">
        <v>5</v>
      </c>
      <c r="E11" s="75" t="s">
        <v>6</v>
      </c>
      <c r="F11" s="75" t="s">
        <v>7</v>
      </c>
      <c r="G11" s="66"/>
    </row>
    <row r="12" spans="2:29" x14ac:dyDescent="0.25">
      <c r="G12" s="66"/>
    </row>
    <row r="13" spans="2:29" x14ac:dyDescent="0.25">
      <c r="C13" s="66" t="s">
        <v>100</v>
      </c>
      <c r="D13" s="72">
        <v>-226367.53</v>
      </c>
      <c r="E13" s="72">
        <v>-154723.29999999999</v>
      </c>
      <c r="F13" s="76">
        <v>-71644.23</v>
      </c>
      <c r="G13" s="66"/>
    </row>
    <row r="14" spans="2:29" x14ac:dyDescent="0.25">
      <c r="C14" s="66" t="s">
        <v>101</v>
      </c>
      <c r="D14" s="72">
        <v>105418.65</v>
      </c>
      <c r="E14" s="72">
        <v>125015.77</v>
      </c>
      <c r="F14" s="76">
        <v>-19597.12</v>
      </c>
      <c r="G14" s="66"/>
      <c r="J14" s="77"/>
    </row>
    <row r="15" spans="2:29" x14ac:dyDescent="0.25">
      <c r="C15" s="66" t="s">
        <v>102</v>
      </c>
      <c r="D15" s="72">
        <v>365393.55</v>
      </c>
      <c r="E15" s="72">
        <v>385589.11</v>
      </c>
      <c r="F15" s="78">
        <v>-20195.560000000001</v>
      </c>
      <c r="G15" s="66"/>
    </row>
    <row r="16" spans="2:29" x14ac:dyDescent="0.25">
      <c r="D16" s="79">
        <f>SUM(D12:D15)</f>
        <v>244444.66999999998</v>
      </c>
      <c r="E16" s="79">
        <f>SUM(E12:E15)</f>
        <v>355881.58</v>
      </c>
      <c r="F16" s="80">
        <f>SUM(F12:F15)</f>
        <v>-111436.90999999999</v>
      </c>
      <c r="G16" s="66"/>
    </row>
    <row r="17" spans="2:7" x14ac:dyDescent="0.25">
      <c r="D17" s="81"/>
      <c r="E17" s="81"/>
      <c r="F17" s="81"/>
      <c r="G17" s="66"/>
    </row>
    <row r="18" spans="2:7" x14ac:dyDescent="0.25">
      <c r="C18" s="66" t="s">
        <v>8</v>
      </c>
      <c r="D18" s="72">
        <v>2075.2800000000002</v>
      </c>
      <c r="E18" s="72">
        <v>4590.12</v>
      </c>
      <c r="F18" s="76">
        <v>-2514.84</v>
      </c>
      <c r="G18" s="66"/>
    </row>
    <row r="19" spans="2:7" x14ac:dyDescent="0.25">
      <c r="C19" s="66" t="s">
        <v>9</v>
      </c>
      <c r="D19" s="72">
        <v>4088.56</v>
      </c>
      <c r="E19" s="72">
        <v>4973.4799999999996</v>
      </c>
      <c r="F19" s="78">
        <v>-884.92</v>
      </c>
      <c r="G19" s="66"/>
    </row>
    <row r="20" spans="2:7" x14ac:dyDescent="0.25">
      <c r="D20" s="79">
        <v>6163.84</v>
      </c>
      <c r="E20" s="79">
        <v>9563.6</v>
      </c>
      <c r="F20" s="80">
        <v>-3399.76</v>
      </c>
      <c r="G20" s="66"/>
    </row>
    <row r="21" spans="2:7" x14ac:dyDescent="0.25">
      <c r="D21" s="72"/>
      <c r="E21" s="72"/>
      <c r="F21" s="76"/>
      <c r="G21" s="66"/>
    </row>
    <row r="22" spans="2:7" ht="15.75" thickBot="1" x14ac:dyDescent="0.3">
      <c r="E22" s="82" t="s">
        <v>52</v>
      </c>
      <c r="F22" s="119">
        <f>F16+F20</f>
        <v>-114836.66999999998</v>
      </c>
      <c r="G22" s="66"/>
    </row>
    <row r="23" spans="2:7" ht="15.75" thickTop="1" x14ac:dyDescent="0.25">
      <c r="G23" s="66"/>
    </row>
    <row r="24" spans="2:7" x14ac:dyDescent="0.25">
      <c r="B24" s="1" t="s">
        <v>140</v>
      </c>
      <c r="C24" s="1" t="s">
        <v>4</v>
      </c>
      <c r="G24" s="66"/>
    </row>
    <row r="25" spans="2:7" x14ac:dyDescent="0.25">
      <c r="G25" s="66"/>
    </row>
    <row r="26" spans="2:7" x14ac:dyDescent="0.25">
      <c r="E26" s="165" t="s">
        <v>10</v>
      </c>
      <c r="F26" s="165"/>
      <c r="G26" s="66"/>
    </row>
    <row r="27" spans="2:7" x14ac:dyDescent="0.25">
      <c r="E27" s="84" t="s">
        <v>11</v>
      </c>
      <c r="F27" s="84" t="s">
        <v>12</v>
      </c>
      <c r="G27" s="66"/>
    </row>
    <row r="28" spans="2:7" x14ac:dyDescent="0.25">
      <c r="B28" s="66" t="s">
        <v>96</v>
      </c>
      <c r="E28" s="76">
        <v>2712784.55</v>
      </c>
      <c r="F28" s="76">
        <v>91780.98</v>
      </c>
      <c r="G28" s="66"/>
    </row>
    <row r="29" spans="2:7" x14ac:dyDescent="0.25">
      <c r="E29" s="76"/>
      <c r="F29" s="76"/>
      <c r="G29" s="66"/>
    </row>
    <row r="30" spans="2:7" x14ac:dyDescent="0.25">
      <c r="B30" s="66" t="s">
        <v>97</v>
      </c>
      <c r="E30" s="76">
        <v>328005.84999999998</v>
      </c>
      <c r="F30" s="76">
        <v>11184.62</v>
      </c>
      <c r="G30" s="66"/>
    </row>
    <row r="31" spans="2:7" x14ac:dyDescent="0.25">
      <c r="B31" s="59" t="s">
        <v>103</v>
      </c>
      <c r="E31" s="120">
        <v>2154230.39</v>
      </c>
      <c r="F31" s="120">
        <v>74233.009999999995</v>
      </c>
      <c r="G31" s="66"/>
    </row>
    <row r="32" spans="2:7" x14ac:dyDescent="0.25">
      <c r="B32" s="87"/>
      <c r="E32" s="88"/>
      <c r="G32" s="66"/>
    </row>
    <row r="33" spans="2:7" x14ac:dyDescent="0.25">
      <c r="B33" s="85" t="s">
        <v>13</v>
      </c>
      <c r="E33" s="76">
        <f>SUM(E30:E32)</f>
        <v>2482236.2400000002</v>
      </c>
      <c r="F33" s="76">
        <f>SUM(F30:F32)</f>
        <v>85417.62999999999</v>
      </c>
      <c r="G33" s="66"/>
    </row>
    <row r="34" spans="2:7" x14ac:dyDescent="0.25">
      <c r="B34" s="87"/>
      <c r="E34" s="76"/>
      <c r="F34" s="76"/>
      <c r="G34" s="66"/>
    </row>
    <row r="35" spans="2:7" ht="15.75" thickBot="1" x14ac:dyDescent="0.3">
      <c r="B35" s="89" t="s">
        <v>104</v>
      </c>
      <c r="E35" s="83">
        <f>E28-E33</f>
        <v>230548.30999999959</v>
      </c>
      <c r="F35" s="83">
        <f>F28-F33</f>
        <v>6363.3500000000058</v>
      </c>
      <c r="G35" s="66"/>
    </row>
    <row r="36" spans="2:7" ht="15.75" thickTop="1" x14ac:dyDescent="0.25">
      <c r="E36" s="88"/>
      <c r="F36" s="88"/>
      <c r="G36" s="66"/>
    </row>
    <row r="37" spans="2:7" x14ac:dyDescent="0.25">
      <c r="B37" s="2" t="s">
        <v>98</v>
      </c>
      <c r="C37" s="2"/>
      <c r="D37" s="2"/>
      <c r="E37" s="121">
        <v>0</v>
      </c>
      <c r="F37" s="121">
        <v>0</v>
      </c>
      <c r="G37" s="66"/>
    </row>
    <row r="38" spans="2:7" x14ac:dyDescent="0.25">
      <c r="E38" s="90"/>
      <c r="F38" s="90"/>
      <c r="G38" s="66"/>
    </row>
    <row r="39" spans="2:7" x14ac:dyDescent="0.25">
      <c r="B39" s="2" t="s">
        <v>99</v>
      </c>
      <c r="C39" s="2"/>
      <c r="D39" s="2"/>
      <c r="E39" s="122">
        <v>0</v>
      </c>
      <c r="F39" s="122">
        <v>0</v>
      </c>
      <c r="G39" s="66"/>
    </row>
    <row r="40" spans="2:7" x14ac:dyDescent="0.25">
      <c r="E40" s="88"/>
      <c r="F40" s="88"/>
      <c r="G40" s="66"/>
    </row>
    <row r="41" spans="2:7" ht="15.75" thickBot="1" x14ac:dyDescent="0.3">
      <c r="B41" s="89" t="s">
        <v>14</v>
      </c>
      <c r="E41" s="91">
        <f>E37-E39</f>
        <v>0</v>
      </c>
      <c r="F41" s="91">
        <f>F37-F39</f>
        <v>0</v>
      </c>
      <c r="G41" s="66"/>
    </row>
    <row r="42" spans="2:7" ht="15.75" thickTop="1" x14ac:dyDescent="0.25">
      <c r="B42" s="89"/>
      <c r="E42" s="92"/>
      <c r="F42" s="92"/>
      <c r="G42" s="66"/>
    </row>
    <row r="43" spans="2:7" x14ac:dyDescent="0.25">
      <c r="E43" s="88"/>
      <c r="F43" s="88"/>
      <c r="G43" s="66"/>
    </row>
    <row r="44" spans="2:7" x14ac:dyDescent="0.25">
      <c r="B44" s="66" t="s">
        <v>105</v>
      </c>
      <c r="E44" s="76">
        <f>SUM(E35,E41)</f>
        <v>230548.30999999959</v>
      </c>
      <c r="F44" s="76">
        <f>SUM(F35,F41)</f>
        <v>6363.3500000000058</v>
      </c>
      <c r="G44" s="66"/>
    </row>
    <row r="45" spans="2:7" x14ac:dyDescent="0.25">
      <c r="E45" s="76"/>
      <c r="F45" s="76"/>
      <c r="G45" s="66"/>
    </row>
    <row r="46" spans="2:7" x14ac:dyDescent="0.25">
      <c r="B46" s="66" t="s">
        <v>106</v>
      </c>
      <c r="E46" s="76">
        <v>0</v>
      </c>
      <c r="F46" s="76">
        <v>0</v>
      </c>
      <c r="G46" s="66"/>
    </row>
    <row r="47" spans="2:7" x14ac:dyDescent="0.25">
      <c r="E47" s="76"/>
      <c r="F47" s="76"/>
      <c r="G47" s="66"/>
    </row>
    <row r="48" spans="2:7" x14ac:dyDescent="0.25">
      <c r="B48" s="66" t="s">
        <v>107</v>
      </c>
      <c r="E48" s="76">
        <f>SUM(E44:E46)</f>
        <v>230548.30999999959</v>
      </c>
      <c r="F48" s="76">
        <f>SUM(F44:F46)</f>
        <v>6363.3500000000058</v>
      </c>
      <c r="G48" s="66"/>
    </row>
    <row r="49" spans="2:9" x14ac:dyDescent="0.25">
      <c r="E49" s="76"/>
      <c r="F49" s="76"/>
      <c r="G49" s="66"/>
    </row>
    <row r="50" spans="2:9" x14ac:dyDescent="0.25">
      <c r="B50" s="66" t="s">
        <v>108</v>
      </c>
      <c r="E50" s="76">
        <v>-244444.66791465</v>
      </c>
      <c r="F50" s="76">
        <v>-6163.84107908843</v>
      </c>
      <c r="G50" s="93"/>
    </row>
    <row r="51" spans="2:9" x14ac:dyDescent="0.25">
      <c r="E51" s="76"/>
      <c r="F51" s="76"/>
      <c r="G51" s="93"/>
    </row>
    <row r="52" spans="2:9" ht="15.75" thickBot="1" x14ac:dyDescent="0.3">
      <c r="B52" s="160" t="s">
        <v>109</v>
      </c>
      <c r="E52" s="83">
        <f>SUM(E48:E50)</f>
        <v>-13896.357914650405</v>
      </c>
      <c r="F52" s="83">
        <f>SUM(F48:F50)</f>
        <v>199.50892091157584</v>
      </c>
      <c r="G52" s="93"/>
    </row>
    <row r="53" spans="2:9" ht="15.75" thickTop="1" x14ac:dyDescent="0.25">
      <c r="G53" s="93"/>
    </row>
    <row r="54" spans="2:9" ht="15.75" thickBot="1" x14ac:dyDescent="0.3">
      <c r="E54" s="82" t="s">
        <v>52</v>
      </c>
      <c r="F54" s="119">
        <f>F52+E52</f>
        <v>-13696.848993738829</v>
      </c>
      <c r="G54" s="66"/>
    </row>
    <row r="55" spans="2:9" ht="15.75" thickTop="1" x14ac:dyDescent="0.25">
      <c r="G55" s="66"/>
    </row>
    <row r="56" spans="2:9" x14ac:dyDescent="0.25">
      <c r="C56" s="94"/>
      <c r="G56" s="66"/>
    </row>
    <row r="57" spans="2:9" x14ac:dyDescent="0.25">
      <c r="B57" s="162" t="s">
        <v>137</v>
      </c>
      <c r="C57" s="163"/>
      <c r="D57" s="163"/>
      <c r="E57" s="163"/>
      <c r="F57" s="163"/>
      <c r="G57" s="163"/>
      <c r="H57" s="164"/>
    </row>
    <row r="59" spans="2:9" s="95" customFormat="1" ht="30" x14ac:dyDescent="0.25">
      <c r="F59" s="96" t="s">
        <v>15</v>
      </c>
      <c r="G59" s="97" t="s">
        <v>16</v>
      </c>
      <c r="H59" s="97" t="s">
        <v>17</v>
      </c>
    </row>
    <row r="60" spans="2:9" x14ac:dyDescent="0.25">
      <c r="C60" s="98" t="s">
        <v>18</v>
      </c>
      <c r="D60" s="99" t="s">
        <v>19</v>
      </c>
      <c r="E60" s="99"/>
      <c r="F60" s="76">
        <f>VLOOKUP(C60,'[1]1588'!$C$6:$F$43,4,FALSE)</f>
        <v>-2332522.1</v>
      </c>
      <c r="G60" s="76"/>
      <c r="H60" s="76"/>
      <c r="I60" s="66" t="s">
        <v>95</v>
      </c>
    </row>
    <row r="61" spans="2:9" x14ac:dyDescent="0.25">
      <c r="C61" s="98" t="s">
        <v>20</v>
      </c>
      <c r="D61" s="99" t="s">
        <v>21</v>
      </c>
      <c r="E61" s="99"/>
      <c r="F61" s="76"/>
      <c r="G61" s="76"/>
      <c r="H61" s="76"/>
    </row>
    <row r="62" spans="2:9" x14ac:dyDescent="0.25">
      <c r="C62" s="98" t="s">
        <v>22</v>
      </c>
      <c r="D62" s="99" t="s">
        <v>23</v>
      </c>
      <c r="E62" s="99"/>
      <c r="F62" s="76">
        <f>VLOOKUP(C62,'[1]1588'!$C$6:$F$43,4,FALSE)</f>
        <v>-877.79</v>
      </c>
      <c r="G62" s="76"/>
      <c r="H62" s="76"/>
    </row>
    <row r="63" spans="2:9" x14ac:dyDescent="0.25">
      <c r="C63" s="98" t="s">
        <v>24</v>
      </c>
      <c r="D63" s="99" t="s">
        <v>25</v>
      </c>
      <c r="E63" s="99"/>
      <c r="F63" s="76">
        <f>VLOOKUP(C63,'[1]1588'!$C$6:$F$43,4,FALSE)</f>
        <v>-965.96</v>
      </c>
      <c r="G63" s="76"/>
      <c r="H63" s="76"/>
    </row>
    <row r="64" spans="2:9" x14ac:dyDescent="0.25">
      <c r="C64" s="98" t="s">
        <v>26</v>
      </c>
      <c r="D64" s="99" t="s">
        <v>27</v>
      </c>
      <c r="E64" s="99"/>
      <c r="F64" s="76">
        <f>VLOOKUP(C64,'[1]1588'!$C$6:$F$43,4,FALSE)</f>
        <v>-102444.9</v>
      </c>
      <c r="G64" s="76"/>
      <c r="H64" s="76"/>
    </row>
    <row r="65" spans="3:8" x14ac:dyDescent="0.25">
      <c r="C65" s="98" t="s">
        <v>28</v>
      </c>
      <c r="D65" s="99" t="s">
        <v>29</v>
      </c>
      <c r="E65" s="99"/>
      <c r="F65" s="76">
        <f>VLOOKUP(C65,'[1]1588'!$C$6:$F$43,4,FALSE)</f>
        <v>-436646.57</v>
      </c>
      <c r="G65" s="76"/>
      <c r="H65" s="76"/>
    </row>
    <row r="66" spans="3:8" x14ac:dyDescent="0.25">
      <c r="C66" s="98" t="s">
        <v>30</v>
      </c>
      <c r="D66" s="99" t="s">
        <v>31</v>
      </c>
      <c r="E66" s="99"/>
      <c r="F66" s="76">
        <f>VLOOKUP(C66,'[1]1588'!$C$6:$F$43,4,FALSE)</f>
        <v>-4620.12</v>
      </c>
      <c r="G66" s="76"/>
      <c r="H66" s="76"/>
    </row>
    <row r="67" spans="3:8" x14ac:dyDescent="0.25">
      <c r="C67" s="98" t="s">
        <v>32</v>
      </c>
      <c r="D67" s="99" t="s">
        <v>33</v>
      </c>
      <c r="E67" s="99"/>
      <c r="F67" s="76">
        <v>-17335.75</v>
      </c>
      <c r="G67" s="76"/>
      <c r="H67" s="76"/>
    </row>
    <row r="68" spans="3:8" x14ac:dyDescent="0.25">
      <c r="C68" s="98" t="s">
        <v>34</v>
      </c>
      <c r="D68" s="99" t="s">
        <v>35</v>
      </c>
      <c r="E68" s="99"/>
      <c r="F68" s="76"/>
      <c r="G68" s="76"/>
      <c r="H68" s="76"/>
    </row>
    <row r="69" spans="3:8" x14ac:dyDescent="0.25">
      <c r="C69" s="99"/>
      <c r="D69" s="99" t="s">
        <v>36</v>
      </c>
      <c r="E69" s="99"/>
      <c r="F69" s="76"/>
      <c r="G69" s="76"/>
      <c r="H69" s="76"/>
    </row>
    <row r="70" spans="3:8" x14ac:dyDescent="0.25">
      <c r="C70" s="99"/>
      <c r="D70" s="100" t="s">
        <v>37</v>
      </c>
      <c r="E70" s="99"/>
      <c r="F70" s="101">
        <f>SUM(F60:F69)</f>
        <v>-2895413.19</v>
      </c>
      <c r="G70" s="101">
        <v>-3233702.63</v>
      </c>
      <c r="H70" s="123">
        <f>F70-G70</f>
        <v>338289.43999999994</v>
      </c>
    </row>
    <row r="71" spans="3:8" x14ac:dyDescent="0.25">
      <c r="C71" s="99"/>
      <c r="D71" s="100"/>
      <c r="E71" s="99"/>
      <c r="F71" s="102"/>
    </row>
    <row r="72" spans="3:8" x14ac:dyDescent="0.25">
      <c r="C72" s="99"/>
      <c r="D72" s="98"/>
      <c r="E72" s="99"/>
      <c r="F72" s="103"/>
    </row>
    <row r="73" spans="3:8" x14ac:dyDescent="0.25">
      <c r="C73" s="98" t="s">
        <v>38</v>
      </c>
      <c r="D73" s="99" t="s">
        <v>39</v>
      </c>
      <c r="E73" s="99"/>
      <c r="F73" s="76">
        <v>0</v>
      </c>
      <c r="G73" s="76"/>
    </row>
    <row r="74" spans="3:8" x14ac:dyDescent="0.25">
      <c r="C74" s="98" t="s">
        <v>40</v>
      </c>
      <c r="D74" s="99" t="s">
        <v>41</v>
      </c>
      <c r="E74" s="99"/>
      <c r="F74" s="76">
        <v>0</v>
      </c>
      <c r="G74" s="76"/>
    </row>
    <row r="75" spans="3:8" x14ac:dyDescent="0.25">
      <c r="C75" s="98" t="s">
        <v>42</v>
      </c>
      <c r="D75" s="99" t="s">
        <v>43</v>
      </c>
      <c r="E75" s="99"/>
      <c r="F75" s="76">
        <v>-422828.77</v>
      </c>
      <c r="G75" s="76"/>
    </row>
    <row r="76" spans="3:8" x14ac:dyDescent="0.25">
      <c r="C76" s="98" t="s">
        <v>44</v>
      </c>
      <c r="D76" s="99" t="s">
        <v>45</v>
      </c>
      <c r="E76" s="99"/>
      <c r="F76" s="76">
        <v>0</v>
      </c>
      <c r="G76" s="76"/>
    </row>
    <row r="77" spans="3:8" x14ac:dyDescent="0.25">
      <c r="C77" s="98" t="s">
        <v>46</v>
      </c>
      <c r="D77" s="99" t="s">
        <v>47</v>
      </c>
      <c r="E77" s="99"/>
      <c r="F77" s="76">
        <v>-122131.68000000002</v>
      </c>
      <c r="G77" s="76"/>
    </row>
    <row r="78" spans="3:8" x14ac:dyDescent="0.25">
      <c r="C78" s="99"/>
      <c r="D78" s="99" t="s">
        <v>36</v>
      </c>
      <c r="E78" s="99"/>
      <c r="F78" s="104"/>
      <c r="G78" s="105"/>
    </row>
    <row r="79" spans="3:8" x14ac:dyDescent="0.25">
      <c r="C79" s="106"/>
      <c r="D79" s="99" t="s">
        <v>48</v>
      </c>
      <c r="E79" s="99"/>
      <c r="F79" s="101">
        <f>SUM(F73:F78)</f>
        <v>-544960.45000000007</v>
      </c>
      <c r="G79" s="101">
        <v>-544566.81000000006</v>
      </c>
      <c r="H79" s="123">
        <f>F79-G79</f>
        <v>-393.64000000001397</v>
      </c>
    </row>
    <row r="80" spans="3:8" x14ac:dyDescent="0.25">
      <c r="C80" s="106"/>
      <c r="D80" s="99"/>
      <c r="E80" s="99"/>
      <c r="F80" s="104"/>
    </row>
    <row r="81" spans="2:29" x14ac:dyDescent="0.25">
      <c r="C81" s="106"/>
      <c r="D81" s="99"/>
      <c r="E81" s="107" t="s">
        <v>110</v>
      </c>
      <c r="F81" s="101">
        <f>F70+F79</f>
        <v>-3440373.64</v>
      </c>
      <c r="G81" s="101">
        <f>G70+G79</f>
        <v>-3778269.44</v>
      </c>
      <c r="H81" s="101">
        <f>H70+H79</f>
        <v>337895.79999999993</v>
      </c>
      <c r="I81" s="108"/>
    </row>
    <row r="82" spans="2:29" x14ac:dyDescent="0.25">
      <c r="C82" s="106"/>
      <c r="D82" s="99"/>
      <c r="E82" s="99"/>
      <c r="F82" s="104"/>
      <c r="G82" s="104"/>
      <c r="H82" s="104"/>
      <c r="J82" s="108"/>
    </row>
    <row r="83" spans="2:29" x14ac:dyDescent="0.25">
      <c r="C83" s="99"/>
      <c r="D83" s="99"/>
      <c r="E83" s="99"/>
      <c r="F83" s="109"/>
    </row>
    <row r="84" spans="2:29" x14ac:dyDescent="0.25">
      <c r="B84" s="162" t="s">
        <v>142</v>
      </c>
      <c r="C84" s="163"/>
      <c r="D84" s="163"/>
      <c r="E84" s="163"/>
      <c r="F84" s="163"/>
      <c r="G84" s="163"/>
      <c r="H84" s="164"/>
    </row>
    <row r="86" spans="2:29" ht="45" x14ac:dyDescent="0.25">
      <c r="E86" s="113" t="s">
        <v>49</v>
      </c>
      <c r="F86" s="113" t="s">
        <v>145</v>
      </c>
      <c r="G86" s="113" t="s">
        <v>17</v>
      </c>
      <c r="X86" s="67"/>
      <c r="Y86" s="67"/>
      <c r="Z86" s="67"/>
      <c r="AA86" s="67"/>
      <c r="AB86" s="67"/>
      <c r="AC86" s="67"/>
    </row>
    <row r="87" spans="2:29" x14ac:dyDescent="0.25">
      <c r="E87" s="76">
        <v>-597563.65584080014</v>
      </c>
      <c r="F87" s="76">
        <v>-597563.65584079933</v>
      </c>
      <c r="G87" s="76">
        <f t="shared" ref="G87:G98" si="0">E87-F87</f>
        <v>0</v>
      </c>
      <c r="X87" s="67"/>
      <c r="Y87" s="67"/>
      <c r="Z87" s="67"/>
      <c r="AA87" s="67"/>
      <c r="AB87" s="67"/>
      <c r="AC87" s="67"/>
    </row>
    <row r="88" spans="2:29" x14ac:dyDescent="0.25">
      <c r="E88" s="76">
        <v>-607011.6854709005</v>
      </c>
      <c r="F88" s="76">
        <v>-607011.68547090015</v>
      </c>
      <c r="G88" s="76">
        <f t="shared" si="0"/>
        <v>0</v>
      </c>
      <c r="X88" s="67"/>
      <c r="Y88" s="67"/>
      <c r="Z88" s="67"/>
      <c r="AA88" s="67"/>
      <c r="AB88" s="67"/>
      <c r="AC88" s="67"/>
    </row>
    <row r="89" spans="2:29" x14ac:dyDescent="0.25">
      <c r="E89" s="76">
        <v>-626275.06431700021</v>
      </c>
      <c r="F89" s="76">
        <v>-626275.06431700056</v>
      </c>
      <c r="G89" s="76">
        <f t="shared" si="0"/>
        <v>0</v>
      </c>
      <c r="X89" s="67"/>
      <c r="Y89" s="67"/>
      <c r="Z89" s="67"/>
      <c r="AA89" s="67"/>
      <c r="AB89" s="67"/>
      <c r="AC89" s="67"/>
    </row>
    <row r="90" spans="2:29" x14ac:dyDescent="0.25">
      <c r="E90" s="76">
        <v>-507809.14894999901</v>
      </c>
      <c r="F90" s="76">
        <v>-507773.47364999872</v>
      </c>
      <c r="G90" s="76">
        <f t="shared" si="0"/>
        <v>-35.675300000293646</v>
      </c>
      <c r="X90" s="67"/>
      <c r="Y90" s="67"/>
      <c r="Z90" s="67"/>
      <c r="AA90" s="67"/>
      <c r="AB90" s="67"/>
      <c r="AC90" s="67"/>
    </row>
    <row r="91" spans="2:29" x14ac:dyDescent="0.25">
      <c r="E91" s="76">
        <v>-518075.11844999931</v>
      </c>
      <c r="F91" s="76">
        <v>-517749.14289999969</v>
      </c>
      <c r="G91" s="76">
        <f t="shared" si="0"/>
        <v>-325.97554999962449</v>
      </c>
      <c r="X91" s="67"/>
      <c r="Y91" s="67"/>
      <c r="Z91" s="67"/>
      <c r="AA91" s="67"/>
      <c r="AB91" s="67"/>
      <c r="AC91" s="67"/>
    </row>
    <row r="92" spans="2:29" x14ac:dyDescent="0.25">
      <c r="E92" s="76">
        <v>-543250.75285000005</v>
      </c>
      <c r="F92" s="76">
        <v>-566212.93395000009</v>
      </c>
      <c r="G92" s="76">
        <f t="shared" si="0"/>
        <v>22962.181100000045</v>
      </c>
      <c r="X92" s="67"/>
      <c r="Y92" s="67"/>
      <c r="Z92" s="67"/>
      <c r="AA92" s="67"/>
      <c r="AB92" s="67"/>
      <c r="AC92" s="67"/>
    </row>
    <row r="93" spans="2:29" x14ac:dyDescent="0.25">
      <c r="E93" s="76">
        <v>-556281.16261440027</v>
      </c>
      <c r="F93" s="76">
        <v>-556281.16261440027</v>
      </c>
      <c r="G93" s="76">
        <f t="shared" si="0"/>
        <v>0</v>
      </c>
      <c r="X93" s="67"/>
      <c r="Y93" s="67"/>
      <c r="Z93" s="67"/>
      <c r="AA93" s="67"/>
      <c r="AB93" s="67"/>
      <c r="AC93" s="67"/>
    </row>
    <row r="94" spans="2:29" x14ac:dyDescent="0.25">
      <c r="E94" s="76">
        <v>-535189.00465680042</v>
      </c>
      <c r="F94" s="76">
        <v>-535962.68219000078</v>
      </c>
      <c r="G94" s="76">
        <f t="shared" si="0"/>
        <v>773.6775332003599</v>
      </c>
      <c r="X94" s="67"/>
      <c r="Y94" s="67"/>
      <c r="Z94" s="67"/>
      <c r="AA94" s="67"/>
      <c r="AB94" s="67"/>
      <c r="AC94" s="67"/>
    </row>
    <row r="95" spans="2:29" x14ac:dyDescent="0.25">
      <c r="E95" s="76">
        <v>-589934.99629279994</v>
      </c>
      <c r="F95" s="76">
        <v>-590120.57801439927</v>
      </c>
      <c r="G95" s="76">
        <f t="shared" si="0"/>
        <v>185.58172159933019</v>
      </c>
      <c r="X95" s="67"/>
      <c r="Y95" s="67"/>
      <c r="Z95" s="67"/>
      <c r="AA95" s="67"/>
      <c r="AB95" s="67"/>
      <c r="AC95" s="67"/>
    </row>
    <row r="96" spans="2:29" x14ac:dyDescent="0.25">
      <c r="E96" s="76">
        <v>-635944.39894860005</v>
      </c>
      <c r="F96" s="76">
        <v>-636749.21378879936</v>
      </c>
      <c r="G96" s="76">
        <f t="shared" si="0"/>
        <v>804.8148401993094</v>
      </c>
      <c r="X96" s="67"/>
      <c r="Y96" s="67"/>
      <c r="Z96" s="67"/>
      <c r="AA96" s="67"/>
      <c r="AB96" s="67"/>
      <c r="AC96" s="67"/>
    </row>
    <row r="97" spans="1:29" x14ac:dyDescent="0.25">
      <c r="E97" s="76">
        <v>-570259.84192599927</v>
      </c>
      <c r="F97" s="76">
        <v>-570987.12858950195</v>
      </c>
      <c r="G97" s="76">
        <f t="shared" si="0"/>
        <v>727.28666350268759</v>
      </c>
      <c r="X97" s="67"/>
      <c r="Y97" s="67"/>
      <c r="Z97" s="67"/>
      <c r="AA97" s="67"/>
      <c r="AB97" s="67"/>
      <c r="AC97" s="67"/>
    </row>
    <row r="98" spans="1:29" x14ac:dyDescent="0.25">
      <c r="E98" s="76">
        <v>-536912.34047400008</v>
      </c>
      <c r="F98" s="76">
        <v>-537347.31740439881</v>
      </c>
      <c r="G98" s="76">
        <f t="shared" si="0"/>
        <v>434.97693039872684</v>
      </c>
      <c r="X98" s="67"/>
      <c r="Y98" s="67"/>
      <c r="Z98" s="67"/>
      <c r="AA98" s="67"/>
      <c r="AB98" s="67"/>
      <c r="AC98" s="67"/>
    </row>
    <row r="99" spans="1:29" ht="15.75" thickBot="1" x14ac:dyDescent="0.3">
      <c r="E99" s="83">
        <f>SUM(E87:E98)</f>
        <v>-6824507.1707912982</v>
      </c>
      <c r="F99" s="83">
        <f>SUM(F87:F98)</f>
        <v>-6850034.0387301985</v>
      </c>
      <c r="G99" s="119">
        <f>SUM(G87:G98)</f>
        <v>25526.867938900541</v>
      </c>
      <c r="X99" s="67"/>
      <c r="Y99" s="67"/>
      <c r="Z99" s="67"/>
      <c r="AA99" s="67"/>
      <c r="AB99" s="67"/>
      <c r="AC99" s="67"/>
    </row>
    <row r="100" spans="1:29" ht="15.75" thickTop="1" x14ac:dyDescent="0.25">
      <c r="B100" s="110"/>
      <c r="C100" s="73"/>
      <c r="D100" s="111"/>
      <c r="G100" s="66"/>
      <c r="X100" s="67"/>
      <c r="Y100" s="67"/>
      <c r="Z100" s="67"/>
      <c r="AA100" s="67"/>
      <c r="AB100" s="67"/>
      <c r="AC100" s="67"/>
    </row>
    <row r="101" spans="1:29" x14ac:dyDescent="0.25">
      <c r="B101" s="74"/>
      <c r="G101" s="66"/>
      <c r="H101" s="112"/>
      <c r="I101" s="112"/>
      <c r="J101" s="112"/>
      <c r="L101" s="71"/>
      <c r="N101" s="112"/>
    </row>
    <row r="102" spans="1:29" x14ac:dyDescent="0.25">
      <c r="B102" s="162" t="s">
        <v>143</v>
      </c>
      <c r="C102" s="163"/>
      <c r="D102" s="163"/>
      <c r="E102" s="163"/>
      <c r="F102" s="163"/>
      <c r="G102" s="163"/>
      <c r="H102" s="164"/>
      <c r="I102" s="112"/>
      <c r="J102" s="112"/>
      <c r="L102" s="71"/>
      <c r="N102" s="112"/>
    </row>
    <row r="103" spans="1:29" s="93" customFormat="1" x14ac:dyDescent="0.25"/>
    <row r="104" spans="1:29" x14ac:dyDescent="0.25">
      <c r="A104" s="74"/>
      <c r="B104" s="74"/>
      <c r="C104" s="74"/>
      <c r="D104" s="3" t="s">
        <v>50</v>
      </c>
      <c r="E104" s="3" t="s">
        <v>51</v>
      </c>
      <c r="F104" s="3" t="s">
        <v>52</v>
      </c>
      <c r="G104" s="4" t="s">
        <v>53</v>
      </c>
      <c r="H104" s="168"/>
      <c r="I104" s="169"/>
      <c r="J104" s="169"/>
      <c r="K104" s="169"/>
      <c r="L104" s="169"/>
      <c r="M104" s="169"/>
      <c r="N104" s="169"/>
      <c r="O104" s="169"/>
      <c r="P104" s="169"/>
      <c r="Q104" s="169"/>
      <c r="R104" s="170"/>
    </row>
    <row r="105" spans="1:29" ht="105" x14ac:dyDescent="0.25">
      <c r="A105" s="74"/>
      <c r="B105" s="74"/>
      <c r="C105" s="74"/>
      <c r="D105" s="5" t="s">
        <v>54</v>
      </c>
      <c r="E105" s="6" t="s">
        <v>55</v>
      </c>
      <c r="F105" s="11"/>
      <c r="G105" s="5" t="s">
        <v>56</v>
      </c>
      <c r="H105" s="6" t="s">
        <v>57</v>
      </c>
      <c r="I105" s="7"/>
      <c r="J105" s="6" t="s">
        <v>58</v>
      </c>
      <c r="K105" s="5" t="s">
        <v>59</v>
      </c>
      <c r="L105" s="8" t="s">
        <v>60</v>
      </c>
      <c r="M105" s="6" t="s">
        <v>61</v>
      </c>
      <c r="N105" s="6" t="s">
        <v>62</v>
      </c>
      <c r="O105" s="6" t="s">
        <v>63</v>
      </c>
      <c r="P105" s="6" t="s">
        <v>111</v>
      </c>
      <c r="Q105" s="6" t="s">
        <v>112</v>
      </c>
      <c r="R105" s="6" t="s">
        <v>113</v>
      </c>
    </row>
    <row r="106" spans="1:29" x14ac:dyDescent="0.25">
      <c r="A106" s="74"/>
      <c r="B106" s="74"/>
      <c r="C106" s="74"/>
      <c r="D106" s="9" t="s">
        <v>64</v>
      </c>
      <c r="E106" s="9" t="s">
        <v>65</v>
      </c>
      <c r="F106" s="9" t="s">
        <v>66</v>
      </c>
      <c r="G106" s="9" t="s">
        <v>67</v>
      </c>
      <c r="H106" s="10" t="s">
        <v>68</v>
      </c>
      <c r="I106" s="45"/>
      <c r="J106" s="46" t="s">
        <v>69</v>
      </c>
      <c r="K106" s="9" t="s">
        <v>70</v>
      </c>
      <c r="L106" s="11" t="s">
        <v>71</v>
      </c>
      <c r="M106" s="11" t="s">
        <v>72</v>
      </c>
      <c r="N106" s="12" t="s">
        <v>73</v>
      </c>
      <c r="O106" s="11" t="s">
        <v>114</v>
      </c>
      <c r="P106" s="65" t="s">
        <v>115</v>
      </c>
      <c r="Q106" s="65" t="s">
        <v>116</v>
      </c>
      <c r="R106" s="65" t="s">
        <v>117</v>
      </c>
    </row>
    <row r="107" spans="1:29" x14ac:dyDescent="0.25">
      <c r="B107" s="174">
        <v>2020</v>
      </c>
      <c r="C107" s="47" t="s">
        <v>74</v>
      </c>
      <c r="D107" s="13">
        <v>27172056</v>
      </c>
      <c r="E107" s="14">
        <v>47118.596000000136</v>
      </c>
      <c r="F107" s="15">
        <f t="shared" ref="F107:F118" si="1">SUM(D107:E107)</f>
        <v>27219174.596000001</v>
      </c>
      <c r="G107" s="14">
        <v>853988.60000000009</v>
      </c>
      <c r="H107" s="13">
        <f t="shared" ref="H107:H118" si="2">D107+E107-G107</f>
        <v>26365185.995999999</v>
      </c>
      <c r="I107" s="16"/>
      <c r="J107" s="16">
        <v>5840145.1900000013</v>
      </c>
      <c r="K107" s="13">
        <v>25611549.320000004</v>
      </c>
      <c r="L107" s="10">
        <f>H107*(J107/K107)</f>
        <v>6011995.3015788412</v>
      </c>
      <c r="M107" s="17">
        <v>0.10231999999999999</v>
      </c>
      <c r="N107" s="10">
        <f t="shared" ref="N107:N118" si="3">L107*M107</f>
        <v>615147.35925754695</v>
      </c>
      <c r="O107" s="47"/>
      <c r="P107" s="10">
        <v>5840145.1900000013</v>
      </c>
      <c r="Q107" s="10"/>
      <c r="R107" s="10"/>
    </row>
    <row r="108" spans="1:29" x14ac:dyDescent="0.25">
      <c r="B108" s="174"/>
      <c r="C108" s="48" t="s">
        <v>75</v>
      </c>
      <c r="D108" s="18">
        <v>25399903</v>
      </c>
      <c r="E108" s="19">
        <v>134240.22099999967</v>
      </c>
      <c r="F108" s="20">
        <f t="shared" si="1"/>
        <v>25534143.221000001</v>
      </c>
      <c r="G108" s="19">
        <v>875762.2</v>
      </c>
      <c r="H108" s="18">
        <f t="shared" si="2"/>
        <v>24658381.021000002</v>
      </c>
      <c r="I108" s="21"/>
      <c r="J108" s="21">
        <v>5357088.3900000043</v>
      </c>
      <c r="K108" s="18">
        <v>24202617.149999999</v>
      </c>
      <c r="L108" s="22">
        <f t="shared" ref="L108:L118" si="4">H108*(J108/K108)</f>
        <v>5457968.6926046163</v>
      </c>
      <c r="M108" s="23">
        <v>0.11331000000000001</v>
      </c>
      <c r="N108" s="22">
        <f t="shared" si="3"/>
        <v>618442.43255902908</v>
      </c>
      <c r="O108" s="48"/>
      <c r="P108" s="22">
        <v>5357088.3900000043</v>
      </c>
      <c r="Q108" s="22"/>
      <c r="R108" s="22"/>
    </row>
    <row r="109" spans="1:29" x14ac:dyDescent="0.25">
      <c r="B109" s="174"/>
      <c r="C109" s="48" t="s">
        <v>76</v>
      </c>
      <c r="D109" s="18">
        <v>24999955</v>
      </c>
      <c r="E109" s="19">
        <v>249315.95199999979</v>
      </c>
      <c r="F109" s="20">
        <f t="shared" si="1"/>
        <v>25249270.952</v>
      </c>
      <c r="G109" s="19">
        <v>939426.70000000007</v>
      </c>
      <c r="H109" s="18">
        <f t="shared" si="2"/>
        <v>24309844.252</v>
      </c>
      <c r="I109" s="21"/>
      <c r="J109" s="21">
        <v>5244306.3500000015</v>
      </c>
      <c r="K109" s="18">
        <v>23532404.760000002</v>
      </c>
      <c r="L109" s="22">
        <f t="shared" si="4"/>
        <v>5417562.3731824094</v>
      </c>
      <c r="M109" s="23">
        <v>0.11942</v>
      </c>
      <c r="N109" s="22">
        <f t="shared" si="3"/>
        <v>646965.29860544333</v>
      </c>
      <c r="O109" s="48"/>
      <c r="P109" s="22">
        <v>5244306.3500000015</v>
      </c>
      <c r="Q109" s="22"/>
      <c r="R109" s="22"/>
    </row>
    <row r="110" spans="1:29" ht="15" customHeight="1" x14ac:dyDescent="0.25">
      <c r="B110" s="174"/>
      <c r="C110" s="60" t="s">
        <v>77</v>
      </c>
      <c r="D110" s="61">
        <v>22234209</v>
      </c>
      <c r="E110" s="61">
        <v>341757.99700000032</v>
      </c>
      <c r="F110" s="61">
        <f t="shared" si="1"/>
        <v>22575966.997000001</v>
      </c>
      <c r="G110" s="61">
        <v>884711.09999999986</v>
      </c>
      <c r="H110" s="61">
        <f t="shared" si="2"/>
        <v>21691255.897</v>
      </c>
      <c r="I110" s="62"/>
      <c r="J110" s="62">
        <v>4415731.7299999911</v>
      </c>
      <c r="K110" s="61">
        <v>21003927.080000002</v>
      </c>
      <c r="L110" s="63">
        <f t="shared" si="4"/>
        <v>4560231.3587889448</v>
      </c>
      <c r="M110" s="64">
        <v>0.115</v>
      </c>
      <c r="N110" s="63">
        <f t="shared" si="3"/>
        <v>524426.60626072867</v>
      </c>
      <c r="O110" s="60"/>
      <c r="P110" s="63">
        <v>4415731.7299999911</v>
      </c>
      <c r="Q110" s="63"/>
      <c r="R110" s="63"/>
      <c r="S110" s="166" t="s">
        <v>78</v>
      </c>
      <c r="T110" s="167"/>
    </row>
    <row r="111" spans="1:29" x14ac:dyDescent="0.25">
      <c r="B111" s="174"/>
      <c r="C111" s="60" t="s">
        <v>79</v>
      </c>
      <c r="D111" s="61">
        <v>21946604</v>
      </c>
      <c r="E111" s="61">
        <v>400948.81999999931</v>
      </c>
      <c r="F111" s="61">
        <f t="shared" si="1"/>
        <v>22347552.82</v>
      </c>
      <c r="G111" s="61">
        <v>730159.89999999991</v>
      </c>
      <c r="H111" s="61">
        <f t="shared" si="2"/>
        <v>21617392.920000002</v>
      </c>
      <c r="I111" s="62"/>
      <c r="J111" s="62">
        <v>4505001.0299999937</v>
      </c>
      <c r="K111" s="61">
        <v>20938182.569999989</v>
      </c>
      <c r="L111" s="63">
        <f t="shared" si="4"/>
        <v>4651138.0366913397</v>
      </c>
      <c r="M111" s="64">
        <v>0.115</v>
      </c>
      <c r="N111" s="63">
        <f t="shared" si="3"/>
        <v>534880.87421950407</v>
      </c>
      <c r="O111" s="60"/>
      <c r="P111" s="63">
        <v>4505001.0299999937</v>
      </c>
      <c r="Q111" s="63"/>
      <c r="R111" s="63"/>
      <c r="S111" s="166"/>
      <c r="T111" s="167"/>
    </row>
    <row r="112" spans="1:29" x14ac:dyDescent="0.25">
      <c r="B112" s="174"/>
      <c r="C112" s="60" t="s">
        <v>80</v>
      </c>
      <c r="D112" s="61">
        <v>23965653</v>
      </c>
      <c r="E112" s="61">
        <v>398746.52799999953</v>
      </c>
      <c r="F112" s="61">
        <f t="shared" si="1"/>
        <v>24364399.528000001</v>
      </c>
      <c r="G112" s="61">
        <v>926150.45000000007</v>
      </c>
      <c r="H112" s="61">
        <f t="shared" si="2"/>
        <v>23438249.078000002</v>
      </c>
      <c r="I112" s="62"/>
      <c r="J112" s="62">
        <v>4723919.59</v>
      </c>
      <c r="K112" s="61">
        <v>22576250.419999998</v>
      </c>
      <c r="L112" s="63">
        <f t="shared" si="4"/>
        <v>4904286.6691794805</v>
      </c>
      <c r="M112" s="64">
        <v>0.115</v>
      </c>
      <c r="N112" s="63">
        <f t="shared" si="3"/>
        <v>563992.96695564024</v>
      </c>
      <c r="O112" s="60"/>
      <c r="P112" s="63">
        <v>4723919.59</v>
      </c>
      <c r="Q112" s="63"/>
      <c r="R112" s="63"/>
      <c r="S112" s="166"/>
      <c r="T112" s="167"/>
    </row>
    <row r="113" spans="2:20" x14ac:dyDescent="0.25">
      <c r="B113" s="174"/>
      <c r="C113" s="48" t="s">
        <v>81</v>
      </c>
      <c r="D113" s="18">
        <v>30221158</v>
      </c>
      <c r="E113" s="19">
        <v>397814.73099999904</v>
      </c>
      <c r="F113" s="20">
        <f t="shared" si="1"/>
        <v>30618972.730999999</v>
      </c>
      <c r="G113" s="19">
        <v>802163.64999999991</v>
      </c>
      <c r="H113" s="18">
        <f t="shared" si="2"/>
        <v>29816809.081</v>
      </c>
      <c r="I113" s="21"/>
      <c r="J113" s="21">
        <v>5617866.7200000025</v>
      </c>
      <c r="K113" s="18">
        <v>28984795.890000023</v>
      </c>
      <c r="L113" s="22">
        <f t="shared" si="4"/>
        <v>5779128.4806161048</v>
      </c>
      <c r="M113" s="23">
        <v>9.9019999999999997E-2</v>
      </c>
      <c r="N113" s="22">
        <f t="shared" si="3"/>
        <v>572249.30215060664</v>
      </c>
      <c r="O113" s="48"/>
      <c r="P113" s="22">
        <v>5617866.7200000025</v>
      </c>
      <c r="Q113" s="22"/>
      <c r="R113" s="22"/>
    </row>
    <row r="114" spans="2:20" x14ac:dyDescent="0.25">
      <c r="B114" s="174"/>
      <c r="C114" s="48" t="s">
        <v>82</v>
      </c>
      <c r="D114" s="18">
        <v>26429798</v>
      </c>
      <c r="E114" s="19">
        <v>401224.85099999921</v>
      </c>
      <c r="F114" s="20">
        <f t="shared" si="1"/>
        <v>26831022.851</v>
      </c>
      <c r="G114" s="19">
        <v>828694.45</v>
      </c>
      <c r="H114" s="18">
        <f t="shared" si="2"/>
        <v>26002328.401000001</v>
      </c>
      <c r="I114" s="21"/>
      <c r="J114" s="21">
        <v>5171907.6600000039</v>
      </c>
      <c r="K114" s="18">
        <v>25378799.43</v>
      </c>
      <c r="L114" s="22">
        <f t="shared" si="4"/>
        <v>5298975.6984326961</v>
      </c>
      <c r="M114" s="23">
        <v>0.10348</v>
      </c>
      <c r="N114" s="22">
        <f t="shared" si="3"/>
        <v>548338.00527381536</v>
      </c>
      <c r="O114" s="48"/>
      <c r="P114" s="22">
        <v>5171907.6600000039</v>
      </c>
      <c r="Q114" s="22"/>
      <c r="R114" s="22"/>
    </row>
    <row r="115" spans="2:20" x14ac:dyDescent="0.25">
      <c r="B115" s="174"/>
      <c r="C115" s="48" t="s">
        <v>83</v>
      </c>
      <c r="D115" s="18">
        <v>26429798</v>
      </c>
      <c r="E115" s="19">
        <v>329425.06698999926</v>
      </c>
      <c r="F115" s="20">
        <f t="shared" si="1"/>
        <v>26759223.066989999</v>
      </c>
      <c r="G115" s="19">
        <v>844926.70000000019</v>
      </c>
      <c r="H115" s="18">
        <f t="shared" si="2"/>
        <v>25914296.36699</v>
      </c>
      <c r="I115" s="21"/>
      <c r="J115" s="21">
        <v>4845064.0299999993</v>
      </c>
      <c r="K115" s="18">
        <v>19937957.729999997</v>
      </c>
      <c r="L115" s="22">
        <f t="shared" si="4"/>
        <v>6297356.3737444496</v>
      </c>
      <c r="M115" s="23">
        <v>0.12176000000000001</v>
      </c>
      <c r="N115" s="22">
        <f t="shared" si="3"/>
        <v>766766.11206712422</v>
      </c>
      <c r="O115" s="48"/>
      <c r="P115" s="22">
        <v>4845064.0299999993</v>
      </c>
      <c r="Q115" s="22"/>
      <c r="R115" s="22"/>
    </row>
    <row r="116" spans="2:20" x14ac:dyDescent="0.25">
      <c r="B116" s="174"/>
      <c r="C116" s="48" t="s">
        <v>84</v>
      </c>
      <c r="D116" s="18">
        <v>22166886</v>
      </c>
      <c r="E116" s="19">
        <v>204706.774</v>
      </c>
      <c r="F116" s="20">
        <f t="shared" si="1"/>
        <v>22371592.774</v>
      </c>
      <c r="G116" s="19">
        <v>892711.39999999991</v>
      </c>
      <c r="H116" s="18">
        <f t="shared" si="2"/>
        <v>21478881.374000002</v>
      </c>
      <c r="I116" s="21"/>
      <c r="J116" s="21">
        <v>4965987.8100000005</v>
      </c>
      <c r="K116" s="18">
        <v>20936299.709999993</v>
      </c>
      <c r="L116" s="22">
        <f t="shared" si="4"/>
        <v>5094685.5248147435</v>
      </c>
      <c r="M116" s="23">
        <v>0.12806000000000001</v>
      </c>
      <c r="N116" s="22">
        <f t="shared" si="3"/>
        <v>652425.42830777611</v>
      </c>
      <c r="O116" s="48"/>
      <c r="P116" s="22">
        <v>4965987.8100000005</v>
      </c>
      <c r="Q116" s="22"/>
      <c r="R116" s="22"/>
    </row>
    <row r="117" spans="2:20" x14ac:dyDescent="0.25">
      <c r="B117" s="174"/>
      <c r="C117" s="48" t="s">
        <v>85</v>
      </c>
      <c r="D117" s="18">
        <v>23120657</v>
      </c>
      <c r="E117" s="19">
        <v>130234.03299999965</v>
      </c>
      <c r="F117" s="20">
        <f t="shared" si="1"/>
        <v>23250891.033</v>
      </c>
      <c r="G117" s="19">
        <v>884004.20000000019</v>
      </c>
      <c r="H117" s="18">
        <f t="shared" si="2"/>
        <v>22366886.833000001</v>
      </c>
      <c r="I117" s="21"/>
      <c r="J117" s="21">
        <v>4871933.7199999932</v>
      </c>
      <c r="K117" s="18">
        <v>21536398.249999981</v>
      </c>
      <c r="L117" s="22">
        <f t="shared" si="4"/>
        <v>5059805.6791189145</v>
      </c>
      <c r="M117" s="23">
        <v>0.11705</v>
      </c>
      <c r="N117" s="22">
        <f t="shared" si="3"/>
        <v>592250.25474086893</v>
      </c>
      <c r="O117" s="48"/>
      <c r="P117" s="22">
        <v>4871933.7199999932</v>
      </c>
      <c r="Q117" s="22"/>
      <c r="R117" s="22"/>
    </row>
    <row r="118" spans="2:20" x14ac:dyDescent="0.25">
      <c r="B118" s="174"/>
      <c r="C118" s="49" t="s">
        <v>86</v>
      </c>
      <c r="D118" s="24">
        <v>27610230</v>
      </c>
      <c r="E118" s="25">
        <v>49908.965999999913</v>
      </c>
      <c r="F118" s="26">
        <f t="shared" si="1"/>
        <v>27660138.965999998</v>
      </c>
      <c r="G118" s="25">
        <v>718477.7</v>
      </c>
      <c r="H118" s="24">
        <f t="shared" si="2"/>
        <v>26941661.265999999</v>
      </c>
      <c r="I118" s="27"/>
      <c r="J118" s="27">
        <v>5085360.3000000007</v>
      </c>
      <c r="K118" s="24">
        <v>25998319.370000016</v>
      </c>
      <c r="L118" s="28">
        <f t="shared" si="4"/>
        <v>5269881.2053313144</v>
      </c>
      <c r="M118" s="29">
        <v>0.10557999999999999</v>
      </c>
      <c r="N118" s="28">
        <f t="shared" si="3"/>
        <v>556394.05765888013</v>
      </c>
      <c r="O118" s="49"/>
      <c r="P118" s="28">
        <v>5085360.3000000007</v>
      </c>
      <c r="Q118" s="28"/>
      <c r="R118" s="28"/>
    </row>
    <row r="119" spans="2:20" ht="15.75" thickBot="1" x14ac:dyDescent="0.3">
      <c r="G119" s="66"/>
      <c r="H119" s="114">
        <f>SUM(H107:H109)+SUM(H113:H118)</f>
        <v>227854274.59099001</v>
      </c>
      <c r="I119" s="112"/>
      <c r="J119" s="114">
        <f>SUM(J107:J109)+SUM(J113:J118)</f>
        <v>46999660.170000002</v>
      </c>
      <c r="K119" s="114">
        <f>SUM(K107:K109)+SUM(K113:K118)</f>
        <v>216119141.61000001</v>
      </c>
      <c r="L119" s="114">
        <f>SUM(L107:L109)+SUM(L113:L118)</f>
        <v>49687359.329424083</v>
      </c>
      <c r="M119" s="112"/>
      <c r="N119" s="114">
        <f>SUM(N107:N109)+SUM(N113:N118)</f>
        <v>5568978.2506210906</v>
      </c>
      <c r="O119" s="115">
        <f>N119/L119</f>
        <v>0.11208038273274121</v>
      </c>
      <c r="P119" s="114">
        <f>SUM(P107:P109)+SUM(P113:P118)</f>
        <v>46999660.170000002</v>
      </c>
      <c r="Q119" s="114">
        <f>L119-P119</f>
        <v>2687699.1594240814</v>
      </c>
      <c r="R119" s="125">
        <f>Q119*O119</f>
        <v>301238.35045871785</v>
      </c>
    </row>
    <row r="120" spans="2:20" ht="15.75" thickTop="1" x14ac:dyDescent="0.25">
      <c r="G120" s="66"/>
      <c r="H120" s="112"/>
      <c r="I120" s="112"/>
      <c r="J120" s="116">
        <f>J119/K119</f>
        <v>0.21747106628256796</v>
      </c>
      <c r="L120" s="71"/>
      <c r="M120" s="112"/>
    </row>
    <row r="121" spans="2:20" x14ac:dyDescent="0.25">
      <c r="B121" s="171" t="s">
        <v>144</v>
      </c>
      <c r="C121" s="172"/>
      <c r="D121" s="172"/>
      <c r="E121" s="172"/>
      <c r="F121" s="172"/>
      <c r="G121" s="172"/>
      <c r="H121" s="173"/>
      <c r="I121" s="112"/>
      <c r="J121" s="112"/>
      <c r="L121" s="71"/>
      <c r="N121" s="112"/>
    </row>
    <row r="122" spans="2:20" x14ac:dyDescent="0.25">
      <c r="G122" s="66"/>
      <c r="H122" s="112"/>
      <c r="I122" s="112"/>
      <c r="J122" s="112"/>
      <c r="L122" s="71"/>
      <c r="N122" s="112"/>
    </row>
    <row r="123" spans="2:20" x14ac:dyDescent="0.25">
      <c r="D123" s="93"/>
      <c r="E123" s="117"/>
      <c r="G123" s="66"/>
      <c r="M123" s="117"/>
      <c r="O123" s="93"/>
      <c r="P123" s="93"/>
      <c r="Q123" s="93"/>
      <c r="R123" s="93"/>
      <c r="S123" s="93"/>
      <c r="T123" s="93"/>
    </row>
    <row r="124" spans="2:20" ht="30" x14ac:dyDescent="0.25">
      <c r="B124" s="95"/>
      <c r="C124" s="95"/>
      <c r="D124" s="31" t="s">
        <v>87</v>
      </c>
      <c r="E124" s="31" t="s">
        <v>88</v>
      </c>
      <c r="F124" s="31" t="s">
        <v>89</v>
      </c>
      <c r="G124" s="31" t="s">
        <v>90</v>
      </c>
      <c r="H124" s="31" t="s">
        <v>91</v>
      </c>
      <c r="I124" s="31" t="s">
        <v>92</v>
      </c>
      <c r="J124" s="31" t="s">
        <v>93</v>
      </c>
      <c r="K124" s="31" t="s">
        <v>91</v>
      </c>
      <c r="L124" s="31" t="s">
        <v>94</v>
      </c>
      <c r="M124" s="31" t="s">
        <v>17</v>
      </c>
      <c r="O124" s="118"/>
      <c r="R124" s="95"/>
      <c r="S124" s="95"/>
    </row>
    <row r="125" spans="2:20" x14ac:dyDescent="0.25">
      <c r="B125" s="161">
        <v>2020</v>
      </c>
      <c r="C125" s="50" t="s">
        <v>77</v>
      </c>
      <c r="D125" s="32">
        <f>-3083736.49</f>
        <v>-3083736.49</v>
      </c>
      <c r="E125" s="33">
        <v>175466.41</v>
      </c>
      <c r="F125" s="14">
        <f>H110-L110</f>
        <v>17131024.538211055</v>
      </c>
      <c r="G125" s="34">
        <f>150.57/1000</f>
        <v>0.15056999999999998</v>
      </c>
      <c r="H125" s="32">
        <f>F125*G125</f>
        <v>2579418.3647184381</v>
      </c>
      <c r="I125" s="35">
        <f>L110</f>
        <v>4560231.3587889448</v>
      </c>
      <c r="J125" s="52">
        <f>115/1000</f>
        <v>0.115</v>
      </c>
      <c r="K125" s="51">
        <f>I125*J125</f>
        <v>524426.60626072867</v>
      </c>
      <c r="L125" s="51">
        <f>H125+K125</f>
        <v>3103844.9709791667</v>
      </c>
      <c r="M125" s="51">
        <f>L125+D125</f>
        <v>20108.480979166459</v>
      </c>
    </row>
    <row r="126" spans="2:20" x14ac:dyDescent="0.25">
      <c r="B126" s="161"/>
      <c r="C126" s="53" t="s">
        <v>79</v>
      </c>
      <c r="D126" s="36">
        <v>-3026440.17</v>
      </c>
      <c r="E126" s="37">
        <v>148738.74</v>
      </c>
      <c r="F126" s="19">
        <f>H111-L111</f>
        <v>16966254.883308664</v>
      </c>
      <c r="G126" s="38">
        <f>147.18/1000</f>
        <v>0.14718000000000001</v>
      </c>
      <c r="H126" s="36">
        <f>F126*G126</f>
        <v>2497093.3937253691</v>
      </c>
      <c r="I126" s="39">
        <f>L111</f>
        <v>4651138.0366913397</v>
      </c>
      <c r="J126" s="55">
        <f>115/1000</f>
        <v>0.115</v>
      </c>
      <c r="K126" s="54">
        <f t="shared" ref="K126:K127" si="5">I126*J126</f>
        <v>534880.87421950407</v>
      </c>
      <c r="L126" s="54">
        <f>H126+K126</f>
        <v>3031974.2679448733</v>
      </c>
      <c r="M126" s="54">
        <f>L126+D126</f>
        <v>5534.0979448733851</v>
      </c>
    </row>
    <row r="127" spans="2:20" x14ac:dyDescent="0.25">
      <c r="B127" s="161"/>
      <c r="C127" s="56" t="s">
        <v>80</v>
      </c>
      <c r="D127" s="40">
        <v>-2942457.22</v>
      </c>
      <c r="E127" s="41">
        <v>65954.19</v>
      </c>
      <c r="F127" s="25">
        <f>H112-L112</f>
        <v>18533962.408820521</v>
      </c>
      <c r="G127" s="42">
        <f>128.4/1000</f>
        <v>0.12840000000000001</v>
      </c>
      <c r="H127" s="40">
        <f>F127*G127</f>
        <v>2379760.773292555</v>
      </c>
      <c r="I127" s="43">
        <f>L112</f>
        <v>4904286.6691794805</v>
      </c>
      <c r="J127" s="58">
        <f>115/1000</f>
        <v>0.115</v>
      </c>
      <c r="K127" s="57">
        <f t="shared" si="5"/>
        <v>563992.96695564024</v>
      </c>
      <c r="L127" s="57">
        <f>H127+K127</f>
        <v>2943753.7402481954</v>
      </c>
      <c r="M127" s="57">
        <f>L127+D127</f>
        <v>1296.5202481951565</v>
      </c>
    </row>
    <row r="128" spans="2:20" ht="15.75" thickBot="1" x14ac:dyDescent="0.3">
      <c r="D128" s="30">
        <f>SUM(D125:D127)</f>
        <v>-9052633.8800000008</v>
      </c>
      <c r="E128" s="30">
        <f>SUM(E125:E127)</f>
        <v>390159.34</v>
      </c>
      <c r="F128" s="44">
        <f t="shared" ref="F128:H128" si="6">SUM(F125:F127)</f>
        <v>52631241.830340236</v>
      </c>
      <c r="G128" s="30"/>
      <c r="H128" s="30">
        <f t="shared" si="6"/>
        <v>7456272.5317363627</v>
      </c>
      <c r="I128" s="44">
        <f>SUM(I125:I127)</f>
        <v>14115656.064659765</v>
      </c>
      <c r="J128" s="30"/>
      <c r="K128" s="30">
        <f>SUM(K125:K127)</f>
        <v>1623300.4474358731</v>
      </c>
      <c r="L128" s="44">
        <f>SUM(L125:L127)</f>
        <v>9079572.9791722354</v>
      </c>
      <c r="M128" s="124">
        <f>SUM(M125:M127)</f>
        <v>26939.099172235001</v>
      </c>
    </row>
    <row r="129" spans="7:7" ht="15.75" thickTop="1" x14ac:dyDescent="0.25">
      <c r="G129" s="66"/>
    </row>
  </sheetData>
  <mergeCells count="10">
    <mergeCell ref="S110:T112"/>
    <mergeCell ref="H104:R104"/>
    <mergeCell ref="B102:H102"/>
    <mergeCell ref="B121:H121"/>
    <mergeCell ref="B107:B118"/>
    <mergeCell ref="B125:B127"/>
    <mergeCell ref="B9:H9"/>
    <mergeCell ref="E26:F26"/>
    <mergeCell ref="B57:H57"/>
    <mergeCell ref="B84:H84"/>
  </mergeCells>
  <pageMargins left="0.7" right="0.7" top="0.75" bottom="0.75" header="0.3" footer="0.3"/>
  <pageSetup scale="25" orientation="portrait" r:id="rId1"/>
  <rowBreaks count="1" manualBreakCount="1">
    <brk id="8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W10"/>
  <sheetViews>
    <sheetView zoomScaleNormal="100" workbookViewId="0">
      <selection activeCell="F18" sqref="F18"/>
    </sheetView>
  </sheetViews>
  <sheetFormatPr defaultRowHeight="15" x14ac:dyDescent="0.25"/>
  <cols>
    <col min="1" max="1" width="9.140625" style="93"/>
    <col min="2" max="15" width="12.7109375" style="93" customWidth="1"/>
    <col min="16" max="16" width="15.5703125" style="93" customWidth="1"/>
    <col min="17" max="20" width="12.7109375" style="93" customWidth="1"/>
    <col min="21" max="16384" width="9.140625" style="93"/>
  </cols>
  <sheetData>
    <row r="2" spans="2:23" x14ac:dyDescent="0.25">
      <c r="B2" s="68" t="s">
        <v>118</v>
      </c>
    </row>
    <row r="4" spans="2:23" ht="15.75" thickBot="1" x14ac:dyDescent="0.3"/>
    <row r="5" spans="2:23" ht="120.75" thickTop="1" x14ac:dyDescent="0.25">
      <c r="B5" s="127" t="s">
        <v>119</v>
      </c>
      <c r="C5" s="128" t="s">
        <v>120</v>
      </c>
      <c r="D5" s="129" t="s">
        <v>121</v>
      </c>
      <c r="E5" s="128" t="s">
        <v>122</v>
      </c>
      <c r="F5" s="128"/>
      <c r="G5" s="130" t="s">
        <v>123</v>
      </c>
      <c r="H5" s="131" t="s">
        <v>124</v>
      </c>
      <c r="I5" s="129" t="s">
        <v>125</v>
      </c>
      <c r="J5" s="129" t="s">
        <v>126</v>
      </c>
      <c r="K5" s="132" t="s">
        <v>127</v>
      </c>
      <c r="L5" s="128" t="s">
        <v>128</v>
      </c>
      <c r="M5" s="129" t="s">
        <v>129</v>
      </c>
      <c r="N5" s="133" t="s">
        <v>130</v>
      </c>
      <c r="P5" s="134"/>
      <c r="Q5" s="129" t="s">
        <v>131</v>
      </c>
      <c r="R5" s="131" t="s">
        <v>132</v>
      </c>
      <c r="S5" s="130" t="s">
        <v>133</v>
      </c>
      <c r="T5" s="135" t="s">
        <v>127</v>
      </c>
    </row>
    <row r="6" spans="2:23" ht="15.75" thickBot="1" x14ac:dyDescent="0.3">
      <c r="B6" s="136">
        <v>43800</v>
      </c>
      <c r="C6" s="137">
        <v>-2457891.2799999998</v>
      </c>
      <c r="D6" s="138">
        <v>0</v>
      </c>
      <c r="E6" s="137">
        <v>-2457891.2799999998</v>
      </c>
      <c r="F6" s="137"/>
      <c r="G6" s="139">
        <v>-1720523.9</v>
      </c>
      <c r="H6" s="140">
        <v>737367.37999999989</v>
      </c>
      <c r="I6" s="141">
        <v>-137671.8200000003</v>
      </c>
      <c r="J6" s="141">
        <v>-447280.98000000045</v>
      </c>
      <c r="K6" s="142">
        <v>152414.57999999914</v>
      </c>
      <c r="L6" s="137">
        <v>1779951.83</v>
      </c>
      <c r="M6" s="141">
        <v>-1627537.25</v>
      </c>
      <c r="N6" s="143">
        <v>0</v>
      </c>
      <c r="P6" s="144"/>
      <c r="Q6" s="145">
        <v>-2224285.9</v>
      </c>
      <c r="R6" s="146">
        <v>-537080.4204440997</v>
      </c>
      <c r="S6" s="147">
        <v>-1687205.4795559002</v>
      </c>
      <c r="T6" s="148">
        <v>152414.57999999914</v>
      </c>
      <c r="W6" s="158"/>
    </row>
    <row r="7" spans="2:23" x14ac:dyDescent="0.25">
      <c r="P7" s="149" t="s">
        <v>134</v>
      </c>
      <c r="Q7" s="150">
        <f>SUM(Q6)</f>
        <v>-2224285.9</v>
      </c>
      <c r="R7" s="151">
        <f>SUM(R6)</f>
        <v>-537080.4204440997</v>
      </c>
      <c r="S7" s="152">
        <f>SUM(S6)</f>
        <v>-1687205.4795559002</v>
      </c>
      <c r="T7" s="148"/>
    </row>
    <row r="8" spans="2:23" x14ac:dyDescent="0.25">
      <c r="P8" s="149" t="s">
        <v>135</v>
      </c>
      <c r="Q8" s="150">
        <f>C6</f>
        <v>-2457891.2799999998</v>
      </c>
      <c r="R8" s="151">
        <f>-H6</f>
        <v>-737367.37999999989</v>
      </c>
      <c r="S8" s="152">
        <f>G6</f>
        <v>-1720523.9</v>
      </c>
      <c r="T8" s="148"/>
      <c r="W8" s="159"/>
    </row>
    <row r="9" spans="2:23" ht="15.75" thickBot="1" x14ac:dyDescent="0.3">
      <c r="P9" s="153" t="s">
        <v>17</v>
      </c>
      <c r="Q9" s="154">
        <f>Q7-Q8</f>
        <v>233605.37999999989</v>
      </c>
      <c r="R9" s="155">
        <f>R7-R8</f>
        <v>200286.95955590019</v>
      </c>
      <c r="S9" s="156">
        <f t="shared" ref="S9" si="0">S7-S8</f>
        <v>33318.420444099698</v>
      </c>
      <c r="T9" s="157"/>
      <c r="W9" s="159"/>
    </row>
    <row r="10" spans="2:23" ht="15.75" thickTop="1" x14ac:dyDescent="0.25"/>
  </sheetData>
  <pageMargins left="0.7" right="0.7" top="0.75" bottom="0.75" header="0.3" footer="0.3"/>
  <pageSetup scale="31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2020 Princ Adj</vt:lpstr>
      <vt:lpstr>2. 2019 Princ Adj</vt:lpstr>
      <vt:lpstr>'1. 2020 Princ Adj'!Print_Area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Laura Hampton</cp:lastModifiedBy>
  <dcterms:created xsi:type="dcterms:W3CDTF">2021-08-17T12:10:40Z</dcterms:created>
  <dcterms:modified xsi:type="dcterms:W3CDTF">2021-08-18T15:55:25Z</dcterms:modified>
</cp:coreProperties>
</file>